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Programming practice\Python\Perovskite\Data\"/>
    </mc:Choice>
  </mc:AlternateContent>
  <xr:revisionPtr revIDLastSave="0" documentId="13_ncr:1_{3E8BB98C-237B-4437-A728-B7F08A380864}" xr6:coauthVersionLast="47" xr6:coauthVersionMax="47" xr10:uidLastSave="{00000000-0000-0000-0000-000000000000}"/>
  <bookViews>
    <workbookView xWindow="-108" yWindow="-108" windowWidth="23256" windowHeight="14016" firstSheet="6" activeTab="9" xr2:uid="{00000000-000D-0000-FFFF-FFFF00000000}"/>
  </bookViews>
  <sheets>
    <sheet name="Data" sheetId="3" r:id="rId1"/>
    <sheet name="Export" sheetId="10" r:id="rId2"/>
    <sheet name="Descriptors count" sheetId="4" r:id="rId3"/>
    <sheet name="Data_old" sheetId="1" r:id="rId4"/>
    <sheet name="Dopants" sheetId="7" r:id="rId5"/>
    <sheet name="Weight fraction conversion" sheetId="8" r:id="rId6"/>
    <sheet name="Indexation" sheetId="9" r:id="rId7"/>
    <sheet name="Hydrogen rate converter" sheetId="11" r:id="rId8"/>
    <sheet name="Photocatalytic dataset" sheetId="13" r:id="rId9"/>
    <sheet name="Photocatalytic dataset 2" sheetId="17" r:id="rId10"/>
    <sheet name="Converter" sheetId="14" r:id="rId11"/>
    <sheet name="2_Photocatalytic dataset" sheetId="15" r:id="rId12"/>
    <sheet name="Лист1" sheetId="1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521" i="17" l="1"/>
  <c r="BU520" i="17"/>
  <c r="BU519" i="17"/>
  <c r="BU518" i="17"/>
  <c r="BU517" i="17"/>
  <c r="BU516" i="17"/>
  <c r="BU515" i="17"/>
  <c r="BU514" i="17"/>
  <c r="BU513" i="17"/>
  <c r="BU512" i="17"/>
  <c r="BU511" i="17"/>
  <c r="BU510" i="17"/>
  <c r="BU509" i="17"/>
  <c r="BU508" i="17"/>
  <c r="BU507" i="17"/>
  <c r="BU506" i="17"/>
  <c r="BU505" i="17"/>
  <c r="BU504" i="17"/>
  <c r="BU503" i="17"/>
  <c r="BU502" i="17"/>
  <c r="BU501" i="17"/>
  <c r="BU500" i="17"/>
  <c r="BU499" i="17"/>
  <c r="BU498" i="17"/>
  <c r="BU490" i="17"/>
  <c r="BU489" i="17"/>
  <c r="BU488" i="17"/>
  <c r="BU487" i="17"/>
  <c r="BU486" i="17"/>
  <c r="BU472" i="17"/>
  <c r="BU466" i="17"/>
  <c r="BU460" i="17"/>
  <c r="BU155" i="17"/>
  <c r="BU154" i="17"/>
  <c r="BU153" i="17"/>
  <c r="BU152" i="17"/>
  <c r="BU151" i="17"/>
  <c r="BU150" i="17"/>
  <c r="BU149" i="17"/>
  <c r="BU148" i="17"/>
  <c r="BU147" i="17"/>
  <c r="BU146" i="17"/>
  <c r="BU145" i="17"/>
  <c r="BU144" i="17"/>
  <c r="M633" i="15" l="1"/>
  <c r="M634" i="15"/>
  <c r="O625" i="15"/>
  <c r="P625" i="15"/>
  <c r="M625" i="15" s="1"/>
  <c r="O626" i="15"/>
  <c r="P626" i="15"/>
  <c r="M626" i="15" s="1"/>
  <c r="O627" i="15"/>
  <c r="P627" i="15"/>
  <c r="M627" i="15" s="1"/>
  <c r="O628" i="15"/>
  <c r="P628" i="15"/>
  <c r="M628" i="15" s="1"/>
  <c r="O629" i="15"/>
  <c r="P629" i="15"/>
  <c r="M629" i="15" s="1"/>
  <c r="O630" i="15"/>
  <c r="P630" i="15"/>
  <c r="M630" i="15" s="1"/>
  <c r="O631" i="15"/>
  <c r="P631" i="15"/>
  <c r="M631" i="15" s="1"/>
  <c r="O632" i="15"/>
  <c r="P632" i="15"/>
  <c r="M632" i="15" s="1"/>
  <c r="O633" i="15"/>
  <c r="P633" i="15"/>
  <c r="O634" i="15"/>
  <c r="P634" i="15"/>
  <c r="O635" i="15"/>
  <c r="P635" i="15"/>
  <c r="M635" i="15" s="1"/>
  <c r="P624" i="15"/>
  <c r="M624" i="15" s="1"/>
  <c r="O624" i="15"/>
  <c r="M582" i="15"/>
  <c r="M583" i="15"/>
  <c r="M584" i="15"/>
  <c r="M585" i="15"/>
  <c r="M580" i="15"/>
  <c r="O581" i="15"/>
  <c r="M581" i="15" s="1"/>
  <c r="P581" i="15"/>
  <c r="O582" i="15"/>
  <c r="P582" i="15"/>
  <c r="O583" i="15"/>
  <c r="P583" i="15"/>
  <c r="O584" i="15"/>
  <c r="P584" i="15"/>
  <c r="O585" i="15"/>
  <c r="P585" i="15"/>
  <c r="P580" i="15"/>
  <c r="O580" i="15"/>
  <c r="AN532" i="15"/>
  <c r="AN533" i="15"/>
  <c r="AN534" i="15"/>
  <c r="AN535" i="15"/>
  <c r="AN531" i="15"/>
  <c r="AN504" i="15"/>
  <c r="AN505" i="15"/>
  <c r="AN506" i="15"/>
  <c r="AN507" i="15"/>
  <c r="AN508" i="15"/>
  <c r="AN509" i="15"/>
  <c r="AN510" i="15"/>
  <c r="AN511" i="15"/>
  <c r="AN512" i="15"/>
  <c r="AN513" i="15"/>
  <c r="AN514" i="15"/>
  <c r="AN515" i="15"/>
  <c r="AN516" i="15"/>
  <c r="AN517" i="15"/>
  <c r="AN518" i="15"/>
  <c r="AN519" i="15"/>
  <c r="AN520" i="15"/>
  <c r="AN521" i="15"/>
  <c r="AN522" i="15"/>
  <c r="AN523" i="15"/>
  <c r="AN524" i="15"/>
  <c r="AN525" i="15"/>
  <c r="AN526" i="15"/>
  <c r="AN503" i="15"/>
  <c r="W526" i="15"/>
  <c r="W525" i="15"/>
  <c r="W524" i="15"/>
  <c r="W523" i="15"/>
  <c r="W522" i="15"/>
  <c r="W521" i="15"/>
  <c r="W520" i="15"/>
  <c r="W519" i="15"/>
  <c r="W518" i="15"/>
  <c r="W517" i="15"/>
  <c r="W516" i="15"/>
  <c r="W515" i="15"/>
  <c r="W504" i="15"/>
  <c r="W505" i="15"/>
  <c r="W506" i="15"/>
  <c r="W507" i="15"/>
  <c r="W508" i="15"/>
  <c r="W509" i="15"/>
  <c r="W510" i="15"/>
  <c r="W511" i="15"/>
  <c r="W512" i="15"/>
  <c r="W513" i="15"/>
  <c r="W514" i="15"/>
  <c r="W503" i="15"/>
  <c r="W495" i="15"/>
  <c r="W494" i="15"/>
  <c r="W492" i="15"/>
  <c r="W493" i="15"/>
  <c r="W491" i="15"/>
  <c r="W477" i="15"/>
  <c r="W471" i="15"/>
  <c r="W465" i="15"/>
  <c r="R462" i="15"/>
  <c r="P462" i="15"/>
  <c r="R463" i="15" l="1"/>
  <c r="M445" i="15"/>
  <c r="L445" i="15"/>
  <c r="K419" i="15"/>
  <c r="J419" i="15"/>
  <c r="AM198" i="15"/>
  <c r="AM199" i="15"/>
  <c r="AM200" i="15"/>
  <c r="AM201" i="15"/>
  <c r="AM202" i="15"/>
  <c r="AM203" i="15"/>
  <c r="AM204" i="15"/>
  <c r="AM205" i="15"/>
  <c r="AM206" i="15"/>
  <c r="AM207" i="15"/>
  <c r="AM208" i="15"/>
  <c r="AM209" i="15"/>
  <c r="AM210" i="15"/>
  <c r="AM211" i="15"/>
  <c r="AM212" i="15"/>
  <c r="AM213" i="15"/>
  <c r="AM214" i="15"/>
  <c r="AM215" i="15"/>
  <c r="AM216" i="15"/>
  <c r="AM197" i="15"/>
  <c r="AN188" i="15"/>
  <c r="AN189" i="15"/>
  <c r="AN190" i="15"/>
  <c r="AN191" i="15"/>
  <c r="AN192" i="15"/>
  <c r="AN187" i="15"/>
  <c r="AO157" i="15"/>
  <c r="AP157" i="15" s="1"/>
  <c r="AQ157" i="15" s="1"/>
  <c r="AO149" i="15"/>
  <c r="AP149" i="15" s="1"/>
  <c r="AO150" i="15"/>
  <c r="AP150" i="15" s="1"/>
  <c r="AO151" i="15"/>
  <c r="AP151" i="15" s="1"/>
  <c r="AO152" i="15"/>
  <c r="AP152" i="15" s="1"/>
  <c r="AO153" i="15"/>
  <c r="AP153" i="15" s="1"/>
  <c r="AO154" i="15"/>
  <c r="AP154" i="15" s="1"/>
  <c r="AO155" i="15"/>
  <c r="AP155" i="15" s="1"/>
  <c r="AO156" i="15"/>
  <c r="AP156" i="15" s="1"/>
  <c r="AQ156" i="15" s="1"/>
  <c r="AO158" i="15"/>
  <c r="AP158" i="15" s="1"/>
  <c r="AQ158" i="15" s="1"/>
  <c r="AO159" i="15"/>
  <c r="AP159" i="15" s="1"/>
  <c r="AQ159" i="15" s="1"/>
  <c r="AO160" i="15"/>
  <c r="AP160" i="15" s="1"/>
  <c r="AQ160" i="15" s="1"/>
  <c r="W153" i="15"/>
  <c r="W155" i="15"/>
  <c r="W156" i="15"/>
  <c r="W157" i="15"/>
  <c r="W158" i="15"/>
  <c r="W159" i="15"/>
  <c r="W160" i="15"/>
  <c r="W154" i="15"/>
  <c r="W152" i="15"/>
  <c r="W151" i="15"/>
  <c r="W150" i="15"/>
  <c r="W149" i="15"/>
  <c r="M115" i="15"/>
  <c r="P115" i="15"/>
  <c r="U115" i="15"/>
  <c r="R115" i="15"/>
  <c r="R116" i="15" s="1"/>
  <c r="R117" i="15" s="1"/>
  <c r="R84" i="15"/>
  <c r="R83" i="15"/>
  <c r="O84" i="15"/>
  <c r="R82" i="15"/>
  <c r="R81" i="15"/>
  <c r="R78" i="15"/>
  <c r="R79" i="15"/>
  <c r="O83" i="15"/>
  <c r="O82" i="15"/>
  <c r="O81" i="15"/>
  <c r="O79" i="15"/>
  <c r="O78" i="15"/>
  <c r="R80" i="15"/>
  <c r="O80" i="15"/>
  <c r="R72" i="15"/>
  <c r="R65" i="15"/>
  <c r="R66" i="15"/>
  <c r="R67" i="15"/>
  <c r="R68" i="15"/>
  <c r="R69" i="15"/>
  <c r="R70" i="15"/>
  <c r="R71" i="15"/>
  <c r="R64" i="15"/>
  <c r="O65" i="15"/>
  <c r="O66" i="15"/>
  <c r="O67" i="15"/>
  <c r="O68" i="15"/>
  <c r="O69" i="15"/>
  <c r="O70" i="15"/>
  <c r="O71" i="15"/>
  <c r="P71" i="15" s="1"/>
  <c r="O72" i="15"/>
  <c r="P72" i="15" s="1"/>
  <c r="O64" i="15"/>
  <c r="P65" i="15" l="1"/>
  <c r="P70" i="15"/>
  <c r="P68" i="15"/>
  <c r="P66" i="15"/>
  <c r="P67" i="15"/>
  <c r="J420" i="15"/>
  <c r="J445" i="15"/>
  <c r="P69" i="15"/>
  <c r="P80" i="15"/>
  <c r="U116" i="15"/>
  <c r="U117" i="15" s="1"/>
  <c r="P116" i="15"/>
  <c r="P117" i="15" s="1"/>
  <c r="M116" i="15"/>
  <c r="M117" i="15" s="1"/>
  <c r="P64" i="15"/>
  <c r="P78" i="15"/>
  <c r="P84" i="15"/>
  <c r="P83" i="15"/>
  <c r="P82" i="15"/>
  <c r="P81" i="15"/>
  <c r="P79" i="15"/>
  <c r="AB529" i="13"/>
  <c r="AB483" i="13"/>
  <c r="AB484" i="13"/>
  <c r="AB485" i="13"/>
  <c r="AB486" i="13"/>
  <c r="AB487" i="13"/>
  <c r="AB488" i="13"/>
  <c r="AB489" i="13"/>
  <c r="AB482" i="13"/>
  <c r="AB345" i="13"/>
  <c r="AB346" i="13"/>
  <c r="AB347" i="13"/>
  <c r="AB348" i="13"/>
  <c r="AB349" i="13"/>
  <c r="AB350" i="13"/>
  <c r="AB351" i="13"/>
  <c r="AB352" i="13"/>
  <c r="AB353" i="13"/>
  <c r="AB354" i="13"/>
  <c r="AB355" i="13"/>
  <c r="AB356" i="13"/>
  <c r="AB357" i="13"/>
  <c r="AB358" i="13"/>
  <c r="AB359" i="13"/>
  <c r="AB360" i="13"/>
  <c r="AB361" i="13"/>
  <c r="AB362" i="13"/>
  <c r="AB363" i="13"/>
  <c r="AB364" i="13"/>
  <c r="AB365" i="13"/>
  <c r="AB366" i="13"/>
  <c r="AB367" i="13"/>
  <c r="AB368" i="13"/>
  <c r="AB369" i="13"/>
  <c r="AB370" i="13"/>
  <c r="AB371" i="13"/>
  <c r="AB372" i="13"/>
  <c r="AB373" i="13"/>
  <c r="AB344" i="13"/>
  <c r="AB200" i="13"/>
  <c r="AB173" i="13"/>
  <c r="AB168" i="13"/>
  <c r="AB116" i="13"/>
  <c r="AB117" i="13"/>
  <c r="AB118" i="13"/>
  <c r="AB119" i="13"/>
  <c r="AB120" i="13"/>
  <c r="AB115" i="13"/>
  <c r="AB83" i="13"/>
  <c r="E1056" i="13" l="1"/>
  <c r="Z879" i="13" l="1"/>
  <c r="Y282" i="13"/>
  <c r="X282" i="13"/>
  <c r="Y281" i="13"/>
  <c r="X281" i="13"/>
  <c r="Y280" i="13"/>
  <c r="X280" i="13"/>
  <c r="Y279" i="13"/>
  <c r="X279" i="13"/>
  <c r="Y278" i="13"/>
  <c r="X278" i="13"/>
  <c r="Y277" i="13"/>
  <c r="X277" i="13"/>
  <c r="Y276" i="13"/>
  <c r="X276" i="13"/>
  <c r="Y275" i="13"/>
  <c r="X275" i="13"/>
  <c r="Y274" i="13"/>
  <c r="X274" i="13"/>
  <c r="Y273" i="13"/>
  <c r="X273" i="13"/>
  <c r="Z264" i="13"/>
  <c r="Z263" i="13"/>
  <c r="Z262" i="13"/>
  <c r="Z261" i="13"/>
  <c r="Z260" i="13"/>
  <c r="Z259" i="13"/>
  <c r="Z258" i="13"/>
  <c r="Z257" i="13"/>
  <c r="Z256" i="13"/>
  <c r="Z255" i="13"/>
  <c r="Z254" i="13"/>
  <c r="Z253" i="13"/>
  <c r="Z156" i="13"/>
  <c r="Z148" i="13"/>
  <c r="T173" i="13"/>
  <c r="T168" i="13"/>
  <c r="W172" i="13" l="1"/>
  <c r="W167" i="13"/>
  <c r="BU1075" i="13" l="1"/>
  <c r="BU1076" i="13"/>
  <c r="BU1077" i="13"/>
  <c r="BU1078" i="13"/>
  <c r="BU1079" i="13"/>
  <c r="BU1080" i="13"/>
  <c r="BU1081" i="13"/>
  <c r="BU1082" i="13"/>
  <c r="BU1083" i="13"/>
  <c r="BU1084" i="13"/>
  <c r="BU1085" i="13"/>
  <c r="BU1086" i="13"/>
  <c r="BU1087" i="13"/>
  <c r="BU1088" i="13"/>
  <c r="BU1089" i="13"/>
  <c r="BU1090" i="13"/>
  <c r="BU1074" i="13"/>
  <c r="CJ1074" i="13"/>
  <c r="CJ1075" i="13"/>
  <c r="CJ1076" i="13"/>
  <c r="CJ1077" i="13"/>
  <c r="CJ1078" i="13"/>
  <c r="CJ1079" i="13"/>
  <c r="CJ1080" i="13"/>
  <c r="CJ1081" i="13"/>
  <c r="CJ1082" i="13"/>
  <c r="CJ1083" i="13"/>
  <c r="CJ1084" i="13"/>
  <c r="CJ1085" i="13"/>
  <c r="CJ1086" i="13"/>
  <c r="CJ1087" i="13"/>
  <c r="CJ1088" i="13"/>
  <c r="CJ1089" i="13"/>
  <c r="CJ1090" i="13"/>
  <c r="CJ1073" i="13"/>
  <c r="CJ1072" i="13"/>
  <c r="CJ1071" i="13"/>
  <c r="CJ1070" i="13"/>
  <c r="CJ1069" i="13"/>
  <c r="CJ1068" i="13"/>
  <c r="CJ1059" i="13"/>
  <c r="CJ1060" i="13"/>
  <c r="CJ1061" i="13"/>
  <c r="CJ1062" i="13"/>
  <c r="CJ1063" i="13"/>
  <c r="CJ1064" i="13"/>
  <c r="CJ1065" i="13"/>
  <c r="CJ1066" i="13"/>
  <c r="CJ1067" i="13"/>
  <c r="BU1060" i="13"/>
  <c r="BU1061" i="13"/>
  <c r="BU1062" i="13"/>
  <c r="BU1063" i="13"/>
  <c r="BU1064" i="13"/>
  <c r="BU1065" i="13"/>
  <c r="BU1066" i="13"/>
  <c r="BU1067" i="13"/>
  <c r="BU1059" i="13"/>
  <c r="CJ1058" i="13"/>
  <c r="CJ1057" i="13"/>
  <c r="CJ1056" i="13"/>
  <c r="CJ1055" i="13"/>
  <c r="CJ1054" i="13"/>
  <c r="CJ1053" i="13"/>
  <c r="CJ1052" i="13"/>
  <c r="CJ1051" i="13"/>
  <c r="CJ1050" i="13"/>
  <c r="CJ1049" i="13"/>
  <c r="CJ1048" i="13"/>
  <c r="CJ1047" i="13"/>
  <c r="CJ1046" i="13"/>
  <c r="CJ1045" i="13"/>
  <c r="CJ1043" i="13"/>
  <c r="CJ1042" i="13"/>
  <c r="CJ1041" i="13"/>
  <c r="CJ1040" i="13"/>
  <c r="CJ1039" i="13"/>
  <c r="CJ1038" i="13"/>
  <c r="CJ1037" i="13"/>
  <c r="CJ1036" i="13"/>
  <c r="CJ1031" i="13"/>
  <c r="CJ1030" i="13"/>
  <c r="CJ1029" i="13"/>
  <c r="CJ1028" i="13"/>
  <c r="CJ1027" i="13"/>
  <c r="CJ1026" i="13"/>
  <c r="CJ1025" i="13"/>
  <c r="CJ1024" i="13"/>
  <c r="CJ1035" i="13"/>
  <c r="CJ1034" i="13"/>
  <c r="CJ1033" i="13"/>
  <c r="CJ1032" i="13"/>
  <c r="CJ1023" i="13"/>
  <c r="CJ1022" i="13"/>
  <c r="CJ1021" i="13"/>
  <c r="CJ1020" i="13"/>
  <c r="CJ1019" i="13"/>
  <c r="CJ1018" i="13"/>
  <c r="CJ1017" i="13"/>
  <c r="CJ1016" i="13"/>
  <c r="CJ1015" i="13"/>
  <c r="CJ1014" i="13"/>
  <c r="CJ1013" i="13"/>
  <c r="CJ1012" i="13"/>
  <c r="CJ1011" i="13"/>
  <c r="CJ1010" i="13"/>
  <c r="CJ1009" i="13"/>
  <c r="CJ1008" i="13"/>
  <c r="CJ1007" i="13"/>
  <c r="CJ1006" i="13"/>
  <c r="CJ1005" i="13"/>
  <c r="CJ1003" i="13"/>
  <c r="CJ1004" i="13"/>
  <c r="CJ1002" i="13"/>
  <c r="CJ1000" i="13"/>
  <c r="CJ1001" i="13"/>
  <c r="CJ999" i="13"/>
  <c r="CJ998" i="13"/>
  <c r="CJ997" i="13"/>
  <c r="CJ996" i="13"/>
  <c r="CJ988" i="13"/>
  <c r="CJ987" i="13"/>
  <c r="CJ986" i="13"/>
  <c r="CJ985" i="13"/>
  <c r="CJ984" i="13"/>
  <c r="CJ983" i="13"/>
  <c r="CJ982" i="13"/>
  <c r="CJ981" i="13"/>
  <c r="CJ973" i="13"/>
  <c r="CJ977" i="13"/>
  <c r="CJ978" i="13"/>
  <c r="CJ979" i="13"/>
  <c r="CJ980" i="13"/>
  <c r="CJ976" i="13"/>
  <c r="CJ975" i="13"/>
  <c r="CJ974" i="13"/>
  <c r="CJ966" i="13"/>
  <c r="CJ972" i="13"/>
  <c r="CJ971" i="13"/>
  <c r="CJ970" i="13"/>
  <c r="CJ969" i="13"/>
  <c r="CJ968" i="13"/>
  <c r="CJ967" i="13"/>
  <c r="CJ965" i="13"/>
  <c r="CJ964" i="13"/>
  <c r="CJ963" i="13"/>
  <c r="CJ962" i="13"/>
  <c r="CJ961" i="13"/>
  <c r="CJ960" i="13"/>
  <c r="CJ959" i="13"/>
  <c r="CJ958" i="13"/>
  <c r="CJ957" i="13"/>
  <c r="CJ956" i="13"/>
  <c r="CJ955" i="13"/>
  <c r="CJ954" i="13"/>
  <c r="CJ953" i="13"/>
  <c r="CJ952" i="13"/>
  <c r="CJ951" i="13"/>
  <c r="CJ950" i="13"/>
  <c r="CJ949" i="13" l="1"/>
  <c r="CJ948" i="13"/>
  <c r="CJ947" i="13"/>
  <c r="CJ946" i="13"/>
  <c r="CJ945" i="13"/>
  <c r="CJ944" i="13"/>
  <c r="CJ943" i="13"/>
  <c r="CJ941" i="13"/>
  <c r="CJ942" i="13"/>
  <c r="CJ940" i="13"/>
  <c r="CJ939" i="13"/>
  <c r="CJ938" i="13"/>
  <c r="CJ937" i="13"/>
  <c r="CJ936" i="13"/>
  <c r="CJ935" i="13"/>
  <c r="BU936" i="13"/>
  <c r="BU935" i="13"/>
  <c r="CJ934" i="13"/>
  <c r="CJ933" i="13"/>
  <c r="CJ932" i="13"/>
  <c r="BU932" i="13"/>
  <c r="CJ931" i="13"/>
  <c r="BU931" i="13"/>
  <c r="CJ930" i="13"/>
  <c r="CJ929" i="13"/>
  <c r="CJ928" i="13"/>
  <c r="BU928" i="13"/>
  <c r="CJ927" i="13"/>
  <c r="BU927" i="13"/>
  <c r="CJ926" i="13"/>
  <c r="CJ925" i="13"/>
  <c r="CJ923" i="13"/>
  <c r="CJ924" i="13"/>
  <c r="CJ922" i="13"/>
  <c r="CJ921" i="13"/>
  <c r="CJ920" i="13"/>
  <c r="CJ919" i="13"/>
  <c r="BU924" i="13"/>
  <c r="BU923" i="13"/>
  <c r="BU919" i="13"/>
  <c r="BU920" i="13"/>
  <c r="AN918" i="13"/>
  <c r="AN917" i="13"/>
  <c r="CJ911" i="13"/>
  <c r="AN911" i="13"/>
  <c r="AR911" i="13" s="1"/>
  <c r="AN912" i="13"/>
  <c r="AR912" i="13" s="1"/>
  <c r="CJ910" i="13"/>
  <c r="AN910" i="13"/>
  <c r="AR910" i="13" s="1"/>
  <c r="CJ909" i="13" l="1"/>
  <c r="CJ908" i="13"/>
  <c r="CJ907" i="13"/>
  <c r="CJ906" i="13"/>
  <c r="CJ905" i="13"/>
  <c r="CJ904" i="13"/>
  <c r="CJ903" i="13"/>
  <c r="CJ902" i="13"/>
  <c r="CB877" i="13"/>
  <c r="CB876" i="13"/>
  <c r="CB874" i="13"/>
  <c r="CB875" i="13" s="1"/>
  <c r="CJ877" i="13"/>
  <c r="AN877" i="13"/>
  <c r="AR877" i="13" s="1"/>
  <c r="CJ876" i="13"/>
  <c r="AN876" i="13"/>
  <c r="AR876" i="13" s="1"/>
  <c r="CJ875" i="13"/>
  <c r="AN875" i="13"/>
  <c r="AR875" i="13" s="1"/>
  <c r="CJ874" i="13"/>
  <c r="AN874" i="13"/>
  <c r="AR874" i="13" s="1"/>
  <c r="CJ873" i="13"/>
  <c r="AN873" i="13"/>
  <c r="AR873" i="13" s="1"/>
  <c r="CJ872" i="13"/>
  <c r="AN872" i="13"/>
  <c r="AR872" i="13" s="1"/>
  <c r="CJ871" i="13"/>
  <c r="AN871" i="13"/>
  <c r="AR871" i="13" s="1"/>
  <c r="CJ870" i="13"/>
  <c r="AN870" i="13"/>
  <c r="AR870" i="13" s="1"/>
  <c r="AN878" i="13"/>
  <c r="CJ869" i="13"/>
  <c r="AN869" i="13"/>
  <c r="AR869" i="13" s="1"/>
  <c r="CJ868" i="13"/>
  <c r="AN868" i="13"/>
  <c r="AR868" i="13" s="1"/>
  <c r="CJ867" i="13"/>
  <c r="AN867" i="13"/>
  <c r="AR867" i="13" s="1"/>
  <c r="CJ866" i="13"/>
  <c r="AN866" i="13"/>
  <c r="AR866" i="13" s="1"/>
  <c r="CJ865" i="13"/>
  <c r="AN865" i="13"/>
  <c r="AR865" i="13" s="1"/>
  <c r="CJ864" i="13"/>
  <c r="AN864" i="13"/>
  <c r="AR864" i="13" s="1"/>
  <c r="CJ863" i="13"/>
  <c r="AN863" i="13"/>
  <c r="AR863" i="13" s="1"/>
  <c r="CJ862" i="13"/>
  <c r="AN862" i="13"/>
  <c r="AR862" i="13" s="1"/>
  <c r="CJ861" i="13"/>
  <c r="AN861" i="13"/>
  <c r="AR861" i="13" s="1"/>
  <c r="CJ860" i="13"/>
  <c r="AN860" i="13"/>
  <c r="AR860" i="13" s="1"/>
  <c r="CJ859" i="13"/>
  <c r="AN859" i="13"/>
  <c r="AR859" i="13" s="1"/>
  <c r="CJ858" i="13"/>
  <c r="CJ857" i="13"/>
  <c r="CJ849" i="13"/>
  <c r="AN849" i="13"/>
  <c r="AR849" i="13" s="1"/>
  <c r="CJ848" i="13"/>
  <c r="AN848" i="13"/>
  <c r="AR848" i="13" s="1"/>
  <c r="CJ847" i="13"/>
  <c r="AN847" i="13"/>
  <c r="AR847" i="13" s="1"/>
  <c r="CJ846" i="13"/>
  <c r="AN846" i="13"/>
  <c r="AR846" i="13" s="1"/>
  <c r="CJ845" i="13"/>
  <c r="AN845" i="13"/>
  <c r="AR845" i="13" s="1"/>
  <c r="CJ844" i="13"/>
  <c r="AN844" i="13"/>
  <c r="AR844" i="13" s="1"/>
  <c r="CJ843" i="13"/>
  <c r="AN843" i="13"/>
  <c r="AR843" i="13" s="1"/>
  <c r="CJ842" i="13"/>
  <c r="AN842" i="13"/>
  <c r="AR842" i="13" s="1"/>
  <c r="CJ841" i="13"/>
  <c r="AN841" i="13"/>
  <c r="AR841" i="13" s="1"/>
  <c r="CJ840" i="13"/>
  <c r="AN840" i="13"/>
  <c r="AR840" i="13" s="1"/>
  <c r="CJ839" i="13"/>
  <c r="AN839" i="13"/>
  <c r="AR839" i="13" s="1"/>
  <c r="CJ838" i="13"/>
  <c r="AN838" i="13"/>
  <c r="AR838" i="13" s="1"/>
  <c r="CJ837" i="13"/>
  <c r="AN837" i="13"/>
  <c r="AR837" i="13" s="1"/>
  <c r="CJ836" i="13"/>
  <c r="AN836" i="13"/>
  <c r="AR836" i="13" s="1"/>
  <c r="CJ835" i="13"/>
  <c r="AN835" i="13"/>
  <c r="AR835" i="13" s="1"/>
  <c r="CJ834" i="13"/>
  <c r="AN834" i="13"/>
  <c r="AR834" i="13" s="1"/>
  <c r="CJ833" i="13"/>
  <c r="AN833" i="13"/>
  <c r="AR833" i="13" s="1"/>
  <c r="CJ832" i="13"/>
  <c r="AN832" i="13"/>
  <c r="AR832" i="13" s="1"/>
  <c r="CJ831" i="13"/>
  <c r="AN831" i="13"/>
  <c r="AR831" i="13" s="1"/>
  <c r="CJ830" i="13"/>
  <c r="AN830" i="13"/>
  <c r="AR830" i="13" s="1"/>
  <c r="CJ829" i="13"/>
  <c r="AN829" i="13"/>
  <c r="AR829" i="13" s="1"/>
  <c r="CJ828" i="13"/>
  <c r="AN828" i="13"/>
  <c r="AR828" i="13" s="1"/>
  <c r="CJ827" i="13"/>
  <c r="AN827" i="13"/>
  <c r="AR827" i="13" s="1"/>
  <c r="CJ826" i="13"/>
  <c r="AN826" i="13"/>
  <c r="AR826" i="13" s="1"/>
  <c r="CJ825" i="13"/>
  <c r="AN825" i="13"/>
  <c r="AR825" i="13" s="1"/>
  <c r="CJ824" i="13"/>
  <c r="AN824" i="13"/>
  <c r="AR824" i="13" s="1"/>
  <c r="CJ802" i="13"/>
  <c r="CJ803" i="13"/>
  <c r="CJ804" i="13"/>
  <c r="CJ805" i="13"/>
  <c r="CJ806" i="13"/>
  <c r="CJ807" i="13"/>
  <c r="CJ808" i="13"/>
  <c r="CJ809" i="13"/>
  <c r="CJ810" i="13"/>
  <c r="CJ811" i="13"/>
  <c r="CJ812" i="13"/>
  <c r="CJ813" i="13"/>
  <c r="CJ814" i="13"/>
  <c r="CJ815" i="13"/>
  <c r="CJ816" i="13"/>
  <c r="CJ817" i="13"/>
  <c r="CJ818" i="13"/>
  <c r="CJ819" i="13"/>
  <c r="CJ820" i="13"/>
  <c r="CJ821" i="13"/>
  <c r="CJ822" i="13"/>
  <c r="CJ823" i="13"/>
  <c r="CJ801" i="13"/>
  <c r="CJ800" i="13"/>
  <c r="CJ799" i="13"/>
  <c r="CJ798" i="13"/>
  <c r="BU793" i="13"/>
  <c r="BU792" i="13"/>
  <c r="BU794" i="13"/>
  <c r="BU795" i="13"/>
  <c r="BU796" i="13"/>
  <c r="BU797" i="13"/>
  <c r="BU791" i="13"/>
  <c r="CJ783" i="13"/>
  <c r="CJ784" i="13"/>
  <c r="CJ782" i="13"/>
  <c r="CJ781" i="13"/>
  <c r="CJ779" i="13"/>
  <c r="CJ780" i="13"/>
  <c r="CJ778" i="13" l="1"/>
  <c r="CJ777" i="13"/>
  <c r="CJ776" i="13"/>
  <c r="CJ775" i="13"/>
  <c r="CJ774" i="13"/>
  <c r="CJ773" i="13"/>
  <c r="AN773" i="13"/>
  <c r="AR773" i="13" s="1"/>
  <c r="CJ772" i="13"/>
  <c r="AN772" i="13"/>
  <c r="AR772" i="13" s="1"/>
  <c r="CJ771" i="13"/>
  <c r="AN771" i="13"/>
  <c r="AR771" i="13" s="1"/>
  <c r="CJ770" i="13"/>
  <c r="AN770" i="13"/>
  <c r="AR770" i="13" s="1"/>
  <c r="CJ769" i="13"/>
  <c r="AN769" i="13"/>
  <c r="AR769" i="13" s="1"/>
  <c r="CJ768" i="13"/>
  <c r="AN768" i="13"/>
  <c r="AR768" i="13" s="1"/>
  <c r="CJ767" i="13"/>
  <c r="AN767" i="13"/>
  <c r="AR767" i="13" s="1"/>
  <c r="CJ766" i="13"/>
  <c r="AN766" i="13"/>
  <c r="AR766" i="13" s="1"/>
  <c r="CJ758" i="13"/>
  <c r="CJ759" i="13"/>
  <c r="CJ760" i="13"/>
  <c r="CJ761" i="13"/>
  <c r="CJ762" i="13"/>
  <c r="CJ763" i="13"/>
  <c r="CJ764" i="13"/>
  <c r="CJ765" i="13"/>
  <c r="CJ757" i="13"/>
  <c r="AN757" i="13"/>
  <c r="AR757" i="13" s="1"/>
  <c r="CJ756" i="13"/>
  <c r="AN756" i="13"/>
  <c r="CJ755" i="13"/>
  <c r="AN755" i="13"/>
  <c r="AR755" i="13" s="1"/>
  <c r="CJ754" i="13"/>
  <c r="AN754" i="13"/>
  <c r="CJ753" i="13"/>
  <c r="AN753" i="13"/>
  <c r="AR753" i="13" s="1"/>
  <c r="CJ752" i="13"/>
  <c r="AN752" i="13"/>
  <c r="CJ751" i="13"/>
  <c r="AN751" i="13"/>
  <c r="AR751" i="13" s="1"/>
  <c r="CJ750" i="13"/>
  <c r="AN750" i="13"/>
  <c r="CJ749" i="13"/>
  <c r="AN749" i="13"/>
  <c r="AR749" i="13" s="1"/>
  <c r="CJ748" i="13"/>
  <c r="AN748" i="13"/>
  <c r="CJ747" i="13"/>
  <c r="AN747" i="13"/>
  <c r="AR747" i="13" s="1"/>
  <c r="CJ746" i="13"/>
  <c r="AN746" i="13"/>
  <c r="CJ745" i="13"/>
  <c r="AN745" i="13"/>
  <c r="AR745" i="13" s="1"/>
  <c r="CJ744" i="13"/>
  <c r="AN744" i="13"/>
  <c r="CJ743" i="13"/>
  <c r="CJ742" i="13"/>
  <c r="BU691" i="13"/>
  <c r="BU692" i="13"/>
  <c r="BU693" i="13"/>
  <c r="BU694" i="13"/>
  <c r="BU695" i="13"/>
  <c r="BU696" i="13"/>
  <c r="BU697" i="13"/>
  <c r="BU698" i="13"/>
  <c r="BU699" i="13"/>
  <c r="BU700" i="13"/>
  <c r="BU701" i="13"/>
  <c r="BU702" i="13"/>
  <c r="BU703" i="13"/>
  <c r="BU704" i="13"/>
  <c r="BU705" i="13"/>
  <c r="BU706" i="13"/>
  <c r="BU707" i="13"/>
  <c r="BU708" i="13"/>
  <c r="BU709" i="13"/>
  <c r="BU710" i="13"/>
  <c r="BU711" i="13"/>
  <c r="BU712" i="13"/>
  <c r="BU713" i="13"/>
  <c r="BU714" i="13"/>
  <c r="BU715" i="13"/>
  <c r="BU716" i="13"/>
  <c r="BU717" i="13"/>
  <c r="BU718" i="13"/>
  <c r="BU719" i="13"/>
  <c r="BU720" i="13"/>
  <c r="BU721" i="13"/>
  <c r="BU722" i="13"/>
  <c r="BU723" i="13"/>
  <c r="BU724" i="13"/>
  <c r="BU725" i="13"/>
  <c r="BU726" i="13"/>
  <c r="BU727" i="13"/>
  <c r="BU728" i="13"/>
  <c r="BU729" i="13"/>
  <c r="BU730" i="13"/>
  <c r="BU731" i="13"/>
  <c r="BU732" i="13"/>
  <c r="BU733" i="13"/>
  <c r="BU734" i="13"/>
  <c r="BU735" i="13"/>
  <c r="BU736" i="13"/>
  <c r="BU737" i="13"/>
  <c r="BU738" i="13"/>
  <c r="BU739" i="13"/>
  <c r="BU740" i="13"/>
  <c r="BU741" i="13"/>
  <c r="BU690" i="13"/>
  <c r="CJ741" i="13" l="1"/>
  <c r="AN741" i="13"/>
  <c r="AR741" i="13" s="1"/>
  <c r="CJ740" i="13"/>
  <c r="AN740" i="13"/>
  <c r="AR740" i="13" s="1"/>
  <c r="CJ739" i="13"/>
  <c r="AN739" i="13"/>
  <c r="AR739" i="13" s="1"/>
  <c r="CJ738" i="13"/>
  <c r="AN738" i="13"/>
  <c r="AR738" i="13" s="1"/>
  <c r="CJ737" i="13"/>
  <c r="AN737" i="13"/>
  <c r="AR737" i="13" s="1"/>
  <c r="CJ736" i="13"/>
  <c r="AN736" i="13"/>
  <c r="AR736" i="13" s="1"/>
  <c r="CJ735" i="13"/>
  <c r="AN735" i="13"/>
  <c r="AR735" i="13" s="1"/>
  <c r="CJ734" i="13"/>
  <c r="AN734" i="13"/>
  <c r="AR734" i="13" s="1"/>
  <c r="CJ733" i="13"/>
  <c r="AN733" i="13"/>
  <c r="AR733" i="13" s="1"/>
  <c r="CJ732" i="13"/>
  <c r="AN732" i="13"/>
  <c r="AR732" i="13" s="1"/>
  <c r="CJ731" i="13"/>
  <c r="AN731" i="13"/>
  <c r="AR731" i="13" s="1"/>
  <c r="CJ730" i="13"/>
  <c r="AN730" i="13"/>
  <c r="AR730" i="13" s="1"/>
  <c r="CJ729" i="13"/>
  <c r="AU729" i="13"/>
  <c r="AN729" i="13"/>
  <c r="AR729" i="13" s="1"/>
  <c r="CJ728" i="13"/>
  <c r="AN728" i="13"/>
  <c r="AR728" i="13" s="1"/>
  <c r="CJ727" i="13"/>
  <c r="AN727" i="13"/>
  <c r="AR727" i="13" s="1"/>
  <c r="CJ726" i="13"/>
  <c r="AN726" i="13"/>
  <c r="AR726" i="13" s="1"/>
  <c r="CJ725" i="13"/>
  <c r="AN725" i="13"/>
  <c r="AR725" i="13" s="1"/>
  <c r="CJ724" i="13"/>
  <c r="AN724" i="13"/>
  <c r="AR724" i="13" s="1"/>
  <c r="CJ723" i="13"/>
  <c r="AN723" i="13"/>
  <c r="AR723" i="13" s="1"/>
  <c r="CJ722" i="13"/>
  <c r="AN722" i="13"/>
  <c r="AR722" i="13" s="1"/>
  <c r="CJ721" i="13"/>
  <c r="AN721" i="13"/>
  <c r="AR721" i="13" s="1"/>
  <c r="CJ720" i="13"/>
  <c r="AN720" i="13"/>
  <c r="AR720" i="13" s="1"/>
  <c r="CJ719" i="13"/>
  <c r="AN719" i="13"/>
  <c r="AR719" i="13" s="1"/>
  <c r="CJ718" i="13"/>
  <c r="AN718" i="13"/>
  <c r="AR718" i="13" s="1"/>
  <c r="CJ717" i="13"/>
  <c r="AN717" i="13"/>
  <c r="AR717" i="13" s="1"/>
  <c r="CJ716" i="13"/>
  <c r="AU716" i="13"/>
  <c r="AN716" i="13"/>
  <c r="AR716" i="13" s="1"/>
  <c r="CJ691" i="13"/>
  <c r="CJ692" i="13"/>
  <c r="CJ693" i="13"/>
  <c r="CJ694" i="13"/>
  <c r="CJ695" i="13"/>
  <c r="CJ696" i="13"/>
  <c r="CJ697" i="13"/>
  <c r="CJ698" i="13"/>
  <c r="CJ699" i="13"/>
  <c r="CJ700" i="13"/>
  <c r="CJ701" i="13"/>
  <c r="CJ702" i="13"/>
  <c r="CJ703" i="13"/>
  <c r="CJ704" i="13"/>
  <c r="CJ705" i="13"/>
  <c r="CJ706" i="13"/>
  <c r="CJ707" i="13"/>
  <c r="CJ708" i="13"/>
  <c r="CJ709" i="13"/>
  <c r="CJ710" i="13"/>
  <c r="CJ711" i="13"/>
  <c r="CJ712" i="13"/>
  <c r="CJ713" i="13"/>
  <c r="CJ714" i="13"/>
  <c r="CJ715" i="13"/>
  <c r="CJ690" i="13"/>
  <c r="AN687" i="13"/>
  <c r="AN686" i="13"/>
  <c r="AN685" i="13"/>
  <c r="AN684" i="13"/>
  <c r="AN683" i="13"/>
  <c r="AN682" i="13"/>
  <c r="AN681" i="13"/>
  <c r="AN680" i="13"/>
  <c r="AN679" i="13"/>
  <c r="M3" i="14"/>
  <c r="AN651" i="13"/>
  <c r="AN650" i="13"/>
  <c r="AN649" i="13"/>
  <c r="AN648" i="13"/>
  <c r="AN647" i="13"/>
  <c r="AN646" i="13"/>
  <c r="AN645" i="13"/>
  <c r="AN644" i="13"/>
  <c r="AN643" i="13"/>
  <c r="AN642" i="13"/>
  <c r="AN641" i="13"/>
  <c r="CK639" i="13"/>
  <c r="CK638" i="13"/>
  <c r="BU639" i="13"/>
  <c r="AN639" i="13"/>
  <c r="BU638" i="13"/>
  <c r="AN638" i="13"/>
  <c r="CK637" i="13"/>
  <c r="CK636" i="13"/>
  <c r="CK635" i="13"/>
  <c r="BU636" i="13"/>
  <c r="BU637" i="13"/>
  <c r="BU635" i="13"/>
  <c r="CJ633" i="13"/>
  <c r="CJ634" i="13"/>
  <c r="CJ632" i="13"/>
  <c r="CJ631" i="13"/>
  <c r="CJ630" i="13"/>
  <c r="CJ629" i="13"/>
  <c r="BU634" i="13"/>
  <c r="BU633" i="13"/>
  <c r="BU632" i="13"/>
  <c r="BU631" i="13"/>
  <c r="BU630" i="13"/>
  <c r="BU629" i="13"/>
  <c r="AN615" i="13"/>
  <c r="AR615" i="13" s="1"/>
  <c r="AN614" i="13"/>
  <c r="AR614" i="13" s="1"/>
  <c r="AN613" i="13"/>
  <c r="AR613" i="13" s="1"/>
  <c r="AN612" i="13"/>
  <c r="AR612" i="13" s="1"/>
  <c r="CK611" i="13" l="1"/>
  <c r="AN611" i="13"/>
  <c r="AN610" i="13"/>
  <c r="AN609" i="13"/>
  <c r="AN608" i="13"/>
  <c r="AN607" i="13"/>
  <c r="AN606" i="13"/>
  <c r="AN605" i="13"/>
  <c r="AN604" i="13"/>
  <c r="CK602" i="13"/>
  <c r="CK601" i="13"/>
  <c r="AN602" i="13"/>
  <c r="AN599" i="13"/>
  <c r="AR599" i="13" s="1"/>
  <c r="AN600" i="13"/>
  <c r="AR600" i="13" s="1"/>
  <c r="AN597" i="13"/>
  <c r="AN596" i="13"/>
  <c r="AN595" i="13"/>
  <c r="AN594" i="13"/>
  <c r="BU592" i="13"/>
  <c r="AN592" i="13"/>
  <c r="BU591" i="13"/>
  <c r="BU590" i="13"/>
  <c r="AN590" i="13"/>
  <c r="BU589" i="13"/>
  <c r="AN589" i="13"/>
  <c r="BU588" i="13"/>
  <c r="AN588" i="13"/>
  <c r="BU586" i="13"/>
  <c r="AN586" i="13"/>
  <c r="BU587" i="13"/>
  <c r="AN587" i="13"/>
  <c r="BU585" i="13"/>
  <c r="AN585" i="13"/>
  <c r="J6" i="14"/>
  <c r="J7" i="14" s="1"/>
  <c r="J8" i="14" s="1"/>
  <c r="J9" i="14"/>
  <c r="CK584" i="13"/>
  <c r="BU584" i="13"/>
  <c r="AN584" i="13"/>
  <c r="CK583" i="13"/>
  <c r="CK581" i="13"/>
  <c r="CK582" i="13"/>
  <c r="CK580" i="13"/>
  <c r="BU583" i="13"/>
  <c r="AN583" i="13"/>
  <c r="BU582" i="13"/>
  <c r="AN582" i="13"/>
  <c r="BU581" i="13"/>
  <c r="AN581" i="13"/>
  <c r="BU580" i="13"/>
  <c r="AN580" i="13"/>
  <c r="CK579" i="13"/>
  <c r="CK578" i="13"/>
  <c r="CK577" i="13"/>
  <c r="BU579" i="13"/>
  <c r="AN579" i="13"/>
  <c r="BU578" i="13"/>
  <c r="AN578" i="13"/>
  <c r="BU577" i="13"/>
  <c r="AN576" i="13"/>
  <c r="AN575" i="13"/>
  <c r="AN574" i="13"/>
  <c r="AN573" i="13"/>
  <c r="AN572" i="13"/>
  <c r="AN571" i="13"/>
  <c r="AN570" i="13"/>
  <c r="AN569" i="13"/>
  <c r="AN568" i="13"/>
  <c r="AN567" i="13"/>
  <c r="AN566" i="13"/>
  <c r="AN565" i="13"/>
  <c r="AN564" i="13"/>
  <c r="AN563" i="13"/>
  <c r="AN562" i="13"/>
  <c r="AN561" i="13"/>
  <c r="AN559" i="13"/>
  <c r="BU552" i="13"/>
  <c r="AN552" i="13"/>
  <c r="BU550" i="13"/>
  <c r="AN550" i="13"/>
  <c r="BU548" i="13"/>
  <c r="AN548" i="13"/>
  <c r="BU546" i="13"/>
  <c r="AN546" i="13"/>
  <c r="BU553" i="13"/>
  <c r="BU554" i="13"/>
  <c r="BU547" i="13"/>
  <c r="BU549" i="13"/>
  <c r="BU551" i="13"/>
  <c r="BU545" i="13"/>
  <c r="BU544" i="13"/>
  <c r="AN545" i="13"/>
  <c r="BU542" i="13"/>
  <c r="BU543" i="13"/>
  <c r="AN542" i="13"/>
  <c r="CK536" i="13"/>
  <c r="CK538" i="13"/>
  <c r="AN538" i="13"/>
  <c r="AN539" i="13"/>
  <c r="AN537" i="13"/>
  <c r="AN540" i="13"/>
  <c r="CK541" i="13"/>
  <c r="CK535" i="13"/>
  <c r="CK534" i="13"/>
  <c r="BU530" i="13"/>
  <c r="AQ530" i="13"/>
  <c r="AU530" i="13" s="1"/>
  <c r="AN530" i="13"/>
  <c r="BU529" i="13"/>
  <c r="AQ529" i="13"/>
  <c r="AU529" i="13" s="1"/>
  <c r="AN529" i="13"/>
  <c r="BU528" i="13"/>
  <c r="AQ528" i="13"/>
  <c r="AU528" i="13" s="1"/>
  <c r="AN528" i="13"/>
  <c r="BU527" i="13"/>
  <c r="BU526" i="13"/>
  <c r="BU525" i="13"/>
  <c r="BU533" i="13"/>
  <c r="BU532" i="13"/>
  <c r="BU531" i="13"/>
  <c r="BU510" i="13"/>
  <c r="AN510" i="13"/>
  <c r="BU524" i="13"/>
  <c r="BU523" i="13"/>
  <c r="BU522" i="13"/>
  <c r="BU521" i="13"/>
  <c r="BU520" i="13"/>
  <c r="BU519" i="13"/>
  <c r="BU518" i="13"/>
  <c r="BU517" i="13"/>
  <c r="BU516" i="13"/>
  <c r="BU515" i="13"/>
  <c r="BU514" i="13"/>
  <c r="BU513" i="13"/>
  <c r="BU512" i="13"/>
  <c r="BU511" i="13"/>
  <c r="BU509" i="13"/>
  <c r="AN524" i="13"/>
  <c r="AN523" i="13"/>
  <c r="AN522" i="13"/>
  <c r="AN521" i="13"/>
  <c r="AN520" i="13"/>
  <c r="AN519" i="13"/>
  <c r="AN518" i="13"/>
  <c r="AN517" i="13"/>
  <c r="AN516" i="13"/>
  <c r="AN515" i="13"/>
  <c r="AN514" i="13"/>
  <c r="AN513" i="13"/>
  <c r="AN512" i="13"/>
  <c r="CJ509" i="13"/>
  <c r="CJ508" i="13"/>
  <c r="CJ507" i="13"/>
  <c r="BU508" i="13"/>
  <c r="BU507" i="13"/>
  <c r="CJ506" i="13"/>
  <c r="BU506" i="13"/>
  <c r="CJ505" i="13"/>
  <c r="CJ504" i="13"/>
  <c r="CJ503" i="13"/>
  <c r="CJ502" i="13"/>
  <c r="BU505" i="13"/>
  <c r="BU504" i="13"/>
  <c r="BU503" i="13"/>
  <c r="BU502" i="13"/>
  <c r="AN505" i="13"/>
  <c r="CJ501" i="13"/>
  <c r="BU501" i="13"/>
  <c r="J10" i="14" l="1"/>
  <c r="CK498" i="13"/>
  <c r="AN498" i="13"/>
  <c r="AN497" i="13"/>
  <c r="CK495" i="13"/>
  <c r="CK494" i="13"/>
  <c r="AN495" i="13"/>
  <c r="AN496" i="13"/>
  <c r="AN494" i="13"/>
  <c r="CK493" i="13"/>
  <c r="AN489" i="13"/>
  <c r="AN488" i="13"/>
  <c r="AN490" i="13"/>
  <c r="AN487" i="13"/>
  <c r="AN486" i="13"/>
  <c r="AN485" i="13"/>
  <c r="AN484" i="13"/>
  <c r="AN483" i="13"/>
  <c r="BU481" i="13"/>
  <c r="BU480" i="13"/>
  <c r="BU479" i="13"/>
  <c r="BU478" i="13"/>
  <c r="BU477" i="13"/>
  <c r="BU476" i="13"/>
  <c r="BU475" i="13"/>
  <c r="BU474" i="13"/>
  <c r="BU473" i="13"/>
  <c r="BU472" i="13"/>
  <c r="BU471" i="13"/>
  <c r="BU470" i="13"/>
  <c r="BU469" i="13"/>
  <c r="BU468" i="13"/>
  <c r="BU467" i="13"/>
  <c r="BU466" i="13"/>
  <c r="AN481" i="13"/>
  <c r="AN480" i="13"/>
  <c r="AN479" i="13"/>
  <c r="AN478" i="13"/>
  <c r="AN477" i="13"/>
  <c r="AN476" i="13"/>
  <c r="AN475" i="13"/>
  <c r="AN474" i="13"/>
  <c r="AN473" i="13"/>
  <c r="AN472" i="13"/>
  <c r="AN471" i="13"/>
  <c r="AN470" i="13"/>
  <c r="AN469" i="13"/>
  <c r="AN467" i="13"/>
  <c r="AN468" i="13"/>
  <c r="AN457" i="13"/>
  <c r="AN456" i="13"/>
  <c r="AN455" i="13"/>
  <c r="AN454" i="13"/>
  <c r="AN452" i="13"/>
  <c r="AN453" i="13"/>
  <c r="AN458" i="13"/>
  <c r="AN449" i="13"/>
  <c r="AN444" i="13"/>
  <c r="AN443" i="13"/>
  <c r="AN440" i="13"/>
  <c r="AR440" i="13" s="1"/>
  <c r="AN439" i="13"/>
  <c r="AR439" i="13" s="1"/>
  <c r="AN438" i="13"/>
  <c r="AR438" i="13" s="1"/>
  <c r="AN437" i="13"/>
  <c r="AR437" i="13" s="1"/>
  <c r="AN436" i="13"/>
  <c r="AR436" i="13" s="1"/>
  <c r="AN435" i="13"/>
  <c r="AR435" i="13" s="1"/>
  <c r="AN434" i="13"/>
  <c r="AR434" i="13" s="1"/>
  <c r="AN430" i="13"/>
  <c r="AR430" i="13" s="1"/>
  <c r="AN431" i="13"/>
  <c r="AR431" i="13" s="1"/>
  <c r="AN432" i="13"/>
  <c r="AR432" i="13" s="1"/>
  <c r="AN428" i="13"/>
  <c r="AN427" i="13"/>
  <c r="AN426" i="13"/>
  <c r="AN425" i="13"/>
  <c r="BU424" i="13" l="1"/>
  <c r="AN424" i="13"/>
  <c r="BU423" i="13"/>
  <c r="AN423" i="13"/>
  <c r="BU422" i="13"/>
  <c r="AN422" i="13"/>
  <c r="BU421" i="13"/>
  <c r="AN421" i="13"/>
  <c r="BU420" i="13"/>
  <c r="AN420" i="13"/>
  <c r="BU419" i="13"/>
  <c r="AN419" i="13"/>
  <c r="BU418" i="13"/>
  <c r="AN418" i="13"/>
  <c r="BU416" i="13"/>
  <c r="AN416" i="13"/>
  <c r="BU415" i="13"/>
  <c r="AN415" i="13"/>
  <c r="BU414" i="13"/>
  <c r="AN414" i="13"/>
  <c r="BU413" i="13"/>
  <c r="AN413" i="13"/>
  <c r="BU417" i="13"/>
  <c r="CA411" i="13"/>
  <c r="BZ411" i="13"/>
  <c r="AN412" i="13"/>
  <c r="AR412" i="13" s="1"/>
  <c r="AN410" i="13"/>
  <c r="AR410" i="13" s="1"/>
  <c r="AN409" i="13"/>
  <c r="AR409" i="13" s="1"/>
  <c r="AN408" i="13"/>
  <c r="AR408" i="13" s="1"/>
  <c r="AN404" i="13"/>
  <c r="AR404" i="13" s="1"/>
  <c r="AN403" i="13"/>
  <c r="AR403" i="13" s="1"/>
  <c r="CJ402" i="13"/>
  <c r="CJ401" i="13"/>
  <c r="CJ400" i="13"/>
  <c r="CJ399" i="13"/>
  <c r="CJ398" i="13"/>
  <c r="CJ397" i="13"/>
  <c r="CK393" i="13"/>
  <c r="AN396" i="13"/>
  <c r="AN387" i="13"/>
  <c r="CK380" i="13"/>
  <c r="CJ385" i="13"/>
  <c r="BU385" i="13"/>
  <c r="AN385" i="13"/>
  <c r="CJ384" i="13"/>
  <c r="BU384" i="13"/>
  <c r="AN384" i="13"/>
  <c r="CJ383" i="13"/>
  <c r="BU383" i="13"/>
  <c r="AN383" i="13"/>
  <c r="CJ382" i="13"/>
  <c r="BU382" i="13"/>
  <c r="AN382" i="13"/>
  <c r="CJ381" i="13"/>
  <c r="BU381" i="13"/>
  <c r="AN381" i="13"/>
  <c r="CJ380" i="13"/>
  <c r="BU380" i="13"/>
  <c r="AN380" i="13"/>
  <c r="CJ379" i="13"/>
  <c r="CJ378" i="13"/>
  <c r="CJ377" i="13"/>
  <c r="CJ376" i="13"/>
  <c r="CJ375" i="13"/>
  <c r="CJ374" i="13"/>
  <c r="BU379" i="13"/>
  <c r="BU378" i="13"/>
  <c r="BU377" i="13"/>
  <c r="BU376" i="13"/>
  <c r="BU375" i="13"/>
  <c r="AN379" i="13"/>
  <c r="AN378" i="13"/>
  <c r="AN377" i="13"/>
  <c r="AN376" i="13"/>
  <c r="AN375" i="13"/>
  <c r="BU374" i="13"/>
  <c r="AN373" i="13"/>
  <c r="AR373" i="13" s="1"/>
  <c r="AN372" i="13"/>
  <c r="AR372" i="13" s="1"/>
  <c r="AN371" i="13"/>
  <c r="AR371" i="13" s="1"/>
  <c r="AN370" i="13"/>
  <c r="AR370" i="13" s="1"/>
  <c r="AN369" i="13"/>
  <c r="AR369" i="13" s="1"/>
  <c r="AN368" i="13"/>
  <c r="AR368" i="13" s="1"/>
  <c r="AN367" i="13"/>
  <c r="AR367" i="13" s="1"/>
  <c r="AN366" i="13"/>
  <c r="AR366" i="13" s="1"/>
  <c r="AN365" i="13"/>
  <c r="AR365" i="13" s="1"/>
  <c r="AN364" i="13"/>
  <c r="AR364" i="13" s="1"/>
  <c r="AN363" i="13"/>
  <c r="AR363" i="13" s="1"/>
  <c r="AN362" i="13"/>
  <c r="AR362" i="13" s="1"/>
  <c r="AN361" i="13"/>
  <c r="AR361" i="13" s="1"/>
  <c r="AN360" i="13"/>
  <c r="AR360" i="13" s="1"/>
  <c r="AN359" i="13"/>
  <c r="AR359" i="13" s="1"/>
  <c r="AN358" i="13"/>
  <c r="AR358" i="13" s="1"/>
  <c r="AN357" i="13"/>
  <c r="AR357" i="13" s="1"/>
  <c r="AN356" i="13"/>
  <c r="AR356" i="13" s="1"/>
  <c r="AN355" i="13"/>
  <c r="AR355" i="13" s="1"/>
  <c r="AN354" i="13"/>
  <c r="AR354" i="13" s="1"/>
  <c r="AN353" i="13"/>
  <c r="AR353" i="13" s="1"/>
  <c r="AN352" i="13"/>
  <c r="AR352" i="13" s="1"/>
  <c r="AN351" i="13"/>
  <c r="AR351" i="13" s="1"/>
  <c r="AN350" i="13"/>
  <c r="AR350" i="13" s="1"/>
  <c r="AN349" i="13"/>
  <c r="AR349" i="13" s="1"/>
  <c r="CK325" i="13"/>
  <c r="AN327" i="13"/>
  <c r="AN326" i="13"/>
  <c r="AN324" i="13"/>
  <c r="AR324" i="13" s="1"/>
  <c r="AN323" i="13"/>
  <c r="AR323" i="13" s="1"/>
  <c r="AN322" i="13"/>
  <c r="AN321" i="13"/>
  <c r="AN320" i="13"/>
  <c r="AN319" i="13"/>
  <c r="AN318" i="13"/>
  <c r="AN317" i="13"/>
  <c r="AN309" i="13"/>
  <c r="AN310" i="13"/>
  <c r="AN308" i="13"/>
  <c r="AN307" i="13"/>
  <c r="CJ304" i="13" l="1"/>
  <c r="CJ303" i="13"/>
  <c r="CJ302" i="13"/>
  <c r="CJ301" i="13"/>
  <c r="CJ300" i="13"/>
  <c r="BU301" i="13"/>
  <c r="BU302" i="13"/>
  <c r="BU303" i="13"/>
  <c r="BU304" i="13"/>
  <c r="BU300" i="13"/>
  <c r="AN299" i="13"/>
  <c r="AN298" i="13"/>
  <c r="AR298" i="13" s="1"/>
  <c r="AN297" i="13"/>
  <c r="AR297" i="13" s="1"/>
  <c r="BU266" i="13"/>
  <c r="BU267" i="13"/>
  <c r="BV267" i="13"/>
  <c r="BU265" i="13"/>
  <c r="CK267" i="13"/>
  <c r="CK265" i="13"/>
  <c r="CK266" i="13"/>
  <c r="E3" i="14"/>
  <c r="E2" i="14"/>
  <c r="E5" i="14" s="1"/>
  <c r="CK252" i="13"/>
  <c r="CK251" i="13"/>
  <c r="CK250" i="13"/>
  <c r="CK249" i="13"/>
  <c r="CK248" i="13"/>
  <c r="CK247" i="13"/>
  <c r="CK246" i="13"/>
  <c r="CK245" i="13"/>
  <c r="AN247" i="13"/>
  <c r="AN246" i="13"/>
  <c r="AN245" i="13"/>
  <c r="CK225" i="13"/>
  <c r="CK228" i="13"/>
  <c r="CK227" i="13"/>
  <c r="CK222" i="13"/>
  <c r="CK221" i="13"/>
  <c r="CK220" i="13"/>
  <c r="CK217" i="13"/>
  <c r="CK215" i="13"/>
  <c r="E7" i="14" l="1"/>
  <c r="E9" i="14" s="1"/>
  <c r="AN196" i="13"/>
  <c r="AN195" i="13"/>
  <c r="AN194" i="13"/>
  <c r="AN193" i="13"/>
  <c r="AN192" i="13"/>
  <c r="AN191" i="13"/>
  <c r="AN190" i="13"/>
  <c r="BU188" i="13"/>
  <c r="AN188" i="13"/>
  <c r="AN187" i="13"/>
  <c r="BU186" i="13"/>
  <c r="AN186" i="13"/>
  <c r="AN185" i="13"/>
  <c r="BU184" i="13"/>
  <c r="AN184" i="13"/>
  <c r="AN183" i="13"/>
  <c r="BU182" i="13"/>
  <c r="AN182" i="13"/>
  <c r="CK179" i="13"/>
  <c r="AN179" i="13"/>
  <c r="CK178" i="13"/>
  <c r="CK177" i="13"/>
  <c r="BV178" i="13"/>
  <c r="BV177" i="13"/>
  <c r="CK176" i="13"/>
  <c r="CK175" i="13"/>
  <c r="CK174" i="13"/>
  <c r="CK172" i="13"/>
  <c r="CK171" i="13"/>
  <c r="CK170" i="13"/>
  <c r="CK169" i="13"/>
  <c r="CK168" i="13"/>
  <c r="CK167" i="13"/>
  <c r="CK173" i="13"/>
  <c r="BV176" i="13"/>
  <c r="BV175" i="13"/>
  <c r="AN175" i="13"/>
  <c r="BV174" i="13"/>
  <c r="AN174" i="13"/>
  <c r="BV173" i="13"/>
  <c r="AN173" i="13"/>
  <c r="BV172" i="13"/>
  <c r="AN172" i="13"/>
  <c r="AR172" i="13" s="1"/>
  <c r="AU172" i="13"/>
  <c r="BV171" i="13"/>
  <c r="BV170" i="13"/>
  <c r="BV169" i="13"/>
  <c r="BV168" i="13"/>
  <c r="BV167" i="13"/>
  <c r="CK166" i="13"/>
  <c r="CK165" i="13"/>
  <c r="CK164" i="13"/>
  <c r="AN166" i="13"/>
  <c r="AN165" i="13"/>
  <c r="AR165" i="13" s="1"/>
  <c r="AN164" i="13"/>
  <c r="CK163" i="13"/>
  <c r="CK162" i="13"/>
  <c r="CK161" i="13"/>
  <c r="CK160" i="13"/>
  <c r="CK159" i="13"/>
  <c r="BU158" i="13"/>
  <c r="AN158" i="13"/>
  <c r="AR158" i="13" s="1"/>
  <c r="BU157" i="13"/>
  <c r="AN157" i="13"/>
  <c r="AR157" i="13" s="1"/>
  <c r="BU156" i="13"/>
  <c r="AN156" i="13"/>
  <c r="AR156" i="13" s="1"/>
  <c r="BU155" i="13"/>
  <c r="AN155" i="13"/>
  <c r="AR155" i="13" s="1"/>
  <c r="BU154" i="13"/>
  <c r="AN154" i="13"/>
  <c r="AR154" i="13" s="1"/>
  <c r="BU153" i="13"/>
  <c r="AN153" i="13"/>
  <c r="AR153" i="13" s="1"/>
  <c r="BU152" i="13"/>
  <c r="AN152" i="13"/>
  <c r="AR152" i="13" s="1"/>
  <c r="BU151" i="13"/>
  <c r="AN151" i="13"/>
  <c r="BU150" i="13"/>
  <c r="BU149" i="13"/>
  <c r="BU148" i="13"/>
  <c r="BU147" i="13"/>
  <c r="BU146" i="13"/>
  <c r="BU145" i="13"/>
  <c r="BU144" i="13"/>
  <c r="BU143" i="13"/>
  <c r="AN142" i="13"/>
  <c r="AN141" i="13"/>
  <c r="AN140" i="13"/>
  <c r="AN139" i="13"/>
  <c r="AN138" i="13"/>
  <c r="AN137" i="13"/>
  <c r="CK127" i="13"/>
  <c r="CK126" i="13"/>
  <c r="CK125" i="13"/>
  <c r="AN127" i="13"/>
  <c r="AR127" i="13" s="1"/>
  <c r="AN126" i="13"/>
  <c r="AN125" i="13"/>
  <c r="CK122" i="13"/>
  <c r="CK124" i="13"/>
  <c r="CK123" i="13"/>
  <c r="CK121" i="13"/>
  <c r="AR173" i="13" l="1"/>
  <c r="AN105" i="13"/>
  <c r="AN100" i="13"/>
  <c r="AN99" i="13"/>
  <c r="AN98" i="13"/>
  <c r="CK95" i="13"/>
  <c r="CK94" i="13"/>
  <c r="CK93" i="13"/>
  <c r="CK92" i="13"/>
  <c r="AN95" i="13"/>
  <c r="AN94" i="13"/>
  <c r="AN93" i="13"/>
  <c r="AN92" i="13"/>
  <c r="CK76" i="13"/>
  <c r="CK75" i="13"/>
  <c r="CK74" i="13"/>
  <c r="AN55" i="13"/>
  <c r="AN54" i="13"/>
  <c r="AN53" i="13"/>
  <c r="AN52" i="13"/>
  <c r="B3" i="14"/>
  <c r="B2" i="14"/>
  <c r="B5" i="14" s="1"/>
  <c r="B7" i="14" s="1"/>
  <c r="B9" i="14" s="1"/>
  <c r="BU47" i="13"/>
  <c r="BU46" i="13"/>
  <c r="BU45" i="13"/>
  <c r="BU44" i="13"/>
  <c r="BU43" i="13"/>
  <c r="BU42" i="13"/>
  <c r="BU41" i="13"/>
  <c r="BU40" i="13"/>
  <c r="BU39" i="13"/>
  <c r="AN39" i="13"/>
  <c r="AR39" i="13" s="1"/>
  <c r="BU38" i="13"/>
  <c r="AO38" i="13"/>
  <c r="AN38" i="13"/>
  <c r="AR38" i="13" s="1"/>
  <c r="BU37" i="13"/>
  <c r="AN37" i="13"/>
  <c r="BU36" i="13"/>
  <c r="AN36" i="13"/>
  <c r="BU35" i="13"/>
  <c r="AN35" i="13"/>
  <c r="BU34" i="13"/>
  <c r="AN34" i="13"/>
  <c r="BU33" i="13"/>
  <c r="AN33" i="13"/>
  <c r="BU32" i="13"/>
  <c r="AN32" i="13"/>
  <c r="BU31" i="13"/>
  <c r="AN31" i="13"/>
  <c r="AN48" i="13"/>
  <c r="BU30" i="13"/>
  <c r="AN30" i="13"/>
  <c r="AR30" i="13" s="1"/>
  <c r="BU29" i="13"/>
  <c r="AO29" i="13"/>
  <c r="AN29" i="13"/>
  <c r="AR29" i="13" s="1"/>
  <c r="BU28" i="13"/>
  <c r="AN28" i="13"/>
  <c r="BU27" i="13"/>
  <c r="AN27" i="13"/>
  <c r="BU26" i="13"/>
  <c r="AN26" i="13"/>
  <c r="BU25" i="13"/>
  <c r="AN25" i="13"/>
  <c r="BU24" i="13"/>
  <c r="AN24" i="13"/>
  <c r="BU23" i="13"/>
  <c r="AN23" i="13"/>
  <c r="BU22" i="13"/>
  <c r="AN22" i="13"/>
  <c r="AN21" i="13"/>
  <c r="BU20" i="13"/>
  <c r="AN20" i="13"/>
  <c r="AR20" i="13" s="1"/>
  <c r="BU19" i="13"/>
  <c r="AO19" i="13"/>
  <c r="AN19" i="13"/>
  <c r="AR19" i="13" s="1"/>
  <c r="BU18" i="13"/>
  <c r="AN18" i="13"/>
  <c r="BU17" i="13"/>
  <c r="AN17" i="13"/>
  <c r="BU16" i="13"/>
  <c r="AN16" i="13"/>
  <c r="BU15" i="13"/>
  <c r="AN15" i="13"/>
  <c r="BU14" i="13"/>
  <c r="AN14" i="13"/>
  <c r="BU13" i="13"/>
  <c r="AN13" i="13"/>
  <c r="BU12" i="13"/>
  <c r="AN12" i="13"/>
  <c r="BU10" i="13"/>
  <c r="BU2" i="13"/>
  <c r="AN916" i="13"/>
  <c r="AR916" i="13" s="1"/>
  <c r="AN915" i="13"/>
  <c r="AR915" i="13" s="1"/>
  <c r="AN914" i="13"/>
  <c r="AR914" i="13" s="1"/>
  <c r="AN913" i="13"/>
  <c r="AR913" i="13" s="1"/>
  <c r="AN909" i="13"/>
  <c r="AR909" i="13" s="1"/>
  <c r="AN908" i="13"/>
  <c r="AR908" i="13" s="1"/>
  <c r="AN907" i="13"/>
  <c r="AR907" i="13" s="1"/>
  <c r="AN906" i="13"/>
  <c r="AR906" i="13" s="1"/>
  <c r="AN905" i="13"/>
  <c r="AR905" i="13" s="1"/>
  <c r="AN904" i="13"/>
  <c r="AR904" i="13" s="1"/>
  <c r="AN903" i="13"/>
  <c r="AR903" i="13" s="1"/>
  <c r="AN902" i="13"/>
  <c r="AR902" i="13" s="1"/>
  <c r="AN901" i="13"/>
  <c r="AR901" i="13" s="1"/>
  <c r="AN900" i="13"/>
  <c r="AR900" i="13" s="1"/>
  <c r="AN899" i="13"/>
  <c r="AR899" i="13" s="1"/>
  <c r="AN898" i="13"/>
  <c r="AR898" i="13" s="1"/>
  <c r="AN897" i="13"/>
  <c r="AR897" i="13" s="1"/>
  <c r="AN896" i="13"/>
  <c r="AR896" i="13" s="1"/>
  <c r="AN895" i="13"/>
  <c r="AR895" i="13" s="1"/>
  <c r="AN894" i="13"/>
  <c r="AR894" i="13" s="1"/>
  <c r="AN893" i="13"/>
  <c r="AR893" i="13" s="1"/>
  <c r="AN892" i="13"/>
  <c r="AR892" i="13" s="1"/>
  <c r="AN891" i="13"/>
  <c r="AR891" i="13" s="1"/>
  <c r="AN890" i="13"/>
  <c r="AR890" i="13" s="1"/>
  <c r="AN889" i="13"/>
  <c r="AR889" i="13" s="1"/>
  <c r="AN888" i="13"/>
  <c r="AN887" i="13"/>
  <c r="AN886" i="13"/>
  <c r="AN885" i="13"/>
  <c r="AN884" i="13"/>
  <c r="AU883" i="13"/>
  <c r="AN883" i="13"/>
  <c r="AU882" i="13"/>
  <c r="AN882" i="13"/>
  <c r="AN881" i="13"/>
  <c r="AN880" i="13"/>
  <c r="AR880" i="13" s="1"/>
  <c r="AN879" i="13"/>
  <c r="AR879" i="13" s="1"/>
  <c r="AN858" i="13"/>
  <c r="AR858" i="13" s="1"/>
  <c r="AN857" i="13"/>
  <c r="AR857" i="13" s="1"/>
  <c r="AN856" i="13"/>
  <c r="AR856" i="13" s="1"/>
  <c r="AN855" i="13"/>
  <c r="AR855" i="13" s="1"/>
  <c r="AN854" i="13"/>
  <c r="AR854" i="13" s="1"/>
  <c r="AN853" i="13"/>
  <c r="AR853" i="13" s="1"/>
  <c r="AN852" i="13"/>
  <c r="AR852" i="13" s="1"/>
  <c r="AN851" i="13"/>
  <c r="AR851" i="13" s="1"/>
  <c r="AN850" i="13"/>
  <c r="AR850" i="13" s="1"/>
  <c r="AN823" i="13"/>
  <c r="AR823" i="13" s="1"/>
  <c r="AN822" i="13"/>
  <c r="AR822" i="13" s="1"/>
  <c r="AN821" i="13"/>
  <c r="AR821" i="13" s="1"/>
  <c r="AN820" i="13"/>
  <c r="AR820" i="13" s="1"/>
  <c r="AN819" i="13"/>
  <c r="AR819" i="13" s="1"/>
  <c r="AN818" i="13"/>
  <c r="AR818" i="13" s="1"/>
  <c r="AN817" i="13"/>
  <c r="AR817" i="13" s="1"/>
  <c r="AN816" i="13"/>
  <c r="AR816" i="13" s="1"/>
  <c r="AN815" i="13"/>
  <c r="AR815" i="13" s="1"/>
  <c r="AN814" i="13"/>
  <c r="AR814" i="13" s="1"/>
  <c r="AN813" i="13"/>
  <c r="AR813" i="13" s="1"/>
  <c r="AN812" i="13"/>
  <c r="AR812" i="13" s="1"/>
  <c r="AN811" i="13"/>
  <c r="AR811" i="13" s="1"/>
  <c r="AN810" i="13"/>
  <c r="AR810" i="13" s="1"/>
  <c r="AN809" i="13"/>
  <c r="AR809" i="13" s="1"/>
  <c r="AN808" i="13"/>
  <c r="AR808" i="13" s="1"/>
  <c r="AN807" i="13"/>
  <c r="AR807" i="13" s="1"/>
  <c r="AN806" i="13"/>
  <c r="AR806" i="13" s="1"/>
  <c r="AN805" i="13"/>
  <c r="AR805" i="13" s="1"/>
  <c r="AN804" i="13"/>
  <c r="AR804" i="13" s="1"/>
  <c r="AN803" i="13"/>
  <c r="AR803" i="13" s="1"/>
  <c r="AN802" i="13"/>
  <c r="AR802" i="13" s="1"/>
  <c r="AN801" i="13"/>
  <c r="AR801" i="13" s="1"/>
  <c r="AN800" i="13"/>
  <c r="AR800" i="13" s="1"/>
  <c r="AN799" i="13"/>
  <c r="AR799" i="13" s="1"/>
  <c r="AN798" i="13"/>
  <c r="AR798" i="13" s="1"/>
  <c r="AN797" i="13"/>
  <c r="AR797" i="13" s="1"/>
  <c r="AN796" i="13"/>
  <c r="AR796" i="13" s="1"/>
  <c r="AN795" i="13"/>
  <c r="AR795" i="13" s="1"/>
  <c r="AN794" i="13"/>
  <c r="AR794" i="13" s="1"/>
  <c r="AN793" i="13"/>
  <c r="AR793" i="13" s="1"/>
  <c r="AN792" i="13"/>
  <c r="AR792" i="13" s="1"/>
  <c r="AN791" i="13"/>
  <c r="AR791" i="13" s="1"/>
  <c r="AN790" i="13"/>
  <c r="AR790" i="13" s="1"/>
  <c r="AN789" i="13"/>
  <c r="AR789" i="13" s="1"/>
  <c r="AN788" i="13"/>
  <c r="AR788" i="13" s="1"/>
  <c r="AN787" i="13"/>
  <c r="AN786" i="13"/>
  <c r="AN785" i="13"/>
  <c r="AR785" i="13" s="1"/>
  <c r="AU784" i="13"/>
  <c r="AN784" i="13"/>
  <c r="AU783" i="13"/>
  <c r="AN783" i="13"/>
  <c r="AU782" i="13"/>
  <c r="AN782" i="13"/>
  <c r="AU781" i="13"/>
  <c r="AN781" i="13"/>
  <c r="AU780" i="13"/>
  <c r="AN780" i="13"/>
  <c r="AU779" i="13"/>
  <c r="AN779" i="13"/>
  <c r="AR779" i="13" s="1"/>
  <c r="AN777" i="13"/>
  <c r="AR777" i="13" s="1"/>
  <c r="AN776" i="13"/>
  <c r="AR776" i="13" s="1"/>
  <c r="AN775" i="13"/>
  <c r="AR775" i="13" s="1"/>
  <c r="AN774" i="13"/>
  <c r="AR774" i="13" s="1"/>
  <c r="AN765" i="13"/>
  <c r="AR765" i="13" s="1"/>
  <c r="AN764" i="13"/>
  <c r="AR764" i="13" s="1"/>
  <c r="AN763" i="13"/>
  <c r="AR763" i="13" s="1"/>
  <c r="AN762" i="13"/>
  <c r="AR762" i="13" s="1"/>
  <c r="AN761" i="13"/>
  <c r="AR761" i="13" s="1"/>
  <c r="AN760" i="13"/>
  <c r="AR760" i="13" s="1"/>
  <c r="AN759" i="13"/>
  <c r="AR759" i="13" s="1"/>
  <c r="AN758" i="13"/>
  <c r="AR758" i="13" s="1"/>
  <c r="AN743" i="13"/>
  <c r="AR743" i="13" s="1"/>
  <c r="AN742" i="13"/>
  <c r="AN715" i="13"/>
  <c r="AR715" i="13" s="1"/>
  <c r="AN714" i="13"/>
  <c r="AR714" i="13" s="1"/>
  <c r="AN713" i="13"/>
  <c r="AR713" i="13" s="1"/>
  <c r="AN712" i="13"/>
  <c r="AR712" i="13" s="1"/>
  <c r="AN711" i="13"/>
  <c r="AR711" i="13" s="1"/>
  <c r="AN710" i="13"/>
  <c r="AR710" i="13" s="1"/>
  <c r="AN709" i="13"/>
  <c r="AR709" i="13" s="1"/>
  <c r="AN708" i="13"/>
  <c r="AR708" i="13" s="1"/>
  <c r="AN707" i="13"/>
  <c r="AR707" i="13" s="1"/>
  <c r="AN706" i="13"/>
  <c r="AR706" i="13" s="1"/>
  <c r="AN705" i="13"/>
  <c r="AR705" i="13" s="1"/>
  <c r="AN704" i="13"/>
  <c r="AR704" i="13" s="1"/>
  <c r="AU703" i="13"/>
  <c r="AN703" i="13"/>
  <c r="AR703" i="13" s="1"/>
  <c r="AN702" i="13"/>
  <c r="AR702" i="13" s="1"/>
  <c r="AN701" i="13"/>
  <c r="AR701" i="13" s="1"/>
  <c r="AN700" i="13"/>
  <c r="AR700" i="13" s="1"/>
  <c r="AN699" i="13"/>
  <c r="AR699" i="13" s="1"/>
  <c r="AN698" i="13"/>
  <c r="AR698" i="13" s="1"/>
  <c r="AN697" i="13"/>
  <c r="AR697" i="13" s="1"/>
  <c r="AN696" i="13"/>
  <c r="AR696" i="13" s="1"/>
  <c r="AN695" i="13"/>
  <c r="AR695" i="13" s="1"/>
  <c r="AN694" i="13"/>
  <c r="AR694" i="13" s="1"/>
  <c r="AN693" i="13"/>
  <c r="AR693" i="13" s="1"/>
  <c r="AN692" i="13"/>
  <c r="AR692" i="13" s="1"/>
  <c r="AN691" i="13"/>
  <c r="AR691" i="13" s="1"/>
  <c r="AU690" i="13"/>
  <c r="AN690" i="13"/>
  <c r="AR690" i="13" s="1"/>
  <c r="AN689" i="13"/>
  <c r="AR689" i="13" s="1"/>
  <c r="AN688" i="13"/>
  <c r="AN678" i="13"/>
  <c r="AN677" i="13"/>
  <c r="AN676" i="13"/>
  <c r="AR676" i="13" s="1"/>
  <c r="AN675" i="13"/>
  <c r="AR675" i="13" s="1"/>
  <c r="AN674" i="13"/>
  <c r="AR674" i="13" s="1"/>
  <c r="AN673" i="13"/>
  <c r="AN672" i="13"/>
  <c r="AN671" i="13"/>
  <c r="AN670" i="13"/>
  <c r="AR670" i="13" s="1"/>
  <c r="AN669" i="13"/>
  <c r="AR669" i="13" s="1"/>
  <c r="AN668" i="13"/>
  <c r="AR668" i="13" s="1"/>
  <c r="AU667" i="13"/>
  <c r="AN667" i="13"/>
  <c r="AN666" i="13"/>
  <c r="AN665" i="13"/>
  <c r="AN664" i="13"/>
  <c r="AN663" i="13"/>
  <c r="AR663" i="13" s="1"/>
  <c r="AN662" i="13"/>
  <c r="AR662" i="13" s="1"/>
  <c r="AN661" i="13"/>
  <c r="AR661" i="13" s="1"/>
  <c r="AN660" i="13"/>
  <c r="AR660" i="13" s="1"/>
  <c r="AN659" i="13"/>
  <c r="AR659" i="13" s="1"/>
  <c r="AN658" i="13"/>
  <c r="AR658" i="13" s="1"/>
  <c r="AN657" i="13"/>
  <c r="AR657" i="13" s="1"/>
  <c r="AE657" i="13"/>
  <c r="AU656" i="13"/>
  <c r="AN656" i="13"/>
  <c r="AR656" i="13" s="1"/>
  <c r="AR655" i="13"/>
  <c r="AR654" i="13"/>
  <c r="AR653" i="13"/>
  <c r="AS652" i="13"/>
  <c r="AR652" i="13"/>
  <c r="AN640" i="13"/>
  <c r="AN637" i="13"/>
  <c r="AN636" i="13"/>
  <c r="AN635" i="13"/>
  <c r="AN634" i="13"/>
  <c r="AN633" i="13"/>
  <c r="AN632" i="13"/>
  <c r="AN631" i="13"/>
  <c r="AN630" i="13"/>
  <c r="AN629" i="13"/>
  <c r="AN628" i="13"/>
  <c r="AR628" i="13" s="1"/>
  <c r="AN627" i="13"/>
  <c r="AR627" i="13" s="1"/>
  <c r="AN626" i="13"/>
  <c r="AR626" i="13" s="1"/>
  <c r="AN625" i="13"/>
  <c r="AR625" i="13" s="1"/>
  <c r="AN624" i="13"/>
  <c r="AR624" i="13" s="1"/>
  <c r="AN623" i="13"/>
  <c r="AR623" i="13" s="1"/>
  <c r="AN622" i="13"/>
  <c r="AR622" i="13" s="1"/>
  <c r="AN621" i="13"/>
  <c r="AR621" i="13" s="1"/>
  <c r="AN620" i="13"/>
  <c r="AR620" i="13" s="1"/>
  <c r="AN619" i="13"/>
  <c r="AR619" i="13" s="1"/>
  <c r="AN618" i="13"/>
  <c r="AR618" i="13" s="1"/>
  <c r="AN617" i="13"/>
  <c r="AR617" i="13" s="1"/>
  <c r="AN616" i="13"/>
  <c r="AR616" i="13" s="1"/>
  <c r="AN603" i="13"/>
  <c r="AN601" i="13"/>
  <c r="AN598" i="13"/>
  <c r="AR598" i="13" s="1"/>
  <c r="AN593" i="13"/>
  <c r="AN591" i="13"/>
  <c r="AN577" i="13"/>
  <c r="AN560" i="13"/>
  <c r="AN558" i="13"/>
  <c r="AN557" i="13"/>
  <c r="AN555" i="13"/>
  <c r="AN554" i="13"/>
  <c r="AN553" i="13"/>
  <c r="AN551" i="13"/>
  <c r="AN549" i="13"/>
  <c r="AN547" i="13"/>
  <c r="AU544" i="13"/>
  <c r="AS544" i="13"/>
  <c r="AN544" i="13"/>
  <c r="AN543" i="13"/>
  <c r="AN541" i="13"/>
  <c r="AN536" i="13"/>
  <c r="AN535" i="13"/>
  <c r="AN534" i="13"/>
  <c r="AQ533" i="13"/>
  <c r="AU533" i="13" s="1"/>
  <c r="AN533" i="13"/>
  <c r="AQ532" i="13"/>
  <c r="AU532" i="13" s="1"/>
  <c r="AN532" i="13"/>
  <c r="AQ531" i="13"/>
  <c r="AU531" i="13" s="1"/>
  <c r="AN531" i="13"/>
  <c r="AQ527" i="13"/>
  <c r="AU527" i="13" s="1"/>
  <c r="AN527" i="13"/>
  <c r="AQ526" i="13"/>
  <c r="AU526" i="13" s="1"/>
  <c r="AN526" i="13"/>
  <c r="AQ525" i="13"/>
  <c r="AU525" i="13" s="1"/>
  <c r="AN525" i="13"/>
  <c r="AN511" i="13"/>
  <c r="AN509" i="13"/>
  <c r="AR509" i="13" s="1"/>
  <c r="AN508" i="13"/>
  <c r="AR508" i="13" s="1"/>
  <c r="AN507" i="13"/>
  <c r="AR507" i="13" s="1"/>
  <c r="AN506" i="13"/>
  <c r="AR506" i="13" s="1"/>
  <c r="AN504" i="13"/>
  <c r="AN503" i="13"/>
  <c r="AN502" i="13"/>
  <c r="AN501" i="13"/>
  <c r="AN500" i="13"/>
  <c r="AN499" i="13"/>
  <c r="AN491" i="13"/>
  <c r="AN482" i="13"/>
  <c r="AN466" i="13"/>
  <c r="AN464" i="13"/>
  <c r="AN459" i="13"/>
  <c r="AN446" i="13"/>
  <c r="AN445" i="13"/>
  <c r="AN442" i="13"/>
  <c r="AN441" i="13"/>
  <c r="AN433" i="13"/>
  <c r="AR433" i="13" s="1"/>
  <c r="AN429" i="13"/>
  <c r="AR429" i="13" s="1"/>
  <c r="AN417" i="13"/>
  <c r="AN407" i="13"/>
  <c r="AR407" i="13" s="1"/>
  <c r="AN405" i="13"/>
  <c r="AR405" i="13" s="1"/>
  <c r="AN402" i="13"/>
  <c r="AN401" i="13"/>
  <c r="AN400" i="13"/>
  <c r="AN399" i="13"/>
  <c r="AN398" i="13"/>
  <c r="AN397" i="13"/>
  <c r="AN395" i="13"/>
  <c r="AN394" i="13"/>
  <c r="AN393" i="13"/>
  <c r="AN392" i="13"/>
  <c r="AN391" i="13"/>
  <c r="AN390" i="13"/>
  <c r="AN388" i="13"/>
  <c r="AN386" i="13"/>
  <c r="AN374" i="13"/>
  <c r="AN348" i="13"/>
  <c r="AR348" i="13" s="1"/>
  <c r="AN347" i="13"/>
  <c r="AR347" i="13" s="1"/>
  <c r="AN346" i="13"/>
  <c r="AR346" i="13" s="1"/>
  <c r="AN345" i="13"/>
  <c r="AR345" i="13" s="1"/>
  <c r="AN344" i="13"/>
  <c r="AR344" i="13" s="1"/>
  <c r="AN343" i="13"/>
  <c r="AN342" i="13"/>
  <c r="AR342" i="13" s="1"/>
  <c r="AN341" i="13"/>
  <c r="AR341" i="13" s="1"/>
  <c r="AN340" i="13"/>
  <c r="AR340" i="13" s="1"/>
  <c r="AN339" i="13"/>
  <c r="AR339" i="13" s="1"/>
  <c r="AN338" i="13"/>
  <c r="AR338" i="13" s="1"/>
  <c r="AN337" i="13"/>
  <c r="AR337" i="13" s="1"/>
  <c r="AN336" i="13"/>
  <c r="AR336" i="13" s="1"/>
  <c r="AN335" i="13"/>
  <c r="AR335" i="13" s="1"/>
  <c r="AN334" i="13"/>
  <c r="AN333" i="13"/>
  <c r="AN332" i="13"/>
  <c r="AN331" i="13"/>
  <c r="AN330" i="13"/>
  <c r="AN329" i="13"/>
  <c r="AN328" i="13"/>
  <c r="AN325" i="13"/>
  <c r="AN316" i="13"/>
  <c r="AR316" i="13" s="1"/>
  <c r="AN315" i="13"/>
  <c r="AR315" i="13" s="1"/>
  <c r="AN314" i="13"/>
  <c r="AN313" i="13"/>
  <c r="AN312" i="13"/>
  <c r="AN311" i="13"/>
  <c r="AN306" i="13"/>
  <c r="AN305" i="13"/>
  <c r="AN304" i="13"/>
  <c r="AR304" i="13" s="1"/>
  <c r="AN303" i="13"/>
  <c r="AR303" i="13" s="1"/>
  <c r="AN302" i="13"/>
  <c r="AR302" i="13" s="1"/>
  <c r="AN301" i="13"/>
  <c r="AR301" i="13" s="1"/>
  <c r="AN300" i="13"/>
  <c r="AR300" i="13" s="1"/>
  <c r="AN296" i="13"/>
  <c r="AN295" i="13"/>
  <c r="AR295" i="13" s="1"/>
  <c r="AN294" i="13"/>
  <c r="AR294" i="13" s="1"/>
  <c r="AN272" i="13"/>
  <c r="AR272" i="13" s="1"/>
  <c r="AN271" i="13"/>
  <c r="AR271" i="13" s="1"/>
  <c r="AN270" i="13"/>
  <c r="AR270" i="13" s="1"/>
  <c r="AN269" i="13"/>
  <c r="AR269" i="13" s="1"/>
  <c r="AN268" i="13"/>
  <c r="AR268" i="13" s="1"/>
  <c r="AN267" i="13"/>
  <c r="AN266" i="13"/>
  <c r="AR266" i="13" s="1"/>
  <c r="AN265" i="13"/>
  <c r="AN248" i="13"/>
  <c r="AN244" i="13"/>
  <c r="AR244" i="13" s="1"/>
  <c r="AN243" i="13"/>
  <c r="AR243" i="13" s="1"/>
  <c r="AN242" i="13"/>
  <c r="AR242" i="13" s="1"/>
  <c r="AN241" i="13"/>
  <c r="AR241" i="13" s="1"/>
  <c r="AN240" i="13"/>
  <c r="AR240" i="13" s="1"/>
  <c r="AN239" i="13"/>
  <c r="AR239" i="13" s="1"/>
  <c r="AN238" i="13"/>
  <c r="AR238" i="13" s="1"/>
  <c r="AN237" i="13"/>
  <c r="AR237" i="13" s="1"/>
  <c r="AN236" i="13"/>
  <c r="AR236" i="13" s="1"/>
  <c r="AN235" i="13"/>
  <c r="AR235" i="13" s="1"/>
  <c r="AN234" i="13"/>
  <c r="AR234" i="13" s="1"/>
  <c r="AN233" i="13"/>
  <c r="AR233" i="13" s="1"/>
  <c r="AN232" i="13"/>
  <c r="AN231" i="13"/>
  <c r="AN230" i="13"/>
  <c r="AN229" i="13"/>
  <c r="AN228" i="13"/>
  <c r="AN227" i="13"/>
  <c r="AN226" i="13"/>
  <c r="AN225" i="13"/>
  <c r="AN224" i="13"/>
  <c r="AN223" i="13"/>
  <c r="AN222" i="13"/>
  <c r="AN221" i="13"/>
  <c r="AN220" i="13"/>
  <c r="AN219" i="13"/>
  <c r="AN218" i="13"/>
  <c r="AR218" i="13" s="1"/>
  <c r="AN217" i="13"/>
  <c r="AR217" i="13" s="1"/>
  <c r="AN216" i="13"/>
  <c r="AR216" i="13" s="1"/>
  <c r="AU215" i="13"/>
  <c r="AN215" i="13"/>
  <c r="AR215" i="13" s="1"/>
  <c r="AN214" i="13"/>
  <c r="AN213" i="13"/>
  <c r="AN212" i="13"/>
  <c r="AN211" i="13"/>
  <c r="AN210" i="13"/>
  <c r="AN209" i="13"/>
  <c r="AN208" i="13"/>
  <c r="AU207" i="13"/>
  <c r="AN207" i="13"/>
  <c r="AN206" i="13"/>
  <c r="AN205" i="13"/>
  <c r="AN202" i="13"/>
  <c r="AR202" i="13" s="1"/>
  <c r="AN201" i="13"/>
  <c r="AR201" i="13" s="1"/>
  <c r="AU200" i="13"/>
  <c r="AN200" i="13"/>
  <c r="AR200" i="13" s="1"/>
  <c r="AN199" i="13"/>
  <c r="AR199" i="13" s="1"/>
  <c r="AN198" i="13"/>
  <c r="AR198" i="13" s="1"/>
  <c r="AN197" i="13"/>
  <c r="AN189" i="13"/>
  <c r="AN181" i="13"/>
  <c r="AN180" i="13"/>
  <c r="AN170" i="13"/>
  <c r="AN169" i="13"/>
  <c r="AN168" i="13"/>
  <c r="AN167" i="13"/>
  <c r="AR167" i="13" s="1"/>
  <c r="AU167" i="13"/>
  <c r="AN163" i="13"/>
  <c r="AN162" i="13"/>
  <c r="AR162" i="13" s="1"/>
  <c r="AN161" i="13"/>
  <c r="AR161" i="13" s="1"/>
  <c r="AN160" i="13"/>
  <c r="AN159" i="13"/>
  <c r="AN150" i="13"/>
  <c r="AR150" i="13" s="1"/>
  <c r="AN149" i="13"/>
  <c r="AR149" i="13" s="1"/>
  <c r="AN148" i="13"/>
  <c r="AR148" i="13" s="1"/>
  <c r="AN147" i="13"/>
  <c r="AR147" i="13" s="1"/>
  <c r="AN146" i="13"/>
  <c r="AR146" i="13" s="1"/>
  <c r="AN145" i="13"/>
  <c r="AR145" i="13" s="1"/>
  <c r="AN144" i="13"/>
  <c r="AR144" i="13" s="1"/>
  <c r="AN143" i="13"/>
  <c r="AN136" i="13"/>
  <c r="AN135" i="13"/>
  <c r="AN134" i="13"/>
  <c r="AN133" i="13"/>
  <c r="AN132" i="13"/>
  <c r="AN131" i="13"/>
  <c r="AN130" i="13"/>
  <c r="AR130" i="13" s="1"/>
  <c r="AN129" i="13"/>
  <c r="AR129" i="13" s="1"/>
  <c r="AN128" i="13"/>
  <c r="AN124" i="13"/>
  <c r="AR124" i="13" s="1"/>
  <c r="AN123" i="13"/>
  <c r="AR123" i="13" s="1"/>
  <c r="AN122" i="13"/>
  <c r="AN121" i="13"/>
  <c r="AN120" i="13"/>
  <c r="AN119" i="13"/>
  <c r="AN118" i="13"/>
  <c r="AN117" i="13"/>
  <c r="AN116" i="13"/>
  <c r="AN115" i="13"/>
  <c r="AN97" i="13"/>
  <c r="AN96" i="13"/>
  <c r="AN91" i="13"/>
  <c r="AN90" i="13"/>
  <c r="AN89" i="13"/>
  <c r="AN88" i="13"/>
  <c r="AN87" i="13"/>
  <c r="AN86" i="13"/>
  <c r="AN85" i="13"/>
  <c r="AN84" i="13"/>
  <c r="AN83" i="13"/>
  <c r="AN82" i="13"/>
  <c r="AN81" i="13"/>
  <c r="AU80" i="13"/>
  <c r="AN80" i="13"/>
  <c r="AN79" i="13"/>
  <c r="AN78" i="13"/>
  <c r="AN77" i="13"/>
  <c r="AN74" i="13"/>
  <c r="AN73" i="13"/>
  <c r="AN72" i="13"/>
  <c r="AN71" i="13"/>
  <c r="AN70" i="13"/>
  <c r="AN69" i="13"/>
  <c r="AN68" i="13"/>
  <c r="AN67" i="13"/>
  <c r="AN66" i="13"/>
  <c r="AN65" i="13"/>
  <c r="AN64" i="13"/>
  <c r="AN63" i="13"/>
  <c r="AN62" i="13"/>
  <c r="AN61" i="13"/>
  <c r="AN60" i="13"/>
  <c r="AN59" i="13"/>
  <c r="AN58" i="13"/>
  <c r="AN57" i="13"/>
  <c r="AN51" i="13"/>
  <c r="AN50" i="13"/>
  <c r="AN49" i="13"/>
  <c r="AN11" i="13"/>
  <c r="AN10" i="13"/>
  <c r="AR10" i="13" s="1"/>
  <c r="BU9" i="13"/>
  <c r="AO9" i="13"/>
  <c r="AN9" i="13"/>
  <c r="AR9" i="13" s="1"/>
  <c r="BU8" i="13"/>
  <c r="AN8" i="13"/>
  <c r="BU7" i="13"/>
  <c r="AN7" i="13"/>
  <c r="BU6" i="13"/>
  <c r="AN6" i="13"/>
  <c r="BU5" i="13"/>
  <c r="AN5" i="13"/>
  <c r="BU4" i="13"/>
  <c r="AN4" i="13"/>
  <c r="BU3" i="13"/>
  <c r="AN3" i="13"/>
  <c r="AN2" i="13"/>
  <c r="BL9" i="3"/>
  <c r="BL8" i="3"/>
  <c r="BL6" i="3"/>
  <c r="BL7" i="3"/>
  <c r="BL5" i="3"/>
  <c r="BL4" i="3"/>
  <c r="BL3" i="3"/>
  <c r="AN279" i="13" l="1"/>
  <c r="AR279" i="13" s="1"/>
  <c r="AN274" i="13"/>
  <c r="AR274" i="13" s="1"/>
  <c r="AN278" i="13"/>
  <c r="AR278" i="13" s="1"/>
  <c r="AN280" i="13"/>
  <c r="AR280" i="13" s="1"/>
  <c r="AN282" i="13"/>
  <c r="AR282" i="13" s="1"/>
  <c r="AR168" i="13"/>
  <c r="AN273" i="13"/>
  <c r="AR273" i="13" s="1"/>
  <c r="AN275" i="13"/>
  <c r="AR275" i="13" s="1"/>
  <c r="AN281" i="13"/>
  <c r="AR281" i="13" s="1"/>
  <c r="AN277" i="13"/>
  <c r="AR277" i="13" s="1"/>
  <c r="AN276" i="13"/>
  <c r="AR276" i="13" s="1"/>
  <c r="AE524" i="10"/>
  <c r="AI524" i="10" s="1"/>
  <c r="AE523" i="10"/>
  <c r="AI523" i="10" s="1"/>
  <c r="AI522" i="10"/>
  <c r="AE522" i="10"/>
  <c r="AE521" i="10"/>
  <c r="AI521" i="10" s="1"/>
  <c r="AE520" i="10"/>
  <c r="AI520" i="10" s="1"/>
  <c r="AI519" i="10"/>
  <c r="AE519" i="10"/>
  <c r="AE518" i="10"/>
  <c r="AI518" i="10" s="1"/>
  <c r="AE517" i="10"/>
  <c r="AI517" i="10" s="1"/>
  <c r="AE516" i="10"/>
  <c r="AI516" i="10" s="1"/>
  <c r="AE515" i="10"/>
  <c r="AI515" i="10" s="1"/>
  <c r="AI514" i="10"/>
  <c r="AE514" i="10"/>
  <c r="AE513" i="10"/>
  <c r="AI513" i="10" s="1"/>
  <c r="AI512" i="10"/>
  <c r="AE512" i="10"/>
  <c r="AI511" i="10"/>
  <c r="AE511" i="10"/>
  <c r="AE510" i="10"/>
  <c r="AI510" i="10" s="1"/>
  <c r="AE509" i="10"/>
  <c r="AI509" i="10" s="1"/>
  <c r="AE508" i="10"/>
  <c r="AI508" i="10" s="1"/>
  <c r="AE507" i="10"/>
  <c r="AI507" i="10" s="1"/>
  <c r="AI506" i="10"/>
  <c r="AE506" i="10"/>
  <c r="AE505" i="10"/>
  <c r="AI505" i="10" s="1"/>
  <c r="AI504" i="10"/>
  <c r="AE504" i="10"/>
  <c r="AI503" i="10"/>
  <c r="AE503" i="10"/>
  <c r="AE502" i="10"/>
  <c r="AI502" i="10" s="1"/>
  <c r="AE501" i="10"/>
  <c r="AI501" i="10" s="1"/>
  <c r="AE500" i="10"/>
  <c r="AI500" i="10" s="1"/>
  <c r="AE499" i="10"/>
  <c r="AI499" i="10" s="1"/>
  <c r="AI498" i="10"/>
  <c r="AE498" i="10"/>
  <c r="AE497" i="10"/>
  <c r="AI497" i="10" s="1"/>
  <c r="AI496" i="10"/>
  <c r="AE496" i="10"/>
  <c r="AE495" i="10"/>
  <c r="AE494" i="10"/>
  <c r="AE493" i="10"/>
  <c r="AE492" i="10"/>
  <c r="AE491" i="10"/>
  <c r="AL490" i="10"/>
  <c r="AE490" i="10"/>
  <c r="AL489" i="10"/>
  <c r="AE489" i="10"/>
  <c r="AE488" i="10"/>
  <c r="AI487" i="10"/>
  <c r="AE487" i="10"/>
  <c r="Q486" i="10"/>
  <c r="AE486" i="10" s="1"/>
  <c r="AI486" i="10" s="1"/>
  <c r="AE485" i="10"/>
  <c r="AI484" i="10"/>
  <c r="AE484" i="10"/>
  <c r="AI483" i="10"/>
  <c r="AE483" i="10"/>
  <c r="AE482" i="10"/>
  <c r="AI482" i="10" s="1"/>
  <c r="AE481" i="10"/>
  <c r="AI481" i="10" s="1"/>
  <c r="AE480" i="10"/>
  <c r="AI480" i="10" s="1"/>
  <c r="AE479" i="10"/>
  <c r="AI479" i="10" s="1"/>
  <c r="AI478" i="10"/>
  <c r="AE478" i="10"/>
  <c r="AI477" i="10"/>
  <c r="AE477" i="10"/>
  <c r="AI476" i="10"/>
  <c r="AE476" i="10"/>
  <c r="AI475" i="10"/>
  <c r="AE475" i="10"/>
  <c r="AE474" i="10"/>
  <c r="AI474" i="10" s="1"/>
  <c r="AE473" i="10"/>
  <c r="AI473" i="10" s="1"/>
  <c r="AE472" i="10"/>
  <c r="AI472" i="10" s="1"/>
  <c r="AE471" i="10"/>
  <c r="AI471" i="10" s="1"/>
  <c r="AI470" i="10"/>
  <c r="AE470" i="10"/>
  <c r="AI469" i="10"/>
  <c r="AE469" i="10"/>
  <c r="AI468" i="10"/>
  <c r="AE468" i="10"/>
  <c r="AI467" i="10"/>
  <c r="AE467" i="10"/>
  <c r="AE466" i="10"/>
  <c r="AI466" i="10" s="1"/>
  <c r="AE465" i="10"/>
  <c r="AI465" i="10" s="1"/>
  <c r="AE464" i="10"/>
  <c r="AI464" i="10" s="1"/>
  <c r="AE463" i="10"/>
  <c r="AI463" i="10" s="1"/>
  <c r="AI462" i="10"/>
  <c r="AE462" i="10"/>
  <c r="AI461" i="10"/>
  <c r="AE461" i="10"/>
  <c r="AI460" i="10"/>
  <c r="AE460" i="10"/>
  <c r="AI459" i="10"/>
  <c r="AE459" i="10"/>
  <c r="AE458" i="10"/>
  <c r="AI458" i="10" s="1"/>
  <c r="AE457" i="10"/>
  <c r="AI457" i="10" s="1"/>
  <c r="AE456" i="10"/>
  <c r="AI456" i="10" s="1"/>
  <c r="AE455" i="10"/>
  <c r="AI455" i="10" s="1"/>
  <c r="AI454" i="10"/>
  <c r="AE454" i="10"/>
  <c r="AI453" i="10"/>
  <c r="AE453" i="10"/>
  <c r="AI452" i="10"/>
  <c r="AE452" i="10"/>
  <c r="AI451" i="10"/>
  <c r="AE451" i="10"/>
  <c r="AE450" i="10"/>
  <c r="AI450" i="10" s="1"/>
  <c r="AE449" i="10"/>
  <c r="AI449" i="10" s="1"/>
  <c r="AE448" i="10"/>
  <c r="AI448" i="10" s="1"/>
  <c r="AE447" i="10"/>
  <c r="AI447" i="10" s="1"/>
  <c r="AI446" i="10"/>
  <c r="AE446" i="10"/>
  <c r="AE445" i="10"/>
  <c r="AI445" i="10" s="1"/>
  <c r="AI444" i="10"/>
  <c r="AE444" i="10"/>
  <c r="AI443" i="10"/>
  <c r="AE443" i="10"/>
  <c r="AE442" i="10"/>
  <c r="AI442" i="10" s="1"/>
  <c r="AE441" i="10"/>
  <c r="AI441" i="10" s="1"/>
  <c r="AE440" i="10"/>
  <c r="AI440" i="10" s="1"/>
  <c r="AE439" i="10"/>
  <c r="AE438" i="10"/>
  <c r="AI437" i="10"/>
  <c r="AE437" i="10"/>
  <c r="AL436" i="10"/>
  <c r="AE436" i="10"/>
  <c r="AL435" i="10"/>
  <c r="AE435" i="10"/>
  <c r="AL434" i="10"/>
  <c r="AE434" i="10"/>
  <c r="AL433" i="10"/>
  <c r="AE433" i="10"/>
  <c r="AL432" i="10"/>
  <c r="AE432" i="10"/>
  <c r="AL431" i="10"/>
  <c r="AE431" i="10"/>
  <c r="AI431" i="10" s="1"/>
  <c r="AE430" i="10"/>
  <c r="AI430" i="10" s="1"/>
  <c r="AE429" i="10"/>
  <c r="AI429" i="10" s="1"/>
  <c r="AE428" i="10"/>
  <c r="AI428" i="10" s="1"/>
  <c r="AE427" i="10"/>
  <c r="AI427" i="10" s="1"/>
  <c r="AE426" i="10"/>
  <c r="AI426" i="10" s="1"/>
  <c r="AE425" i="10"/>
  <c r="AI425" i="10" s="1"/>
  <c r="AE424" i="10"/>
  <c r="AI424" i="10" s="1"/>
  <c r="AE423" i="10"/>
  <c r="AI423" i="10" s="1"/>
  <c r="AE422" i="10"/>
  <c r="AI422" i="10" s="1"/>
  <c r="AE421" i="10"/>
  <c r="AI421" i="10" s="1"/>
  <c r="AE420" i="10"/>
  <c r="AI420" i="10" s="1"/>
  <c r="AE419" i="10"/>
  <c r="AI419" i="10" s="1"/>
  <c r="AE418" i="10"/>
  <c r="AI418" i="10" s="1"/>
  <c r="AE417" i="10"/>
  <c r="AE416" i="10"/>
  <c r="AI416" i="10" s="1"/>
  <c r="AE415" i="10"/>
  <c r="AI415" i="10" s="1"/>
  <c r="AI414" i="10"/>
  <c r="AE414" i="10"/>
  <c r="AE413" i="10"/>
  <c r="AI413" i="10" s="1"/>
  <c r="AI412" i="10"/>
  <c r="AE412" i="10"/>
  <c r="AI411" i="10"/>
  <c r="AE411" i="10"/>
  <c r="AE410" i="10"/>
  <c r="AI410" i="10" s="1"/>
  <c r="AE409" i="10"/>
  <c r="AI409" i="10" s="1"/>
  <c r="AE408" i="10"/>
  <c r="AI408" i="10" s="1"/>
  <c r="AE407" i="10"/>
  <c r="AI407" i="10" s="1"/>
  <c r="AI406" i="10"/>
  <c r="AE406" i="10"/>
  <c r="AE405" i="10"/>
  <c r="AI405" i="10" s="1"/>
  <c r="AL404" i="10"/>
  <c r="AE404" i="10"/>
  <c r="AI404" i="10" s="1"/>
  <c r="AE403" i="10"/>
  <c r="AI403" i="10" s="1"/>
  <c r="AE402" i="10"/>
  <c r="AI402" i="10" s="1"/>
  <c r="AE401" i="10"/>
  <c r="AI401" i="10" s="1"/>
  <c r="AE400" i="10"/>
  <c r="AI400" i="10" s="1"/>
  <c r="AE399" i="10"/>
  <c r="AI399" i="10" s="1"/>
  <c r="AE398" i="10"/>
  <c r="AI398" i="10" s="1"/>
  <c r="AE397" i="10"/>
  <c r="AI397" i="10" s="1"/>
  <c r="AE396" i="10"/>
  <c r="AI396" i="10" s="1"/>
  <c r="AE395" i="10"/>
  <c r="AI395" i="10" s="1"/>
  <c r="AE394" i="10"/>
  <c r="AI394" i="10" s="1"/>
  <c r="AE393" i="10"/>
  <c r="AI393" i="10" s="1"/>
  <c r="AE392" i="10"/>
  <c r="AI392" i="10" s="1"/>
  <c r="AL391" i="10"/>
  <c r="AE391" i="10"/>
  <c r="AI391" i="10" s="1"/>
  <c r="AE390" i="10"/>
  <c r="AI390" i="10" s="1"/>
  <c r="AE389" i="10"/>
  <c r="AE388" i="10"/>
  <c r="AE387" i="10"/>
  <c r="AE386" i="10"/>
  <c r="AI386" i="10" s="1"/>
  <c r="AE385" i="10"/>
  <c r="AI385" i="10" s="1"/>
  <c r="AE384" i="10"/>
  <c r="AI384" i="10" s="1"/>
  <c r="AE383" i="10"/>
  <c r="AE382" i="10"/>
  <c r="AE381" i="10"/>
  <c r="AI380" i="10"/>
  <c r="AE380" i="10"/>
  <c r="AE379" i="10"/>
  <c r="AI379" i="10" s="1"/>
  <c r="AE378" i="10"/>
  <c r="AI378" i="10" s="1"/>
  <c r="AL377" i="10"/>
  <c r="AE377" i="10"/>
  <c r="AE376" i="10"/>
  <c r="AE375" i="10"/>
  <c r="AE374" i="10"/>
  <c r="AE373" i="10"/>
  <c r="AI373" i="10" s="1"/>
  <c r="AE372" i="10"/>
  <c r="AI372" i="10" s="1"/>
  <c r="AE371" i="10"/>
  <c r="AI371" i="10" s="1"/>
  <c r="AE370" i="10"/>
  <c r="AI370" i="10" s="1"/>
  <c r="AE369" i="10"/>
  <c r="AI369" i="10" s="1"/>
  <c r="AE368" i="10"/>
  <c r="AI368" i="10" s="1"/>
  <c r="AE367" i="10"/>
  <c r="AI367" i="10" s="1"/>
  <c r="V367" i="10"/>
  <c r="AL366" i="10"/>
  <c r="AE366" i="10"/>
  <c r="AI366" i="10" s="1"/>
  <c r="AI365" i="10"/>
  <c r="AI364" i="10"/>
  <c r="AI363" i="10"/>
  <c r="AJ362" i="10"/>
  <c r="AI362" i="10"/>
  <c r="AE361" i="10"/>
  <c r="AE360" i="10"/>
  <c r="AE359" i="10"/>
  <c r="AE358" i="10"/>
  <c r="AE357" i="10"/>
  <c r="AE356" i="10"/>
  <c r="AE355" i="10"/>
  <c r="AE354" i="10"/>
  <c r="AE353" i="10"/>
  <c r="AE352" i="10"/>
  <c r="AE351" i="10"/>
  <c r="AE350" i="10"/>
  <c r="AI350" i="10" s="1"/>
  <c r="AE349" i="10"/>
  <c r="AI349" i="10" s="1"/>
  <c r="AE348" i="10"/>
  <c r="AI348" i="10" s="1"/>
  <c r="AE347" i="10"/>
  <c r="AI347" i="10" s="1"/>
  <c r="AE346" i="10"/>
  <c r="AI346" i="10" s="1"/>
  <c r="AE345" i="10"/>
  <c r="AI345" i="10" s="1"/>
  <c r="AE344" i="10"/>
  <c r="AI344" i="10" s="1"/>
  <c r="AE343" i="10"/>
  <c r="AI343" i="10" s="1"/>
  <c r="AE342" i="10"/>
  <c r="AI342" i="10" s="1"/>
  <c r="AE341" i="10"/>
  <c r="AI341" i="10" s="1"/>
  <c r="AE340" i="10"/>
  <c r="AI340" i="10" s="1"/>
  <c r="AE339" i="10"/>
  <c r="AI339" i="10" s="1"/>
  <c r="AE338" i="10"/>
  <c r="AI338" i="10" s="1"/>
  <c r="AE337" i="10"/>
  <c r="AI337" i="10" s="1"/>
  <c r="AE336" i="10"/>
  <c r="AE335" i="10"/>
  <c r="AE334" i="10"/>
  <c r="AL333" i="10"/>
  <c r="AE333" i="10"/>
  <c r="AE332" i="10"/>
  <c r="AI332" i="10" s="1"/>
  <c r="AE331" i="10"/>
  <c r="AI331" i="10" s="1"/>
  <c r="AE330" i="10"/>
  <c r="AE329" i="10"/>
  <c r="AE328" i="10"/>
  <c r="AE327" i="10"/>
  <c r="AE326" i="10"/>
  <c r="AE325" i="10"/>
  <c r="AE324" i="10"/>
  <c r="AE323" i="10"/>
  <c r="AE322" i="10"/>
  <c r="AE321" i="10"/>
  <c r="AE320" i="10"/>
  <c r="AE319" i="10"/>
  <c r="AE318" i="10"/>
  <c r="AE317" i="10"/>
  <c r="AE316" i="10"/>
  <c r="AL315" i="10"/>
  <c r="AJ315" i="10"/>
  <c r="AE315" i="10"/>
  <c r="AE314" i="10"/>
  <c r="AE313" i="10"/>
  <c r="AE312" i="10"/>
  <c r="AE311" i="10"/>
  <c r="AE310" i="10"/>
  <c r="AE309" i="10"/>
  <c r="AE308" i="10"/>
  <c r="AE307" i="10"/>
  <c r="AE306" i="10"/>
  <c r="AE305" i="10"/>
  <c r="AE304" i="10"/>
  <c r="AH303" i="10"/>
  <c r="AL303" i="10" s="1"/>
  <c r="AE303" i="10"/>
  <c r="AH302" i="10"/>
  <c r="AL302" i="10" s="1"/>
  <c r="AE302" i="10"/>
  <c r="AH301" i="10"/>
  <c r="AL301" i="10" s="1"/>
  <c r="AE301" i="10"/>
  <c r="AL300" i="10"/>
  <c r="AH300" i="10"/>
  <c r="AE300" i="10"/>
  <c r="AH299" i="10"/>
  <c r="AL299" i="10" s="1"/>
  <c r="AE299" i="10"/>
  <c r="AH298" i="10"/>
  <c r="AL298" i="10" s="1"/>
  <c r="AE298" i="10"/>
  <c r="AE297" i="10"/>
  <c r="AE296" i="10"/>
  <c r="AI296" i="10" s="1"/>
  <c r="AE295" i="10"/>
  <c r="AI295" i="10" s="1"/>
  <c r="AE294" i="10"/>
  <c r="AI294" i="10" s="1"/>
  <c r="AE293" i="10"/>
  <c r="AI293" i="10" s="1"/>
  <c r="AE292" i="10"/>
  <c r="AE291" i="10"/>
  <c r="AE290" i="10"/>
  <c r="AE289" i="10"/>
  <c r="AE288" i="10"/>
  <c r="AE287" i="10"/>
  <c r="AE286" i="10"/>
  <c r="AE285" i="10"/>
  <c r="AE284" i="10"/>
  <c r="AE283" i="10"/>
  <c r="AE282" i="10"/>
  <c r="AE281" i="10"/>
  <c r="AE280" i="10"/>
  <c r="AE279" i="10"/>
  <c r="AE278" i="10"/>
  <c r="AE277" i="10"/>
  <c r="AE276" i="10"/>
  <c r="AE275" i="10"/>
  <c r="AE274" i="10"/>
  <c r="AE273" i="10"/>
  <c r="AI273" i="10" s="1"/>
  <c r="AE272" i="10"/>
  <c r="AI272" i="10" s="1"/>
  <c r="AE271" i="10"/>
  <c r="AE270" i="10"/>
  <c r="AE269" i="10"/>
  <c r="AE268" i="10"/>
  <c r="AE267" i="10"/>
  <c r="AE266" i="10"/>
  <c r="AE265" i="10"/>
  <c r="AE264" i="10"/>
  <c r="AE263" i="10"/>
  <c r="AI263" i="10" s="1"/>
  <c r="AE262" i="10"/>
  <c r="AI262" i="10" s="1"/>
  <c r="AE261" i="10"/>
  <c r="AI261" i="10" s="1"/>
  <c r="AE260" i="10"/>
  <c r="AI260" i="10" s="1"/>
  <c r="AE259" i="10"/>
  <c r="AI259" i="10" s="1"/>
  <c r="AE258" i="10"/>
  <c r="AI258" i="10" s="1"/>
  <c r="AE257" i="10"/>
  <c r="AI257" i="10" s="1"/>
  <c r="AE256" i="10"/>
  <c r="AI256" i="10" s="1"/>
  <c r="AE255" i="10"/>
  <c r="AE254" i="10"/>
  <c r="E254" i="10"/>
  <c r="AE253" i="10"/>
  <c r="E253" i="10"/>
  <c r="AE252" i="10"/>
  <c r="E252" i="10"/>
  <c r="AE251" i="10"/>
  <c r="E251" i="10"/>
  <c r="AE250" i="10"/>
  <c r="AE249" i="10"/>
  <c r="AE248" i="10"/>
  <c r="AE247" i="10"/>
  <c r="AE246" i="10"/>
  <c r="AE245" i="10"/>
  <c r="AE244" i="10"/>
  <c r="AE243" i="10"/>
  <c r="AE242" i="10"/>
  <c r="AE241" i="10"/>
  <c r="AE240" i="10"/>
  <c r="AE239" i="10"/>
  <c r="AE238" i="10"/>
  <c r="AE237" i="10"/>
  <c r="AE236" i="10"/>
  <c r="AI236" i="10" s="1"/>
  <c r="AE235" i="10"/>
  <c r="AI235" i="10" s="1"/>
  <c r="AE234" i="10"/>
  <c r="AI234" i="10" s="1"/>
  <c r="AE233" i="10"/>
  <c r="AI233" i="10" s="1"/>
  <c r="AE232" i="10"/>
  <c r="AI232" i="10" s="1"/>
  <c r="AE231" i="10"/>
  <c r="AE230" i="10"/>
  <c r="AI230" i="10" s="1"/>
  <c r="AE229" i="10"/>
  <c r="AI229" i="10" s="1"/>
  <c r="AE228" i="10"/>
  <c r="AI228" i="10" s="1"/>
  <c r="AE227" i="10"/>
  <c r="AI227" i="10" s="1"/>
  <c r="AE226" i="10"/>
  <c r="AI226" i="10" s="1"/>
  <c r="AE225" i="10"/>
  <c r="AI225" i="10" s="1"/>
  <c r="AE224" i="10"/>
  <c r="AI224" i="10" s="1"/>
  <c r="AE223" i="10"/>
  <c r="AI223" i="10" s="1"/>
  <c r="AE222" i="10"/>
  <c r="AE221" i="10"/>
  <c r="AE220" i="10"/>
  <c r="AE219" i="10"/>
  <c r="AE218" i="10"/>
  <c r="AE217" i="10"/>
  <c r="AE216" i="10"/>
  <c r="AE215" i="10"/>
  <c r="AE214" i="10"/>
  <c r="AE213" i="10"/>
  <c r="AE212" i="10"/>
  <c r="AI212" i="10" s="1"/>
  <c r="AE211" i="10"/>
  <c r="AE210" i="10"/>
  <c r="AI210" i="10" s="1"/>
  <c r="AE209" i="10"/>
  <c r="AI209" i="10" s="1"/>
  <c r="AE208" i="10"/>
  <c r="AE207" i="10"/>
  <c r="AE206" i="10"/>
  <c r="AE205" i="10"/>
  <c r="AE204" i="10"/>
  <c r="AE203" i="10"/>
  <c r="AE202" i="10"/>
  <c r="AE201" i="10"/>
  <c r="AE200" i="10"/>
  <c r="AI200" i="10" s="1"/>
  <c r="AE199" i="10"/>
  <c r="AI199" i="10" s="1"/>
  <c r="AE198" i="10"/>
  <c r="AI198" i="10" s="1"/>
  <c r="AE197" i="10"/>
  <c r="AI197" i="10" s="1"/>
  <c r="AI196" i="10"/>
  <c r="AE196" i="10"/>
  <c r="AE195" i="10"/>
  <c r="AE194" i="10"/>
  <c r="AI194" i="10" s="1"/>
  <c r="AE193" i="10"/>
  <c r="AI193" i="10" s="1"/>
  <c r="AE192" i="10"/>
  <c r="P191" i="10"/>
  <c r="O191" i="10"/>
  <c r="P190" i="10"/>
  <c r="O190" i="10"/>
  <c r="AE190" i="10" s="1"/>
  <c r="AI190" i="10" s="1"/>
  <c r="P189" i="10"/>
  <c r="O189" i="10"/>
  <c r="AE189" i="10" s="1"/>
  <c r="AI189" i="10" s="1"/>
  <c r="P188" i="10"/>
  <c r="O188" i="10"/>
  <c r="AE188" i="10" s="1"/>
  <c r="AI188" i="10" s="1"/>
  <c r="P187" i="10"/>
  <c r="O187" i="10"/>
  <c r="AE187" i="10" s="1"/>
  <c r="AI187" i="10" s="1"/>
  <c r="P186" i="10"/>
  <c r="O186" i="10"/>
  <c r="P185" i="10"/>
  <c r="O185" i="10"/>
  <c r="AE185" i="10" s="1"/>
  <c r="AI185" i="10" s="1"/>
  <c r="P184" i="10"/>
  <c r="O184" i="10"/>
  <c r="AE184" i="10" s="1"/>
  <c r="AI184" i="10" s="1"/>
  <c r="P183" i="10"/>
  <c r="O183" i="10"/>
  <c r="P182" i="10"/>
  <c r="O182" i="10"/>
  <c r="AE182" i="10" s="1"/>
  <c r="AI182" i="10" s="1"/>
  <c r="AE181" i="10"/>
  <c r="AI181" i="10" s="1"/>
  <c r="AE180" i="10"/>
  <c r="AI180" i="10" s="1"/>
  <c r="AE179" i="10"/>
  <c r="AI179" i="10" s="1"/>
  <c r="AI178" i="10"/>
  <c r="AE178" i="10"/>
  <c r="AE177" i="10"/>
  <c r="AI177" i="10" s="1"/>
  <c r="AE176" i="10"/>
  <c r="AE175" i="10"/>
  <c r="AI175" i="10" s="1"/>
  <c r="AE174" i="10"/>
  <c r="AE173" i="10"/>
  <c r="AE172" i="10"/>
  <c r="AE171" i="10"/>
  <c r="AI171" i="10" s="1"/>
  <c r="AE170" i="10"/>
  <c r="AI170" i="10" s="1"/>
  <c r="AE169" i="10"/>
  <c r="AI169" i="10" s="1"/>
  <c r="AE168" i="10"/>
  <c r="AI168" i="10" s="1"/>
  <c r="AE167" i="10"/>
  <c r="AI167" i="10" s="1"/>
  <c r="AE166" i="10"/>
  <c r="AI166" i="10" s="1"/>
  <c r="AE165" i="10"/>
  <c r="AI165" i="10" s="1"/>
  <c r="AE164" i="10"/>
  <c r="AI164" i="10" s="1"/>
  <c r="AE163" i="10"/>
  <c r="AI163" i="10" s="1"/>
  <c r="AE162" i="10"/>
  <c r="AI162" i="10" s="1"/>
  <c r="AE161" i="10"/>
  <c r="AI161" i="10" s="1"/>
  <c r="AE160" i="10"/>
  <c r="AI160" i="10" s="1"/>
  <c r="AE159" i="10"/>
  <c r="AE158" i="10"/>
  <c r="AE157" i="10"/>
  <c r="AE156" i="10"/>
  <c r="AE155" i="10"/>
  <c r="AE154" i="10"/>
  <c r="AE153" i="10"/>
  <c r="AE152" i="10"/>
  <c r="AE151" i="10"/>
  <c r="AE150" i="10"/>
  <c r="S150" i="10"/>
  <c r="AE149" i="10"/>
  <c r="AE148" i="10"/>
  <c r="AE147" i="10"/>
  <c r="AE146" i="10"/>
  <c r="AE145" i="10"/>
  <c r="AE144" i="10"/>
  <c r="AI144" i="10" s="1"/>
  <c r="AE143" i="10"/>
  <c r="AI143" i="10" s="1"/>
  <c r="AE142" i="10"/>
  <c r="AI142" i="10" s="1"/>
  <c r="AL141" i="10"/>
  <c r="AE141" i="10"/>
  <c r="AI141" i="10" s="1"/>
  <c r="AE140" i="10"/>
  <c r="AE139" i="10"/>
  <c r="AE138" i="10"/>
  <c r="AE137" i="10"/>
  <c r="AE136" i="10"/>
  <c r="AE135" i="10"/>
  <c r="AE134" i="10"/>
  <c r="AE133" i="10"/>
  <c r="AE132" i="10"/>
  <c r="AE131" i="10"/>
  <c r="AE130" i="10"/>
  <c r="AE129" i="10"/>
  <c r="AE128" i="10"/>
  <c r="AE127" i="10"/>
  <c r="AL126" i="10"/>
  <c r="AE126" i="10"/>
  <c r="AE125" i="10"/>
  <c r="AE124" i="10"/>
  <c r="AE123" i="10"/>
  <c r="AI123" i="10" s="1"/>
  <c r="AE122" i="10"/>
  <c r="AI122" i="10" s="1"/>
  <c r="AL121" i="10"/>
  <c r="AE121" i="10"/>
  <c r="AI121" i="10" s="1"/>
  <c r="AI120" i="10"/>
  <c r="AE120" i="10"/>
  <c r="AE119" i="10"/>
  <c r="AI119" i="10" s="1"/>
  <c r="AE118" i="10"/>
  <c r="AE117" i="10"/>
  <c r="AE116" i="10"/>
  <c r="AE115" i="10"/>
  <c r="AE114" i="10"/>
  <c r="AE113" i="10"/>
  <c r="AE112" i="10"/>
  <c r="K112" i="10"/>
  <c r="AI112" i="10" s="1"/>
  <c r="AE111" i="10"/>
  <c r="AI111" i="10" s="1"/>
  <c r="N111" i="10"/>
  <c r="AL111" i="10" s="1"/>
  <c r="AE110" i="10"/>
  <c r="AI109" i="10"/>
  <c r="AE109" i="10"/>
  <c r="AE108" i="10"/>
  <c r="AI108" i="10" s="1"/>
  <c r="AE107" i="10"/>
  <c r="AE106" i="10"/>
  <c r="AI105" i="10"/>
  <c r="AE105" i="10"/>
  <c r="AE104" i="10"/>
  <c r="AI104" i="10" s="1"/>
  <c r="Q103" i="10"/>
  <c r="AE103" i="10" s="1"/>
  <c r="AI103" i="10" s="1"/>
  <c r="AE102" i="10"/>
  <c r="AI102" i="10" s="1"/>
  <c r="AE101" i="10"/>
  <c r="AI101" i="10" s="1"/>
  <c r="AE100" i="10"/>
  <c r="AI100" i="10" s="1"/>
  <c r="AE99" i="10"/>
  <c r="AI99" i="10" s="1"/>
  <c r="AE98" i="10"/>
  <c r="AE97" i="10"/>
  <c r="AE96" i="10"/>
  <c r="AE95" i="10"/>
  <c r="AE94" i="10"/>
  <c r="AE93" i="10"/>
  <c r="AE92" i="10"/>
  <c r="AE91" i="10"/>
  <c r="AE90" i="10"/>
  <c r="AE89" i="10"/>
  <c r="AE88" i="10"/>
  <c r="AI88" i="10" s="1"/>
  <c r="AE87" i="10"/>
  <c r="AI87" i="10" s="1"/>
  <c r="AE86" i="10"/>
  <c r="AE85" i="10"/>
  <c r="AI85" i="10" s="1"/>
  <c r="AE84" i="10"/>
  <c r="AI84" i="10" s="1"/>
  <c r="AE83" i="10"/>
  <c r="AE82" i="10"/>
  <c r="AE81" i="10"/>
  <c r="AE80" i="10"/>
  <c r="AE79" i="10"/>
  <c r="AE78" i="10"/>
  <c r="AE77" i="10"/>
  <c r="AE76" i="10"/>
  <c r="AE75" i="10"/>
  <c r="AE74" i="10"/>
  <c r="AI74" i="10" s="1"/>
  <c r="AE73" i="10"/>
  <c r="AE72" i="10"/>
  <c r="AE71" i="10"/>
  <c r="AE70" i="10"/>
  <c r="AE69" i="10"/>
  <c r="P68" i="10"/>
  <c r="AE68" i="10" s="1"/>
  <c r="O68" i="10"/>
  <c r="AE67" i="10"/>
  <c r="AI67" i="10" s="1"/>
  <c r="AE66" i="10"/>
  <c r="AE65" i="10"/>
  <c r="AE64" i="10"/>
  <c r="AE63" i="10"/>
  <c r="AE62" i="10"/>
  <c r="AE61" i="10"/>
  <c r="AE60" i="10"/>
  <c r="AE59" i="10"/>
  <c r="AE58" i="10"/>
  <c r="AE57" i="10"/>
  <c r="AE56" i="10"/>
  <c r="AE55" i="10"/>
  <c r="AE54" i="10"/>
  <c r="AE53" i="10"/>
  <c r="AE52" i="10"/>
  <c r="AE51" i="10"/>
  <c r="AE50" i="10"/>
  <c r="AE49" i="10"/>
  <c r="AE48" i="10"/>
  <c r="AE47" i="10"/>
  <c r="AE46" i="10"/>
  <c r="AE45" i="10"/>
  <c r="AE44" i="10"/>
  <c r="AE43" i="10"/>
  <c r="AE42" i="10"/>
  <c r="AE41" i="10"/>
  <c r="AE40" i="10"/>
  <c r="AL39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10" i="10"/>
  <c r="AI10" i="10" s="1"/>
  <c r="S10" i="10"/>
  <c r="AF9" i="10"/>
  <c r="AE9" i="10"/>
  <c r="AI9" i="10" s="1"/>
  <c r="AE8" i="10"/>
  <c r="AE7" i="10"/>
  <c r="AE6" i="10"/>
  <c r="AE5" i="10"/>
  <c r="AE4" i="10"/>
  <c r="AE3" i="10"/>
  <c r="AE2" i="10"/>
  <c r="AE183" i="10" l="1"/>
  <c r="AI183" i="10" s="1"/>
  <c r="AE191" i="10"/>
  <c r="AI191" i="10" s="1"/>
  <c r="AE186" i="10"/>
  <c r="AI186" i="10" s="1"/>
  <c r="AL489" i="3"/>
  <c r="AL490" i="3"/>
  <c r="AL436" i="3"/>
  <c r="AL435" i="3"/>
  <c r="AL433" i="3"/>
  <c r="AL434" i="3"/>
  <c r="AL432" i="3"/>
  <c r="AL431" i="3"/>
  <c r="AL404" i="3"/>
  <c r="AL391" i="3"/>
  <c r="AE377" i="3"/>
  <c r="AL377" i="3"/>
  <c r="AL366" i="3"/>
  <c r="F7" i="9"/>
  <c r="F8" i="9"/>
  <c r="F9" i="9"/>
  <c r="F10" i="9"/>
  <c r="F11" i="9"/>
  <c r="F12" i="9"/>
  <c r="F13" i="9"/>
  <c r="F14" i="9"/>
  <c r="AI365" i="3"/>
  <c r="AI364" i="3"/>
  <c r="AI363" i="3"/>
  <c r="AI362" i="3"/>
  <c r="AJ362" i="3"/>
  <c r="AL333" i="3"/>
  <c r="AL315" i="3"/>
  <c r="AJ315" i="3"/>
  <c r="AH303" i="3"/>
  <c r="AL303" i="3" s="1"/>
  <c r="AH302" i="3"/>
  <c r="AL302" i="3" s="1"/>
  <c r="AH301" i="3"/>
  <c r="AL301" i="3" s="1"/>
  <c r="AH300" i="3"/>
  <c r="AL300" i="3" s="1"/>
  <c r="AH299" i="3"/>
  <c r="AL299" i="3" s="1"/>
  <c r="AH298" i="3"/>
  <c r="AL298" i="3" s="1"/>
  <c r="AL141" i="3"/>
  <c r="AL126" i="3"/>
  <c r="AE121" i="3"/>
  <c r="AI121" i="3" s="1"/>
  <c r="AL121" i="3"/>
  <c r="K112" i="3"/>
  <c r="N111" i="3"/>
  <c r="AL111" i="3" s="1"/>
  <c r="AL39" i="3"/>
  <c r="AE3" i="3" l="1"/>
  <c r="AE4" i="3"/>
  <c r="AE5" i="3"/>
  <c r="AE6" i="3"/>
  <c r="AE7" i="3"/>
  <c r="AE8" i="3"/>
  <c r="AE9" i="3"/>
  <c r="AI9" i="3" s="1"/>
  <c r="AE10" i="3"/>
  <c r="AI10" i="3" s="1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I67" i="3" s="1"/>
  <c r="AE69" i="3"/>
  <c r="AE70" i="3"/>
  <c r="AE71" i="3"/>
  <c r="AE72" i="3"/>
  <c r="AE73" i="3"/>
  <c r="AE74" i="3"/>
  <c r="AI74" i="3" s="1"/>
  <c r="AE75" i="3"/>
  <c r="AE76" i="3"/>
  <c r="AE77" i="3"/>
  <c r="AE78" i="3"/>
  <c r="AE79" i="3"/>
  <c r="AE80" i="3"/>
  <c r="AE81" i="3"/>
  <c r="AE82" i="3"/>
  <c r="AE83" i="3"/>
  <c r="AE84" i="3"/>
  <c r="AI84" i="3" s="1"/>
  <c r="AE85" i="3"/>
  <c r="AI85" i="3" s="1"/>
  <c r="AE86" i="3"/>
  <c r="AE87" i="3"/>
  <c r="AI87" i="3" s="1"/>
  <c r="AE88" i="3"/>
  <c r="AI88" i="3" s="1"/>
  <c r="AE89" i="3"/>
  <c r="AE90" i="3"/>
  <c r="AE91" i="3"/>
  <c r="AE92" i="3"/>
  <c r="AE93" i="3"/>
  <c r="AE94" i="3"/>
  <c r="AE95" i="3"/>
  <c r="AE96" i="3"/>
  <c r="AE97" i="3"/>
  <c r="AE98" i="3"/>
  <c r="AE99" i="3"/>
  <c r="AI99" i="3" s="1"/>
  <c r="AE100" i="3"/>
  <c r="AI100" i="3" s="1"/>
  <c r="AE101" i="3"/>
  <c r="AI101" i="3" s="1"/>
  <c r="AE102" i="3"/>
  <c r="AI102" i="3" s="1"/>
  <c r="AE104" i="3"/>
  <c r="AI104" i="3" s="1"/>
  <c r="AE105" i="3"/>
  <c r="AI105" i="3" s="1"/>
  <c r="AE106" i="3"/>
  <c r="AE107" i="3"/>
  <c r="AE108" i="3"/>
  <c r="AI108" i="3" s="1"/>
  <c r="AE109" i="3"/>
  <c r="AI109" i="3" s="1"/>
  <c r="AE110" i="3"/>
  <c r="AE111" i="3"/>
  <c r="AI111" i="3" s="1"/>
  <c r="AE112" i="3"/>
  <c r="AI112" i="3" s="1"/>
  <c r="AE113" i="3"/>
  <c r="AE114" i="3"/>
  <c r="AE115" i="3"/>
  <c r="AE116" i="3"/>
  <c r="AE117" i="3"/>
  <c r="AE118" i="3"/>
  <c r="AE119" i="3"/>
  <c r="AI119" i="3" s="1"/>
  <c r="AE120" i="3"/>
  <c r="AI120" i="3" s="1"/>
  <c r="AE122" i="3"/>
  <c r="AI122" i="3" s="1"/>
  <c r="AE123" i="3"/>
  <c r="AI123" i="3" s="1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I141" i="3" s="1"/>
  <c r="AE142" i="3"/>
  <c r="AI142" i="3" s="1"/>
  <c r="AE143" i="3"/>
  <c r="AI143" i="3" s="1"/>
  <c r="AE144" i="3"/>
  <c r="AI144" i="3" s="1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I160" i="3" s="1"/>
  <c r="AE161" i="3"/>
  <c r="AI161" i="3" s="1"/>
  <c r="AE162" i="3"/>
  <c r="AI162" i="3" s="1"/>
  <c r="AE163" i="3"/>
  <c r="AI163" i="3" s="1"/>
  <c r="AE164" i="3"/>
  <c r="AI164" i="3" s="1"/>
  <c r="AE165" i="3"/>
  <c r="AI165" i="3" s="1"/>
  <c r="AE166" i="3"/>
  <c r="AI166" i="3" s="1"/>
  <c r="AE167" i="3"/>
  <c r="AI167" i="3" s="1"/>
  <c r="AE168" i="3"/>
  <c r="AI168" i="3" s="1"/>
  <c r="AE169" i="3"/>
  <c r="AI169" i="3" s="1"/>
  <c r="AE170" i="3"/>
  <c r="AI170" i="3" s="1"/>
  <c r="AE171" i="3"/>
  <c r="AI171" i="3" s="1"/>
  <c r="AE172" i="3"/>
  <c r="AE173" i="3"/>
  <c r="AE174" i="3"/>
  <c r="AE175" i="3"/>
  <c r="AI175" i="3" s="1"/>
  <c r="AE176" i="3"/>
  <c r="AE177" i="3"/>
  <c r="AI177" i="3" s="1"/>
  <c r="AE178" i="3"/>
  <c r="AI178" i="3" s="1"/>
  <c r="AE179" i="3"/>
  <c r="AI179" i="3" s="1"/>
  <c r="AE180" i="3"/>
  <c r="AI180" i="3" s="1"/>
  <c r="AE181" i="3"/>
  <c r="AI181" i="3" s="1"/>
  <c r="AE192" i="3"/>
  <c r="AE193" i="3"/>
  <c r="AI193" i="3" s="1"/>
  <c r="AE194" i="3"/>
  <c r="AI194" i="3" s="1"/>
  <c r="AE195" i="3"/>
  <c r="AE196" i="3"/>
  <c r="AI196" i="3" s="1"/>
  <c r="AE197" i="3"/>
  <c r="AI197" i="3" s="1"/>
  <c r="AE198" i="3"/>
  <c r="AI198" i="3" s="1"/>
  <c r="AE199" i="3"/>
  <c r="AI199" i="3" s="1"/>
  <c r="AE200" i="3"/>
  <c r="AI200" i="3" s="1"/>
  <c r="AE201" i="3"/>
  <c r="AE202" i="3"/>
  <c r="AE203" i="3"/>
  <c r="AE204" i="3"/>
  <c r="AE205" i="3"/>
  <c r="AE206" i="3"/>
  <c r="AE207" i="3"/>
  <c r="AE208" i="3"/>
  <c r="AE209" i="3"/>
  <c r="AI209" i="3" s="1"/>
  <c r="AE210" i="3"/>
  <c r="AI210" i="3" s="1"/>
  <c r="AE211" i="3"/>
  <c r="AE212" i="3"/>
  <c r="AI212" i="3" s="1"/>
  <c r="AE213" i="3"/>
  <c r="AE214" i="3"/>
  <c r="AE215" i="3"/>
  <c r="AE216" i="3"/>
  <c r="AE217" i="3"/>
  <c r="AE218" i="3"/>
  <c r="AE219" i="3"/>
  <c r="AE220" i="3"/>
  <c r="AE221" i="3"/>
  <c r="AE222" i="3"/>
  <c r="AE223" i="3"/>
  <c r="AI223" i="3" s="1"/>
  <c r="AE224" i="3"/>
  <c r="AI224" i="3" s="1"/>
  <c r="AE225" i="3"/>
  <c r="AI225" i="3" s="1"/>
  <c r="AE226" i="3"/>
  <c r="AI226" i="3" s="1"/>
  <c r="AE227" i="3"/>
  <c r="AI227" i="3" s="1"/>
  <c r="AE228" i="3"/>
  <c r="AI228" i="3" s="1"/>
  <c r="AE229" i="3"/>
  <c r="AI229" i="3" s="1"/>
  <c r="AE230" i="3"/>
  <c r="AI230" i="3" s="1"/>
  <c r="AE231" i="3"/>
  <c r="AE232" i="3"/>
  <c r="AI232" i="3" s="1"/>
  <c r="AE233" i="3"/>
  <c r="AI233" i="3" s="1"/>
  <c r="AE234" i="3"/>
  <c r="AI234" i="3" s="1"/>
  <c r="AE235" i="3"/>
  <c r="AI235" i="3" s="1"/>
  <c r="AE236" i="3"/>
  <c r="AI236" i="3" s="1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I256" i="3" s="1"/>
  <c r="AE257" i="3"/>
  <c r="AI257" i="3" s="1"/>
  <c r="AE258" i="3"/>
  <c r="AI258" i="3" s="1"/>
  <c r="AE259" i="3"/>
  <c r="AI259" i="3" s="1"/>
  <c r="AE260" i="3"/>
  <c r="AI260" i="3" s="1"/>
  <c r="AE261" i="3"/>
  <c r="AI261" i="3" s="1"/>
  <c r="AE262" i="3"/>
  <c r="AI262" i="3" s="1"/>
  <c r="AE263" i="3"/>
  <c r="AI263" i="3" s="1"/>
  <c r="AE264" i="3"/>
  <c r="AE265" i="3"/>
  <c r="AE266" i="3"/>
  <c r="AE267" i="3"/>
  <c r="AE268" i="3"/>
  <c r="AE269" i="3"/>
  <c r="AE270" i="3"/>
  <c r="AE271" i="3"/>
  <c r="AE272" i="3"/>
  <c r="AI272" i="3" s="1"/>
  <c r="AE273" i="3"/>
  <c r="AI273" i="3" s="1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I293" i="3" s="1"/>
  <c r="AE294" i="3"/>
  <c r="AI294" i="3" s="1"/>
  <c r="AE295" i="3"/>
  <c r="AI295" i="3" s="1"/>
  <c r="AE296" i="3"/>
  <c r="AI296" i="3" s="1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I331" i="3" s="1"/>
  <c r="AE332" i="3"/>
  <c r="AI332" i="3" s="1"/>
  <c r="AE333" i="3"/>
  <c r="AE334" i="3"/>
  <c r="AE335" i="3"/>
  <c r="AE336" i="3"/>
  <c r="AE337" i="3"/>
  <c r="AI337" i="3" s="1"/>
  <c r="AE338" i="3"/>
  <c r="AI338" i="3" s="1"/>
  <c r="AE339" i="3"/>
  <c r="AI339" i="3" s="1"/>
  <c r="AE340" i="3"/>
  <c r="AI340" i="3" s="1"/>
  <c r="AE341" i="3"/>
  <c r="AI341" i="3" s="1"/>
  <c r="AE342" i="3"/>
  <c r="AI342" i="3" s="1"/>
  <c r="AE343" i="3"/>
  <c r="AI343" i="3" s="1"/>
  <c r="AE344" i="3"/>
  <c r="AI344" i="3" s="1"/>
  <c r="AE345" i="3"/>
  <c r="AI345" i="3" s="1"/>
  <c r="AE346" i="3"/>
  <c r="AI346" i="3" s="1"/>
  <c r="AE347" i="3"/>
  <c r="AI347" i="3" s="1"/>
  <c r="AE348" i="3"/>
  <c r="AI348" i="3" s="1"/>
  <c r="AE349" i="3"/>
  <c r="AI349" i="3" s="1"/>
  <c r="AE350" i="3"/>
  <c r="AI350" i="3" s="1"/>
  <c r="AE351" i="3"/>
  <c r="AE352" i="3"/>
  <c r="AE353" i="3"/>
  <c r="AE354" i="3"/>
  <c r="AE355" i="3"/>
  <c r="AE356" i="3"/>
  <c r="AE357" i="3"/>
  <c r="AE358" i="3"/>
  <c r="AE359" i="3"/>
  <c r="AE360" i="3"/>
  <c r="AE361" i="3"/>
  <c r="AE366" i="3"/>
  <c r="AI366" i="3" s="1"/>
  <c r="AE367" i="3"/>
  <c r="AI367" i="3" s="1"/>
  <c r="AE368" i="3"/>
  <c r="AI368" i="3" s="1"/>
  <c r="AE369" i="3"/>
  <c r="AI369" i="3" s="1"/>
  <c r="AE370" i="3"/>
  <c r="AI370" i="3" s="1"/>
  <c r="AE371" i="3"/>
  <c r="AI371" i="3" s="1"/>
  <c r="AE372" i="3"/>
  <c r="AI372" i="3" s="1"/>
  <c r="AE373" i="3"/>
  <c r="AI373" i="3" s="1"/>
  <c r="AE374" i="3"/>
  <c r="AE375" i="3"/>
  <c r="AE376" i="3"/>
  <c r="AE378" i="3"/>
  <c r="AI378" i="3" s="1"/>
  <c r="AE379" i="3"/>
  <c r="AI379" i="3" s="1"/>
  <c r="AE380" i="3"/>
  <c r="AI380" i="3" s="1"/>
  <c r="AE381" i="3"/>
  <c r="AE382" i="3"/>
  <c r="AE383" i="3"/>
  <c r="AE384" i="3"/>
  <c r="AI384" i="3" s="1"/>
  <c r="AE385" i="3"/>
  <c r="AI385" i="3" s="1"/>
  <c r="AE386" i="3"/>
  <c r="AI386" i="3" s="1"/>
  <c r="AE387" i="3"/>
  <c r="AE388" i="3"/>
  <c r="AE389" i="3"/>
  <c r="AE390" i="3"/>
  <c r="AI390" i="3" s="1"/>
  <c r="AE391" i="3"/>
  <c r="AI391" i="3" s="1"/>
  <c r="AE392" i="3"/>
  <c r="AI392" i="3" s="1"/>
  <c r="AE393" i="3"/>
  <c r="AI393" i="3" s="1"/>
  <c r="AE394" i="3"/>
  <c r="AI394" i="3" s="1"/>
  <c r="AE395" i="3"/>
  <c r="AI395" i="3" s="1"/>
  <c r="AE396" i="3"/>
  <c r="AI396" i="3" s="1"/>
  <c r="AE397" i="3"/>
  <c r="AI397" i="3" s="1"/>
  <c r="AE398" i="3"/>
  <c r="AI398" i="3" s="1"/>
  <c r="AE399" i="3"/>
  <c r="AI399" i="3" s="1"/>
  <c r="AE400" i="3"/>
  <c r="AI400" i="3" s="1"/>
  <c r="AE401" i="3"/>
  <c r="AI401" i="3" s="1"/>
  <c r="AE402" i="3"/>
  <c r="AI402" i="3" s="1"/>
  <c r="AE403" i="3"/>
  <c r="AI403" i="3" s="1"/>
  <c r="AE404" i="3"/>
  <c r="AI404" i="3" s="1"/>
  <c r="AE405" i="3"/>
  <c r="AI405" i="3" s="1"/>
  <c r="AE406" i="3"/>
  <c r="AI406" i="3" s="1"/>
  <c r="AE407" i="3"/>
  <c r="AI407" i="3" s="1"/>
  <c r="AE408" i="3"/>
  <c r="AI408" i="3" s="1"/>
  <c r="AE409" i="3"/>
  <c r="AI409" i="3" s="1"/>
  <c r="AE410" i="3"/>
  <c r="AI410" i="3" s="1"/>
  <c r="AE411" i="3"/>
  <c r="AI411" i="3" s="1"/>
  <c r="AE412" i="3"/>
  <c r="AI412" i="3" s="1"/>
  <c r="AE413" i="3"/>
  <c r="AI413" i="3" s="1"/>
  <c r="AE414" i="3"/>
  <c r="AI414" i="3" s="1"/>
  <c r="AE415" i="3"/>
  <c r="AI415" i="3" s="1"/>
  <c r="AE416" i="3"/>
  <c r="AI416" i="3" s="1"/>
  <c r="AE417" i="3"/>
  <c r="AE418" i="3"/>
  <c r="AI418" i="3" s="1"/>
  <c r="AE419" i="3"/>
  <c r="AI419" i="3" s="1"/>
  <c r="AE420" i="3"/>
  <c r="AI420" i="3" s="1"/>
  <c r="AE421" i="3"/>
  <c r="AI421" i="3" s="1"/>
  <c r="AE422" i="3"/>
  <c r="AI422" i="3" s="1"/>
  <c r="AE423" i="3"/>
  <c r="AI423" i="3" s="1"/>
  <c r="AE424" i="3"/>
  <c r="AI424" i="3" s="1"/>
  <c r="AE425" i="3"/>
  <c r="AI425" i="3" s="1"/>
  <c r="AE426" i="3"/>
  <c r="AI426" i="3" s="1"/>
  <c r="AE427" i="3"/>
  <c r="AI427" i="3" s="1"/>
  <c r="AE428" i="3"/>
  <c r="AI428" i="3" s="1"/>
  <c r="AE429" i="3"/>
  <c r="AI429" i="3" s="1"/>
  <c r="AE430" i="3"/>
  <c r="AI430" i="3" s="1"/>
  <c r="AE431" i="3"/>
  <c r="AI431" i="3" s="1"/>
  <c r="AE432" i="3"/>
  <c r="AE433" i="3"/>
  <c r="AE434" i="3"/>
  <c r="AE435" i="3"/>
  <c r="AE436" i="3"/>
  <c r="AE437" i="3"/>
  <c r="AI437" i="3" s="1"/>
  <c r="AE438" i="3"/>
  <c r="AE439" i="3"/>
  <c r="AE440" i="3"/>
  <c r="AI440" i="3" s="1"/>
  <c r="AE441" i="3"/>
  <c r="AI441" i="3" s="1"/>
  <c r="AE442" i="3"/>
  <c r="AI442" i="3" s="1"/>
  <c r="AE443" i="3"/>
  <c r="AI443" i="3" s="1"/>
  <c r="AE444" i="3"/>
  <c r="AI444" i="3" s="1"/>
  <c r="AE445" i="3"/>
  <c r="AI445" i="3" s="1"/>
  <c r="AE446" i="3"/>
  <c r="AI446" i="3" s="1"/>
  <c r="AE447" i="3"/>
  <c r="AI447" i="3" s="1"/>
  <c r="AE448" i="3"/>
  <c r="AI448" i="3" s="1"/>
  <c r="AE449" i="3"/>
  <c r="AI449" i="3" s="1"/>
  <c r="AE450" i="3"/>
  <c r="AI450" i="3" s="1"/>
  <c r="AE451" i="3"/>
  <c r="AI451" i="3" s="1"/>
  <c r="AE452" i="3"/>
  <c r="AI452" i="3" s="1"/>
  <c r="AE453" i="3"/>
  <c r="AI453" i="3" s="1"/>
  <c r="AE454" i="3"/>
  <c r="AI454" i="3" s="1"/>
  <c r="AE455" i="3"/>
  <c r="AI455" i="3" s="1"/>
  <c r="AE456" i="3"/>
  <c r="AI456" i="3" s="1"/>
  <c r="AE457" i="3"/>
  <c r="AI457" i="3" s="1"/>
  <c r="AE458" i="3"/>
  <c r="AI458" i="3" s="1"/>
  <c r="AE459" i="3"/>
  <c r="AI459" i="3" s="1"/>
  <c r="AE460" i="3"/>
  <c r="AI460" i="3" s="1"/>
  <c r="AE461" i="3"/>
  <c r="AI461" i="3" s="1"/>
  <c r="AE462" i="3"/>
  <c r="AI462" i="3" s="1"/>
  <c r="AE463" i="3"/>
  <c r="AI463" i="3" s="1"/>
  <c r="AE464" i="3"/>
  <c r="AI464" i="3" s="1"/>
  <c r="AE465" i="3"/>
  <c r="AI465" i="3" s="1"/>
  <c r="AE466" i="3"/>
  <c r="AI466" i="3" s="1"/>
  <c r="AE467" i="3"/>
  <c r="AI467" i="3" s="1"/>
  <c r="AE468" i="3"/>
  <c r="AI468" i="3" s="1"/>
  <c r="AE469" i="3"/>
  <c r="AI469" i="3" s="1"/>
  <c r="AE470" i="3"/>
  <c r="AI470" i="3" s="1"/>
  <c r="AE471" i="3"/>
  <c r="AI471" i="3" s="1"/>
  <c r="AE472" i="3"/>
  <c r="AI472" i="3" s="1"/>
  <c r="AE473" i="3"/>
  <c r="AI473" i="3" s="1"/>
  <c r="AE474" i="3"/>
  <c r="AI474" i="3" s="1"/>
  <c r="AE475" i="3"/>
  <c r="AI475" i="3" s="1"/>
  <c r="AE476" i="3"/>
  <c r="AI476" i="3" s="1"/>
  <c r="AE477" i="3"/>
  <c r="AI477" i="3" s="1"/>
  <c r="AE478" i="3"/>
  <c r="AI478" i="3" s="1"/>
  <c r="AE479" i="3"/>
  <c r="AI479" i="3" s="1"/>
  <c r="AE480" i="3"/>
  <c r="AI480" i="3" s="1"/>
  <c r="AE481" i="3"/>
  <c r="AI481" i="3" s="1"/>
  <c r="AE482" i="3"/>
  <c r="AI482" i="3" s="1"/>
  <c r="AE483" i="3"/>
  <c r="AI483" i="3" s="1"/>
  <c r="AE484" i="3"/>
  <c r="AI484" i="3" s="1"/>
  <c r="AE485" i="3"/>
  <c r="AE487" i="3"/>
  <c r="AI487" i="3" s="1"/>
  <c r="AE488" i="3"/>
  <c r="AE489" i="3"/>
  <c r="AE490" i="3"/>
  <c r="AE491" i="3"/>
  <c r="AE492" i="3"/>
  <c r="AE493" i="3"/>
  <c r="AE494" i="3"/>
  <c r="AE495" i="3"/>
  <c r="AE496" i="3"/>
  <c r="AI496" i="3" s="1"/>
  <c r="AE497" i="3"/>
  <c r="AI497" i="3" s="1"/>
  <c r="AE498" i="3"/>
  <c r="AI498" i="3" s="1"/>
  <c r="AE499" i="3"/>
  <c r="AI499" i="3" s="1"/>
  <c r="AE500" i="3"/>
  <c r="AI500" i="3" s="1"/>
  <c r="AE501" i="3"/>
  <c r="AI501" i="3" s="1"/>
  <c r="AE502" i="3"/>
  <c r="AI502" i="3" s="1"/>
  <c r="AE503" i="3"/>
  <c r="AI503" i="3" s="1"/>
  <c r="AE504" i="3"/>
  <c r="AI504" i="3" s="1"/>
  <c r="AE505" i="3"/>
  <c r="AI505" i="3" s="1"/>
  <c r="AE506" i="3"/>
  <c r="AI506" i="3" s="1"/>
  <c r="AE507" i="3"/>
  <c r="AI507" i="3" s="1"/>
  <c r="AE508" i="3"/>
  <c r="AI508" i="3" s="1"/>
  <c r="AE509" i="3"/>
  <c r="AI509" i="3" s="1"/>
  <c r="AE510" i="3"/>
  <c r="AI510" i="3" s="1"/>
  <c r="AE511" i="3"/>
  <c r="AI511" i="3" s="1"/>
  <c r="AE512" i="3"/>
  <c r="AI512" i="3" s="1"/>
  <c r="AE513" i="3"/>
  <c r="AI513" i="3" s="1"/>
  <c r="AE514" i="3"/>
  <c r="AI514" i="3" s="1"/>
  <c r="AE515" i="3"/>
  <c r="AI515" i="3" s="1"/>
  <c r="AE516" i="3"/>
  <c r="AI516" i="3" s="1"/>
  <c r="AE517" i="3"/>
  <c r="AI517" i="3" s="1"/>
  <c r="AE518" i="3"/>
  <c r="AI518" i="3" s="1"/>
  <c r="AE519" i="3"/>
  <c r="AI519" i="3" s="1"/>
  <c r="AE520" i="3"/>
  <c r="AI520" i="3" s="1"/>
  <c r="AE521" i="3"/>
  <c r="AI521" i="3" s="1"/>
  <c r="AE522" i="3"/>
  <c r="AI522" i="3" s="1"/>
  <c r="AE523" i="3"/>
  <c r="AI523" i="3" s="1"/>
  <c r="AE524" i="3"/>
  <c r="AI524" i="3" s="1"/>
  <c r="AE2" i="3"/>
  <c r="Q486" i="3" l="1"/>
  <c r="AE486" i="3" s="1"/>
  <c r="AI486" i="3" s="1"/>
  <c r="V367" i="3"/>
  <c r="E254" i="3"/>
  <c r="E253" i="3"/>
  <c r="E252" i="3"/>
  <c r="E251" i="3"/>
  <c r="P191" i="3"/>
  <c r="O191" i="3"/>
  <c r="P190" i="3"/>
  <c r="O190" i="3"/>
  <c r="P189" i="3"/>
  <c r="O189" i="3"/>
  <c r="P188" i="3"/>
  <c r="O188" i="3"/>
  <c r="P187" i="3"/>
  <c r="O187" i="3"/>
  <c r="P186" i="3"/>
  <c r="O186" i="3"/>
  <c r="P185" i="3"/>
  <c r="O185" i="3"/>
  <c r="P184" i="3"/>
  <c r="O184" i="3"/>
  <c r="P183" i="3"/>
  <c r="O183" i="3"/>
  <c r="P182" i="3"/>
  <c r="O182" i="3"/>
  <c r="S150" i="3"/>
  <c r="Q103" i="3"/>
  <c r="AE103" i="3" s="1"/>
  <c r="AI103" i="3" s="1"/>
  <c r="P68" i="3"/>
  <c r="O68" i="3"/>
  <c r="S10" i="3"/>
  <c r="AF9" i="3"/>
  <c r="AE183" i="3" l="1"/>
  <c r="AI183" i="3" s="1"/>
  <c r="AE185" i="3"/>
  <c r="AI185" i="3" s="1"/>
  <c r="AE187" i="3"/>
  <c r="AI187" i="3" s="1"/>
  <c r="AE189" i="3"/>
  <c r="AI189" i="3" s="1"/>
  <c r="AE191" i="3"/>
  <c r="AI191" i="3" s="1"/>
  <c r="AE68" i="3"/>
  <c r="AE182" i="3"/>
  <c r="AI182" i="3" s="1"/>
  <c r="AE184" i="3"/>
  <c r="AI184" i="3" s="1"/>
  <c r="AE186" i="3"/>
  <c r="AI186" i="3" s="1"/>
  <c r="AE188" i="3"/>
  <c r="AI188" i="3" s="1"/>
  <c r="AE190" i="3"/>
  <c r="AI190" i="3" s="1"/>
  <c r="Q103" i="1"/>
  <c r="Q487" i="1" l="1"/>
  <c r="V368" i="1"/>
  <c r="O188" i="1" l="1"/>
  <c r="P188" i="1"/>
  <c r="O189" i="1"/>
  <c r="P189" i="1"/>
  <c r="O190" i="1"/>
  <c r="P190" i="1"/>
  <c r="O191" i="1"/>
  <c r="P191" i="1"/>
  <c r="P187" i="1"/>
  <c r="O187" i="1"/>
  <c r="O183" i="1"/>
  <c r="P183" i="1"/>
  <c r="O184" i="1"/>
  <c r="P184" i="1"/>
  <c r="O185" i="1"/>
  <c r="P185" i="1"/>
  <c r="O186" i="1"/>
  <c r="P186" i="1"/>
  <c r="P182" i="1"/>
  <c r="O182" i="1"/>
  <c r="F5" i="9"/>
  <c r="S150" i="1"/>
  <c r="AP9" i="1" l="1"/>
  <c r="S10" i="1"/>
  <c r="F4" i="9" l="1"/>
  <c r="B1" i="9"/>
  <c r="G13" i="9" l="1"/>
  <c r="H13" i="9" s="1"/>
  <c r="G11" i="9"/>
  <c r="H11" i="9" s="1"/>
  <c r="G14" i="9"/>
  <c r="H14" i="9" s="1"/>
  <c r="G12" i="9"/>
  <c r="H12" i="9" s="1"/>
  <c r="G10" i="9"/>
  <c r="H10" i="9" s="1"/>
  <c r="G8" i="9"/>
  <c r="H8" i="9" s="1"/>
  <c r="G9" i="9"/>
  <c r="H9" i="9" s="1"/>
  <c r="G7" i="9"/>
  <c r="H7" i="9" s="1"/>
  <c r="G5" i="9"/>
  <c r="H5" i="9" s="1"/>
  <c r="G4" i="9"/>
  <c r="H4" i="9" s="1"/>
  <c r="L13" i="8" l="1"/>
  <c r="L14" i="8"/>
  <c r="H14" i="8"/>
  <c r="H13" i="8"/>
  <c r="H15" i="8" s="1"/>
  <c r="E12" i="8"/>
  <c r="E13" i="8" s="1"/>
  <c r="B11" i="8"/>
  <c r="B12" i="8" s="1"/>
  <c r="B13" i="8" s="1"/>
  <c r="T2" i="8"/>
  <c r="T3" i="8"/>
  <c r="T4" i="8" s="1"/>
  <c r="Q2" i="8"/>
  <c r="Q3" i="8" s="1"/>
  <c r="Q4" i="8" s="1"/>
  <c r="N3" i="8"/>
  <c r="N4" i="8" s="1"/>
  <c r="N5" i="8" s="1"/>
  <c r="N2" i="8"/>
  <c r="N1" i="8"/>
  <c r="K3" i="8"/>
  <c r="K4" i="8" s="1"/>
  <c r="H3" i="8"/>
  <c r="H4" i="8" s="1"/>
  <c r="H5" i="8" s="1"/>
  <c r="E3" i="8"/>
  <c r="E4" i="8" s="1"/>
  <c r="E5" i="8" s="1"/>
  <c r="E254" i="1"/>
  <c r="E253" i="1"/>
  <c r="E252" i="1"/>
  <c r="E251" i="1"/>
  <c r="B4" i="8"/>
  <c r="B5" i="8" s="1"/>
  <c r="B6" i="8" s="1"/>
  <c r="L15" i="8" l="1"/>
  <c r="K5" i="8"/>
  <c r="C14" i="7"/>
  <c r="C11" i="7"/>
  <c r="C10" i="7"/>
  <c r="AA114" i="1" l="1"/>
  <c r="AA113" i="1"/>
  <c r="AA112" i="1"/>
  <c r="AA111" i="1"/>
  <c r="AA110" i="1"/>
  <c r="AA108" i="1"/>
  <c r="AA106" i="1"/>
  <c r="P68" i="1"/>
  <c r="O68" i="1"/>
</calcChain>
</file>

<file path=xl/sharedStrings.xml><?xml version="1.0" encoding="utf-8"?>
<sst xmlns="http://schemas.openxmlformats.org/spreadsheetml/2006/main" count="38759" uniqueCount="4361">
  <si>
    <t>K4Nb6O17</t>
  </si>
  <si>
    <t>KLaNb2O7</t>
  </si>
  <si>
    <t>RbLaNb2O7</t>
  </si>
  <si>
    <t>CsLaNb2O7</t>
  </si>
  <si>
    <t>KCa2Nb3O10</t>
  </si>
  <si>
    <t>RbCa2Nb3O10</t>
  </si>
  <si>
    <t>CsCa2Nb3O10</t>
  </si>
  <si>
    <t>KSr2Nb3O10</t>
  </si>
  <si>
    <t>TiO2</t>
  </si>
  <si>
    <t>10.1070/rcr4547 </t>
  </si>
  <si>
    <t>RbLaTa2O7</t>
  </si>
  <si>
    <t>RbPrTa2O7</t>
  </si>
  <si>
    <t>RbNdTa2O7</t>
  </si>
  <si>
    <t>RbSmTa2O7</t>
  </si>
  <si>
    <t>CaTa2O6</t>
  </si>
  <si>
    <t>SrTa2O6</t>
  </si>
  <si>
    <t>BaTa2O6</t>
  </si>
  <si>
    <t>CaBi2Ta2O9</t>
  </si>
  <si>
    <t>BaBi2Ta2O9</t>
  </si>
  <si>
    <t>CaBi2Nb2O9</t>
  </si>
  <si>
    <t>SrBi2Nb2O9</t>
  </si>
  <si>
    <t>BaBi2Nb2O9</t>
  </si>
  <si>
    <t>PbBi2Nb1.8W0.2O9</t>
  </si>
  <si>
    <t>PbBi2Nb1.85W0.15O9</t>
  </si>
  <si>
    <t>PbBi2Nb1.9W0.1O9</t>
  </si>
  <si>
    <t>PbBi2Nb2O9</t>
  </si>
  <si>
    <t>PbBi2Nb1.9Ti0.1O9</t>
  </si>
  <si>
    <t>KTaO3</t>
  </si>
  <si>
    <t>NaTaO3</t>
  </si>
  <si>
    <t>10.1016/j.jssc.2006.01.024</t>
  </si>
  <si>
    <t>CaBi4Ti4O15</t>
  </si>
  <si>
    <t>PbBi4Ti4O15</t>
  </si>
  <si>
    <t>K0.5La0.5Ca1.5Nb3O10</t>
  </si>
  <si>
    <t>K0.5La0.25Bi0.25Ca0.75Pb0.75Nb3O10</t>
  </si>
  <si>
    <t>Sr3Ti2O7</t>
  </si>
  <si>
    <t>PbTiO3</t>
  </si>
  <si>
    <t>10.1039/B818922F</t>
  </si>
  <si>
    <t>Sr5Nb4O15</t>
  </si>
  <si>
    <t>Ba5Nb4O15</t>
  </si>
  <si>
    <t>CaLa4Ti4O15</t>
  </si>
  <si>
    <t>BaLa4Ti4O15</t>
  </si>
  <si>
    <t>La4Ti3O12</t>
  </si>
  <si>
    <t>SrLa4Ti4O15</t>
  </si>
  <si>
    <t>Ba3LaNb3O12</t>
  </si>
  <si>
    <t>K2La2Ti3O10</t>
  </si>
  <si>
    <t>Sr4Ti3O10</t>
  </si>
  <si>
    <t>La2Ti2O7</t>
  </si>
  <si>
    <t>La4CaTi5O17</t>
  </si>
  <si>
    <t>Ca2Nb2O7</t>
  </si>
  <si>
    <t>Sr2Nb2O7</t>
  </si>
  <si>
    <t>DOI</t>
  </si>
  <si>
    <t>SrBi2Ta2O9</t>
  </si>
  <si>
    <t>10.1063/1.118003</t>
  </si>
  <si>
    <t>Sr2SnFeO6</t>
  </si>
  <si>
    <t>10.1016/j.jmmm.2017.05.058</t>
  </si>
  <si>
    <t>10.1016/j.jhazmat.2011.02.064</t>
  </si>
  <si>
    <t>NiO</t>
  </si>
  <si>
    <t>10.1021/jp9919056</t>
  </si>
  <si>
    <t>Rb4Ta6O17</t>
  </si>
  <si>
    <t>Rb4Nb6O17</t>
  </si>
  <si>
    <t>Sr2TiO4</t>
  </si>
  <si>
    <t>Sr1.9La0.1TiO4</t>
  </si>
  <si>
    <t>10.1021/acscatal.8b00369</t>
  </si>
  <si>
    <t>HCa2Nb3O10</t>
  </si>
  <si>
    <t>10.1021/jp044833d</t>
  </si>
  <si>
    <t>Bi5Ti3FeO15</t>
  </si>
  <si>
    <t>10.1021/am505767c</t>
  </si>
  <si>
    <t>Bi4LaTi3FeO15</t>
  </si>
  <si>
    <t>Bi3La2Ti3FeO15</t>
  </si>
  <si>
    <t>Bi2WO6</t>
  </si>
  <si>
    <t>10.1039/C6TC02069K</t>
  </si>
  <si>
    <t>KLaTiO4</t>
  </si>
  <si>
    <t>KLaZr0.1Ti0.9O4</t>
  </si>
  <si>
    <t>KLaZrO4</t>
  </si>
  <si>
    <t>KLaZr0.7Ti0.3O4</t>
  </si>
  <si>
    <t>KLaZr0.5Ti0.5O4</t>
  </si>
  <si>
    <t>KLaZr0.3Ti0.7O4</t>
  </si>
  <si>
    <t>10.1023/a:1025812125852</t>
  </si>
  <si>
    <t>10.1016/j.solmat.2009.12.020</t>
  </si>
  <si>
    <t>K2La2Ti2.9Fe0.1O10</t>
  </si>
  <si>
    <t>10.1016/j.ijhydene.2010.01.022</t>
  </si>
  <si>
    <t>K2La2Ti2.8Fe0.2O10</t>
  </si>
  <si>
    <t>K2La2Ti2.7Fe0.3O10</t>
  </si>
  <si>
    <t>K2La2Ti2.6Fe0.4O10</t>
  </si>
  <si>
    <t>K2La2Ti2.5Fe0.5O10</t>
  </si>
  <si>
    <t>K2La2Ti2.8W0.2O10</t>
  </si>
  <si>
    <t>K2La2Ti2.8Ni0.2O10</t>
  </si>
  <si>
    <t>H2SrTa2O7</t>
  </si>
  <si>
    <t>Li2SrTa2O7</t>
  </si>
  <si>
    <t>10.1039/b312620j</t>
  </si>
  <si>
    <t>La1/3TaO3</t>
  </si>
  <si>
    <t>10.1021/cm050982c</t>
  </si>
  <si>
    <t>K2Sr1.5Ta3O10</t>
  </si>
  <si>
    <t>10.1016/j.cplett.2006.12.047</t>
  </si>
  <si>
    <t>10.1016/j.ijhydene.2005.10.005</t>
  </si>
  <si>
    <t>Na2Ca2Nb4O13</t>
  </si>
  <si>
    <t>10.1111/jace.12122</t>
  </si>
  <si>
    <t>Sr2FeTaO6</t>
  </si>
  <si>
    <t>Sr3FeTaO8</t>
  </si>
  <si>
    <t>Sr4FeTaO9</t>
  </si>
  <si>
    <t>10.1016/j.apcatb.2017.01.011</t>
  </si>
  <si>
    <t>10.1016/j.apcatb.2017.01.012</t>
  </si>
  <si>
    <t>10.1016/j.apcatb.2017.01.013</t>
  </si>
  <si>
    <t>10.1016/j.ijhydene.2009.07.047</t>
  </si>
  <si>
    <t>Bi2W2O9</t>
  </si>
  <si>
    <t>Bi14W2O27</t>
  </si>
  <si>
    <t>Bi2Ti2O7</t>
  </si>
  <si>
    <t>Bi4Ti3O12</t>
  </si>
  <si>
    <t>Bi3TiNbO9</t>
  </si>
  <si>
    <t>Bi2MoO6</t>
  </si>
  <si>
    <t>BaBi4Ti4O15</t>
  </si>
  <si>
    <t>10.1246/cl.1999.1103</t>
  </si>
  <si>
    <t>Perovskite</t>
  </si>
  <si>
    <t>Bandgap, eV</t>
  </si>
  <si>
    <t>10.1246/cl.2005.1528</t>
  </si>
  <si>
    <t>10.1021/ja049676a</t>
  </si>
  <si>
    <t>10.1016/j.ijhydene.2009.04.021</t>
  </si>
  <si>
    <t>10.1016/j.jssc.2008.05.020</t>
  </si>
  <si>
    <t>K0.5La0.5Bi2Ta2O9</t>
  </si>
  <si>
    <t>K0.5La0.5Bi2Nb2O9</t>
  </si>
  <si>
    <t>H1.9K0.3La0.5Bi0.1Ta2O7</t>
  </si>
  <si>
    <t>H1.6K0.2La0.3Bi0.1Nb2O6.5</t>
  </si>
  <si>
    <t>10.1016/j.ijhydene.2012.05.090</t>
  </si>
  <si>
    <t>H1.8Ca0.8Bi0.2Ta2O7</t>
  </si>
  <si>
    <t>H1.8Sr0.8Bi0.2Ta2O7</t>
  </si>
  <si>
    <t>H1.9Ba0.8Bi0.1Ta2O7</t>
  </si>
  <si>
    <t>10.1021/jacs.5b11191</t>
  </si>
  <si>
    <t>Bi4Nb8OCl</t>
  </si>
  <si>
    <t>BiOCl</t>
  </si>
  <si>
    <t>Bi4NbO8Cl</t>
  </si>
  <si>
    <t>Bi4NbO8Br</t>
  </si>
  <si>
    <t>Bi4TaO8Cl</t>
  </si>
  <si>
    <t>Bi4TaO8Br</t>
  </si>
  <si>
    <t>10.1039/c8cy00959g</t>
  </si>
  <si>
    <t>10.1021/cm990577j</t>
  </si>
  <si>
    <t>10.1039/B301938C</t>
  </si>
  <si>
    <t>HLaTa2O7</t>
  </si>
  <si>
    <t>NaLaTa2O7</t>
  </si>
  <si>
    <t>CsLaTa2O7</t>
  </si>
  <si>
    <t>HPrTa2O7</t>
  </si>
  <si>
    <t>NaPrTa2O7</t>
  </si>
  <si>
    <t>CsPrTa2O7</t>
  </si>
  <si>
    <t>HNdTa2O7</t>
  </si>
  <si>
    <t>NaNdTa2O7</t>
  </si>
  <si>
    <t>CsNdTa2O7</t>
  </si>
  <si>
    <t>HSmTa2O7</t>
  </si>
  <si>
    <t>NaSmTa2O7</t>
  </si>
  <si>
    <t>CsSmTa2O7</t>
  </si>
  <si>
    <t>LiCa2Ta3O10</t>
  </si>
  <si>
    <t>10.1246/bcsj.81.401</t>
  </si>
  <si>
    <t>10.1021/cm9007766</t>
  </si>
  <si>
    <t>HSr2Nb3O10</t>
  </si>
  <si>
    <t>10.1039/B903692J</t>
  </si>
  <si>
    <t>HLaNb2O7</t>
  </si>
  <si>
    <t>10.1016/j.solmat.2010.12.017</t>
  </si>
  <si>
    <t>KSr2TaNb2O10</t>
  </si>
  <si>
    <t>KSr2Ta1.5Nb1.5O10</t>
  </si>
  <si>
    <t>KSr2Ta2NbO10</t>
  </si>
  <si>
    <t>KSr2Ta3O10</t>
  </si>
  <si>
    <t>HSr2TaNb2O10</t>
  </si>
  <si>
    <t>HSr2Ta1.5Nb1.5O10</t>
  </si>
  <si>
    <t>HSr2Ta2NbO10</t>
  </si>
  <si>
    <t>HSr2Ta3O10</t>
  </si>
  <si>
    <t>10.1002/anie.201411494</t>
  </si>
  <si>
    <t>10.1021/cm902137s</t>
  </si>
  <si>
    <t>NaLaSrNb2NiO9</t>
  </si>
  <si>
    <t>CsLaSrNb2NiO9</t>
  </si>
  <si>
    <t>HLaSrNb2NiO9</t>
  </si>
  <si>
    <t>10.1016/j.jallcom.2006.11.201</t>
  </si>
  <si>
    <t>H2Ca4Nb6O20</t>
  </si>
  <si>
    <t>H2Ca4Ta2Nb4O20</t>
  </si>
  <si>
    <t>H2Ca4Ta3Nb3O20</t>
  </si>
  <si>
    <t>H2Ca4Ta4Nb2O20</t>
  </si>
  <si>
    <t>H2Ca4Ta6O20</t>
  </si>
  <si>
    <t>10.1021/cs200643h</t>
  </si>
  <si>
    <t>AgLaNb2O7</t>
  </si>
  <si>
    <t>10.1021/cs400466b</t>
  </si>
  <si>
    <t>AgCa2Nb3O10</t>
  </si>
  <si>
    <t>RbSr2Nb3O10</t>
  </si>
  <si>
    <t>AgSr2Nb3O10</t>
  </si>
  <si>
    <t>Rb2La2Ti3O10</t>
  </si>
  <si>
    <t>Ag2La2Ti3O10</t>
  </si>
  <si>
    <t>10.1246/cl.2006.1052</t>
  </si>
  <si>
    <t>10.1039/A902892G</t>
  </si>
  <si>
    <t>KBa2Ta3O10</t>
  </si>
  <si>
    <t>Sr2Ta2O7</t>
  </si>
  <si>
    <t>Sr2Nb0.05Ta0.95O7</t>
  </si>
  <si>
    <t>Sr2Nb0.15Ta0.85O7</t>
  </si>
  <si>
    <t>Sr2Nb0.25Ta0.75O7</t>
  </si>
  <si>
    <t>Sr2Nb0.35Ta0.65O7</t>
  </si>
  <si>
    <t>Sr2Nb0.5Ta0.5O7</t>
  </si>
  <si>
    <t>Sr2Nb0.8Ta0.2O7</t>
  </si>
  <si>
    <t>10.1016/s1010-6030(01)00574-3</t>
  </si>
  <si>
    <t>NdLaTi2O7</t>
  </si>
  <si>
    <t>Nd2Ti2O7</t>
  </si>
  <si>
    <t>Pr2Ti2O7</t>
  </si>
  <si>
    <t>PrLaTi2O7</t>
  </si>
  <si>
    <t>10.1021/jp034229n</t>
  </si>
  <si>
    <t>10.1016/j.apsusc.2009.05.146</t>
  </si>
  <si>
    <t>Cu(I)-K2La2Ti3O10</t>
  </si>
  <si>
    <t>Cu(I)-K4Nb6O17</t>
  </si>
  <si>
    <t>Cu(I)-KLaNb2O7</t>
  </si>
  <si>
    <t>Cu(I)-RbCa2Ta3O10</t>
  </si>
  <si>
    <t>RbCa2Ta3O10</t>
  </si>
  <si>
    <t>LiTaO3</t>
  </si>
  <si>
    <t>Cu(I)-LiTaO3</t>
  </si>
  <si>
    <t>Cu(I)-NaTaO3</t>
  </si>
  <si>
    <t>10.1039/c4sc01829j</t>
  </si>
  <si>
    <t>10.1016/j.solmat.2009.02.001</t>
  </si>
  <si>
    <t>10.1016/j.jhazmat.2008.11.040</t>
  </si>
  <si>
    <t>H0.98LaNb1.98Mo0.02O7</t>
  </si>
  <si>
    <t>H0.95LaNb1.95Mo0.05O7</t>
  </si>
  <si>
    <t>H0.85LaNb1.85Mo0.15O7</t>
  </si>
  <si>
    <t>10.1016/j.matlet.2007.08.089</t>
  </si>
  <si>
    <t>10.1016/j.ssi.2009.10.005</t>
  </si>
  <si>
    <t>CsCa2Ta3O10</t>
  </si>
  <si>
    <t>10.1039/c0cc05440b</t>
  </si>
  <si>
    <t>HPb2Nb3O10</t>
  </si>
  <si>
    <t>10.1016/j.apcata.2013.09.015</t>
  </si>
  <si>
    <t>10.1021/jp202783t</t>
  </si>
  <si>
    <t>Ba5Ta4O15</t>
  </si>
  <si>
    <t>Sr5Ta4O15</t>
  </si>
  <si>
    <t>10.1039/C3TA10446J</t>
  </si>
  <si>
    <t>10.1021/nn102469e</t>
  </si>
  <si>
    <t>10.1007/s11244-005-3837-x</t>
  </si>
  <si>
    <t>10.1021/jp0493226</t>
  </si>
  <si>
    <t>Fe0.02La1.98Ti2O7</t>
  </si>
  <si>
    <t>Cr0.02La1.98Ti2O7</t>
  </si>
  <si>
    <t>10.1039/b417052k</t>
  </si>
  <si>
    <t>10.1039/c3cy00179b</t>
  </si>
  <si>
    <t>10.1016/j.pnsc.2012.03.002</t>
  </si>
  <si>
    <t>10.1016/j.ijhydene.2014.02.172</t>
  </si>
  <si>
    <t>HCa2TaNb2O10</t>
  </si>
  <si>
    <t>10.1016/j.apcatb.2013.10.028</t>
  </si>
  <si>
    <t>10.1023/B:CATL.0000007154.30343.23</t>
  </si>
  <si>
    <t>10.1021/acssuschemeng.7b04181</t>
  </si>
  <si>
    <t>Na2Ta2O6</t>
  </si>
  <si>
    <t>K2Ta2O6</t>
  </si>
  <si>
    <t>10.1016/j.apcata.2005.11.007</t>
  </si>
  <si>
    <t>Ca2Ta2O7</t>
  </si>
  <si>
    <t>10.1088/0957-4484/17/19/014</t>
  </si>
  <si>
    <t>Ba5Ta2Nb2O15</t>
  </si>
  <si>
    <t>10.1002/smll.201402679</t>
  </si>
  <si>
    <t>10.1007/s10008-017-3533-3</t>
  </si>
  <si>
    <t>ZnO</t>
  </si>
  <si>
    <t>10.1039/C0EE00604A</t>
  </si>
  <si>
    <t>CdS</t>
  </si>
  <si>
    <t>Zn0.1Cd0.9S</t>
  </si>
  <si>
    <t>ZnS</t>
  </si>
  <si>
    <t>Zn0.9Cd0.1S</t>
  </si>
  <si>
    <t>Zn0.7Cd0.2S</t>
  </si>
  <si>
    <t>Zn0.5Cd0.5S</t>
  </si>
  <si>
    <t>Zn0.3Cd0.7S</t>
  </si>
  <si>
    <t>10.1016/j.jcat.2005.02.021</t>
  </si>
  <si>
    <t>Sr4Ta2O9</t>
  </si>
  <si>
    <t xml:space="preserve">CuBi2O4 </t>
  </si>
  <si>
    <t>10.1021/acsami.8b02439</t>
  </si>
  <si>
    <t>10.1016/S0927-6513(96)00112-5</t>
  </si>
  <si>
    <t>10.1021/ja3043678</t>
  </si>
  <si>
    <t>CsCa2Ta3O9.7N0.2</t>
  </si>
  <si>
    <t>10.1021/jp0751155</t>
  </si>
  <si>
    <t>10.1021/acsami.5b06281</t>
  </si>
  <si>
    <t>Ca2Nb3O10</t>
  </si>
  <si>
    <t>10.1039/C3RA40638E</t>
  </si>
  <si>
    <t>10.3390/catal3010001</t>
  </si>
  <si>
    <t>10.1021/ja207103j</t>
  </si>
  <si>
    <t>CsBa2Nb3O10</t>
  </si>
  <si>
    <t>10.1134/S0036023623602842</t>
  </si>
  <si>
    <t>HBa2Nb3O10</t>
  </si>
  <si>
    <t>10.3390/molecules28124807</t>
  </si>
  <si>
    <t>HSr2Nb3O19*yH2O</t>
  </si>
  <si>
    <t>HSr2Nb3O19*MeNH2*yH2O</t>
  </si>
  <si>
    <t>HSr2Nb3O19*EtNH2*yH2O</t>
  </si>
  <si>
    <t>HSr2Nb3O19*PrNH2*yH2O</t>
  </si>
  <si>
    <t>HSr2Nb3O19*BuNH2*yH2O</t>
  </si>
  <si>
    <t>HSr2Nb3O19*HxNH2*yH2O</t>
  </si>
  <si>
    <t>HSr2Nb3O19*OcNH2*yH2O</t>
  </si>
  <si>
    <t>HSr2Nb3O19*MeOH*yH2O</t>
  </si>
  <si>
    <t>HSr2Nb3O19*EtOH*yH2O</t>
  </si>
  <si>
    <t>HSr2Nb3O19*PrOH*yH2O</t>
  </si>
  <si>
    <t>HSr2Nb3O19*BuOH*yH2O</t>
  </si>
  <si>
    <t>HSr2Nb3O19*HxOH*yH2O</t>
  </si>
  <si>
    <t>Li2La2Ti3O10</t>
  </si>
  <si>
    <t>10.1134/S1070363212070018</t>
  </si>
  <si>
    <t>Na2La2Ti3O10</t>
  </si>
  <si>
    <t>Li2Nd2Ti3O10</t>
  </si>
  <si>
    <t>Na2Nd2Ti3O10</t>
  </si>
  <si>
    <t>K2Nd2Ti3O10</t>
  </si>
  <si>
    <t>KCa2Nb3O10-Yellow</t>
  </si>
  <si>
    <t>KCa2Nb3O10-Black</t>
  </si>
  <si>
    <t>10.1039/C6RA11407E</t>
  </si>
  <si>
    <t>10.1021/acsnano.7b06131</t>
  </si>
  <si>
    <t>10.1002/asia.201701001</t>
  </si>
  <si>
    <t>Ca2Nb2TaO10</t>
  </si>
  <si>
    <t>10.1039/C5CY01246E</t>
  </si>
  <si>
    <t>10.1002/anie.201408441</t>
  </si>
  <si>
    <t>HCa1.5Sr0.5Nb3O10</t>
  </si>
  <si>
    <t>HCaSrNb3O10</t>
  </si>
  <si>
    <t>HCa0.5Sr1.5Nb3O10</t>
  </si>
  <si>
    <t>HCa2Nb2.7Ta0.3O10</t>
  </si>
  <si>
    <t>HCa2Nb2TaO10</t>
  </si>
  <si>
    <t>HCa2Nb1.5Ta1.5O10</t>
  </si>
  <si>
    <t>10.1002/cssc.201501237</t>
  </si>
  <si>
    <t>KCaSrNb3O10</t>
  </si>
  <si>
    <t>H4Nb6O17</t>
  </si>
  <si>
    <t>10.1021/jp900842e</t>
  </si>
  <si>
    <t>10.1021/acscatal.5b00040</t>
  </si>
  <si>
    <t>10.1016/j.apcatb.2016.09.021</t>
  </si>
  <si>
    <t>KCa2Ta3O10</t>
  </si>
  <si>
    <t>10.1039/C8CY00930A</t>
  </si>
  <si>
    <t>10.1016/j.cattod.2018.03.037</t>
  </si>
  <si>
    <t>CsBa2Ta3O10</t>
  </si>
  <si>
    <t>10.1021/acs.cgd.6b00081</t>
  </si>
  <si>
    <t xml:space="preserve">K2La2Ti3O10 </t>
  </si>
  <si>
    <t>10.1016/j.cattod.2012.05.009</t>
  </si>
  <si>
    <t>10.1038/s41598-017-03911-6</t>
  </si>
  <si>
    <t>Cs0.67Ti1.83O4</t>
  </si>
  <si>
    <t>10.1021/jp805488h</t>
  </si>
  <si>
    <t>HLaTiO4</t>
  </si>
  <si>
    <t>10.3390/catal13040749</t>
  </si>
  <si>
    <t>HLaTiO4*MeNH2</t>
  </si>
  <si>
    <t>HLaTiO4*EtNH2</t>
  </si>
  <si>
    <t>HLaTiO4*PrNH2</t>
  </si>
  <si>
    <t>HLaTiO4*BuNH2</t>
  </si>
  <si>
    <t>HLaTiO4*HxNH2</t>
  </si>
  <si>
    <t>HLaTiO4*OxNH2</t>
  </si>
  <si>
    <t>HLaTiO4*MeOH</t>
  </si>
  <si>
    <t>HLaTiO4*EtOH</t>
  </si>
  <si>
    <t>HLaTiO4*PrOH</t>
  </si>
  <si>
    <t>HLaTiO4*BuOH</t>
  </si>
  <si>
    <t>HLaTiO4*HxOH</t>
  </si>
  <si>
    <t>HLaTiO4*OxOH</t>
  </si>
  <si>
    <t>HNdTiO4</t>
  </si>
  <si>
    <t>HNdTiO4*MeNH2</t>
  </si>
  <si>
    <t>HNdTiO4*EtNH2</t>
  </si>
  <si>
    <t>HNdTiO4*PrNH2</t>
  </si>
  <si>
    <t>HNdTiO4*BuNH2</t>
  </si>
  <si>
    <t>HNdTiO4*HxNH2</t>
  </si>
  <si>
    <t>HNdTiO4*OxNH2</t>
  </si>
  <si>
    <t>HNdTiO4*MeOH</t>
  </si>
  <si>
    <t>HNdTiO4*EtOH</t>
  </si>
  <si>
    <t>HNdTiO4*PrOH</t>
  </si>
  <si>
    <t>HNdTiO4*BuOH</t>
  </si>
  <si>
    <t>HNdTiO4*HxOH</t>
  </si>
  <si>
    <t>HNdTiO4*OxOH</t>
  </si>
  <si>
    <t>10.3390/catal13030614</t>
  </si>
  <si>
    <t>HCa2Nb3O10*MeOH</t>
  </si>
  <si>
    <t>HCa2Nb3O10*EtOH</t>
  </si>
  <si>
    <t>HCa2Nb3O10*PrOH</t>
  </si>
  <si>
    <t>HCa2Nb3O10*BuOH</t>
  </si>
  <si>
    <t>HCa2Nb3O10*HxOH</t>
  </si>
  <si>
    <t>HCa2Nb3O10*OxOH</t>
  </si>
  <si>
    <t>10.3390/catal11080897</t>
  </si>
  <si>
    <t>H2La2Ti3O10</t>
  </si>
  <si>
    <t>10.1155/2017/9628146</t>
  </si>
  <si>
    <t>LiNdTa2O7</t>
  </si>
  <si>
    <t>KNdTa2O7</t>
  </si>
  <si>
    <t>10.1134/S1070363214100041</t>
  </si>
  <si>
    <t>HLa2Ti3O10</t>
  </si>
  <si>
    <t>HLa2Ti3O10*EtNH2</t>
  </si>
  <si>
    <t>HLa2Ti3O10*EtOH</t>
  </si>
  <si>
    <t>10.3390/nano12152717</t>
  </si>
  <si>
    <t>10.1016/j.ceramint.2021.11.284</t>
  </si>
  <si>
    <t>HCa2Nb3O10*MeNH2</t>
  </si>
  <si>
    <t>HCa2Nb3O10*EtNH2</t>
  </si>
  <si>
    <t>HCa2Nb3O10*PrNH2</t>
  </si>
  <si>
    <t>HCa2Nb3O10*BuNH2</t>
  </si>
  <si>
    <t>HCa2Nb3O10*HxNH2</t>
  </si>
  <si>
    <t>HCa2Nb3O10*OcNH2</t>
  </si>
  <si>
    <t>H2La2Ti3O10*MeNH2</t>
  </si>
  <si>
    <t>H2La2Ti3O10*EtNH2</t>
  </si>
  <si>
    <t>H2La2Ti3O10*PrNH2</t>
  </si>
  <si>
    <t>H2La2Ti3O10*BuNH2</t>
  </si>
  <si>
    <t>H2La2Ti3O10*HxNH2</t>
  </si>
  <si>
    <t>H2La2Ti3O10*OcNH2</t>
  </si>
  <si>
    <t>H2La2Ti3O10*MeOH</t>
  </si>
  <si>
    <t>H2La2Ti3O10*EtOH</t>
  </si>
  <si>
    <t>H2La2Ti3O10*PrOH</t>
  </si>
  <si>
    <t>H2La2Ti3O10*BuOH</t>
  </si>
  <si>
    <t>H2La2Ti3O10*HxOH</t>
  </si>
  <si>
    <t>10.3390/catal11111279</t>
  </si>
  <si>
    <t>H2Nd2Ti3O10</t>
  </si>
  <si>
    <t>H2Nd2Ti3O10*MeNH2</t>
  </si>
  <si>
    <t>H2Nd2Ti3O10*EtNH2</t>
  </si>
  <si>
    <t>H2Nd2Ti3O10*PrNH2</t>
  </si>
  <si>
    <t>H2Nd2Ti3O10*BuNH2</t>
  </si>
  <si>
    <t>H2Nd2Ti3O10*HxNH2</t>
  </si>
  <si>
    <t>H2Nd2Ti3O10*OcNH2</t>
  </si>
  <si>
    <t>H2Nd2Ti3O10*MeOH</t>
  </si>
  <si>
    <t>H2Nd2Ti3O10*EtOH</t>
  </si>
  <si>
    <t>H2Nd2Ti3O10*PrOH</t>
  </si>
  <si>
    <t>H2Nd2Ti3O10*BuOH</t>
  </si>
  <si>
    <t>H2Nd2Ti3O10*HxOH</t>
  </si>
  <si>
    <t>10.1021/acsomega.0c00424</t>
  </si>
  <si>
    <t>H2K0.5Bi2.5Ti4O13*H2O</t>
  </si>
  <si>
    <t>H2K0.5Bi2.5Ti4O13*H2O*MeNH2</t>
  </si>
  <si>
    <t>H2K0.5Bi2.5Ti4O13*H2O*EtNH3</t>
  </si>
  <si>
    <t>H2K0.5Bi2.5Ti4O13*H2O*PrNH4</t>
  </si>
  <si>
    <t>H2K0.5Bi2.5Ti4O13*H2O*BuNH5</t>
  </si>
  <si>
    <t>H2K0.5Bi2.5Ti4O13*H2O*HxNH6</t>
  </si>
  <si>
    <t>H2K0.5Bi2.5Ti4O13*H2O*OcNH7</t>
  </si>
  <si>
    <t>10.3389/fchem.2019.00863</t>
  </si>
  <si>
    <t>10.1021/ja7114772</t>
  </si>
  <si>
    <t>K2Gd1.4Eu0.6Ti3O10</t>
  </si>
  <si>
    <t>H2Gd1.4Eu0.6Ti3O10</t>
  </si>
  <si>
    <t>RbLa0.7Tb0.3Ta2O7</t>
  </si>
  <si>
    <t>La3Ni2O6.92</t>
  </si>
  <si>
    <t>La3Ni2O6.35</t>
  </si>
  <si>
    <t>10.1006/jssc.1994.1059</t>
  </si>
  <si>
    <t>La1/3NbO3</t>
  </si>
  <si>
    <t xml:space="preserve">CaTiO3 </t>
  </si>
  <si>
    <t>10.1021/ic101955v</t>
  </si>
  <si>
    <t>10.1021/acs.chemmater.9b00567</t>
  </si>
  <si>
    <t>Sr2Bi3Ta2O11Cl</t>
  </si>
  <si>
    <t>SrPbBi3Ta2O11Cl</t>
  </si>
  <si>
    <t>Ba2Bi3Ta2O11Cl</t>
  </si>
  <si>
    <t>BaPbBi3Ta2O11Cl</t>
  </si>
  <si>
    <t>SrBi4TiTaO11Cl</t>
  </si>
  <si>
    <t>BaBi4TiTaO11Cl</t>
  </si>
  <si>
    <t>PbBi4TiTaO11Cl</t>
  </si>
  <si>
    <t>SrPbBi3Nb2O11Cl</t>
  </si>
  <si>
    <t>Ba2Bi3Nb2O11Cl</t>
  </si>
  <si>
    <t>BaPbBi3Nb2O11Cl</t>
  </si>
  <si>
    <t>SrBi4TiNbO11Cl</t>
  </si>
  <si>
    <t>BaBi4TiNbO11Cl</t>
  </si>
  <si>
    <t>PbBi4TiNbO11Cl</t>
  </si>
  <si>
    <t>Sr2Bi3Nb2O11Cl</t>
  </si>
  <si>
    <t>HCa2Nb3O10*MeNH2/Pt</t>
  </si>
  <si>
    <t>HCa2Nb3O10*BuNH2/Pt</t>
  </si>
  <si>
    <t>HCa2Nb3O10*OcNH2/Pt</t>
  </si>
  <si>
    <t>HCa2Nb3O10/Pt*MeNH2</t>
  </si>
  <si>
    <t>HCa2Nb3O10/Pt*BuNH2</t>
  </si>
  <si>
    <t>*</t>
  </si>
  <si>
    <t>Surface area</t>
  </si>
  <si>
    <t>IR</t>
  </si>
  <si>
    <t>10.1016/J.IJHYDENE.2009.04.021</t>
  </si>
  <si>
    <t>SEM/TEM</t>
  </si>
  <si>
    <t>UV speactrum</t>
  </si>
  <si>
    <t>Symmetry group</t>
  </si>
  <si>
    <t>P4/mmm</t>
  </si>
  <si>
    <t>I4/mmm</t>
  </si>
  <si>
    <t>XRD pattern</t>
  </si>
  <si>
    <t>AQY</t>
  </si>
  <si>
    <t>Crystal structure</t>
  </si>
  <si>
    <t>Fm3m</t>
  </si>
  <si>
    <t>EDX</t>
  </si>
  <si>
    <t>XPS</t>
  </si>
  <si>
    <t>10.1038/ncomms1690</t>
  </si>
  <si>
    <t>Emission and excitation spectra</t>
  </si>
  <si>
    <t>Raman</t>
  </si>
  <si>
    <t>A21am</t>
  </si>
  <si>
    <t>P4212</t>
  </si>
  <si>
    <t>P42412</t>
  </si>
  <si>
    <t>10.1016/s1466-6049(01)00071-x</t>
  </si>
  <si>
    <t>10.1007/BF00765319</t>
  </si>
  <si>
    <t>KCa2NaNb4O13</t>
  </si>
  <si>
    <t>H2/O2 rate, umol/(h*g)</t>
  </si>
  <si>
    <t>Conditions</t>
  </si>
  <si>
    <t>450 W Hg-lamp. 14% CH3OH</t>
  </si>
  <si>
    <t>inf</t>
  </si>
  <si>
    <t>400 W Hg, 1 mol/L CH3OH</t>
  </si>
  <si>
    <t>350 W Hg-lamp. 14% CH3OH</t>
  </si>
  <si>
    <t>PDF#49-0608</t>
  </si>
  <si>
    <t>PDF#38-1418</t>
  </si>
  <si>
    <t>-</t>
  </si>
  <si>
    <t>450 W Xe-Ar, 15% CH3OH, 0.1%Pt</t>
  </si>
  <si>
    <t>Number of octahedrons on a layer</t>
  </si>
  <si>
    <t>a, A</t>
  </si>
  <si>
    <t>b, A</t>
  </si>
  <si>
    <t>c, A</t>
  </si>
  <si>
    <t>350 W Hg-lamp. 15% CH3OH</t>
  </si>
  <si>
    <t>450 W Xe-Ar, 15% CH3OH,</t>
  </si>
  <si>
    <t>Cmcm</t>
  </si>
  <si>
    <t>Кристаллическая структура</t>
  </si>
  <si>
    <t>Параметры элементарной ячейки</t>
  </si>
  <si>
    <t>Удельная площадь поверхности</t>
  </si>
  <si>
    <t>Скорость выделения водорода</t>
  </si>
  <si>
    <t>ИК спектр</t>
  </si>
  <si>
    <t>Спектр комбинационного рассеяния</t>
  </si>
  <si>
    <t>UV-vis спектры</t>
  </si>
  <si>
    <t>XPS спектры</t>
  </si>
  <si>
    <t>(BA-H501-USHIO), Na2S/Na2SO3,</t>
  </si>
  <si>
    <t>400 W Hg-lamp</t>
  </si>
  <si>
    <t>400 W Hg-lamp, Pt, 14% CH3OH</t>
  </si>
  <si>
    <t>Immm</t>
  </si>
  <si>
    <t>Pbnm</t>
  </si>
  <si>
    <t>P4/mbm</t>
  </si>
  <si>
    <t>JCPD 49e0609</t>
  </si>
  <si>
    <t>JCPD 49e0607</t>
  </si>
  <si>
    <t>JCPDS 84-0843</t>
  </si>
  <si>
    <t>JCPDS 54-0818</t>
  </si>
  <si>
    <t>JCPDS 54-0819</t>
  </si>
  <si>
    <t>JCPDS 54-0124</t>
  </si>
  <si>
    <t>PDF#51-1876</t>
  </si>
  <si>
    <t>PDF#52-1863</t>
  </si>
  <si>
    <t>P212121</t>
  </si>
  <si>
    <t>P42212</t>
  </si>
  <si>
    <t>451 W Hg-lamp. 14% CH3OH</t>
  </si>
  <si>
    <t>452 W Hg-lamp. 14% CH3OH</t>
  </si>
  <si>
    <t>453 W Hg-lamp. 14% CH3OH</t>
  </si>
  <si>
    <t>454 W Hg-lamp. 14% CH3OH</t>
  </si>
  <si>
    <t>455 W Hg-lamp. 14% CH3OH</t>
  </si>
  <si>
    <t>456 W Hg-lamp. 14% CH3OH</t>
  </si>
  <si>
    <t>457 W Hg-lamp. 14% CH3OH</t>
  </si>
  <si>
    <t>458 W Hg-lamp. 14% CH3OH</t>
  </si>
  <si>
    <t>https://www.wellesu.com/10.1016/0025-5408(81)90063-5</t>
  </si>
  <si>
    <t>https://www.crystallography.net/cod/1518045.html</t>
  </si>
  <si>
    <t>https://www.wellesu.com/10.1016/0025-5408(90)90035-z</t>
  </si>
  <si>
    <t>https://www.wellesu.com/10.1016/0025-5408(87)90060-2</t>
  </si>
  <si>
    <t>Related links</t>
  </si>
  <si>
    <t>10.1016/0025-5408(87)90060-2 </t>
  </si>
  <si>
    <t>https://sci-hub.ru/10.1016/0025-5408(81)90063-5</t>
  </si>
  <si>
    <t xml:space="preserve">https://sci-hub.ru/10.1016/0025-5408(81)90063-5; https://sci-hub.ru/10.1021/ic00217a006; </t>
  </si>
  <si>
    <t>Pmaa</t>
  </si>
  <si>
    <t>Processed</t>
  </si>
  <si>
    <t>Imma</t>
  </si>
  <si>
    <t>Ia1/acd</t>
  </si>
  <si>
    <t>https://next-gen.materialsproject.org/materials/mp-1178119</t>
  </si>
  <si>
    <t>cubic</t>
  </si>
  <si>
    <t>tetragonal</t>
  </si>
  <si>
    <t>Пространственная группа симметрии</t>
  </si>
  <si>
    <t>SEM/TEM фотографии (размер частиц)</t>
  </si>
  <si>
    <t>Materials Project ID</t>
  </si>
  <si>
    <t>mp-560692</t>
  </si>
  <si>
    <t>mp-1223501</t>
  </si>
  <si>
    <t>mp-553965</t>
  </si>
  <si>
    <t>mp-553248</t>
  </si>
  <si>
    <t>mp-557195</t>
  </si>
  <si>
    <t>mp-20396</t>
  </si>
  <si>
    <t>mp-581330</t>
  </si>
  <si>
    <t>mp-1245098</t>
  </si>
  <si>
    <t>mp-541600</t>
  </si>
  <si>
    <t>mp-554038</t>
  </si>
  <si>
    <t>mp-17715</t>
  </si>
  <si>
    <t>mp-676339</t>
  </si>
  <si>
    <t>mp-556848</t>
  </si>
  <si>
    <t>mp-554675</t>
  </si>
  <si>
    <t>mp-23611</t>
  </si>
  <si>
    <t>mp-555616</t>
  </si>
  <si>
    <t>mp-23614</t>
  </si>
  <si>
    <t>mp-555867</t>
  </si>
  <si>
    <t>mp-23101</t>
  </si>
  <si>
    <t>mp-3349</t>
  </si>
  <si>
    <t>mp-19845</t>
  </si>
  <si>
    <t>mp-561133</t>
  </si>
  <si>
    <t>mp-3563</t>
  </si>
  <si>
    <t>mp-1228245</t>
  </si>
  <si>
    <t>mp-3249</t>
  </si>
  <si>
    <t>mp-1228150</t>
  </si>
  <si>
    <t>mp-6548</t>
  </si>
  <si>
    <t>mp-31213</t>
  </si>
  <si>
    <t>mp-4423</t>
  </si>
  <si>
    <t>mp-4155</t>
  </si>
  <si>
    <t>mp-15590</t>
  </si>
  <si>
    <t>mp-1218821</t>
  </si>
  <si>
    <t>mp-1179025</t>
  </si>
  <si>
    <t>mp-13664</t>
  </si>
  <si>
    <t>mp-1180047</t>
  </si>
  <si>
    <t>mp-5532</t>
  </si>
  <si>
    <t>mp-1217452</t>
  </si>
  <si>
    <t>mp-554500</t>
  </si>
  <si>
    <t>mp-1104930</t>
  </si>
  <si>
    <t>mp-6259</t>
  </si>
  <si>
    <t>mp-3614</t>
  </si>
  <si>
    <t>mp-990430</t>
  </si>
  <si>
    <t>mp-31760</t>
  </si>
  <si>
    <t>mp-1197485</t>
  </si>
  <si>
    <t>mp-559482</t>
  </si>
  <si>
    <t>mp-1216832</t>
  </si>
  <si>
    <t>mp-23423</t>
  </si>
  <si>
    <t>mp-1227554</t>
  </si>
  <si>
    <t>mp-22939</t>
  </si>
  <si>
    <t>mp-23630</t>
  </si>
  <si>
    <t>mp-1198841</t>
  </si>
  <si>
    <t>mp-558314</t>
  </si>
  <si>
    <t>mp-554207</t>
  </si>
  <si>
    <t>mp-1220741</t>
  </si>
  <si>
    <t>mp-774479</t>
  </si>
  <si>
    <t>mp-1205881</t>
  </si>
  <si>
    <t>mp-1222828</t>
  </si>
  <si>
    <t>mp-22720</t>
  </si>
  <si>
    <t>mp-6000</t>
  </si>
  <si>
    <t>mp-555785</t>
  </si>
  <si>
    <t>mp-15201</t>
  </si>
  <si>
    <t>mp-6680</t>
  </si>
  <si>
    <t>mp-754345</t>
  </si>
  <si>
    <t>mp-676280</t>
  </si>
  <si>
    <t>mp-10347</t>
  </si>
  <si>
    <t>mp-504554</t>
  </si>
  <si>
    <t>mp-769297</t>
  </si>
  <si>
    <t>mp-640836</t>
  </si>
  <si>
    <t>mp-1245015</t>
  </si>
  <si>
    <t>mp-1021511</t>
  </si>
  <si>
    <t>mp-1244890</t>
  </si>
  <si>
    <t>mp-769246</t>
  </si>
  <si>
    <t>mp-560165</t>
  </si>
  <si>
    <t>mp-505814</t>
  </si>
  <si>
    <t>mp-9406</t>
  </si>
  <si>
    <t>mp-6144</t>
  </si>
  <si>
    <t>mp-6119</t>
  </si>
  <si>
    <t>mp-1223975</t>
  </si>
  <si>
    <t>mp-1223520</t>
  </si>
  <si>
    <t>mp-3442</t>
  </si>
  <si>
    <t>10.1016/j.physb.2017.09.060</t>
  </si>
  <si>
    <t>10.1021/cm302480h</t>
  </si>
  <si>
    <t>COD_ID</t>
  </si>
  <si>
    <t>1001842</t>
  </si>
  <si>
    <t>1545643</t>
  </si>
  <si>
    <t>2004917</t>
  </si>
  <si>
    <t>1521061</t>
  </si>
  <si>
    <t>2238958</t>
  </si>
  <si>
    <t>1518045</t>
  </si>
  <si>
    <t>1010942</t>
  </si>
  <si>
    <t>2002339</t>
  </si>
  <si>
    <t>1534928</t>
  </si>
  <si>
    <t>1537578</t>
  </si>
  <si>
    <t>1525923</t>
  </si>
  <si>
    <t>1521923</t>
  </si>
  <si>
    <t>1525921</t>
  </si>
  <si>
    <t>1531753</t>
  </si>
  <si>
    <t>7221049</t>
  </si>
  <si>
    <t>1531664</t>
  </si>
  <si>
    <t>1533576</t>
  </si>
  <si>
    <t>1530317</t>
  </si>
  <si>
    <t>1011028</t>
  </si>
  <si>
    <t>8101224</t>
  </si>
  <si>
    <t>7039788</t>
  </si>
  <si>
    <t>1526777</t>
  </si>
  <si>
    <t>1526720</t>
  </si>
  <si>
    <t>1001022</t>
  </si>
  <si>
    <t>1011128</t>
  </si>
  <si>
    <t>2002850</t>
  </si>
  <si>
    <t>1528445</t>
  </si>
  <si>
    <t>2106523</t>
  </si>
  <si>
    <t>1010093</t>
  </si>
  <si>
    <t>1517788</t>
  </si>
  <si>
    <t>1522043</t>
  </si>
  <si>
    <t>1521427</t>
  </si>
  <si>
    <t>1528730</t>
  </si>
  <si>
    <t>2229871</t>
  </si>
  <si>
    <t>7221013</t>
  </si>
  <si>
    <t>2102087</t>
  </si>
  <si>
    <t>1544411</t>
  </si>
  <si>
    <t>1528814</t>
  </si>
  <si>
    <t>7213033</t>
  </si>
  <si>
    <t>1533740</t>
  </si>
  <si>
    <t>1529003</t>
  </si>
  <si>
    <t>1525625</t>
  </si>
  <si>
    <t>1531494</t>
  </si>
  <si>
    <t>1011175</t>
  </si>
  <si>
    <t>1529527</t>
  </si>
  <si>
    <t>7221321</t>
  </si>
  <si>
    <t>1544432</t>
  </si>
  <si>
    <t>1522041</t>
  </si>
  <si>
    <t>1509430</t>
  </si>
  <si>
    <t>1526803</t>
  </si>
  <si>
    <t>1509663</t>
  </si>
  <si>
    <t>2002197</t>
  </si>
  <si>
    <t>1522042</t>
  </si>
  <si>
    <t>1531051</t>
  </si>
  <si>
    <t>1521385</t>
  </si>
  <si>
    <t>2106435</t>
  </si>
  <si>
    <t>1001030</t>
  </si>
  <si>
    <t>1001177</t>
  </si>
  <si>
    <t>7039790</t>
  </si>
  <si>
    <t>1011258</t>
  </si>
  <si>
    <t>1011054</t>
  </si>
  <si>
    <t>1011195</t>
  </si>
  <si>
    <t>1004051</t>
  </si>
  <si>
    <t>1526807</t>
  </si>
  <si>
    <t>1544433</t>
  </si>
  <si>
    <t>2007573</t>
  </si>
  <si>
    <t>1522039</t>
  </si>
  <si>
    <t>4101345</t>
  </si>
  <si>
    <t>1000022</t>
  </si>
  <si>
    <t>Dopant</t>
  </si>
  <si>
    <t>N</t>
  </si>
  <si>
    <t>Sn0.45K0.2H0.9La2Ti3O10</t>
  </si>
  <si>
    <t>Co</t>
  </si>
  <si>
    <t>Cs0.03Na0.91Ca1.97Ta3O10</t>
  </si>
  <si>
    <t>Cs0.03Na0.1H0.87Ca2.11Ta3O10</t>
  </si>
  <si>
    <t>1.86 H2O</t>
  </si>
  <si>
    <t>0.38 H2O</t>
  </si>
  <si>
    <t>mp-1221096</t>
  </si>
  <si>
    <t>Hill formula</t>
  </si>
  <si>
    <t>K4 Nb6 O17</t>
  </si>
  <si>
    <t>K La Nb2 O7</t>
  </si>
  <si>
    <t>La Nb2 O7 Rb</t>
  </si>
  <si>
    <t>Cs La Nb2 O7</t>
  </si>
  <si>
    <t>Ca2 K Nb3 O10</t>
  </si>
  <si>
    <t>Ca2 Nb3 O10 Rb</t>
  </si>
  <si>
    <t>Ca2 Cs Nb3 O10</t>
  </si>
  <si>
    <t>K Nb3 O10 Sr2</t>
  </si>
  <si>
    <t>Ca2 K Na Nb4 O13</t>
  </si>
  <si>
    <t>O2 Ti</t>
  </si>
  <si>
    <t>La O7 Rb Ta2</t>
  </si>
  <si>
    <t>O7 Pr Rb Ta2</t>
  </si>
  <si>
    <t>Nd O7 Rb Ta2</t>
  </si>
  <si>
    <t>O7 Rb Sm Ta2</t>
  </si>
  <si>
    <t>Ca O6 Ta2</t>
  </si>
  <si>
    <t>O6 Sr Ta2</t>
  </si>
  <si>
    <t>Ba O6 Ta2</t>
  </si>
  <si>
    <t>Bi2 Ca O9 Ta2</t>
  </si>
  <si>
    <t>Bi2 O9 Sr Ta2</t>
  </si>
  <si>
    <t>Ba Bi2 O9 Ta2</t>
  </si>
  <si>
    <t>Bi2 Ca Nb2 O9</t>
  </si>
  <si>
    <t>Bi2 Nb2 O9 Sr</t>
  </si>
  <si>
    <t>Ba Bi2 Nb2 O9</t>
  </si>
  <si>
    <t>Bi2 Nb2 O9 Pb</t>
  </si>
  <si>
    <t>Bi4 Ca O15 Ti4</t>
  </si>
  <si>
    <t>Bi4 O15 Pb Ti4</t>
  </si>
  <si>
    <t>O7 Sr3 Ti2</t>
  </si>
  <si>
    <t>O3 Pb Ti</t>
  </si>
  <si>
    <t>Nb4 O15 Sr5</t>
  </si>
  <si>
    <t>Ba5 Nb4 O15</t>
  </si>
  <si>
    <t>Ca La4 O15 Ti4</t>
  </si>
  <si>
    <t>Ba La4 O15 Ti4</t>
  </si>
  <si>
    <t>La4 O12 Ti3</t>
  </si>
  <si>
    <t>La4 O15 Sr Ti4</t>
  </si>
  <si>
    <t>Ba3 La Nb3 O12</t>
  </si>
  <si>
    <t>K2 La2 O10 Ti3</t>
  </si>
  <si>
    <t>O10 Sr4 Ti3</t>
  </si>
  <si>
    <t>La2 O7 Ti2</t>
  </si>
  <si>
    <t>Ca La4 O17 Ti5</t>
  </si>
  <si>
    <t>Ca2 Nb2 O7</t>
  </si>
  <si>
    <t>Nb2 O7 Sr2</t>
  </si>
  <si>
    <t>Fe O6 Sn Sr2</t>
  </si>
  <si>
    <t>Bi4 O12 Ti3</t>
  </si>
  <si>
    <t>Bi2 O10 Ti3</t>
  </si>
  <si>
    <t>O7 Sr2 Ta2</t>
  </si>
  <si>
    <t>Ni O</t>
  </si>
  <si>
    <t>O17 Rb4 Ta6</t>
  </si>
  <si>
    <t>Nb6 O17 Rb4</t>
  </si>
  <si>
    <t>O4 Sr2 Ti</t>
  </si>
  <si>
    <t>Ca2 Cs O10 Ta3</t>
  </si>
  <si>
    <t>Bi5 Fe O15 Ti3</t>
  </si>
  <si>
    <t>Bi4 Fe La O15 Ti3</t>
  </si>
  <si>
    <t>Bi3 Fe La2 O15 Ti3</t>
  </si>
  <si>
    <t>Bi2 O6 W</t>
  </si>
  <si>
    <t>K La O4 Ti</t>
  </si>
  <si>
    <t>K La O4 Zr</t>
  </si>
  <si>
    <t>Li2 O7 Sr Ta2</t>
  </si>
  <si>
    <t>K O3 Ta</t>
  </si>
  <si>
    <t>H2 O7 Sr Ta2</t>
  </si>
  <si>
    <t>Ca2 Na2 Nb4 O13</t>
  </si>
  <si>
    <t>Fe O6 Sr2 Ta</t>
  </si>
  <si>
    <t>Fe O8 Sr3 Ta</t>
  </si>
  <si>
    <t>Fe O9 Sr4 Ta</t>
  </si>
  <si>
    <t>Bi2 O9 W2</t>
  </si>
  <si>
    <t>Bi14 O27 W2</t>
  </si>
  <si>
    <t>Bi2 O7 Ti2</t>
  </si>
  <si>
    <t>Bi3 Nb O9 Ti</t>
  </si>
  <si>
    <t>Bi2 Mo O6</t>
  </si>
  <si>
    <t>Ba Bi4 O15 Ti4</t>
  </si>
  <si>
    <t>Bi4 Cl Nb8 O</t>
  </si>
  <si>
    <t>Bi Cl O</t>
  </si>
  <si>
    <t>Bi4 Cl Nb O8</t>
  </si>
  <si>
    <t>Bi4 Br Nb O8</t>
  </si>
  <si>
    <t>Bi4 Cl O8 Ta</t>
  </si>
  <si>
    <t>Bi4 Br O8 Ta</t>
  </si>
  <si>
    <t>H La O7 Ta2</t>
  </si>
  <si>
    <t>La Na O7 Ta2</t>
  </si>
  <si>
    <t>Cs La O7 Ta2</t>
  </si>
  <si>
    <t>H O7 Pr Ta2</t>
  </si>
  <si>
    <t>Na O7 Pr Ta2</t>
  </si>
  <si>
    <t>Cs O7 Pr Ta2</t>
  </si>
  <si>
    <t>H Nd O7 Ta2</t>
  </si>
  <si>
    <t>Na Nd O7 Ta2</t>
  </si>
  <si>
    <t>Cs Nd O7 Ta2</t>
  </si>
  <si>
    <t>H O7 Sm Ta2</t>
  </si>
  <si>
    <t>Na O7 Sm Ta2</t>
  </si>
  <si>
    <t>Cs O7 Sm Ta2</t>
  </si>
  <si>
    <t>Ca2 Li O10 Ta3</t>
  </si>
  <si>
    <t>Ca2 H Nb3 O10</t>
  </si>
  <si>
    <t>H Nb3 O10 Sr2</t>
  </si>
  <si>
    <t>H La Nb2 O7</t>
  </si>
  <si>
    <t>K Nb2 O10 Sr2 Ta</t>
  </si>
  <si>
    <t>K Nb O10 Sr2 Ta</t>
  </si>
  <si>
    <t>K Nb O10 Sr2 Ta2</t>
  </si>
  <si>
    <t>K O10 Sr2 Ta3</t>
  </si>
  <si>
    <t>H Nb2 O10 Sr2 Ta</t>
  </si>
  <si>
    <t>H Nb O10 Sr2 Ta</t>
  </si>
  <si>
    <t>H Nb O10 Sr2 Ta2</t>
  </si>
  <si>
    <t>H O10 Sr2 Ta3</t>
  </si>
  <si>
    <t>La Na Nb2 Ni O9 Sr</t>
  </si>
  <si>
    <t>Cs La Nb2 Ni O9 Sr</t>
  </si>
  <si>
    <t>H La Nb2 Ni O9 Sr</t>
  </si>
  <si>
    <t>Ca4 H2 Nb6 O20</t>
  </si>
  <si>
    <t>Ca4 H2 Nb4 O20 Ta2</t>
  </si>
  <si>
    <t>Ca4 H2 Nb3 O20 Ta3</t>
  </si>
  <si>
    <t>Ca4 H2 Nb2 O20 Ta4</t>
  </si>
  <si>
    <t>Ca4 H2 O20 Ta6</t>
  </si>
  <si>
    <t>Ag La Nb2 O7</t>
  </si>
  <si>
    <t>Ag Ca2 Nb3 O10</t>
  </si>
  <si>
    <t>Nb3 O10 Rb Sr2</t>
  </si>
  <si>
    <t>Ag Nb3 O10 Sr2</t>
  </si>
  <si>
    <t>La2 O10 Rb2 Ti3</t>
  </si>
  <si>
    <t>Ag2 La2 O10 Ti3</t>
  </si>
  <si>
    <t>Ba2 K O10 Ta3</t>
  </si>
  <si>
    <t>La Nd O7 Ti2</t>
  </si>
  <si>
    <t>Nd2 O7 Ti2</t>
  </si>
  <si>
    <t>O7 Pr2 Ti2</t>
  </si>
  <si>
    <t>La O7 Pr Ti2</t>
  </si>
  <si>
    <t>Ca2 O10 Rb Ta3</t>
  </si>
  <si>
    <t>Li O3 Ta</t>
  </si>
  <si>
    <t>Na O3 Ta</t>
  </si>
  <si>
    <t>H Nb3 O10 Pb2</t>
  </si>
  <si>
    <t>Ba5 O15 Ta4</t>
  </si>
  <si>
    <t>O15 Sr5 Ta4</t>
  </si>
  <si>
    <t>Ca2 H Nb2 O10 Ta</t>
  </si>
  <si>
    <t>Na2 O6 Ta2</t>
  </si>
  <si>
    <t>K2 O6 Ta2</t>
  </si>
  <si>
    <t>Ca2 O7 Ta2</t>
  </si>
  <si>
    <t>Ba5 Nb2 O15 Ta2</t>
  </si>
  <si>
    <t>O Zn</t>
  </si>
  <si>
    <t>Cd S</t>
  </si>
  <si>
    <t>S Zn</t>
  </si>
  <si>
    <t>O9 Sr4 Ta2</t>
  </si>
  <si>
    <t>Bi2 Cu O4</t>
  </si>
  <si>
    <t>Ba2 Cs Nb3 O10</t>
  </si>
  <si>
    <t>Ba2 H Nb3 O10</t>
  </si>
  <si>
    <t>La2 Li2 O10 Ti3</t>
  </si>
  <si>
    <t>La2 Na2 O10 Ti3</t>
  </si>
  <si>
    <t>Li2 Nd2 O10 Ti3</t>
  </si>
  <si>
    <t>Na2 Nd2 O10 Ti3</t>
  </si>
  <si>
    <t>K2 Nd2 O10 Ti3</t>
  </si>
  <si>
    <t>Ca2 Nb2 O10 Ta</t>
  </si>
  <si>
    <t>Ca H Nb3 O10 Sr</t>
  </si>
  <si>
    <t>Ca K Nb3 O10 Sr</t>
  </si>
  <si>
    <t>H4 Nb6 O17</t>
  </si>
  <si>
    <t>Ca2 K O10 Ta3</t>
  </si>
  <si>
    <t>Ba2 Cs O10 Ta3</t>
  </si>
  <si>
    <t>H La O4 Ti</t>
  </si>
  <si>
    <t>H Nd O4 Ti</t>
  </si>
  <si>
    <t>H2 La2 O10 Ti3</t>
  </si>
  <si>
    <t>Li Nd O7 Ta2</t>
  </si>
  <si>
    <t>K Nd O7 Ta2</t>
  </si>
  <si>
    <t>H La2 O10 Ti3</t>
  </si>
  <si>
    <t>H2 Nd2 O10 Ti3</t>
  </si>
  <si>
    <t>Ca O3 Ti</t>
  </si>
  <si>
    <t>Bi3 Cl O11 Sr2 Ta2</t>
  </si>
  <si>
    <t>Bi3 Cl O11 Pb Sr Ta2</t>
  </si>
  <si>
    <t>Ba2 Bi3 Cl O11 Ta2</t>
  </si>
  <si>
    <t>Ba Bi3 Cl O11 Pb Ta2</t>
  </si>
  <si>
    <t>Bi4 Cl O11 Sr Ta Ti</t>
  </si>
  <si>
    <t>Ba Bi4 Cl O11 Ta Ti</t>
  </si>
  <si>
    <t>Bi4 Cl O11 Pb Ta Ti</t>
  </si>
  <si>
    <t>Bi3 Cl Nb2 O11 Sr2</t>
  </si>
  <si>
    <t>Bi3 Cl Nb2 O11 Pb Sr</t>
  </si>
  <si>
    <t>Ba2 Bi3 Cl Nb2 O11</t>
  </si>
  <si>
    <t>Ba Bi3 Cl Nb2 O11 Pb</t>
  </si>
  <si>
    <t>Bi4 Cl Nb O11 Sr Ti</t>
  </si>
  <si>
    <t>Ba Bi4 Cl Nb O11 Ti</t>
  </si>
  <si>
    <t>Bi4 Cl Nb O11 Pb Ti</t>
  </si>
  <si>
    <t>1 C6H13NH2</t>
  </si>
  <si>
    <t>HCa2Ta3O10</t>
  </si>
  <si>
    <t>K2SrTa2O7</t>
  </si>
  <si>
    <t>Rb2SrTa2O7</t>
  </si>
  <si>
    <t>LaTa3O9</t>
  </si>
  <si>
    <t>La O9 Ta3</t>
  </si>
  <si>
    <t>mp-5308</t>
  </si>
  <si>
    <t>K6 La2 O21 Ta6</t>
  </si>
  <si>
    <t>H6 La2 O21 Ta6</t>
  </si>
  <si>
    <t>Pt</t>
  </si>
  <si>
    <t>K6La2Ta6O21</t>
  </si>
  <si>
    <t>H6La2Ta6O21</t>
  </si>
  <si>
    <t>Sr2Nb0.1Ta0.9O7</t>
  </si>
  <si>
    <t>Cu2 La2 O10 Ti3</t>
  </si>
  <si>
    <t>Cu2.76 K1.24 Nb6 O17</t>
  </si>
  <si>
    <t>Cu0.65 K0.35 La Nb2 O7</t>
  </si>
  <si>
    <t>Ca2 Cu0.1 O10 Rb0.9 Ta3</t>
  </si>
  <si>
    <t>Cu0.02 Li0.98 O3 Ta</t>
  </si>
  <si>
    <t>Cu0.09 Na0.91 O3 Ta</t>
  </si>
  <si>
    <t>H1.8Pb2Nb2.6Cr0.4O10</t>
  </si>
  <si>
    <t>H1.8 Cr0.4 Nb2.6 O10 Pb2</t>
  </si>
  <si>
    <t>PbS</t>
  </si>
  <si>
    <t>Bi2 Nb1.8 O9 Pb W0.2</t>
  </si>
  <si>
    <t>Bi2 Nb1.85 O9 Pb W0.15</t>
  </si>
  <si>
    <t>Bi2 Nb1.9 O9 Pb W0.1</t>
  </si>
  <si>
    <t>Bi2 Nb1.9 O9 Pb Ti0.1</t>
  </si>
  <si>
    <t>Dopant, wt%</t>
  </si>
  <si>
    <t>Ca1.5 K0.5 La0.5 Nb3 O10</t>
  </si>
  <si>
    <t>Bi0.25 Ca0.75 K0.5 La0.25 Nb3 O10 Pb0.75</t>
  </si>
  <si>
    <t>Sr1.8La0.2TiO4</t>
  </si>
  <si>
    <t>Sr1.7La0.3TiO4</t>
  </si>
  <si>
    <t>Sr1.6La0.4TiO4</t>
  </si>
  <si>
    <t>Sr1.5La0.5TiO4</t>
  </si>
  <si>
    <t>ZnS, PbS</t>
  </si>
  <si>
    <t>CuO</t>
  </si>
  <si>
    <t>CsSr1.5Ba0.5Ta3O10</t>
  </si>
  <si>
    <t>Rh</t>
  </si>
  <si>
    <t>La2Ti3O7</t>
  </si>
  <si>
    <t>Interlayer space composition</t>
  </si>
  <si>
    <t>H0.9 K0.2 La2 O10 Sn0.45 Ti3</t>
  </si>
  <si>
    <t>La0.1 O4 Sr1.9 Ti</t>
  </si>
  <si>
    <t>La0.2 O4 Sr1.8 Ti</t>
  </si>
  <si>
    <t>La0.3 O4 Sr1.7 Ti</t>
  </si>
  <si>
    <t>La0.4 O4 Sr1.6 Ti</t>
  </si>
  <si>
    <t>La0.5 O4 Sr1.5 Ti</t>
  </si>
  <si>
    <t>Ca1.97 Cs0.03 Na0.91 O10 Ta3</t>
  </si>
  <si>
    <t>H0.87 Ca2.11 Cs0.03 Na0.1 O10 Ta3</t>
  </si>
  <si>
    <t>H Ca2 O10 Ta3</t>
  </si>
  <si>
    <t>K La O4 Ti0.9 Zr0.1</t>
  </si>
  <si>
    <t>K La O4 Ti0.7 Zr0.3</t>
  </si>
  <si>
    <t>K La O4 Ti0.5 Zr0.5</t>
  </si>
  <si>
    <t>K La O4 Ti0.3 Zr0.7</t>
  </si>
  <si>
    <t>Fe0.1 K2 La2 O10 Ti2.9</t>
  </si>
  <si>
    <t>Fe0.2 K2 La2 O10 Ti2.8</t>
  </si>
  <si>
    <t>Fe0.3 K2 La2 O10 Ti2.7</t>
  </si>
  <si>
    <t>Fe0.4 K2 La2 O10 Ti2.6</t>
  </si>
  <si>
    <t>Fe0.5 K2 La2 O10 Ti2.5</t>
  </si>
  <si>
    <t>K2 La2 O10 Ti2.8 W0.2</t>
  </si>
  <si>
    <t>K2 La2 Ni0.2 O10 Ti2.8</t>
  </si>
  <si>
    <t>K2 O7 Sr Ta2</t>
  </si>
  <si>
    <t>O7 Rb2 Sr Ta2</t>
  </si>
  <si>
    <t>K2 O10 Sr1.5 Ta3</t>
  </si>
  <si>
    <t>K2.33Sr0.67Nb5O14.335</t>
  </si>
  <si>
    <t>H2.33Sr0.67Nb5O14.335</t>
  </si>
  <si>
    <t>K2.33 Nb5 O14.335 Sr0.67</t>
  </si>
  <si>
    <t>H2.33 Nb5 O14.335 Sr0.67</t>
  </si>
  <si>
    <t>Bi2 K0.5 La0.5 O9 Ta2</t>
  </si>
  <si>
    <t xml:space="preserve">Bi2 K0.5 La0.5 Nb2 O9 </t>
  </si>
  <si>
    <t>H1.9 Bi0.1 K0.3 La0.5 O7 Ta2</t>
  </si>
  <si>
    <t>H1.6 Bi0.1 K0.2 La0.3 Nb2 O6.5</t>
  </si>
  <si>
    <t>Bi0.2 Ca0.8 H1.8 O7 Ta2</t>
  </si>
  <si>
    <t>Bi0.2 H1.8 O7 Sr Ta2</t>
  </si>
  <si>
    <t>Ba0.8 Bi0.1 H1.9 O7 Ta2</t>
  </si>
  <si>
    <t>Bi0.1 H1.9 K0.3 La0.5 O7 Ta2</t>
  </si>
  <si>
    <t>Nb0.05 O7 Sr2 Ta0.95</t>
  </si>
  <si>
    <t>Nb0.1 O7 Sr2 Ta0.9</t>
  </si>
  <si>
    <t>Nb0.15 O7 Sr2 Ta0.85</t>
  </si>
  <si>
    <t>Nb0.25 O7 Sr2 Ta0.75</t>
  </si>
  <si>
    <t>Nb0.35 O7 Sr2 Ta0.65</t>
  </si>
  <si>
    <t>Nb0.5 O7 Sr2 Ta0.5</t>
  </si>
  <si>
    <t>Nb0.8 O7 Sr2 Ta0.2</t>
  </si>
  <si>
    <t>H0.98 La Mo0.02 Nb1.98 O7</t>
  </si>
  <si>
    <t>H0.95 La Mo0.05 Nb1.95 O7</t>
  </si>
  <si>
    <t>H0.85 La Mo0.15 Nb1.85 O7</t>
  </si>
  <si>
    <t>Fe0.02 La1.98 O7 Ti2</t>
  </si>
  <si>
    <t>Cr0.02 La1.98 O7 Ti2</t>
  </si>
  <si>
    <t>Cd0.9 Zn0.1</t>
  </si>
  <si>
    <t>Cd0.7 Zn0.3</t>
  </si>
  <si>
    <t>Cd0.5 Zn0.5</t>
  </si>
  <si>
    <t>Cd0.3 Zn0.7</t>
  </si>
  <si>
    <t>Cd0.1 Zn0.9</t>
  </si>
  <si>
    <t>Ba0.5 Cs O10 Sr1.5 Ta3</t>
  </si>
  <si>
    <t>N, Nb4+</t>
  </si>
  <si>
    <t>Ca1.5 H Nb3 O10 Sr0.5</t>
  </si>
  <si>
    <t>Ca0.5 H Nb3 O10 Sr1.5</t>
  </si>
  <si>
    <t>Ca2 H Nb2.7 O10 Ta0.3</t>
  </si>
  <si>
    <t>Ca2 H Nb1.5 O10 Ta1.5</t>
  </si>
  <si>
    <t>Cs0.67 O4 Ti1.83</t>
  </si>
  <si>
    <t>HRbLa2Ti3O10</t>
  </si>
  <si>
    <t>H1.5Rb0.5La2Ti3O10</t>
  </si>
  <si>
    <t>H La2 O10 Rb Ti3</t>
  </si>
  <si>
    <t>H1.5 La2 O10 Rb0.5 Ti3</t>
  </si>
  <si>
    <t>Eu0.6 Gd1.4 K2 O10 Ti3</t>
  </si>
  <si>
    <t>Eu0.6 Gd1.4 H2 O10 Ti3</t>
  </si>
  <si>
    <t>La0.7 O7 Rb Ta2 Tb0.3</t>
  </si>
  <si>
    <t>La0.7 O7 Ta2 Tb0.3</t>
  </si>
  <si>
    <t>La3 Ni2 O6.92</t>
  </si>
  <si>
    <t>La3 Ni2 O6.35</t>
  </si>
  <si>
    <t>La0.33 Nb O3</t>
  </si>
  <si>
    <t>La0.33 O3 Ta</t>
  </si>
  <si>
    <t>In</t>
  </si>
  <si>
    <t>Допант</t>
  </si>
  <si>
    <t>Кол-во образцов</t>
  </si>
  <si>
    <t>С допантом</t>
  </si>
  <si>
    <t>Без допанта</t>
  </si>
  <si>
    <t>194 MP_ID (52 нет в COD)</t>
  </si>
  <si>
    <t>148 COD_ID (6 нет в MP)</t>
  </si>
  <si>
    <t>Materials Project</t>
  </si>
  <si>
    <t>Crystallography Open Database</t>
  </si>
  <si>
    <t>Без ID</t>
  </si>
  <si>
    <t>K0.5La0.5Ca0.75Pn0.75Nb3O10</t>
  </si>
  <si>
    <t>Ca0.75 K0.5 La0.5 Nb3 O10 Pb0.75</t>
  </si>
  <si>
    <t xml:space="preserve">C H5 N Nb3 O20 Sr2 </t>
  </si>
  <si>
    <t>H Nb3 O19 Sr2</t>
  </si>
  <si>
    <t xml:space="preserve">C H6 N Nb3 O19 Sr2 </t>
  </si>
  <si>
    <t xml:space="preserve">C8 H20 N Nb3 O19 Sr2 </t>
  </si>
  <si>
    <t xml:space="preserve">C6 H16 N Nb3 O19 Sr2 </t>
  </si>
  <si>
    <t xml:space="preserve">C4 H12 N Nb3 O19 Sr2 </t>
  </si>
  <si>
    <t xml:space="preserve">C3 H10 N Nb3 O19 Sr2 </t>
  </si>
  <si>
    <t xml:space="preserve">C2 H8 N Nb3 O19 Sr2 </t>
  </si>
  <si>
    <t xml:space="preserve">C2 H7 N Nb3 O20 Sr2 </t>
  </si>
  <si>
    <t xml:space="preserve">C3 H9 N Nb3 O20 Sr2 </t>
  </si>
  <si>
    <t xml:space="preserve">C4 H11 N Nb3 O20 Sr2 </t>
  </si>
  <si>
    <t xml:space="preserve">C6 H15 N Nb3 O20 Sr2 </t>
  </si>
  <si>
    <t xml:space="preserve">C8 H19 N Nb3 O20 Sr2 </t>
  </si>
  <si>
    <t>Ca2 K Na2 Nb5 O16</t>
  </si>
  <si>
    <t>Ca2 K Na3 Nb6 O19</t>
  </si>
  <si>
    <t>KNaCa2Nb4O13</t>
  </si>
  <si>
    <t>KNa2Ca2Nb5O16</t>
  </si>
  <si>
    <t>KNa3Ca2Nb6O19</t>
  </si>
  <si>
    <t>H6 C La N O4 Ti</t>
  </si>
  <si>
    <t>H8 C2 La N O4 Ti</t>
  </si>
  <si>
    <t>H10 C3 La N O4 Ti</t>
  </si>
  <si>
    <t>H12 C4 La N O4 Ti</t>
  </si>
  <si>
    <t>H20 C8 La N O4 Ti</t>
  </si>
  <si>
    <t>H16 C6 La N O4 Ti</t>
  </si>
  <si>
    <t>H19 C8 La O5 Ti</t>
  </si>
  <si>
    <t>H15 C6 La O5 Ti</t>
  </si>
  <si>
    <t>H11 C4 La O5 Ti</t>
  </si>
  <si>
    <t>H9 C3 La O5 Ti</t>
  </si>
  <si>
    <t>H7 C2 La O5 Ti</t>
  </si>
  <si>
    <t>H5 C La O5 Ti</t>
  </si>
  <si>
    <t>H6 C Nd N O4 Ti</t>
  </si>
  <si>
    <t>H8 C2 Nd N O4 Ti</t>
  </si>
  <si>
    <t>H10 C3 Nd N O4 Ti</t>
  </si>
  <si>
    <t>H12 C4 Nd N O4 Ti</t>
  </si>
  <si>
    <t>H16 C6 Nd N O4 Ti</t>
  </si>
  <si>
    <t>H20 C8 Nd N O4 Ti</t>
  </si>
  <si>
    <t>H5 C Nd O5 Ti</t>
  </si>
  <si>
    <t>H7 C2 Nd O5 Ti</t>
  </si>
  <si>
    <t>H9 C3 Nd O5 Ti</t>
  </si>
  <si>
    <t>H11 C4 Nd O5 Ti</t>
  </si>
  <si>
    <t>H15 C6 Nd O5 Ti</t>
  </si>
  <si>
    <t>H19 C8 Nd O5 Ti</t>
  </si>
  <si>
    <t>C Ca2 H5 Nb3 O10</t>
  </si>
  <si>
    <t>C2 Ca2 H7 Nb3 O10</t>
  </si>
  <si>
    <t>C3 Ca2 H9 Nb3 O10</t>
  </si>
  <si>
    <t>C4 Ca2 H11 Nb3 O10</t>
  </si>
  <si>
    <t>C6 Ca2 H15 Nb3 O10</t>
  </si>
  <si>
    <t>C8 Ca2 H19 Nb3 O10</t>
  </si>
  <si>
    <t>C4 H12 Ca2 N Nb3 O10</t>
  </si>
  <si>
    <t>C2 H7 Ca2 Nb3 O11</t>
  </si>
  <si>
    <t>C2 H8 La2 N O10 Ti3</t>
  </si>
  <si>
    <t>C2 H7 La2 O11 Ti3</t>
  </si>
  <si>
    <t>C Ca2 H6 Nb3 O10</t>
  </si>
  <si>
    <t>C2 Ca2 H8 Nb3 O10</t>
  </si>
  <si>
    <t>C3 Ca2 H10 Nb3 O10</t>
  </si>
  <si>
    <t>C4 Ca2 H12 Nb3 O10</t>
  </si>
  <si>
    <t>C6 Ca2 H16 Nb3 O10</t>
  </si>
  <si>
    <t>C8 Ca2 H20 Nb3 O10</t>
  </si>
  <si>
    <t>C H6 La2 N O10 Ti3</t>
  </si>
  <si>
    <t>C3 H10 La2 N O10 Ti3</t>
  </si>
  <si>
    <t>C4 H12 La2 N O10 Ti3</t>
  </si>
  <si>
    <t>C6 H16 La2 N O10 Ti3</t>
  </si>
  <si>
    <t>C8 H20 La2 N O10 Ti3</t>
  </si>
  <si>
    <t>C H5 La2 O11 Ti3</t>
  </si>
  <si>
    <t>C3 H9 La2 O11 Ti3</t>
  </si>
  <si>
    <t>C4 H11 La2 O11 Ti3</t>
  </si>
  <si>
    <t>C6 H15 La2 O11 Ti3</t>
  </si>
  <si>
    <t>C8 H19 La2 O11Ti3</t>
  </si>
  <si>
    <t>C H7 Nd2 O10 Ti3</t>
  </si>
  <si>
    <t>C2 H9 Nd2 O10 Ti3</t>
  </si>
  <si>
    <t>C3 H11 Nd2 O10 Ti3</t>
  </si>
  <si>
    <t>C4 H13 Nd2 O10 Ti3</t>
  </si>
  <si>
    <t>C6 H17 Nd2 O10 Ti3</t>
  </si>
  <si>
    <t>C8 H21 Nd2 O10 Ti3</t>
  </si>
  <si>
    <t>C H6 Nd2 O11 Ti3</t>
  </si>
  <si>
    <t>C2 H8 Nd2 O11 Ti3</t>
  </si>
  <si>
    <t>C3 H10 Nd2 O11 Ti3</t>
  </si>
  <si>
    <t>C4 H12 Nd2 O11 Ti3</t>
  </si>
  <si>
    <t>C6 H16 Nd2 O11 Ti3</t>
  </si>
  <si>
    <t>C8 H20 Nd2 O11 Ti3</t>
  </si>
  <si>
    <t>Bi2 H4 K O13 Ti4</t>
  </si>
  <si>
    <t>C Bi2 H7 K0.5 O13 Ti4</t>
  </si>
  <si>
    <t>C2 Bi2.5 H9 K0.5 O13 Ti4</t>
  </si>
  <si>
    <t>C3 Bi2.5 H11 K0.5 O13 Ti4</t>
  </si>
  <si>
    <t>C4 Bi2.5 H13 K0.5 O13 Ti4</t>
  </si>
  <si>
    <t>C6 Bi2.5 H17 K0.5 O13 Ti4</t>
  </si>
  <si>
    <t>C8 Bi2.5 H21 K0.5 O13 Ti4</t>
  </si>
  <si>
    <t>C4 H13 N Nd2 O10 Ti3</t>
  </si>
  <si>
    <t>C Ca2 H6 N Nb3 O10</t>
  </si>
  <si>
    <t>C4 Ca2 H12 N Nb3 O10</t>
  </si>
  <si>
    <t>C8 Ca2 H20 N Nb3 O10</t>
  </si>
  <si>
    <t>NaN</t>
  </si>
  <si>
    <t>Nb</t>
  </si>
  <si>
    <t>n(In)</t>
  </si>
  <si>
    <t>m(In)</t>
  </si>
  <si>
    <t>w(in)</t>
  </si>
  <si>
    <t>N(at)</t>
  </si>
  <si>
    <t>N(N)</t>
  </si>
  <si>
    <t>m(N)</t>
  </si>
  <si>
    <t>wt(N),%</t>
  </si>
  <si>
    <t xml:space="preserve">N/O,% </t>
  </si>
  <si>
    <t>n(N(</t>
  </si>
  <si>
    <t xml:space="preserve">Rh/Ti,% </t>
  </si>
  <si>
    <t>n(Rh)</t>
  </si>
  <si>
    <t>m(Rh)</t>
  </si>
  <si>
    <t>wt(Rh),%</t>
  </si>
  <si>
    <t>n(Cu)</t>
  </si>
  <si>
    <t>m(Cu0)</t>
  </si>
  <si>
    <t>w(CuO),%</t>
  </si>
  <si>
    <t>n(N)</t>
  </si>
  <si>
    <t>w(N),%</t>
  </si>
  <si>
    <t>w(Rh),%</t>
  </si>
  <si>
    <t>La</t>
  </si>
  <si>
    <t>m(N)/m(La)</t>
  </si>
  <si>
    <t>m(La)/m(ox)</t>
  </si>
  <si>
    <t>Ca</t>
  </si>
  <si>
    <t>Average Pauling electronegativity</t>
  </si>
  <si>
    <t>Average Mulliken electronegativity</t>
  </si>
  <si>
    <t>Valence electrons</t>
  </si>
  <si>
    <t>P21</t>
  </si>
  <si>
    <t>Z</t>
  </si>
  <si>
    <t>P4/m</t>
  </si>
  <si>
    <t>JCPDS No. 40-0355</t>
  </si>
  <si>
    <t>JCPDS No. 49-0608</t>
  </si>
  <si>
    <t>JCPDS No. 49-0607</t>
  </si>
  <si>
    <t>(JCPDS 18–0193/JCPDS 72–0631</t>
  </si>
  <si>
    <t>(JCPDS 14–0028</t>
  </si>
  <si>
    <t>Volume</t>
  </si>
  <si>
    <t>Valence Electrons Density</t>
  </si>
  <si>
    <t>a_MP</t>
  </si>
  <si>
    <t>b_MP</t>
  </si>
  <si>
    <t>c_MP</t>
  </si>
  <si>
    <t>Z_MP</t>
  </si>
  <si>
    <t>MagpieData minimum Electronegativity</t>
  </si>
  <si>
    <t>MagpieData maximum Electronegativity</t>
  </si>
  <si>
    <t>MagpieData range Electronegativity</t>
  </si>
  <si>
    <t>MagpieData 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</si>
  <si>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</si>
  <si>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</si>
  <si>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</si>
  <si>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</si>
  <si>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</si>
  <si>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</si>
  <si>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</si>
  <si>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</si>
  <si>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JCPDS Card: 48-0982</t>
  </si>
  <si>
    <t>lambda, m</t>
  </si>
  <si>
    <t>h</t>
  </si>
  <si>
    <t>k</t>
  </si>
  <si>
    <t>l</t>
  </si>
  <si>
    <t>2*theta, deg</t>
  </si>
  <si>
    <t>sin(theta)</t>
  </si>
  <si>
    <t>d, m</t>
  </si>
  <si>
    <t>d, A</t>
  </si>
  <si>
    <t>n</t>
  </si>
  <si>
    <t>C222</t>
  </si>
  <si>
    <t>d,A</t>
  </si>
  <si>
    <t>H2Nd2Ti3O10*DcOH</t>
  </si>
  <si>
    <t>H2La2Ti3O10*DcOH</t>
  </si>
  <si>
    <t>Fmmm</t>
  </si>
  <si>
    <t>Cmmm</t>
  </si>
  <si>
    <t>P4</t>
  </si>
  <si>
    <t>P42cm</t>
  </si>
  <si>
    <t>P4/n</t>
  </si>
  <si>
    <t>P42/nmc</t>
  </si>
  <si>
    <t>P21/m</t>
  </si>
  <si>
    <t>orthorombic</t>
  </si>
  <si>
    <t>10.1016/j.jct.2019.06.031</t>
  </si>
  <si>
    <t>sd_1050391</t>
  </si>
  <si>
    <t>sd_1050392</t>
  </si>
  <si>
    <t>Springer_ID</t>
  </si>
  <si>
    <t>sd_1050393</t>
  </si>
  <si>
    <t>sd_0551678</t>
  </si>
  <si>
    <t>sd_1502563</t>
  </si>
  <si>
    <t>sd_0306542</t>
  </si>
  <si>
    <t>sd_0306445</t>
  </si>
  <si>
    <t>sd_1835408</t>
  </si>
  <si>
    <t>sd_0376709</t>
  </si>
  <si>
    <t>mp-1104931</t>
  </si>
  <si>
    <t>2229872</t>
  </si>
  <si>
    <t>mp-1104932</t>
  </si>
  <si>
    <t>2229873</t>
  </si>
  <si>
    <t>mp-1104933</t>
  </si>
  <si>
    <t>2229874</t>
  </si>
  <si>
    <t>mp-1104934</t>
  </si>
  <si>
    <t>2229875</t>
  </si>
  <si>
    <t>sd_1200159</t>
  </si>
  <si>
    <t>sd_1922152</t>
  </si>
  <si>
    <t>sd_1241784</t>
  </si>
  <si>
    <t>sd_1432286</t>
  </si>
  <si>
    <t>sd_1241782</t>
  </si>
  <si>
    <t>sd_1045310</t>
  </si>
  <si>
    <t>sd_0548135</t>
  </si>
  <si>
    <t>sd_0548134</t>
  </si>
  <si>
    <t>sd_1041014</t>
  </si>
  <si>
    <t>hexagonal</t>
  </si>
  <si>
    <t>sd_1251331</t>
  </si>
  <si>
    <t>sd_0304039</t>
  </si>
  <si>
    <t>sd_1000988</t>
  </si>
  <si>
    <t>Pmna</t>
  </si>
  <si>
    <t>https://etda.libraries.psu.edu/files/final_submissions/1718</t>
  </si>
  <si>
    <t>KCa2Nb2TaO10</t>
  </si>
  <si>
    <t>KCa2NbTa2O10</t>
  </si>
  <si>
    <t>sd_1614775</t>
  </si>
  <si>
    <t>sd_1955780</t>
  </si>
  <si>
    <t>sd_1955782</t>
  </si>
  <si>
    <t>sd_1538044</t>
  </si>
  <si>
    <t>sd_1150217</t>
  </si>
  <si>
    <t>sd_1802718</t>
  </si>
  <si>
    <t>K2LaTa5O15</t>
  </si>
  <si>
    <t>K2 La O15 Ta5</t>
  </si>
  <si>
    <t>sd_1820105</t>
  </si>
  <si>
    <t>mp-1204933</t>
  </si>
  <si>
    <t>10.1021/ja00113a026</t>
  </si>
  <si>
    <t>HLa0.7Tb0.3Ta2O7</t>
  </si>
  <si>
    <t>Z_COD</t>
  </si>
  <si>
    <t>a_COD</t>
  </si>
  <si>
    <t>b_COD</t>
  </si>
  <si>
    <t>c_COD</t>
  </si>
  <si>
    <t>Volume_COD</t>
  </si>
  <si>
    <t>Volume_MP</t>
  </si>
  <si>
    <t>Valence Electrons Density_MP</t>
  </si>
  <si>
    <t>Valence Electrons Density_COD</t>
  </si>
  <si>
    <t>a_Springer</t>
  </si>
  <si>
    <t>b_Springer</t>
  </si>
  <si>
    <t>c_Springer</t>
  </si>
  <si>
    <t>Volume_Springer</t>
  </si>
  <si>
    <t>Z_Springer</t>
  </si>
  <si>
    <t>Springer_Valence Electrons Density</t>
  </si>
  <si>
    <t>MP_packing_fraction</t>
  </si>
  <si>
    <t>COD_packing_fraction</t>
  </si>
  <si>
    <t>Springer_packing_fraction</t>
  </si>
  <si>
    <t>Oxygen_concentration_MP</t>
  </si>
  <si>
    <t>Oxygen_concentration_COD</t>
  </si>
  <si>
    <t>Oxygen_concentration_Springer</t>
  </si>
  <si>
    <t>Oxygen_concentration</t>
  </si>
  <si>
    <t>sd_1810747</t>
  </si>
  <si>
    <t>Sr3FeTaO7</t>
  </si>
  <si>
    <t>Sr4FeTaO8</t>
  </si>
  <si>
    <t>Fe O7 Sr3 Ta</t>
  </si>
  <si>
    <t>Fe O8 Sr4 Ta</t>
  </si>
  <si>
    <t>sd_1430726</t>
  </si>
  <si>
    <t>sd_1237170</t>
  </si>
  <si>
    <t>Cmc21</t>
  </si>
  <si>
    <t>HCa2Ta1.5Nb1.5O10</t>
  </si>
  <si>
    <t>HCa2Ta2NbO10</t>
  </si>
  <si>
    <t>Ca2 H1 Nb3 O10</t>
  </si>
  <si>
    <t>Ca2 H1 Nb2 O10 Ta1</t>
  </si>
  <si>
    <t>Ca2 H1 Nb1.5 O10 Ta1.5</t>
  </si>
  <si>
    <t>Ca2 H1 Nb1 O10 Ta2</t>
  </si>
  <si>
    <t>Ca2 H1 O10 Ta3</t>
  </si>
  <si>
    <t>Sr2Nb0.1Ta1.9O7</t>
  </si>
  <si>
    <t>Sr2Nb0.2Ta1.8O7</t>
  </si>
  <si>
    <t>Sr2Nb0.3Ta0.17O7</t>
  </si>
  <si>
    <t>Sr2Nb0.5Ta1.5O7</t>
  </si>
  <si>
    <t>Sr2Nb0.7Ta1.3O7</t>
  </si>
  <si>
    <t>Sr2NbTaO7</t>
  </si>
  <si>
    <t>Sr2Nb1.6Ta0.4O7</t>
  </si>
  <si>
    <t>Nb0.1 O7 Sr2 Ta1.9</t>
  </si>
  <si>
    <t>Nb0.2 O7 Sr2 Ta1.8</t>
  </si>
  <si>
    <t>Nb0.3 O7 Sr2 Ta1.7</t>
  </si>
  <si>
    <t>Nb0.5 O7 Sr2 Ta1.5</t>
  </si>
  <si>
    <t>Nb0.7 O7 Sr2 Ta1.3</t>
  </si>
  <si>
    <t>Nb1 O7 Sr2 Ta1</t>
  </si>
  <si>
    <t>Nb1.6 O7 Sr2 Ta0.4</t>
  </si>
  <si>
    <t>c</t>
  </si>
  <si>
    <t>sd_1241787</t>
  </si>
  <si>
    <t>sd_1530646</t>
  </si>
  <si>
    <t>sd_1958942</t>
  </si>
  <si>
    <t>Ca2 K Nb2 O10 Ta</t>
  </si>
  <si>
    <t>Ca2 K Nb O10 Ta2</t>
  </si>
  <si>
    <t>Valence Electrons Density avg</t>
  </si>
  <si>
    <t>Oxygen_concentration avg</t>
  </si>
  <si>
    <t>Packing fraction avg</t>
  </si>
  <si>
    <t>Promoter</t>
  </si>
  <si>
    <t>Prep Method</t>
  </si>
  <si>
    <t>CalcT(K)</t>
  </si>
  <si>
    <t>Calc time (h)</t>
  </si>
  <si>
    <t>Promotion method</t>
  </si>
  <si>
    <t>Prom, w%</t>
  </si>
  <si>
    <t>Surface area, m2/g</t>
  </si>
  <si>
    <t>CatW, g/L</t>
  </si>
  <si>
    <t>Alcohol, %</t>
  </si>
  <si>
    <t>Sac Agent 1</t>
  </si>
  <si>
    <t>Sac agent 2</t>
  </si>
  <si>
    <t>Light type</t>
  </si>
  <si>
    <t>Power, W</t>
  </si>
  <si>
    <t>Wave length, nm</t>
  </si>
  <si>
    <t>SSR</t>
  </si>
  <si>
    <t>Rate, umol/(g*h)</t>
  </si>
  <si>
    <t>Hg lamp</t>
  </si>
  <si>
    <t>Promoter, w%</t>
  </si>
  <si>
    <t>PD</t>
  </si>
  <si>
    <t>HCa2NaNb4O13</t>
  </si>
  <si>
    <t>10.1039/C39860000356</t>
  </si>
  <si>
    <t>Xe lamp</t>
  </si>
  <si>
    <t>K2Nb6O16</t>
  </si>
  <si>
    <t>KNbO3</t>
  </si>
  <si>
    <t>sd_0308503</t>
  </si>
  <si>
    <t>impregnation</t>
  </si>
  <si>
    <t>10.1016/0021-9517(88)90066-8</t>
  </si>
  <si>
    <t>C(MeOH), M</t>
  </si>
  <si>
    <t>n(MeOH), mol</t>
  </si>
  <si>
    <t>n(H2O), mol</t>
  </si>
  <si>
    <t>V(H2O), l</t>
  </si>
  <si>
    <t>m(CH3OH),g</t>
  </si>
  <si>
    <t>V(CH3OH), l</t>
  </si>
  <si>
    <t>d(CH3OH), g/ml</t>
  </si>
  <si>
    <t>phi(CH3OH),%</t>
  </si>
  <si>
    <t>Wave length min, nm</t>
  </si>
  <si>
    <t>Cell material</t>
  </si>
  <si>
    <t>quartz</t>
  </si>
  <si>
    <t>Ta2O5</t>
  </si>
  <si>
    <t>Nb2O5</t>
  </si>
  <si>
    <t>purchased</t>
  </si>
  <si>
    <t>sd_1232960</t>
  </si>
  <si>
    <t>sd_0314261</t>
  </si>
  <si>
    <t>PTP</t>
  </si>
  <si>
    <t>10.1016/0920-5861(95)00224-3</t>
  </si>
  <si>
    <t>Temperature, K</t>
  </si>
  <si>
    <t>Rb4Nb4Ta2O17</t>
  </si>
  <si>
    <t>Rb4Nb3Ta3O17</t>
  </si>
  <si>
    <t>Rb4Nb2Ta4O17</t>
  </si>
  <si>
    <t>K4Nb4Ta2O17</t>
  </si>
  <si>
    <t>K4Nb3Ta3O17</t>
  </si>
  <si>
    <t>K4Nb2Ta4O17</t>
  </si>
  <si>
    <t>K4Ta6O17</t>
  </si>
  <si>
    <t>KNb3O8</t>
  </si>
  <si>
    <t>sd_1127671</t>
  </si>
  <si>
    <t>PC</t>
  </si>
  <si>
    <t>Nitrogen</t>
  </si>
  <si>
    <t>True</t>
  </si>
  <si>
    <t xml:space="preserve">0.05M Na2SO4 </t>
  </si>
  <si>
    <t>HCa2Ta3O10*C6H13NH2</t>
  </si>
  <si>
    <t>pyrex</t>
  </si>
  <si>
    <t>0.25M n-buthylamine</t>
  </si>
  <si>
    <t>mp-7148</t>
  </si>
  <si>
    <t>RuO2</t>
  </si>
  <si>
    <t xml:space="preserve">W lamp </t>
  </si>
  <si>
    <t>10.1016/j.ijhydene.2014.03.096</t>
  </si>
  <si>
    <t>sd_1003951</t>
  </si>
  <si>
    <t>NaCa2Ta3O10</t>
  </si>
  <si>
    <t>LiCa2Ta3O10*0.09H2O</t>
  </si>
  <si>
    <t>LiCa2Ta3O10*0.26H2O</t>
  </si>
  <si>
    <t>LiCa2Ta3O10*0.44H2O</t>
  </si>
  <si>
    <t>LiCa2Ta3O10*0.45H2O</t>
  </si>
  <si>
    <t>LiCa2Ta3O10*0.16H2O</t>
  </si>
  <si>
    <t>LiCa2Ta3O10*0.37H2O</t>
  </si>
  <si>
    <t>LiCa2Ta3O10*0.55H2O</t>
  </si>
  <si>
    <t>LiCa2Ta3O10*0.62H2O</t>
  </si>
  <si>
    <t>LiCa2Ta3O10*0.27H2O</t>
  </si>
  <si>
    <t>LiCa2Ta3O10*0.43H2O</t>
  </si>
  <si>
    <t>LiCa2Ta3O10*0.64H2O</t>
  </si>
  <si>
    <t>C(PrOH), M</t>
  </si>
  <si>
    <t>n(PrOH), mol</t>
  </si>
  <si>
    <t>m(PrOH),g</t>
  </si>
  <si>
    <t>d(PrOH), g/ml</t>
  </si>
  <si>
    <t>V(PrOH), l</t>
  </si>
  <si>
    <t>0.01 NaI</t>
  </si>
  <si>
    <t>fused-silica</t>
  </si>
  <si>
    <t>SG</t>
  </si>
  <si>
    <t>K2La2Ti2.985Zn0.015O9.985</t>
  </si>
  <si>
    <t>K2La2Ti2.97Zn0.03O9.97</t>
  </si>
  <si>
    <t>K2La2Ti2.955Zn0.045O9.955</t>
  </si>
  <si>
    <t>K2La2Ti2.94Zn0.06O9.94</t>
  </si>
  <si>
    <t>K2La2Ti2.925Zn0.075O9.925</t>
  </si>
  <si>
    <t>Cu2La2Ti3O10</t>
  </si>
  <si>
    <t>Cu2.76K1.24Nb6O17</t>
  </si>
  <si>
    <t>Cu0.65K0.35LaNb2O7</t>
  </si>
  <si>
    <t>Cu0.9Rb0.1Ca2Ta3O10</t>
  </si>
  <si>
    <t>Cu0.02Li0.98TaO3</t>
  </si>
  <si>
    <t>Cu0.09Na0.91TaO3</t>
  </si>
  <si>
    <t>0.5M K2SO3</t>
  </si>
  <si>
    <t>0.1M Na2S</t>
  </si>
  <si>
    <t>HLaNb2O7*0.0125LaInO3</t>
  </si>
  <si>
    <t>HLaNb2O7*0.025LaInO3</t>
  </si>
  <si>
    <t>HLaNb2O7*0.0325LaInO3</t>
  </si>
  <si>
    <t>HLaNb2O7*0.05LaInO3</t>
  </si>
  <si>
    <t>HLaNb2O7*0.075LaInO3</t>
  </si>
  <si>
    <t>H0.9LaNb1.9Mo0.1O7</t>
  </si>
  <si>
    <t>Bi4Ti2.94Cr0.06O12</t>
  </si>
  <si>
    <t>Bi4Ti2.85Cr0.15O12</t>
  </si>
  <si>
    <t>Bi4Ti2.7Cr0.3O12</t>
  </si>
  <si>
    <t>Bi4Ti2.6Cr0.4O12</t>
  </si>
  <si>
    <t>Bi4Ti2.5Cr0.5O12</t>
  </si>
  <si>
    <t>CsCa2Ta3O10N0.43</t>
  </si>
  <si>
    <t>CsCa2Ta3O10N0.9</t>
  </si>
  <si>
    <t>CsCa2Ta3O10N1.8</t>
  </si>
  <si>
    <t>H1.98Pb2Nb2.99Cr0.01O10</t>
  </si>
  <si>
    <t>H1.9Pb2Nb2.95Cr0.05O10</t>
  </si>
  <si>
    <t>H1.8Pb2Nb2.9Cr0.1O10</t>
  </si>
  <si>
    <t>H1.6Pb2Nb2.8Cr0.2O10</t>
  </si>
  <si>
    <t>H1.2Pb2Nb2.6Cr0.4O10</t>
  </si>
  <si>
    <t>Ba5Ta4O14.47N0.35</t>
  </si>
  <si>
    <t>visible</t>
  </si>
  <si>
    <t>0.01M AgNO3</t>
  </si>
  <si>
    <t>Ba5Ta4O15Nx</t>
  </si>
  <si>
    <t>Sr2Ta2O7Nx</t>
  </si>
  <si>
    <t>Sr5Ta4O15Nx</t>
  </si>
  <si>
    <t>Ir</t>
  </si>
  <si>
    <t>SrTiO3</t>
  </si>
  <si>
    <t>LaTiO3</t>
  </si>
  <si>
    <t>sd_0305964</t>
  </si>
  <si>
    <t>sd_0305963</t>
  </si>
  <si>
    <t>sd_0305037</t>
  </si>
  <si>
    <t>sd_0306202</t>
  </si>
  <si>
    <t>La1.98Cr0.02Ti2O7</t>
  </si>
  <si>
    <t>La1.9Cr0.1Ti2O7</t>
  </si>
  <si>
    <t>La1.98Fe0.02Ti2O7</t>
  </si>
  <si>
    <t>La1.9Fe0.1Ti2O7</t>
  </si>
  <si>
    <t>CmC21</t>
  </si>
  <si>
    <t>Sr2Nb2O5.5N1.5</t>
  </si>
  <si>
    <t>Sr2Nb2O5.4N1.6</t>
  </si>
  <si>
    <t>Sr2Nb2O5N2</t>
  </si>
  <si>
    <t>Sr2Nb2O4.6N2.4</t>
  </si>
  <si>
    <t>Sr2Nb2O4.43N2.57</t>
  </si>
  <si>
    <t>Sr2Nb2O4.2N2.8</t>
  </si>
  <si>
    <t>MSS</t>
  </si>
  <si>
    <t>La2Ti1.98Rh0.02O7</t>
  </si>
  <si>
    <t>La2Ti1.996Rh0.004O7</t>
  </si>
  <si>
    <t>La2Ti1.96Rh0.04O7</t>
  </si>
  <si>
    <t>PbSHLa2Ti3O10</t>
  </si>
  <si>
    <t>0.1 M Na2S</t>
  </si>
  <si>
    <t>0.5 M Na2SO3</t>
  </si>
  <si>
    <t>HLaNb2O7*0.42TiO2</t>
  </si>
  <si>
    <t>HLaNb2O7*0.38TiO2</t>
  </si>
  <si>
    <t>0.2 M Na2S</t>
  </si>
  <si>
    <t>0.2 M Na2SO3</t>
  </si>
  <si>
    <t>HCa2TaNb2O10*ZnS</t>
  </si>
  <si>
    <t>HCa2Nb3O10*ZnS</t>
  </si>
  <si>
    <t>1 M NEt3</t>
  </si>
  <si>
    <t>HT</t>
  </si>
  <si>
    <t>0.35 M Na2S</t>
  </si>
  <si>
    <t>0.25 M Na2SO3</t>
  </si>
  <si>
    <t>Zn0.2Cd0.8S</t>
  </si>
  <si>
    <t>Zn0.4Cd0.6S</t>
  </si>
  <si>
    <t>Zn0.6Cd0.4S</t>
  </si>
  <si>
    <t>Zn0.7Cd0.3S</t>
  </si>
  <si>
    <t>Zn0.8Cd0.2S</t>
  </si>
  <si>
    <t>Ru</t>
  </si>
  <si>
    <t>HCa2Ta3O9.7N0.2</t>
  </si>
  <si>
    <t>Speific area calculator</t>
  </si>
  <si>
    <t>a, nm</t>
  </si>
  <si>
    <t>b, nm</t>
  </si>
  <si>
    <t>c, nm</t>
  </si>
  <si>
    <t>d, kg/m3</t>
  </si>
  <si>
    <t>m, g</t>
  </si>
  <si>
    <t>V,m3</t>
  </si>
  <si>
    <t>m, kg</t>
  </si>
  <si>
    <t>S, m2</t>
  </si>
  <si>
    <t>S_spec, m2/g</t>
  </si>
  <si>
    <t>HSr1.5Ba0.5Ta3O10</t>
  </si>
  <si>
    <t>co-pre</t>
  </si>
  <si>
    <t>KCa2Nb2.97Rh0.03O10</t>
  </si>
  <si>
    <t>HCa2Nb2.97Rh0.03O10</t>
  </si>
  <si>
    <t>HCa2Nb2.999Rh0.001O10</t>
  </si>
  <si>
    <t>HCa2Nb2.99Rh0.01O10</t>
  </si>
  <si>
    <t>HCa2Nb2.9Rh0.1O10</t>
  </si>
  <si>
    <t>HCa2Nb2.85Rh0.15O10</t>
  </si>
  <si>
    <t>LED</t>
  </si>
  <si>
    <t>KCa2Nb3O9N0.33</t>
  </si>
  <si>
    <t>KCa2Nb3O9N0.67</t>
  </si>
  <si>
    <t>RbLaTa2O6.77N0.15</t>
  </si>
  <si>
    <t>0.05 M Na2SO3</t>
  </si>
  <si>
    <t>HCa2Nb3O10*CdS</t>
  </si>
  <si>
    <t>Bandgap calculator</t>
  </si>
  <si>
    <t>lambda, nm</t>
  </si>
  <si>
    <t>E,eV</t>
  </si>
  <si>
    <t>K2La2Ti3O10*0.1CdS</t>
  </si>
  <si>
    <t>K2La2Ti3O10*0.2CdS</t>
  </si>
  <si>
    <t>K2La2Ti3O10*0.4CdS</t>
  </si>
  <si>
    <t>K2La2Ti3O10*0.6CdS</t>
  </si>
  <si>
    <t>K2La2Ti3O10*0.8CdS</t>
  </si>
  <si>
    <t>K2La2Ti3O10*0.12CdS</t>
  </si>
  <si>
    <t>0.05 M Na2S</t>
  </si>
  <si>
    <t>0.15 M Na2S</t>
  </si>
  <si>
    <t>0.25 M Na2S</t>
  </si>
  <si>
    <t>HLaTiO4*DcOH</t>
  </si>
  <si>
    <t>perchased</t>
  </si>
  <si>
    <t>own data</t>
  </si>
  <si>
    <t>10.3390/molecules30204136</t>
  </si>
  <si>
    <t>10.3390/solids6020016</t>
  </si>
  <si>
    <t>10.1134/S0036024423060079</t>
  </si>
  <si>
    <t>10.3390/catal12121556</t>
  </si>
  <si>
    <t>10.3389/fchem.2020.00300</t>
  </si>
  <si>
    <t>10.3390/solids6020023</t>
  </si>
  <si>
    <t>Na2La2Mn0.1Ti2.9O10</t>
  </si>
  <si>
    <t>Na2La2Mn0.3Ti2.7O10</t>
  </si>
  <si>
    <t>Na2La2Mn0.5Ti2.5O10</t>
  </si>
  <si>
    <t>Na2La2Mn0.7Ti2.3O10</t>
  </si>
  <si>
    <t>Na2La2Mn0.9Ti2.1O10</t>
  </si>
  <si>
    <t>Na2La2MnTi2O10</t>
  </si>
  <si>
    <t>H1.4Na0.6La2Ti3O10</t>
  </si>
  <si>
    <t>H1.4Na0.6La2Mn0.1Ti2.9O10</t>
  </si>
  <si>
    <t>H1.6Na0.4La2Mn0.3Ti2.7O10</t>
  </si>
  <si>
    <t>H1.8Na0.2La2Mn0.5Ti2.5O10</t>
  </si>
  <si>
    <t>H1.4Na0.6La2Mn0.002Ti2.998O10</t>
  </si>
  <si>
    <t>H1.4Na0.6La2Mn0.005Ti2.995O10</t>
  </si>
  <si>
    <t>H1.4Na0.6La2Mn0.01Ti2.99O10</t>
  </si>
  <si>
    <t>H1.4Na0.6La2Mn0.025Ti2.975O10</t>
  </si>
  <si>
    <t>H1.4Na0.6La2Mn0.05Ti2.95O10</t>
  </si>
  <si>
    <t>10.1007/s00706-017-2105-7</t>
  </si>
  <si>
    <t>H0.4K1.6La2Ti3O10*1.07H2O</t>
  </si>
  <si>
    <t>H0.8K1.2La2Ti3O10*0.81H2O</t>
  </si>
  <si>
    <t>H1.5K0.5La2Ti3O10*0.6H2O</t>
  </si>
  <si>
    <t>H1.6K0.4La2Ti3O10*0.47H2O</t>
  </si>
  <si>
    <t>10.1016/j.jssc.2015.02.008</t>
  </si>
  <si>
    <t>La2Ti2O7*0.76H2O</t>
  </si>
  <si>
    <t>Nd2Ti2O7*0.71H2O</t>
  </si>
  <si>
    <t>10.1134/S1070363217110317</t>
  </si>
  <si>
    <t>HRbNd2Ti3O10</t>
  </si>
  <si>
    <t>H1.5Rb0.5Nd2Ti3O10</t>
  </si>
  <si>
    <t>ZrO2</t>
  </si>
  <si>
    <t>ZrO2*0.015Y2O3</t>
  </si>
  <si>
    <t>ZrO2*0.005Eu2O3</t>
  </si>
  <si>
    <t>ZrO2*0.005Tb2O3</t>
  </si>
  <si>
    <t>ZrO2*0.005Sm2O3</t>
  </si>
  <si>
    <t>ZrO2*0.005Er2O3</t>
  </si>
  <si>
    <t>RbNdNb2O7</t>
  </si>
  <si>
    <t>CsNdNb2O7</t>
  </si>
  <si>
    <t>10.1504/IJNT.2016.074531</t>
  </si>
  <si>
    <t>HNdNb2O7</t>
  </si>
  <si>
    <t>LiNdNb2O7</t>
  </si>
  <si>
    <t>Ni</t>
  </si>
  <si>
    <t>Cr2O3</t>
  </si>
  <si>
    <t>Fe2O3</t>
  </si>
  <si>
    <t>10.1134/S107036321404001X</t>
  </si>
  <si>
    <t>K0.5La0.5Ca0.75Pb0.75Nb3O10</t>
  </si>
  <si>
    <t>mp-27998</t>
  </si>
  <si>
    <t>sd_1925412</t>
  </si>
  <si>
    <t>sd_1210175</t>
  </si>
  <si>
    <t>sd_0551664</t>
  </si>
  <si>
    <t>10.1504/IJNT.2016.074530</t>
  </si>
  <si>
    <t>H1.8Na0.2La2Mn0.7Ti2.3O10</t>
  </si>
  <si>
    <t>H1.8Na0.2La2Mn0.9Ti2.1O10</t>
  </si>
  <si>
    <t>H1.8Na0.2La2MnTi2O10</t>
  </si>
  <si>
    <t>A</t>
  </si>
  <si>
    <t>A1</t>
  </si>
  <si>
    <t>A2</t>
  </si>
  <si>
    <t>B</t>
  </si>
  <si>
    <t>B1</t>
  </si>
  <si>
    <t>B2</t>
  </si>
  <si>
    <t>X</t>
  </si>
  <si>
    <t>X1</t>
  </si>
  <si>
    <t>A mole</t>
  </si>
  <si>
    <t>A1 mole</t>
  </si>
  <si>
    <t>A2 mole</t>
  </si>
  <si>
    <t>B mole</t>
  </si>
  <si>
    <t>B1 mole</t>
  </si>
  <si>
    <t>B2 mole</t>
  </si>
  <si>
    <t>X mole</t>
  </si>
  <si>
    <t>X1 mole</t>
  </si>
  <si>
    <t>[S1]</t>
  </si>
  <si>
    <t>Sr</t>
  </si>
  <si>
    <t>Ti</t>
  </si>
  <si>
    <t>O</t>
  </si>
  <si>
    <t>flux</t>
  </si>
  <si>
    <t>impreg</t>
  </si>
  <si>
    <t>Xe</t>
  </si>
  <si>
    <t>Al</t>
  </si>
  <si>
    <t>[S2]</t>
  </si>
  <si>
    <t>Mn</t>
  </si>
  <si>
    <t>novel</t>
  </si>
  <si>
    <t>octahedral</t>
  </si>
  <si>
    <t>[S3]</t>
  </si>
  <si>
    <t>Cr</t>
  </si>
  <si>
    <t>[S4]</t>
  </si>
  <si>
    <t>Sb</t>
  </si>
  <si>
    <t>IrO2</t>
  </si>
  <si>
    <t>H2SO4</t>
  </si>
  <si>
    <t>[S5]</t>
  </si>
  <si>
    <t>Sm</t>
  </si>
  <si>
    <t>S</t>
  </si>
  <si>
    <t>amorphous</t>
  </si>
  <si>
    <t>Na2S</t>
  </si>
  <si>
    <t>Na2SO3</t>
  </si>
  <si>
    <t>Hg</t>
  </si>
  <si>
    <t>[S6]</t>
  </si>
  <si>
    <t>Zn</t>
  </si>
  <si>
    <t>Ag</t>
  </si>
  <si>
    <t>[S7]</t>
  </si>
  <si>
    <t>K</t>
  </si>
  <si>
    <t>Ta</t>
  </si>
  <si>
    <t>Cu</t>
  </si>
  <si>
    <t>Au</t>
  </si>
  <si>
    <t>[S8]</t>
  </si>
  <si>
    <t>Ga</t>
  </si>
  <si>
    <t>[S9]</t>
  </si>
  <si>
    <t>[S10]</t>
  </si>
  <si>
    <t>[S11]</t>
  </si>
  <si>
    <t>Cd</t>
  </si>
  <si>
    <t>[S12]</t>
  </si>
  <si>
    <t>Ba</t>
  </si>
  <si>
    <t>Zr</t>
  </si>
  <si>
    <t>Sn</t>
  </si>
  <si>
    <t>[S13]</t>
  </si>
  <si>
    <t>UV</t>
  </si>
  <si>
    <t>Na2SO4</t>
  </si>
  <si>
    <t>CH3COOH</t>
  </si>
  <si>
    <t>NaOH</t>
  </si>
  <si>
    <t>KOH</t>
  </si>
  <si>
    <t>[S14]</t>
  </si>
  <si>
    <t>Na</t>
  </si>
  <si>
    <t>[S15]</t>
  </si>
  <si>
    <t>[S16]</t>
  </si>
  <si>
    <t>[S17]</t>
  </si>
  <si>
    <t>[S18]</t>
  </si>
  <si>
    <t>Bi</t>
  </si>
  <si>
    <t>[S19]</t>
  </si>
  <si>
    <t>[S20]</t>
  </si>
  <si>
    <t>[S21]</t>
  </si>
  <si>
    <t>[S22]</t>
  </si>
  <si>
    <t>Li</t>
  </si>
  <si>
    <t>rhombohedral</t>
  </si>
  <si>
    <t>HCOOH</t>
  </si>
  <si>
    <t>[S23]</t>
  </si>
  <si>
    <t>NaNO2</t>
  </si>
  <si>
    <t>[S25]</t>
  </si>
  <si>
    <t>[S27]</t>
  </si>
  <si>
    <t>monoclinic</t>
  </si>
  <si>
    <t>[S28]</t>
  </si>
  <si>
    <t>electrospinning</t>
  </si>
  <si>
    <t>ionexchange</t>
  </si>
  <si>
    <t>[S30]</t>
  </si>
  <si>
    <t>CH2O</t>
  </si>
  <si>
    <t>[S32]</t>
  </si>
  <si>
    <t>[S33]</t>
  </si>
  <si>
    <t>[S34]</t>
  </si>
  <si>
    <t>[S35]</t>
  </si>
  <si>
    <t>[S36]</t>
  </si>
  <si>
    <t>[S37]</t>
  </si>
  <si>
    <t>Y</t>
  </si>
  <si>
    <t>Yb</t>
  </si>
  <si>
    <t>Ce</t>
  </si>
  <si>
    <t>[S38]</t>
  </si>
  <si>
    <t>[S39]</t>
  </si>
  <si>
    <t>[S40]</t>
  </si>
  <si>
    <t>halogen</t>
  </si>
  <si>
    <t>[S41]</t>
  </si>
  <si>
    <t>[S42]</t>
  </si>
  <si>
    <t>[S43]</t>
  </si>
  <si>
    <t>[S44]</t>
  </si>
  <si>
    <t>[S47]</t>
  </si>
  <si>
    <t>[S48]</t>
  </si>
  <si>
    <t>[S49]</t>
  </si>
  <si>
    <t>[S51]</t>
  </si>
  <si>
    <t>[S52]</t>
  </si>
  <si>
    <t>[S54]</t>
  </si>
  <si>
    <t>[S56]</t>
  </si>
  <si>
    <t>[S57]</t>
  </si>
  <si>
    <t>[S58]</t>
  </si>
  <si>
    <t>[S59]</t>
  </si>
  <si>
    <t>[S60]</t>
  </si>
  <si>
    <t>[S61]</t>
  </si>
  <si>
    <t>[S63]</t>
  </si>
  <si>
    <t>[S64]</t>
  </si>
  <si>
    <t>[S65]</t>
  </si>
  <si>
    <t>[S66]</t>
  </si>
  <si>
    <t>[S67]</t>
  </si>
  <si>
    <t>[S68]</t>
  </si>
  <si>
    <t>[S69]</t>
  </si>
  <si>
    <t>AgNO3</t>
  </si>
  <si>
    <t>[S70]</t>
  </si>
  <si>
    <t>[S71]</t>
  </si>
  <si>
    <t>[S72]</t>
  </si>
  <si>
    <t>[S73]</t>
  </si>
  <si>
    <t>[S74]</t>
  </si>
  <si>
    <t>[S75]</t>
  </si>
  <si>
    <t>[S76]</t>
  </si>
  <si>
    <t>[S77]</t>
  </si>
  <si>
    <t>KNO3</t>
  </si>
  <si>
    <t>[S78]</t>
  </si>
  <si>
    <t>[S79]</t>
  </si>
  <si>
    <t>[S80]</t>
  </si>
  <si>
    <t>[S81]</t>
  </si>
  <si>
    <t>[S82]</t>
  </si>
  <si>
    <t>[S83]</t>
  </si>
  <si>
    <t>[S84]</t>
  </si>
  <si>
    <t>[S85]</t>
  </si>
  <si>
    <t>[S86]</t>
  </si>
  <si>
    <t>[S87]</t>
  </si>
  <si>
    <t>[S88]</t>
  </si>
  <si>
    <t>Fe</t>
  </si>
  <si>
    <t>[S89]</t>
  </si>
  <si>
    <t>[S90]</t>
  </si>
  <si>
    <t>[S91]</t>
  </si>
  <si>
    <t>[S92]</t>
  </si>
  <si>
    <t>[S93]</t>
  </si>
  <si>
    <t>[S94]</t>
  </si>
  <si>
    <t>polyhedron</t>
  </si>
  <si>
    <t>[S95]</t>
  </si>
  <si>
    <t>[S96]</t>
  </si>
  <si>
    <t>[S97]</t>
  </si>
  <si>
    <t>FeCl3</t>
  </si>
  <si>
    <t>[S98]</t>
  </si>
  <si>
    <t>[S99]</t>
  </si>
  <si>
    <t>C3H8O</t>
  </si>
  <si>
    <t>[S100]</t>
  </si>
  <si>
    <t>[S101]</t>
  </si>
  <si>
    <t>[S102]</t>
  </si>
  <si>
    <t>[S103]</t>
  </si>
  <si>
    <t>[S104]</t>
  </si>
  <si>
    <t>[S105]</t>
  </si>
  <si>
    <t>[S106]</t>
  </si>
  <si>
    <t>[S107]</t>
  </si>
  <si>
    <t>[S108]</t>
  </si>
  <si>
    <t>[S109]</t>
  </si>
  <si>
    <t>[S110]</t>
  </si>
  <si>
    <t>[S111]</t>
  </si>
  <si>
    <t>[S112]</t>
  </si>
  <si>
    <t>[S113]</t>
  </si>
  <si>
    <t>[S114]</t>
  </si>
  <si>
    <t>[S115]</t>
  </si>
  <si>
    <t>CH4</t>
  </si>
  <si>
    <t>[S116]</t>
  </si>
  <si>
    <t>[S117]</t>
  </si>
  <si>
    <t>[S118]</t>
  </si>
  <si>
    <t>[S119]</t>
  </si>
  <si>
    <t>[S121]</t>
  </si>
  <si>
    <t>[S122]</t>
  </si>
  <si>
    <t>NaI</t>
  </si>
  <si>
    <t>[S123]</t>
  </si>
  <si>
    <t>[S124]</t>
  </si>
  <si>
    <t>[S125]</t>
  </si>
  <si>
    <t>[S126]</t>
  </si>
  <si>
    <t>[S127]</t>
  </si>
  <si>
    <t>[S128]</t>
  </si>
  <si>
    <t>[S130]</t>
  </si>
  <si>
    <t>[S131]</t>
  </si>
  <si>
    <t>[S135]</t>
  </si>
  <si>
    <t>[S136]</t>
  </si>
  <si>
    <t>[S137]</t>
  </si>
  <si>
    <t>[S138]</t>
  </si>
  <si>
    <t>[S139]</t>
  </si>
  <si>
    <t>[S140]</t>
  </si>
  <si>
    <t>[S141]</t>
  </si>
  <si>
    <t>[S142]</t>
  </si>
  <si>
    <t>[S143]</t>
  </si>
  <si>
    <t>[S144]</t>
  </si>
  <si>
    <t>[S145]</t>
  </si>
  <si>
    <t>[S146]</t>
  </si>
  <si>
    <t>[S147]</t>
  </si>
  <si>
    <t>[S148]</t>
  </si>
  <si>
    <t>[S149]</t>
  </si>
  <si>
    <t>[S150]</t>
  </si>
  <si>
    <t>[S151]</t>
  </si>
  <si>
    <t>MP_CIF_modifier</t>
  </si>
  <si>
    <t>COD_CIF_modifier</t>
  </si>
  <si>
    <t>Springer_CIF_modifier</t>
  </si>
  <si>
    <t>Ca-&gt;Sr</t>
  </si>
  <si>
    <t>K-&gt;H</t>
  </si>
  <si>
    <t>Cs0.03Na0.97Ca2Ta3O10</t>
  </si>
  <si>
    <t>Cs0.03Na0.1H0.87Ca2Ta3O10</t>
  </si>
  <si>
    <t>Cs-&gt;H; Ta-&gt;Nb</t>
  </si>
  <si>
    <t>Cs-&gt;H; Ca-&gt;Sr; Ta-&gt;Nb</t>
  </si>
  <si>
    <t>2Nb-&gt; 1.8Nb, 0.2W</t>
  </si>
  <si>
    <t>2Nb-&gt; 1.85Nb, 0.15W</t>
  </si>
  <si>
    <t>2Nb-&gt; 1.9Nb, 0.1W</t>
  </si>
  <si>
    <t>2Nb-&gt; 1.9Nb, 0.1Ti</t>
  </si>
  <si>
    <t>Nb-&gt;Ta</t>
  </si>
  <si>
    <t>1Na-&gt;0.03Cs, 0.97Na</t>
  </si>
  <si>
    <t>1Na-&gt;0.03Cs, 0.1Na, 0.87H</t>
  </si>
  <si>
    <t>Ti-&gt;Zr</t>
  </si>
  <si>
    <t>Na-&gt;H</t>
  </si>
  <si>
    <t>Na-&gt;Cs</t>
  </si>
  <si>
    <t>Nd-&gt;La</t>
  </si>
  <si>
    <t>Nd-&gt;Pr</t>
  </si>
  <si>
    <t>Nd-&gt;Sm</t>
  </si>
  <si>
    <t>Cs-&gt;H; Ca-&gt;Sr</t>
  </si>
  <si>
    <t>Rb-&gt;Ag</t>
  </si>
  <si>
    <t>3Ti-&gt;2.94Ti, 0.06Cr</t>
  </si>
  <si>
    <t>3Ti-&gt;2.85Ti, 0.15Cr</t>
  </si>
  <si>
    <t>3Ti-&gt;2.7Ti, 0.3Cr</t>
  </si>
  <si>
    <t>3Ti-&gt;2.6Ti, 0.4Cr</t>
  </si>
  <si>
    <t>3Ti-&gt;2.5Ti, 0.5Cr</t>
  </si>
  <si>
    <t>1Nb-&gt;1Ta</t>
  </si>
  <si>
    <t>K-&gt;H; La-&gt;Nd</t>
  </si>
  <si>
    <t>Sr-&gt;Ba</t>
  </si>
  <si>
    <t>Sr-&gt;Ba; Ta-&gt;Nb</t>
  </si>
  <si>
    <t>mp-775909</t>
  </si>
  <si>
    <t>Ta-&gt;Nb</t>
  </si>
  <si>
    <t>2Sr-&gt;Sr,Pb</t>
  </si>
  <si>
    <t>2Sr-&gt;Ba,Pb</t>
  </si>
  <si>
    <t>2Sr-&gt;Sr,Pb; Ta-&gt;Nb</t>
  </si>
  <si>
    <t>2Sr-&gt;Ba,Pb; Ta-&gt;Nb</t>
  </si>
  <si>
    <t>sd_1958947</t>
  </si>
  <si>
    <t>Sr-&gt;Pb; Ta-&gt;Nb</t>
  </si>
  <si>
    <t>Pr-&gt;La</t>
  </si>
  <si>
    <t>Pr-&gt;Nd</t>
  </si>
  <si>
    <t>Pr-&gt;Sm</t>
  </si>
  <si>
    <t>6Nb-&gt;4Nb,2Ta</t>
  </si>
  <si>
    <t>6Nb-&gt;3Nb,3Ta</t>
  </si>
  <si>
    <t>6Nb-&gt;2Nb,4Ta</t>
  </si>
  <si>
    <t>K-&gt;Rb</t>
  </si>
  <si>
    <t>K-&gt;Rb; 6Nb-&gt;4Nb,2Ta</t>
  </si>
  <si>
    <t>K-&gt;Rb; 6Nb-&gt;3Nb,3Ta</t>
  </si>
  <si>
    <t>K-&gt;Rb; 6Nb-&gt;2Nb,4Ta</t>
  </si>
  <si>
    <t>K-&gt;Rb; Nb-&gt;Ta</t>
  </si>
  <si>
    <t>5Bi-&gt;4Bi, La</t>
  </si>
  <si>
    <t>5Bi-&gt;3Bi, 2La</t>
  </si>
  <si>
    <t>Ti-&gt;0.1Zr, 0.9Ti</t>
  </si>
  <si>
    <t>Ti-&gt;0.3Zr, 0.7Ti</t>
  </si>
  <si>
    <t>Ti-&gt;0.5Zr, 0.5Ti</t>
  </si>
  <si>
    <t>Ti-&gt;0.7Zr, 0.3Ti</t>
  </si>
  <si>
    <t>3Ti-&gt;2.9Ti, 0.1Fe</t>
  </si>
  <si>
    <t>3Ti-&gt;2.8Ti, 0.2Fe</t>
  </si>
  <si>
    <t>3Ti-&gt;2.7Ti, 0.3Fe</t>
  </si>
  <si>
    <t>3Ti-&gt;2.6Ti, 0.4Fe</t>
  </si>
  <si>
    <t>3Ti-&gt;2.5Ti, 0.5Fe</t>
  </si>
  <si>
    <t>3Ti-&gt;2.8Ti, 0.2W</t>
  </si>
  <si>
    <t>3Ti-&gt;2.8Ti, 0.2Ni</t>
  </si>
  <si>
    <t>Na-&gt;H; La-&gt;Pr</t>
  </si>
  <si>
    <t>La-&gt;Pr</t>
  </si>
  <si>
    <t>Na-&gt;Rb; La-&gt;Pr</t>
  </si>
  <si>
    <t>Na-&gt;Cs; La-&gt;Pr</t>
  </si>
  <si>
    <t>Na-&gt;H; La-&gt;Nd</t>
  </si>
  <si>
    <t>La-&gt;Nd</t>
  </si>
  <si>
    <t>Na-&gt;Rb; La-&gt;Nd</t>
  </si>
  <si>
    <t>Na-&gt;Cs; La-&gt;Nd</t>
  </si>
  <si>
    <t>Na-&gt;H; La-&gt;Sm</t>
  </si>
  <si>
    <t>La-&gt;Sm</t>
  </si>
  <si>
    <t>Na-&gt;Rb; La-&gt;Sm</t>
  </si>
  <si>
    <t>Na-&gt;Cs; La-&gt;Sm</t>
  </si>
  <si>
    <t>Li-&gt;Na</t>
  </si>
  <si>
    <t>Li-&gt;Rb</t>
  </si>
  <si>
    <t>Ta-&gt;Nb; K-&gt;H</t>
  </si>
  <si>
    <t>3Ta-&gt;Ta, 2Nb; K-&gt;H</t>
  </si>
  <si>
    <t>3Ta-&gt;1.5Ta, 1.5Nb; K-&gt;H</t>
  </si>
  <si>
    <t>3Ta-&gt;2Ta, Nb; K-&gt;H</t>
  </si>
  <si>
    <t>Rb-&gt;Ag; Ca-&gt;Sr</t>
  </si>
  <si>
    <t>2Ta-&gt;1.9Ta, 0.1Nb</t>
  </si>
  <si>
    <t>2Ta-&gt;1.8Ta, 0.2Nb</t>
  </si>
  <si>
    <t>2Ta-&gt;1.7Ta, 0.3Nb</t>
  </si>
  <si>
    <t>2Ta-&gt;1.5Ta, 0.5Nb</t>
  </si>
  <si>
    <t>2Ta-&gt;1.3Ta, 0.7Nb</t>
  </si>
  <si>
    <t>2Ta-&gt;1.6Nb, 0.4Ta</t>
  </si>
  <si>
    <t>2La-&gt; Nd, La</t>
  </si>
  <si>
    <t>2La-&gt; Pr, La</t>
  </si>
  <si>
    <t>K-&gt;Cu</t>
  </si>
  <si>
    <t>4K-&gt;2.76Cu, 1.34K</t>
  </si>
  <si>
    <t>K-&gt; 0.65Cu,0.35K</t>
  </si>
  <si>
    <t>Rb-&gt;0.1Rb, 0.9Cu</t>
  </si>
  <si>
    <t>2Nb-&gt;1.98Nb, 0.02Mo</t>
  </si>
  <si>
    <t>2Nb-&gt;1.95Nb, 0.05Mo</t>
  </si>
  <si>
    <t>2Nb-&gt;1.9Nb, 0.1Mo</t>
  </si>
  <si>
    <t>2Nb-&gt;1.85Nb, 0.15Mo</t>
  </si>
  <si>
    <t>Cs-&gt;H; 3Ta-&gt;Ta, 2Nb</t>
  </si>
  <si>
    <t>Cd-&gt;0.1Zn, 0.9Cd</t>
  </si>
  <si>
    <t>Cd-&gt;0.2Zn, 0.8Cd</t>
  </si>
  <si>
    <t>Cd-&gt;0.3Zn, 0.7Cd</t>
  </si>
  <si>
    <t>Cd-&gt;0.4Zn, 0.6Cd</t>
  </si>
  <si>
    <t>Cd-&gt;0.5Zn, 0.5Cd</t>
  </si>
  <si>
    <t>Cd-&gt;0.6Zn, 0.4Cd</t>
  </si>
  <si>
    <t>Cd-&gt;0.7Zn, 0.3Cd</t>
  </si>
  <si>
    <t>Cd-&gt;0.8Zn, 0.2Cd</t>
  </si>
  <si>
    <t>Cd-&gt;0.9Zn, 0.1Cd</t>
  </si>
  <si>
    <t>Cs-&gt;H; 10O-&gt;9.7O, 0.2N</t>
  </si>
  <si>
    <t>10O-&gt;9.7O, 0.2N</t>
  </si>
  <si>
    <t>2Sr-&gt;1.5Sr, 0.5Ba</t>
  </si>
  <si>
    <t>2Sr-&gt;1.5Sr, 0.5Ba; Cs-&gt;H</t>
  </si>
  <si>
    <t>3Nb-&gt;2.97Nb, 0.03Rh; H-&gt;K</t>
  </si>
  <si>
    <t>K-&gt;H; 2Ca-&gt;1.5Ca, 0.5Sr</t>
  </si>
  <si>
    <t>K-&gt;H; 2Ca-&gt;Ca, Sr</t>
  </si>
  <si>
    <t>K-&gt;H; 2Ca-&gt;0.5Ca, 1.5Sr</t>
  </si>
  <si>
    <t>sd_1200891</t>
  </si>
  <si>
    <t>Materials Project verification</t>
  </si>
  <si>
    <t>COD verification</t>
  </si>
  <si>
    <t>Springer verification</t>
  </si>
  <si>
    <t>General verification</t>
  </si>
  <si>
    <t>MP_CIF_modified</t>
  </si>
  <si>
    <t>COD_CIF_modified</t>
  </si>
  <si>
    <t>Springer_CIF_modified</t>
  </si>
  <si>
    <t>M_MP0</t>
  </si>
  <si>
    <t>M_MP1</t>
  </si>
  <si>
    <t>M_MP2</t>
  </si>
  <si>
    <t>M_MP3</t>
  </si>
  <si>
    <t>M_COD0</t>
  </si>
  <si>
    <t>M_MP4</t>
  </si>
  <si>
    <t>M_COD1</t>
  </si>
  <si>
    <t>M_MP5</t>
  </si>
  <si>
    <t>M_COD2</t>
  </si>
  <si>
    <t>M_MP6</t>
  </si>
  <si>
    <t>M_COD3</t>
  </si>
  <si>
    <t>M_MP7</t>
  </si>
  <si>
    <t>M_MP8</t>
  </si>
  <si>
    <t>M_COD4</t>
  </si>
  <si>
    <t>M_MP9</t>
  </si>
  <si>
    <t>M_COD5</t>
  </si>
  <si>
    <t>M_MP10</t>
  </si>
  <si>
    <t>M_COD6</t>
  </si>
  <si>
    <t>M_MP11</t>
  </si>
  <si>
    <t>M_COD7</t>
  </si>
  <si>
    <t>M_Springer0</t>
  </si>
  <si>
    <t>M_Springer1</t>
  </si>
  <si>
    <t>M_Springer2</t>
  </si>
  <si>
    <t>M_Springer3</t>
  </si>
  <si>
    <t>M_Springer4</t>
  </si>
  <si>
    <t>M_Springer5</t>
  </si>
  <si>
    <t>M_MP12</t>
  </si>
  <si>
    <t>M_COD8</t>
  </si>
  <si>
    <t>M_MP13</t>
  </si>
  <si>
    <t>M_COD9</t>
  </si>
  <si>
    <t>M_MP14</t>
  </si>
  <si>
    <t>M_COD10</t>
  </si>
  <si>
    <t>M_MP15</t>
  </si>
  <si>
    <t>M_COD11</t>
  </si>
  <si>
    <t>M_Springer6</t>
  </si>
  <si>
    <t>M_Springer7</t>
  </si>
  <si>
    <t>M_Springer8</t>
  </si>
  <si>
    <t>M_Springer9</t>
  </si>
  <si>
    <t>M_Springer10</t>
  </si>
  <si>
    <t>M_Springer11</t>
  </si>
  <si>
    <t>M_MP16</t>
  </si>
  <si>
    <t>M_COD12</t>
  </si>
  <si>
    <t>M_Springer12</t>
  </si>
  <si>
    <t>M_Springer13</t>
  </si>
  <si>
    <t>M_Springer14</t>
  </si>
  <si>
    <t>M_Springer15</t>
  </si>
  <si>
    <t>M_Springer16</t>
  </si>
  <si>
    <t>M_Springer17</t>
  </si>
  <si>
    <t>M_MP17</t>
  </si>
  <si>
    <t>M_MP18</t>
  </si>
  <si>
    <t>M_MP19</t>
  </si>
  <si>
    <t>M_MP20</t>
  </si>
  <si>
    <t>M_MP21</t>
  </si>
  <si>
    <t>M_MP22</t>
  </si>
  <si>
    <t>M_MP23</t>
  </si>
  <si>
    <t>M_MP24</t>
  </si>
  <si>
    <t>M_MP25</t>
  </si>
  <si>
    <t>M_MP26</t>
  </si>
  <si>
    <t>M_MP27</t>
  </si>
  <si>
    <t>M_COD13</t>
  </si>
  <si>
    <t>M_MP28</t>
  </si>
  <si>
    <t>M_MP29</t>
  </si>
  <si>
    <t>M_MP30</t>
  </si>
  <si>
    <t>M_MP31</t>
  </si>
  <si>
    <t>M_MP32</t>
  </si>
  <si>
    <t>M_COD14</t>
  </si>
  <si>
    <t>M_MP33</t>
  </si>
  <si>
    <t>M_MP34</t>
  </si>
  <si>
    <t>M_MP35</t>
  </si>
  <si>
    <t>M_MP36</t>
  </si>
  <si>
    <t>M_MP37</t>
  </si>
  <si>
    <t>M_MP38</t>
  </si>
  <si>
    <t>M_MP39</t>
  </si>
  <si>
    <t>M_MP40</t>
  </si>
  <si>
    <t>M_MP41</t>
  </si>
  <si>
    <t>M_MP42</t>
  </si>
  <si>
    <t>M_MP43</t>
  </si>
  <si>
    <t>M_MP44</t>
  </si>
  <si>
    <t>M_MP45</t>
  </si>
  <si>
    <t>M_MP46</t>
  </si>
  <si>
    <t>M_MP47</t>
  </si>
  <si>
    <t>M_Springer18</t>
  </si>
  <si>
    <t>M_Springer19</t>
  </si>
  <si>
    <t>M_Springer20</t>
  </si>
  <si>
    <t>M_Springer21</t>
  </si>
  <si>
    <t>M_Springer22</t>
  </si>
  <si>
    <t>M_MP48</t>
  </si>
  <si>
    <t>M_MP49</t>
  </si>
  <si>
    <t>M_Springer23</t>
  </si>
  <si>
    <t>M_MP50</t>
  </si>
  <si>
    <t>M_MP51</t>
  </si>
  <si>
    <t>M_MP52</t>
  </si>
  <si>
    <t>M_MP53</t>
  </si>
  <si>
    <t>M_Springer24</t>
  </si>
  <si>
    <t>M_MP54</t>
  </si>
  <si>
    <t>M_MP55</t>
  </si>
  <si>
    <t>M_MP56</t>
  </si>
  <si>
    <t>M_MP57</t>
  </si>
  <si>
    <t>M_MP58</t>
  </si>
  <si>
    <t>M_MP59</t>
  </si>
  <si>
    <t>M_MP60</t>
  </si>
  <si>
    <t>M_MP61</t>
  </si>
  <si>
    <t>M_Springer25</t>
  </si>
  <si>
    <t>M_MP62</t>
  </si>
  <si>
    <t>M_MP63</t>
  </si>
  <si>
    <t>M_COD15</t>
  </si>
  <si>
    <t>M_MP64</t>
  </si>
  <si>
    <t>M_COD16</t>
  </si>
  <si>
    <t>M_MP65</t>
  </si>
  <si>
    <t>M_COD17</t>
  </si>
  <si>
    <t>M_MP66</t>
  </si>
  <si>
    <t>M_COD18</t>
  </si>
  <si>
    <t>M_MP67</t>
  </si>
  <si>
    <t>M_COD19</t>
  </si>
  <si>
    <t>M_MP68</t>
  </si>
  <si>
    <t>M_COD20</t>
  </si>
  <si>
    <t>M_MP69</t>
  </si>
  <si>
    <t>M_COD21</t>
  </si>
  <si>
    <t>M_MP70</t>
  </si>
  <si>
    <t>M_COD22</t>
  </si>
  <si>
    <t>M_MP71</t>
  </si>
  <si>
    <t>M_MP72</t>
  </si>
  <si>
    <t>M_MP73</t>
  </si>
  <si>
    <t>M_MP74</t>
  </si>
  <si>
    <t>M_MP75</t>
  </si>
  <si>
    <t>M_MP76</t>
  </si>
  <si>
    <t>M_COD23</t>
  </si>
  <si>
    <t>M_MP77</t>
  </si>
  <si>
    <t>M_COD24</t>
  </si>
  <si>
    <t>M_MP78</t>
  </si>
  <si>
    <t>M_COD25</t>
  </si>
  <si>
    <t>M_MP79</t>
  </si>
  <si>
    <t>M_COD26</t>
  </si>
  <si>
    <t>M_MP80</t>
  </si>
  <si>
    <t>M_MP81</t>
  </si>
  <si>
    <t>M_MP82</t>
  </si>
  <si>
    <t>M_MP83</t>
  </si>
  <si>
    <t>M_MP84</t>
  </si>
  <si>
    <t>M_MP85</t>
  </si>
  <si>
    <t>M_MP86</t>
  </si>
  <si>
    <t>M_MP87</t>
  </si>
  <si>
    <t>M_MP88</t>
  </si>
  <si>
    <t>M_COD27</t>
  </si>
  <si>
    <t>M_MP89</t>
  </si>
  <si>
    <t>M_MP90</t>
  </si>
  <si>
    <t>M_MP91</t>
  </si>
  <si>
    <t>M_COD28</t>
  </si>
  <si>
    <t>M_MP92</t>
  </si>
  <si>
    <t>M_MP93</t>
  </si>
  <si>
    <t>M_MP94</t>
  </si>
  <si>
    <t>M_COD29</t>
  </si>
  <si>
    <t>M_MP95</t>
  </si>
  <si>
    <t>M_MP96</t>
  </si>
  <si>
    <t>M_MP97</t>
  </si>
  <si>
    <t>M_COD30</t>
  </si>
  <si>
    <t>M_MP98</t>
  </si>
  <si>
    <t>M_MP99</t>
  </si>
  <si>
    <t>M_MP100</t>
  </si>
  <si>
    <t>M_COD31</t>
  </si>
  <si>
    <t>M_MP101</t>
  </si>
  <si>
    <t>M_MP102</t>
  </si>
  <si>
    <t>M_MP103</t>
  </si>
  <si>
    <t>M_COD32</t>
  </si>
  <si>
    <t>M_MP104</t>
  </si>
  <si>
    <t>M_MP105</t>
  </si>
  <si>
    <t>M_MP106</t>
  </si>
  <si>
    <t>M_MP107</t>
  </si>
  <si>
    <t>M_COD33</t>
  </si>
  <si>
    <t>M_MP108</t>
  </si>
  <si>
    <t>M_COD34</t>
  </si>
  <si>
    <t>M_MP109</t>
  </si>
  <si>
    <t>M_COD35</t>
  </si>
  <si>
    <t>M_MP110</t>
  </si>
  <si>
    <t>M_MP111</t>
  </si>
  <si>
    <t>M_MP112</t>
  </si>
  <si>
    <t>M_MP113</t>
  </si>
  <si>
    <t>M_MP114</t>
  </si>
  <si>
    <t>M_MP115</t>
  </si>
  <si>
    <t>M_MP116</t>
  </si>
  <si>
    <t>M_MP117</t>
  </si>
  <si>
    <t>M_MP118</t>
  </si>
  <si>
    <t>M_COD36</t>
  </si>
  <si>
    <t>M_MP119</t>
  </si>
  <si>
    <t>M_COD37</t>
  </si>
  <si>
    <t>M_MP120</t>
  </si>
  <si>
    <t>M_COD38</t>
  </si>
  <si>
    <t>M_MP121</t>
  </si>
  <si>
    <t>M_COD39</t>
  </si>
  <si>
    <t>M_MP122</t>
  </si>
  <si>
    <t>M_COD40</t>
  </si>
  <si>
    <t>M_MP123</t>
  </si>
  <si>
    <t>M_COD41</t>
  </si>
  <si>
    <t>M_MP124</t>
  </si>
  <si>
    <t>M_COD42</t>
  </si>
  <si>
    <t>M_MP125</t>
  </si>
  <si>
    <t>M_COD43</t>
  </si>
  <si>
    <t>M_MP126</t>
  </si>
  <si>
    <t>M_COD44</t>
  </si>
  <si>
    <t>M_MP127</t>
  </si>
  <si>
    <t>M_COD45</t>
  </si>
  <si>
    <t>M_MP128</t>
  </si>
  <si>
    <t>M_COD46</t>
  </si>
  <si>
    <t>M_MP129</t>
  </si>
  <si>
    <t>Invalid structure to modify: sd_1925412</t>
  </si>
  <si>
    <t>M_MP130</t>
  </si>
  <si>
    <t>M_COD47</t>
  </si>
  <si>
    <t>M_MP131</t>
  </si>
  <si>
    <t>M_COD48</t>
  </si>
  <si>
    <t>M_MP132</t>
  </si>
  <si>
    <t>M_COD49</t>
  </si>
  <si>
    <t>M_MP133</t>
  </si>
  <si>
    <t>M_COD50</t>
  </si>
  <si>
    <t>M_MP134</t>
  </si>
  <si>
    <t>M_COD51</t>
  </si>
  <si>
    <t>M_Springer26</t>
  </si>
  <si>
    <t>M_MP135</t>
  </si>
  <si>
    <t>M_COD52</t>
  </si>
  <si>
    <t>M_Springer27</t>
  </si>
  <si>
    <t>M_MP136</t>
  </si>
  <si>
    <t>M_COD53</t>
  </si>
  <si>
    <t>M_Springer28</t>
  </si>
  <si>
    <t>M_MP137</t>
  </si>
  <si>
    <t>M_COD54</t>
  </si>
  <si>
    <t>M_Springer29</t>
  </si>
  <si>
    <t>M_MP138</t>
  </si>
  <si>
    <t>M_COD55</t>
  </si>
  <si>
    <t>M_Springer30</t>
  </si>
  <si>
    <t>M_MP139</t>
  </si>
  <si>
    <t>M_COD56</t>
  </si>
  <si>
    <t>M_Springer31</t>
  </si>
  <si>
    <t>M_MP140</t>
  </si>
  <si>
    <t>M_COD57</t>
  </si>
  <si>
    <t>M_Springer32</t>
  </si>
  <si>
    <t>M_MP141</t>
  </si>
  <si>
    <t>M_COD58</t>
  </si>
  <si>
    <t>M_Springer33</t>
  </si>
  <si>
    <t>M_MP142</t>
  </si>
  <si>
    <t>M_COD59</t>
  </si>
  <si>
    <t>M_Springer34</t>
  </si>
  <si>
    <t>M_MP143</t>
  </si>
  <si>
    <t>M_COD60</t>
  </si>
  <si>
    <t>M_MP144</t>
  </si>
  <si>
    <t>M_COD61</t>
  </si>
  <si>
    <t>M_MP145</t>
  </si>
  <si>
    <t>M_COD62</t>
  </si>
  <si>
    <t>M_MP146</t>
  </si>
  <si>
    <t>M_COD63</t>
  </si>
  <si>
    <t>M_MP147</t>
  </si>
  <si>
    <t>M_COD64</t>
  </si>
  <si>
    <t>M_MP148</t>
  </si>
  <si>
    <t>M_COD65</t>
  </si>
  <si>
    <t>M_MP149</t>
  </si>
  <si>
    <t>M_COD66</t>
  </si>
  <si>
    <t>M_MP150</t>
  </si>
  <si>
    <t>M_COD67</t>
  </si>
  <si>
    <t>M_MP151</t>
  </si>
  <si>
    <t>M_COD68</t>
  </si>
  <si>
    <t>M_MP152</t>
  </si>
  <si>
    <t>M_COD69</t>
  </si>
  <si>
    <t>M_MP153</t>
  </si>
  <si>
    <t>M_COD70</t>
  </si>
  <si>
    <t>M_MP154</t>
  </si>
  <si>
    <t>M_COD71</t>
  </si>
  <si>
    <t>M_MP155</t>
  </si>
  <si>
    <t>M_COD72</t>
  </si>
  <si>
    <t>M_MP156</t>
  </si>
  <si>
    <t>M_COD73</t>
  </si>
  <si>
    <t>M_Springer35</t>
  </si>
  <si>
    <t>M_Springer36</t>
  </si>
  <si>
    <t>M_MP157</t>
  </si>
  <si>
    <t>M_COD74</t>
  </si>
  <si>
    <t>M_MP158</t>
  </si>
  <si>
    <t>M_COD75</t>
  </si>
  <si>
    <t>M_MP159</t>
  </si>
  <si>
    <t>M_COD76</t>
  </si>
  <si>
    <t>M_MP160</t>
  </si>
  <si>
    <t>M_COD77</t>
  </si>
  <si>
    <t>M_MP161</t>
  </si>
  <si>
    <t>M_COD78</t>
  </si>
  <si>
    <t>M_MP162</t>
  </si>
  <si>
    <t>M_COD79</t>
  </si>
  <si>
    <t>M_MP163</t>
  </si>
  <si>
    <t>M_MP164</t>
  </si>
  <si>
    <t>M_COD80</t>
  </si>
  <si>
    <t>M_MP165</t>
  </si>
  <si>
    <t>M_MP166</t>
  </si>
  <si>
    <t>M_MP167</t>
  </si>
  <si>
    <t>M_MP168</t>
  </si>
  <si>
    <t>M_COD81</t>
  </si>
  <si>
    <t>M_MP169</t>
  </si>
  <si>
    <t>M_MP170</t>
  </si>
  <si>
    <t>M_COD82</t>
  </si>
  <si>
    <t>M_MP171</t>
  </si>
  <si>
    <t>M_MP172</t>
  </si>
  <si>
    <t>M_MP173</t>
  </si>
  <si>
    <t>M_MP174</t>
  </si>
  <si>
    <t>M_MP175</t>
  </si>
  <si>
    <t>M_MP176</t>
  </si>
  <si>
    <t>M_COD83</t>
  </si>
  <si>
    <t>M_MP177</t>
  </si>
  <si>
    <t>M_COD84</t>
  </si>
  <si>
    <t>M_MP178</t>
  </si>
  <si>
    <t>M_COD85</t>
  </si>
  <si>
    <t>M_MP179</t>
  </si>
  <si>
    <t>M_COD86</t>
  </si>
  <si>
    <t>M_MP180</t>
  </si>
  <si>
    <t>M_COD87</t>
  </si>
  <si>
    <t>M_MP181</t>
  </si>
  <si>
    <t>M_COD88</t>
  </si>
  <si>
    <t>M_MP182</t>
  </si>
  <si>
    <t>M_COD89</t>
  </si>
  <si>
    <t>M_MP183</t>
  </si>
  <si>
    <t>M_COD90</t>
  </si>
  <si>
    <t>M_MP184</t>
  </si>
  <si>
    <t>M_COD91</t>
  </si>
  <si>
    <t>M_MP185</t>
  </si>
  <si>
    <t>M_COD92</t>
  </si>
  <si>
    <t>M_MP186</t>
  </si>
  <si>
    <t>M_COD93</t>
  </si>
  <si>
    <t>M_MP187</t>
  </si>
  <si>
    <t>M_COD94</t>
  </si>
  <si>
    <t>M_MP188</t>
  </si>
  <si>
    <t>M_COD95</t>
  </si>
  <si>
    <t>M_MP189</t>
  </si>
  <si>
    <t>M_COD96</t>
  </si>
  <si>
    <t>M_MP190</t>
  </si>
  <si>
    <t>M_COD97</t>
  </si>
  <si>
    <t>M_MP191</t>
  </si>
  <si>
    <t>M_COD98</t>
  </si>
  <si>
    <t>M_MP192</t>
  </si>
  <si>
    <t>M_COD99</t>
  </si>
  <si>
    <t>M_MP193</t>
  </si>
  <si>
    <t>M_COD100</t>
  </si>
  <si>
    <t>M_MP194</t>
  </si>
  <si>
    <t>M_MP195</t>
  </si>
  <si>
    <t>M_COD101</t>
  </si>
  <si>
    <t>M_MP196</t>
  </si>
  <si>
    <t>M_MP197</t>
  </si>
  <si>
    <t>M_COD102</t>
  </si>
  <si>
    <t>M_MP198</t>
  </si>
  <si>
    <t>M_MP199</t>
  </si>
  <si>
    <t>M_MP200</t>
  </si>
  <si>
    <t>M_MP201</t>
  </si>
  <si>
    <t>M_MP202</t>
  </si>
  <si>
    <t>M_MP203</t>
  </si>
  <si>
    <t>M_MP204</t>
  </si>
  <si>
    <t>M_Springer37</t>
  </si>
  <si>
    <t>M_Springer38</t>
  </si>
  <si>
    <t>M_Springer39</t>
  </si>
  <si>
    <t>M_Springer40</t>
  </si>
  <si>
    <t>M_Springer41</t>
  </si>
  <si>
    <t>M_Springer42</t>
  </si>
  <si>
    <t>M_Springer43</t>
  </si>
  <si>
    <t>M_Springer44</t>
  </si>
  <si>
    <t>M_Springer45</t>
  </si>
  <si>
    <t>M_Springer46</t>
  </si>
  <si>
    <t>M_Springer47</t>
  </si>
  <si>
    <t>M_MP205</t>
  </si>
  <si>
    <t>M_COD103</t>
  </si>
  <si>
    <t>M_MP206</t>
  </si>
  <si>
    <t>M_COD104</t>
  </si>
  <si>
    <t>M_MP207</t>
  </si>
  <si>
    <t>M_MP208</t>
  </si>
  <si>
    <t>M_MP209</t>
  </si>
  <si>
    <t>M_MP210</t>
  </si>
  <si>
    <t>M_MP211</t>
  </si>
  <si>
    <t>M_MP212</t>
  </si>
  <si>
    <t>M_MP213</t>
  </si>
  <si>
    <t>M_MP214</t>
  </si>
  <si>
    <t>M_MP215</t>
  </si>
  <si>
    <t>M_MP216</t>
  </si>
  <si>
    <t>M_MP217</t>
  </si>
  <si>
    <t>M_MP218</t>
  </si>
  <si>
    <t>M_MP219</t>
  </si>
  <si>
    <t>M_MP220</t>
  </si>
  <si>
    <t>M_MP221</t>
  </si>
  <si>
    <t>M_MP222</t>
  </si>
  <si>
    <t>M_MP223</t>
  </si>
  <si>
    <t>M_MP224</t>
  </si>
  <si>
    <t>M_COD105</t>
  </si>
  <si>
    <t>M_MP225</t>
  </si>
  <si>
    <t>M_COD106</t>
  </si>
  <si>
    <t>M_MP226</t>
  </si>
  <si>
    <t>M_MP227</t>
  </si>
  <si>
    <t>M_MP228</t>
  </si>
  <si>
    <t>M_Springer48</t>
  </si>
  <si>
    <t>Cs-&gt;K; Ca-&gt;Sr</t>
  </si>
  <si>
    <t>Cs-&gt;K; Ca-&gt;Sr; Ta-&gt;Nb</t>
  </si>
  <si>
    <t>Cs-&gt;K; Ca-&gt;Sr; 3Ta-&gt;Ta, 2Nb</t>
  </si>
  <si>
    <t>Cs-&gt;K; Ca-&gt;Sr; 3Ta-&gt;1.5Ta, 1.5Nb</t>
  </si>
  <si>
    <t>Cs-&gt;H; Ca-&gt;Sr; 3Ta-&gt;Ta, 2Nb</t>
  </si>
  <si>
    <t>Cs-&gt;H; Ca-&gt;Sr; 3Ta-&gt;1.5Ta, 1.5Nb</t>
  </si>
  <si>
    <t>Ag-&gt;Rb</t>
  </si>
  <si>
    <t>Sr2Nb0.3Ta1.7O7</t>
  </si>
  <si>
    <t>Cs-&gt;H; Ca-&gt;Pb; Ta-&gt;Nb</t>
  </si>
  <si>
    <t>K-&gt;H; Ca-&gt;Ba</t>
  </si>
  <si>
    <t>K-&gt;Li; La-&gt;Nd</t>
  </si>
  <si>
    <t>K-&gt;H; 3Nb-&gt;2.7Nb, 0.3Ta</t>
  </si>
  <si>
    <t>K-&gt;H; 3Nb-&gt;2Nb, 1Ta</t>
  </si>
  <si>
    <t>K-&gt;H; 3Nb-&gt;1.5Nb, 1.5Ta</t>
  </si>
  <si>
    <t>2Ca-&gt;Ca, Sr</t>
  </si>
  <si>
    <t>2K-&gt;H, Rb</t>
  </si>
  <si>
    <t>2K-&gt;1.5H, 0.5Rb</t>
  </si>
  <si>
    <t>Li-&gt;H</t>
  </si>
  <si>
    <t>2La-&gt;1.4Gd, 0.6Eu</t>
  </si>
  <si>
    <t>2La-&gt;1.4Gd, 0.6Eu; K-&gt;H</t>
  </si>
  <si>
    <t>Na-&gt;Rb; La-&gt; 0.7La, 0.3Tb</t>
  </si>
  <si>
    <t>Na-&gt;H; La-&gt; 0.7La, 0.3Tb</t>
  </si>
  <si>
    <t>Sr-&gt;Ba; Nb-&gt;Ta</t>
  </si>
  <si>
    <t>Sr-&gt;Pb; Nb-&gt;Ta</t>
  </si>
  <si>
    <t>3Nb-&gt;2Nb, Ta</t>
  </si>
  <si>
    <t>3Nb-&gt;Nb, 2Ta</t>
  </si>
  <si>
    <t>3Ti-&gt;2.9Ti, 0.1Mn</t>
  </si>
  <si>
    <t>3Ti-&gt;2.7Ti, 0.3 Mn</t>
  </si>
  <si>
    <t>3Ti-&gt;2.5Ti, 0.5Mn</t>
  </si>
  <si>
    <t>3Ti-&gt;2.3Ti, 0.7Mn</t>
  </si>
  <si>
    <t>3Ti-&gt;2Ti, Mn</t>
  </si>
  <si>
    <t>2K-&gt;H,Rb; La-&gt;Nd</t>
  </si>
  <si>
    <t>2K-&gt;1.5H,0.5Rb; La-&gt;Nd</t>
  </si>
  <si>
    <t>Ta-&gt;Nb;Cs-&gt;Li</t>
  </si>
  <si>
    <t>Ta-&gt;Nb; Cs-&gt;Na</t>
  </si>
  <si>
    <t>NaNdNb2O7</t>
  </si>
  <si>
    <t>Ta-&gt;Nb;Cs-&gt;H</t>
  </si>
  <si>
    <t>Ta-&gt;Nb;Cs-&gt;Rb</t>
  </si>
  <si>
    <t>Cs-&gt;H; Ca-&gt;Sr; 3Ta-&gt;2Ta, Nb</t>
  </si>
  <si>
    <t>3Ti-&gt;2.1Ti, 0.9Mn</t>
  </si>
  <si>
    <t>Cs-&gt;K; Ca-&gt;Sr; 3Ta-&gt;2Ta, Nb</t>
  </si>
  <si>
    <t>2Ta-&gt;Nb, Ta</t>
  </si>
  <si>
    <t>Rb-&gt;K; Ca-&gt;Ba; Nb-&gt;Ta</t>
  </si>
  <si>
    <t>3Nb-&gt;2.999Nb, 0.001Rh; K-&gt;H</t>
  </si>
  <si>
    <t>3Nb-&gt;2.99Nb, 0.01Rh; K-&gt;H</t>
  </si>
  <si>
    <t>3Nb-&gt;2.9Nb, 0.1Rh; K-&gt;H</t>
  </si>
  <si>
    <t>3Nb-&gt;2.85Nb, 0.15Rh; K-&gt;H</t>
  </si>
  <si>
    <t>M_COD107</t>
  </si>
  <si>
    <t>M_COD108</t>
  </si>
  <si>
    <t>M_COD109</t>
  </si>
  <si>
    <t>M_COD110</t>
  </si>
  <si>
    <t>M_COD111</t>
  </si>
  <si>
    <t>M_COD112</t>
  </si>
  <si>
    <t>M_COD113</t>
  </si>
  <si>
    <t>M_COD114</t>
  </si>
  <si>
    <t>M_COD115</t>
  </si>
  <si>
    <t>M_COD116</t>
  </si>
  <si>
    <t>M_COD117</t>
  </si>
  <si>
    <t>M_COD118</t>
  </si>
  <si>
    <t>M_COD119</t>
  </si>
  <si>
    <t>M_COD120</t>
  </si>
  <si>
    <t>M_COD121</t>
  </si>
  <si>
    <t>M_COD122</t>
  </si>
  <si>
    <t>M_COD123</t>
  </si>
  <si>
    <t>M_COD124</t>
  </si>
  <si>
    <t>M_COD125</t>
  </si>
  <si>
    <t>M_COD126</t>
  </si>
  <si>
    <t>M_COD127</t>
  </si>
  <si>
    <t>M_COD128</t>
  </si>
  <si>
    <t>M_COD129</t>
  </si>
  <si>
    <t>M_COD130</t>
  </si>
  <si>
    <t>M_COD131</t>
  </si>
  <si>
    <t>M_COD132</t>
  </si>
  <si>
    <t>M_COD133</t>
  </si>
  <si>
    <t>M_COD134</t>
  </si>
  <si>
    <t>M_COD135</t>
  </si>
  <si>
    <t>M_MP229</t>
  </si>
  <si>
    <t>M_COD136</t>
  </si>
  <si>
    <t>M_MP230</t>
  </si>
  <si>
    <t>M_COD137</t>
  </si>
  <si>
    <t>M_MP231</t>
  </si>
  <si>
    <t>M_COD138</t>
  </si>
  <si>
    <t>M_MP232</t>
  </si>
  <si>
    <t>M_MP233</t>
  </si>
  <si>
    <t>M_MP234</t>
  </si>
  <si>
    <t>M_MP235</t>
  </si>
  <si>
    <t>M_MP236</t>
  </si>
  <si>
    <t>M_COD139</t>
  </si>
  <si>
    <t>M_MP237</t>
  </si>
  <si>
    <t>M_MP238</t>
  </si>
  <si>
    <t>M_COD140</t>
  </si>
  <si>
    <t>M_MP239</t>
  </si>
  <si>
    <t>M_MP240</t>
  </si>
  <si>
    <t>M_MP241</t>
  </si>
  <si>
    <t>M_MP242</t>
  </si>
  <si>
    <t>M_MP243</t>
  </si>
  <si>
    <t>M_MP244</t>
  </si>
  <si>
    <t>M_MP245</t>
  </si>
  <si>
    <t>M_MP246</t>
  </si>
  <si>
    <t>M_MP247</t>
  </si>
  <si>
    <t>M_MP248</t>
  </si>
  <si>
    <t>M_MP249</t>
  </si>
  <si>
    <t>M_Springer49</t>
  </si>
  <si>
    <t>M_Springer50</t>
  </si>
  <si>
    <t>M_MP250</t>
  </si>
  <si>
    <t>M_COD141</t>
  </si>
  <si>
    <t>M_MP251</t>
  </si>
  <si>
    <t>M_COD142</t>
  </si>
  <si>
    <t>M_MP252</t>
  </si>
  <si>
    <t>M_COD143</t>
  </si>
  <si>
    <t>M_MP253</t>
  </si>
  <si>
    <t>M_COD144</t>
  </si>
  <si>
    <t>M_MP254</t>
  </si>
  <si>
    <t>M_MP255</t>
  </si>
  <si>
    <t>M_MP256</t>
  </si>
  <si>
    <t>M_MP257</t>
  </si>
  <si>
    <t>M_MP258</t>
  </si>
  <si>
    <t>M_MP259</t>
  </si>
  <si>
    <t>M_MP260</t>
  </si>
  <si>
    <t>M_MP261</t>
  </si>
  <si>
    <t>M_MP262</t>
  </si>
  <si>
    <t>M_MP263</t>
  </si>
  <si>
    <t>M_MP264</t>
  </si>
  <si>
    <t>M_MP265</t>
  </si>
  <si>
    <t>M_MP266</t>
  </si>
  <si>
    <t>M_MP267</t>
  </si>
  <si>
    <t>M_MP268</t>
  </si>
  <si>
    <t>M_MP269</t>
  </si>
  <si>
    <t>M_MP270</t>
  </si>
  <si>
    <t>M_MP271</t>
  </si>
  <si>
    <t>M_COD145</t>
  </si>
  <si>
    <t>M_MP272</t>
  </si>
  <si>
    <t>M_COD146</t>
  </si>
  <si>
    <t>M_MP273</t>
  </si>
  <si>
    <t>M_COD147</t>
  </si>
  <si>
    <t>Invalid structure to modify: sd_1210175</t>
  </si>
  <si>
    <t>M_MP274</t>
  </si>
  <si>
    <t>M_COD148</t>
  </si>
  <si>
    <t>M_MP275</t>
  </si>
  <si>
    <t>M_COD149</t>
  </si>
  <si>
    <t>M_MP276</t>
  </si>
  <si>
    <t>M_COD150</t>
  </si>
  <si>
    <t>M_MP277</t>
  </si>
  <si>
    <t>M_COD151</t>
  </si>
  <si>
    <t>M_MP278</t>
  </si>
  <si>
    <t>M_COD152</t>
  </si>
  <si>
    <t>M_MP279</t>
  </si>
  <si>
    <t>M_MP280</t>
  </si>
  <si>
    <t>M_COD153</t>
  </si>
  <si>
    <t>M_MP281</t>
  </si>
  <si>
    <t>M_COD154</t>
  </si>
  <si>
    <t>M_MP282</t>
  </si>
  <si>
    <t>M_COD155</t>
  </si>
  <si>
    <t>M_MP283</t>
  </si>
  <si>
    <t>M_COD156</t>
  </si>
  <si>
    <t>M_MP284</t>
  </si>
  <si>
    <t>M_COD157</t>
  </si>
  <si>
    <t>M_MP285</t>
  </si>
  <si>
    <t>M_COD158</t>
  </si>
  <si>
    <t>M_MP286</t>
  </si>
  <si>
    <t>M_COD159</t>
  </si>
  <si>
    <t>M_MP287</t>
  </si>
  <si>
    <t>M_COD160</t>
  </si>
  <si>
    <t>M_MP288</t>
  </si>
  <si>
    <t>M_COD161</t>
  </si>
  <si>
    <t>M_MP289</t>
  </si>
  <si>
    <t>M_COD162</t>
  </si>
  <si>
    <t>M_MP290</t>
  </si>
  <si>
    <t>M_COD163</t>
  </si>
  <si>
    <t>M_MP291</t>
  </si>
  <si>
    <t>M_MP292</t>
  </si>
  <si>
    <t>M_COD164</t>
  </si>
  <si>
    <t>M_MP293</t>
  </si>
  <si>
    <t>M_COD165</t>
  </si>
  <si>
    <t>M_MP294</t>
  </si>
  <si>
    <t>M_COD166</t>
  </si>
  <si>
    <t>M_MP295</t>
  </si>
  <si>
    <t>M_COD167</t>
  </si>
  <si>
    <t>M_MP296</t>
  </si>
  <si>
    <t>M_COD168</t>
  </si>
  <si>
    <t>M_MP297</t>
  </si>
  <si>
    <t>M_COD169</t>
  </si>
  <si>
    <t>M_MP298</t>
  </si>
  <si>
    <t>M_COD170</t>
  </si>
  <si>
    <t>M_MP299</t>
  </si>
  <si>
    <t>M_COD171</t>
  </si>
  <si>
    <t>M_MP300</t>
  </si>
  <si>
    <t>M_COD172</t>
  </si>
  <si>
    <t>M_MP301</t>
  </si>
  <si>
    <t>M_COD173</t>
  </si>
  <si>
    <t>M_MP302</t>
  </si>
  <si>
    <t>M_COD174</t>
  </si>
  <si>
    <t>M_MP303</t>
  </si>
  <si>
    <t>M_MP304</t>
  </si>
  <si>
    <t>M_COD175</t>
  </si>
  <si>
    <t>M_MP305</t>
  </si>
  <si>
    <t>M_COD176</t>
  </si>
  <si>
    <t>M_MP306</t>
  </si>
  <si>
    <t>M_COD177</t>
  </si>
  <si>
    <t>M_MP307</t>
  </si>
  <si>
    <t>M_COD178</t>
  </si>
  <si>
    <t>M_MP308</t>
  </si>
  <si>
    <t>M_COD179</t>
  </si>
  <si>
    <t>M_MP309</t>
  </si>
  <si>
    <t>M_COD180</t>
  </si>
  <si>
    <t>M_MP310</t>
  </si>
  <si>
    <t>M_COD181</t>
  </si>
  <si>
    <t>M_MP311</t>
  </si>
  <si>
    <t>M_COD182</t>
  </si>
  <si>
    <t>M_MP312</t>
  </si>
  <si>
    <t>M_COD183</t>
  </si>
  <si>
    <t>M_MP313</t>
  </si>
  <si>
    <t>M_COD184</t>
  </si>
  <si>
    <t>M_MP314</t>
  </si>
  <si>
    <t>M_COD185</t>
  </si>
  <si>
    <t>M_MP315</t>
  </si>
  <si>
    <t>M_MP316</t>
  </si>
  <si>
    <t>M_COD186</t>
  </si>
  <si>
    <t>M_MP317</t>
  </si>
  <si>
    <t>M_COD187</t>
  </si>
  <si>
    <t>M_MP318</t>
  </si>
  <si>
    <t>M_COD188</t>
  </si>
  <si>
    <t>M_MP319</t>
  </si>
  <si>
    <t>M_COD189</t>
  </si>
  <si>
    <t>M_MP320</t>
  </si>
  <si>
    <t>M_COD190</t>
  </si>
  <si>
    <t>M_MP321</t>
  </si>
  <si>
    <t>M_COD191</t>
  </si>
  <si>
    <t>M_MP322</t>
  </si>
  <si>
    <t>M_COD192</t>
  </si>
  <si>
    <t>M_MP323</t>
  </si>
  <si>
    <t>M_COD193</t>
  </si>
  <si>
    <t>M_MP324</t>
  </si>
  <si>
    <t>M_COD194</t>
  </si>
  <si>
    <t>M_MP325</t>
  </si>
  <si>
    <t>M_COD195</t>
  </si>
  <si>
    <t>M_MP326</t>
  </si>
  <si>
    <t>M_COD196</t>
  </si>
  <si>
    <t>M_MP327</t>
  </si>
  <si>
    <t>M_MP328</t>
  </si>
  <si>
    <t>M_MP329</t>
  </si>
  <si>
    <t>M_MP330</t>
  </si>
  <si>
    <t>M_MP331</t>
  </si>
  <si>
    <t>M_Springer51</t>
  </si>
  <si>
    <t>M_Springer52</t>
  </si>
  <si>
    <t>M_Springer53</t>
  </si>
  <si>
    <t>M_Springer54</t>
  </si>
  <si>
    <t>M_Springer55</t>
  </si>
  <si>
    <t>3Nb-&gt;2.97Nb, 0.03Rh; K-&gt;H</t>
  </si>
  <si>
    <t>2K-&gt;0.4H, 1.6K</t>
  </si>
  <si>
    <t>2K-&gt;0.8H, 1.2K</t>
  </si>
  <si>
    <t>2K-&gt;1.5H, 0.5K</t>
  </si>
  <si>
    <t>2K-&gt;1.6H, 0.4K</t>
  </si>
  <si>
    <t>2Na-&gt;1.4H, 0.6Na</t>
  </si>
  <si>
    <t>2Na-&gt;1.4H, 0.6Na;3Ti-&gt;2.998Ti,0.002Mn</t>
  </si>
  <si>
    <t>2Na-&gt;1.4H, 0.6Na;3Ti-&gt;2.995Ti,0.005Mn</t>
  </si>
  <si>
    <t>2Na-&gt;1.4H, 0.6Na;3Ti-&gt;2.975Ti,0.025Mn</t>
  </si>
  <si>
    <t>2Na-&gt;1.4H, 0.6Na;3Ti-&gt;2.95Ti,0.05Mn</t>
  </si>
  <si>
    <t>2Na-&gt;1.4H, 0.6Na;3Ti-&gt;2.9Ti,0.1Mn</t>
  </si>
  <si>
    <t>2Na-&gt;1.6H, 0.4Na;3Ti-&gt;2.7Ti,0.3Mn</t>
  </si>
  <si>
    <t>2Na-&gt;1.8H, 0.2Na;3Ti-&gt;2.5Ti,0.5Mn</t>
  </si>
  <si>
    <t>2Na-&gt;1.8H, 0.2Na;3Ti-&gt;2.3Ti,0.7Mn</t>
  </si>
  <si>
    <t>2Na-&gt;1.8H, 0.2Na;3Ti-&gt;2.1Ti,0.9Mn</t>
  </si>
  <si>
    <t>2Na-&gt;1.8H, 0.2Na;3Ti-&gt;2Ti,Mn</t>
  </si>
  <si>
    <t>sd_0560284</t>
  </si>
  <si>
    <t>H2K0.5Bi2.5Ti4O13*H2O*EtNH2</t>
  </si>
  <si>
    <t>H2K0.5Bi2.5Ti4O13*H2O*BuNH2</t>
  </si>
  <si>
    <t>H2K0.5Bi2.5Ti4O13*H2O*HxNH2</t>
  </si>
  <si>
    <t>H2K0.5Bi2.5Ti4O13*H2O*OcNH2</t>
  </si>
  <si>
    <t>HCa2Ta3O10_MeNH2</t>
  </si>
  <si>
    <t>HCa2Ta3O10_EtNH2</t>
  </si>
  <si>
    <t>HCa2Ta3O10_PrNH2</t>
  </si>
  <si>
    <t>HCa2Ta3O10_BuNH2</t>
  </si>
  <si>
    <t>HCa2Ta3O10_HxNH2</t>
  </si>
  <si>
    <t>HCa2Ta3O10_OcNH2</t>
  </si>
  <si>
    <t>HCa2Ta3O10_MeOH</t>
  </si>
  <si>
    <t>HCa2Ta3O10_EtOH</t>
  </si>
  <si>
    <t>HCa2Ta3O10_PrOH</t>
  </si>
  <si>
    <t>HCa2Ta3O10_BuOH</t>
  </si>
  <si>
    <t>HCa2Ta3O10_HxOH</t>
  </si>
  <si>
    <t>Ca-&gt;Sr; Ta-&gt;Nb</t>
  </si>
  <si>
    <t>sd_1241786</t>
  </si>
  <si>
    <t>HLaTiO4_MeNH2</t>
  </si>
  <si>
    <t>HLaTiO4_EtNH2</t>
  </si>
  <si>
    <t>HLaTiO4_PrNH2</t>
  </si>
  <si>
    <t>HLaTiO4_BuNH2</t>
  </si>
  <si>
    <t>HLaTiO4_HxNH2</t>
  </si>
  <si>
    <t>HLaTiO4_MeOH</t>
  </si>
  <si>
    <t>HLaTiO4_EtOH</t>
  </si>
  <si>
    <t>HLaTiO4_PrOH</t>
  </si>
  <si>
    <t>HLaTiO4_BuOH</t>
  </si>
  <si>
    <t>HLaTiO4_HxOH</t>
  </si>
  <si>
    <t>HLaTiO4_DcOH</t>
  </si>
  <si>
    <t>HLaTiO4*OсNH2</t>
  </si>
  <si>
    <t>HLaTiO4_OсNH2</t>
  </si>
  <si>
    <t>HNdTiO4*OсNH2</t>
  </si>
  <si>
    <t>HNdTiO4*DcOH</t>
  </si>
  <si>
    <t>HCa2Ta3O10_OcOH</t>
  </si>
  <si>
    <t>K2La2Ti3O10_EtNH2</t>
  </si>
  <si>
    <t>K2La2Ti3O10_EtOH</t>
  </si>
  <si>
    <t>K2La2Ti3O10_MeNH2</t>
  </si>
  <si>
    <t>K2La2Ti3O10_PrNH2</t>
  </si>
  <si>
    <t>K2La2Ti3O10_BuNH2</t>
  </si>
  <si>
    <t>K2La2Ti3O10_HxNH2</t>
  </si>
  <si>
    <t>K2La2Ti3O10_OcNH2</t>
  </si>
  <si>
    <t>K2La2Ti3O10_MeOH</t>
  </si>
  <si>
    <t>K2La2Ti3O10_PrOH</t>
  </si>
  <si>
    <t>K2La2Ti3O10_BuOH</t>
  </si>
  <si>
    <t>K2La2Ti3O10_HxOH</t>
  </si>
  <si>
    <t>K2La2Ti3O10_DcOH</t>
  </si>
  <si>
    <t>HCa2Nb3O10_MeNH2</t>
  </si>
  <si>
    <t>HCa2Nb3O10_EtNH2</t>
  </si>
  <si>
    <t>HCa2Nb3O10_PrNH2</t>
  </si>
  <si>
    <t>HCa2Nb3O10_BuNH2</t>
  </si>
  <si>
    <t>HCa2Nb3O10_HxNH2</t>
  </si>
  <si>
    <t>HCa2Nb3O10_OcNH2</t>
  </si>
  <si>
    <t>HSr2Nb3O10*2MeNH2</t>
  </si>
  <si>
    <t>HSr2Nb3O10*2EtNH2</t>
  </si>
  <si>
    <t>HSr2Nb3O10*2BuNH2</t>
  </si>
  <si>
    <t>HSr2Nb3O10*2HxNH2</t>
  </si>
  <si>
    <t>HSr2Nb3O10*2OcNH2</t>
  </si>
  <si>
    <t>HSr2Nb3O10*2MeOH</t>
  </si>
  <si>
    <t>HSr2Nb3O10*2EtOH</t>
  </si>
  <si>
    <t>HSr2Nb3O10*2BuOH</t>
  </si>
  <si>
    <t>HSr2Nb3O10*2HxOH</t>
  </si>
  <si>
    <t>Ca-&gt;Sr; Ta-&gt;Nb; Cs-&gt;H</t>
  </si>
  <si>
    <t>HCa2Nb3O10*2MeOH</t>
  </si>
  <si>
    <t>HCa2Nb3O10*2EtOH</t>
  </si>
  <si>
    <t>HCa2Nb3O10*2BuOH</t>
  </si>
  <si>
    <t>HCa2Nb3O10*2OcOH</t>
  </si>
  <si>
    <t>HCa2Nb3O10*2HxOH</t>
  </si>
  <si>
    <t>HCa2Nb3O10*2BuNH2</t>
  </si>
  <si>
    <t>H2La2Ti3O10*2EtNH2</t>
  </si>
  <si>
    <t>H2La2Ti3O10*2EtOH</t>
  </si>
  <si>
    <t>HCa2Nb3O10*2MeNH2</t>
  </si>
  <si>
    <t>HCa2Nb3O10*2EtNH2</t>
  </si>
  <si>
    <t>HCa2Nb3O10*2HxNH2</t>
  </si>
  <si>
    <t>HCa2Nb3O10*2OcNH2</t>
  </si>
  <si>
    <t>H2La2Ti3O10*2MeNH2</t>
  </si>
  <si>
    <t>H2La2Ti3O10*2BuNH2</t>
  </si>
  <si>
    <t>H2La2Ti3O10*2HxNH2</t>
  </si>
  <si>
    <t>H2La2Ti3O10*2OcNH2</t>
  </si>
  <si>
    <t>H2La2Ti3O10*2MeOH</t>
  </si>
  <si>
    <t>H2La2Ti3O10*2BuOH</t>
  </si>
  <si>
    <t>H2La2Ti3O10*2HxOH</t>
  </si>
  <si>
    <t>H2La2Ti3O10*2DcOH</t>
  </si>
  <si>
    <t>H2Nd2Ti3O10*2MeNH2</t>
  </si>
  <si>
    <t>H2Nd2Ti3O10*2EtNH2</t>
  </si>
  <si>
    <t>H2Nd2Ti3O10*2BuNH2</t>
  </si>
  <si>
    <t>H2Nd2Ti3O10*2HxNH2</t>
  </si>
  <si>
    <t>H2Nd2Ti3O10*2OcNH2</t>
  </si>
  <si>
    <t>H2Nd2Ti3O10*2MeOH</t>
  </si>
  <si>
    <t>H2Nd2Ti3O10*2EtOH</t>
  </si>
  <si>
    <t>H2Nd2Ti3O10*2HxOH</t>
  </si>
  <si>
    <t>H2Nd2Ti3O10*2DcOH</t>
  </si>
  <si>
    <t>H2Nd2Ti3O10*2BuOH</t>
  </si>
  <si>
    <t>2Na-&gt;1.4H, 0.6Na;3Ti-&gt;2.99Ti,0.01Mn</t>
  </si>
  <si>
    <t>Invalid structure to modify: HLaTiO4_OсNH2</t>
  </si>
  <si>
    <t>Invalid structure to modify: K2La2Ti3O10_DcOH</t>
  </si>
  <si>
    <t>M_MP332</t>
  </si>
  <si>
    <t>M_MP333</t>
  </si>
  <si>
    <t>M_MP334</t>
  </si>
  <si>
    <t>M_MP335</t>
  </si>
  <si>
    <t>M_MP336</t>
  </si>
  <si>
    <t>M_MP337</t>
  </si>
  <si>
    <t>M_MP338</t>
  </si>
  <si>
    <t>M_MP339</t>
  </si>
  <si>
    <t>M_MP340</t>
  </si>
  <si>
    <t>M_MP341</t>
  </si>
  <si>
    <t>M_MP342</t>
  </si>
  <si>
    <t>M_MP343</t>
  </si>
  <si>
    <t>M_MP344</t>
  </si>
  <si>
    <t>M_MP345</t>
  </si>
  <si>
    <t>M_Springer56</t>
  </si>
  <si>
    <t>M_Springer57</t>
  </si>
  <si>
    <t>M_Springer58</t>
  </si>
  <si>
    <t>M_Springer59</t>
  </si>
  <si>
    <t>M_Springer60</t>
  </si>
  <si>
    <t>M_Springer61</t>
  </si>
  <si>
    <t>M_Springer62</t>
  </si>
  <si>
    <t>M_Springer63</t>
  </si>
  <si>
    <t>M_Springer64</t>
  </si>
  <si>
    <t>M_MP346</t>
  </si>
  <si>
    <t>M_MP347</t>
  </si>
  <si>
    <t>M_MP348</t>
  </si>
  <si>
    <t>M_MP349</t>
  </si>
  <si>
    <t>M_MP350</t>
  </si>
  <si>
    <t>M_MP351</t>
  </si>
  <si>
    <t>M_MP352</t>
  </si>
  <si>
    <t>M_MP353</t>
  </si>
  <si>
    <t>M_MP354</t>
  </si>
  <si>
    <t>M_MP355</t>
  </si>
  <si>
    <t>M_MP356</t>
  </si>
  <si>
    <t>M_MP357</t>
  </si>
  <si>
    <t>M_MP358</t>
  </si>
  <si>
    <t>M_MP359</t>
  </si>
  <si>
    <t>M_MP360</t>
  </si>
  <si>
    <t>M_MP361</t>
  </si>
  <si>
    <t>M_MP362</t>
  </si>
  <si>
    <t>M_MP363</t>
  </si>
  <si>
    <t>M_MP364</t>
  </si>
  <si>
    <t>M_MP365</t>
  </si>
  <si>
    <t>M_MP366</t>
  </si>
  <si>
    <t>M_MP367</t>
  </si>
  <si>
    <t>M_MP368</t>
  </si>
  <si>
    <t>M_MP369</t>
  </si>
  <si>
    <t>M_MP370</t>
  </si>
  <si>
    <t>M_MP371</t>
  </si>
  <si>
    <t>M_MP372</t>
  </si>
  <si>
    <t>M_MP373</t>
  </si>
  <si>
    <t>M_MP374</t>
  </si>
  <si>
    <t>M_MP375</t>
  </si>
  <si>
    <t>M_MP376</t>
  </si>
  <si>
    <t>M_MP377</t>
  </si>
  <si>
    <t>M_MP378</t>
  </si>
  <si>
    <t>M_MP379</t>
  </si>
  <si>
    <t>M_MP380</t>
  </si>
  <si>
    <t>M_MP381</t>
  </si>
  <si>
    <t>M_MP382</t>
  </si>
  <si>
    <t>M_MP383</t>
  </si>
  <si>
    <t>M_MP384</t>
  </si>
  <si>
    <t>M_MP385</t>
  </si>
  <si>
    <t>M_MP386</t>
  </si>
  <si>
    <t>M_MP387</t>
  </si>
  <si>
    <t>M_MP388</t>
  </si>
  <si>
    <t>M_MP389</t>
  </si>
  <si>
    <t>M_MP390</t>
  </si>
  <si>
    <t>M_MP391</t>
  </si>
  <si>
    <t>M_MP392</t>
  </si>
  <si>
    <t>M_MP393</t>
  </si>
  <si>
    <t>M_MP394</t>
  </si>
  <si>
    <t>M_MP395</t>
  </si>
  <si>
    <t>M_MP396</t>
  </si>
  <si>
    <t>M_MP397</t>
  </si>
  <si>
    <t>M_MP398</t>
  </si>
  <si>
    <t>M_MP399</t>
  </si>
  <si>
    <t>M_MP400</t>
  </si>
  <si>
    <t>M_MP401</t>
  </si>
  <si>
    <t>M_MP402</t>
  </si>
  <si>
    <t>M_MP403</t>
  </si>
  <si>
    <t>M_MP404</t>
  </si>
  <si>
    <t>M_MP405</t>
  </si>
  <si>
    <t>M_MP406</t>
  </si>
  <si>
    <t>M_MP407</t>
  </si>
  <si>
    <t>M_MP408</t>
  </si>
  <si>
    <t>M_MP409</t>
  </si>
  <si>
    <t>M_MP410</t>
  </si>
  <si>
    <t>M_MP411</t>
  </si>
  <si>
    <t>M_MP412</t>
  </si>
  <si>
    <t>M_MP413</t>
  </si>
  <si>
    <t>M_MP414</t>
  </si>
  <si>
    <t>M_MP415</t>
  </si>
  <si>
    <t>M_MP416</t>
  </si>
  <si>
    <t>M_MP417</t>
  </si>
  <si>
    <t>M_MP418</t>
  </si>
  <si>
    <t>M_MP419</t>
  </si>
  <si>
    <t>M_MP420</t>
  </si>
  <si>
    <t>M_MP421</t>
  </si>
  <si>
    <t>M_MP422</t>
  </si>
  <si>
    <t>M_MP423</t>
  </si>
  <si>
    <t>M_MP424</t>
  </si>
  <si>
    <t>M_MP425</t>
  </si>
  <si>
    <t>M_MP426</t>
  </si>
  <si>
    <t>M_MP427</t>
  </si>
  <si>
    <t>M_MP428</t>
  </si>
  <si>
    <t>M_MP429</t>
  </si>
  <si>
    <t>M_MP430</t>
  </si>
  <si>
    <t>M_MP431</t>
  </si>
  <si>
    <t>M_MP432</t>
  </si>
  <si>
    <t>M_MP433</t>
  </si>
  <si>
    <t>M_MP434</t>
  </si>
  <si>
    <t>M_MP435</t>
  </si>
  <si>
    <t>M_MP436</t>
  </si>
  <si>
    <t>M_MP437</t>
  </si>
  <si>
    <t>M_MP438</t>
  </si>
  <si>
    <t>M_MP439</t>
  </si>
  <si>
    <t>M_MP440</t>
  </si>
  <si>
    <t>M_MP441</t>
  </si>
  <si>
    <t>M_MP442</t>
  </si>
  <si>
    <t>M_MP443</t>
  </si>
  <si>
    <t>M_MP444</t>
  </si>
  <si>
    <t>M_MP445</t>
  </si>
  <si>
    <t>M_MP446</t>
  </si>
  <si>
    <t>M_MP447</t>
  </si>
  <si>
    <t>M_MP448</t>
  </si>
  <si>
    <t>M_MP449</t>
  </si>
  <si>
    <t>M_MP450</t>
  </si>
  <si>
    <t>M_MP451</t>
  </si>
  <si>
    <t>M_MP452</t>
  </si>
  <si>
    <t>M_MP453</t>
  </si>
  <si>
    <t>M_MP454</t>
  </si>
  <si>
    <t>M_MP455</t>
  </si>
  <si>
    <t>M_MP456</t>
  </si>
  <si>
    <t>M_MP457</t>
  </si>
  <si>
    <t>M_MP458</t>
  </si>
  <si>
    <t>M_MP459</t>
  </si>
  <si>
    <t>M_Springer65</t>
  </si>
  <si>
    <t>M_Springer66</t>
  </si>
  <si>
    <t>M_Springer67</t>
  </si>
  <si>
    <t>M_Springer68</t>
  </si>
  <si>
    <t>M_Springer69</t>
  </si>
  <si>
    <t>HLaTiO4*C3H8NH2</t>
  </si>
  <si>
    <t>HLaTiO4*C3H8OH</t>
  </si>
  <si>
    <t>HSr2Nb3O10*2C3H8NH2</t>
  </si>
  <si>
    <t>HSr2Nb3O10*2C3H8OH</t>
  </si>
  <si>
    <t>HNdTiO4*C3H8NH2</t>
  </si>
  <si>
    <t>HNdTiO4*C3H8OH</t>
  </si>
  <si>
    <t>HCa2Nb3O10*2C3H8OH</t>
  </si>
  <si>
    <t>HCa2Nb3O10*2C3H8NH2</t>
  </si>
  <si>
    <t>H2La2Ti3O10*2C3H8NH2</t>
  </si>
  <si>
    <t>H2La2Ti3O10*2C3H8OH</t>
  </si>
  <si>
    <t>H2Nd2Ti3O10*2C3H8NH2</t>
  </si>
  <si>
    <t>H2Nd2Ti3O10*2C3H8OH</t>
  </si>
  <si>
    <t>H2K0.5Bi2.5Ti4O13*H2O*C3H8NH2</t>
  </si>
  <si>
    <t>Invalid structure to modify: HCa2Nb3O10_MeNH2</t>
  </si>
  <si>
    <t>Invalid structure to modify: HCa2Nb3O10_EtNH2</t>
  </si>
  <si>
    <t>Invalid structure to modify: HCa2Nb3O10_PrNH2</t>
  </si>
  <si>
    <t>Invalid structure to modify: HCa2Nb3O10_BuNH2</t>
  </si>
  <si>
    <t>Invalid structure to modify: HCa2Nb3O10_HxNH2</t>
  </si>
  <si>
    <t>Invalid structure to modify: HCa2Nb3O10_OcNH2</t>
  </si>
  <si>
    <t>M_MP460</t>
  </si>
  <si>
    <t>M_MP461</t>
  </si>
  <si>
    <t>M_MP462</t>
  </si>
  <si>
    <t>M_MP463</t>
  </si>
  <si>
    <t>M_MP464</t>
  </si>
  <si>
    <t>M_MP465</t>
  </si>
  <si>
    <t>M_MP466</t>
  </si>
  <si>
    <t>M_MP467</t>
  </si>
  <si>
    <t>M_MP468</t>
  </si>
  <si>
    <t>M_MP469</t>
  </si>
  <si>
    <t>M_MP470</t>
  </si>
  <si>
    <t>M_MP471</t>
  </si>
  <si>
    <t>M_MP472</t>
  </si>
  <si>
    <t>M_MP473</t>
  </si>
  <si>
    <t>M_MP474</t>
  </si>
  <si>
    <t>M_MP475</t>
  </si>
  <si>
    <t>M_MP476</t>
  </si>
  <si>
    <t>M_MP477</t>
  </si>
  <si>
    <t>M_MP478</t>
  </si>
  <si>
    <t>M_MP479</t>
  </si>
  <si>
    <t>M_MP480</t>
  </si>
  <si>
    <t>La2T2O7</t>
  </si>
  <si>
    <t>A2Ln2M3O10</t>
  </si>
  <si>
    <t>oxide</t>
  </si>
  <si>
    <t>Class</t>
  </si>
  <si>
    <t>MoCo2O4</t>
  </si>
  <si>
    <t>https://doi.org/10.1039/C5TA04843E</t>
  </si>
  <si>
    <t>Ref</t>
  </si>
  <si>
    <t>SrTiO3*0.0005Al2O3</t>
  </si>
  <si>
    <t>SrTiO3*0.005Al2O3</t>
  </si>
  <si>
    <t>SrTiO3*0.05Al2O3</t>
  </si>
  <si>
    <t>https://doi.org/10.1039/C4RA12646G</t>
  </si>
  <si>
    <t>https://doi.org/10.1039/C5RA04659A</t>
  </si>
  <si>
    <t>SrTiO3*0.01Сr2O3</t>
  </si>
  <si>
    <t>SrTiO3*0.02Сr2O3</t>
  </si>
  <si>
    <t>SrTiO3*0.04Сr2O3</t>
  </si>
  <si>
    <t>SrTiO3*0.08Сr2O3</t>
  </si>
  <si>
    <t>SrTiO3*0.06Сr2O3</t>
  </si>
  <si>
    <t>SrTiO3*0.05Сr2O3</t>
  </si>
  <si>
    <t>10.1039/C3CC49279F</t>
  </si>
  <si>
    <t>Sm2Ti2S2O5</t>
  </si>
  <si>
    <t>10.1039/C3CP54668C</t>
  </si>
  <si>
    <t>10.1039/C3CY00952A</t>
  </si>
  <si>
    <t>ZnIn1.5S3.25</t>
  </si>
  <si>
    <t>AgZnIn1.5S3.75</t>
  </si>
  <si>
    <t>Ag0.5ZnIn1.5S3.5</t>
  </si>
  <si>
    <t>Ag1.5ZnIn1.5S4</t>
  </si>
  <si>
    <t>Ag2ZnIn1.5S4.25</t>
  </si>
  <si>
    <t>Ag3ZnIn1.5S4.75</t>
  </si>
  <si>
    <t>KCaSrTa5O15</t>
  </si>
  <si>
    <t>10.1039/C4CP03892D</t>
  </si>
  <si>
    <t>10.1039/C4TA01315H</t>
  </si>
  <si>
    <t>CuInS2</t>
  </si>
  <si>
    <t>CuIn0.9Ga0.1S2</t>
  </si>
  <si>
    <t>CuIn0.7Ga0.3S2</t>
  </si>
  <si>
    <t>CuIn0.5Ga0.5S2</t>
  </si>
  <si>
    <t>CuIn0.3Ga0.7S2</t>
  </si>
  <si>
    <t>CuIn0.1Ga0.9S2</t>
  </si>
  <si>
    <t>CuGaS2</t>
  </si>
  <si>
    <t>10.1039/C3CY00008G</t>
  </si>
  <si>
    <t>10.1039/C3NR02356G</t>
  </si>
  <si>
    <t>10.1039/C2NR11972B</t>
  </si>
  <si>
    <t>Zn0.67Cd0.33S</t>
  </si>
  <si>
    <t>Zn0.75Cd0.25S</t>
  </si>
  <si>
    <t>Zn0.86Cd0.14S</t>
  </si>
  <si>
    <t>Zn0.83Cd0.17S</t>
  </si>
  <si>
    <t>10.1039/C0JM00455C</t>
  </si>
  <si>
    <t>BaZrO3</t>
  </si>
  <si>
    <t>BaZr0.9Sn0.1O3</t>
  </si>
  <si>
    <t>BaZr0.8Sn0.2O3</t>
  </si>
  <si>
    <t>BaZr0.7Sn0.3O3</t>
  </si>
  <si>
    <t>BaZr0.6Sn0.4O3</t>
  </si>
  <si>
    <t>10.1016/j.jiec.2012.12.013</t>
  </si>
  <si>
    <t>Zn0.9Ti0.1S</t>
  </si>
  <si>
    <t>Zn0.85Ti0.15S</t>
  </si>
  <si>
    <t>Zn0.83Ti0.17S</t>
  </si>
  <si>
    <t>Zn0.85Ti0.2S</t>
  </si>
  <si>
    <t>10.1016/j.ijhydene.2012.12.002</t>
  </si>
  <si>
    <t>Sb2Ti1.5S6</t>
  </si>
  <si>
    <t>Sb2TiS5</t>
  </si>
  <si>
    <t>Sb2Ti0.5S4</t>
  </si>
  <si>
    <t>CaIn2S4</t>
  </si>
  <si>
    <t>10.1016/j.ijhydene.2013.07.109</t>
  </si>
  <si>
    <t>SbNbO4</t>
  </si>
  <si>
    <t>SbTaO4</t>
  </si>
  <si>
    <t>10.1016/j.ijhydene.2012.08.123</t>
  </si>
  <si>
    <t>10.1016/J.IJHYDENE.2011.12.056</t>
  </si>
  <si>
    <t>SrSnO3</t>
  </si>
  <si>
    <t>https://univ-rennes.hal.science/hal-01169299v1/document</t>
  </si>
  <si>
    <t>10.1016/j.matchar.2012.03.008</t>
  </si>
  <si>
    <t>10.1016/j.ijhydene.2012.02.143</t>
  </si>
  <si>
    <t>CaZrO3</t>
  </si>
  <si>
    <t>CaTa0.2Zr0.8O2.8N0.2</t>
  </si>
  <si>
    <t>CaTa0.4Zr0.6O2.6N0.4</t>
  </si>
  <si>
    <t>CaTa0.6Zr0.4O2.4N0.6</t>
  </si>
  <si>
    <t>CaTaO3N</t>
  </si>
  <si>
    <t>10.1016/j.molcata.2011.02.009</t>
  </si>
  <si>
    <t>K2Ti6O13</t>
  </si>
  <si>
    <t>K0.2Sn0.9Ti6O13</t>
  </si>
  <si>
    <t>10.1016/j.ijhydene.2011.01.082</t>
  </si>
  <si>
    <t>ZnIn2S4</t>
  </si>
  <si>
    <t>https://doi.org/10.1016/j.ijhydene.2010.04.036</t>
  </si>
  <si>
    <t>10.1016/j.jhazmat.2009.12.055</t>
  </si>
  <si>
    <t>HLaTa0.67Nb1.33O7</t>
  </si>
  <si>
    <t>HLaTaNbO7</t>
  </si>
  <si>
    <t>HLaTa1.33Nb0.67O7</t>
  </si>
  <si>
    <t>ml</t>
  </si>
  <si>
    <t>10.1016/j.ijhydene.2010.08.140</t>
  </si>
  <si>
    <t>LaNi0.9Cu0.1O3</t>
  </si>
  <si>
    <t>LaNi0.7Cu0.3O3</t>
  </si>
  <si>
    <t>LaNi0.6Cu0.4O3</t>
  </si>
  <si>
    <t>LaNi0.5Cu0.5O3</t>
  </si>
  <si>
    <t>5% CH2O</t>
  </si>
  <si>
    <t>https://doi.org/10.1016/j.catcom.2010.09.032</t>
  </si>
  <si>
    <t>NaTaO3*0.003La2O3</t>
  </si>
  <si>
    <t>10.1016/j.cattod.2013.10.046</t>
  </si>
  <si>
    <t>10.1016/j.ijhydene.2013.10.092</t>
  </si>
  <si>
    <t>In2O5*1.15Ta2O5*0.26NiO</t>
  </si>
  <si>
    <t>In2O5N0.36*1.15Ta2O5*0.26NiO</t>
  </si>
  <si>
    <t>In2O5N0.54*1.15Ta2O5*0.26NiO</t>
  </si>
  <si>
    <t>In2O5N0.72*1.15Ta2O5*0.26NiO</t>
  </si>
  <si>
    <t>In2O5N1.44*1.15Ta2O5*0.26NiO</t>
  </si>
  <si>
    <t>In2O5N2.16*1.15Ta2O5*0.26NiO</t>
  </si>
  <si>
    <t>10.1016/j.ijhydene.2014.03.023</t>
  </si>
  <si>
    <t>10.1016/j.ijhydene.2013.12.182</t>
  </si>
  <si>
    <t>V,A3</t>
  </si>
  <si>
    <t>NaTaO3*0.01Y2O3</t>
  </si>
  <si>
    <t>NaTaO3*0.01La2O3</t>
  </si>
  <si>
    <t>NaTaO3*0.01Yb2O3</t>
  </si>
  <si>
    <t>NaTaO3*0.02CeO2</t>
  </si>
  <si>
    <t>10.1016/j.fuel.2014.04.019</t>
  </si>
  <si>
    <t>10.1016/j.apsusc.2014.06.099</t>
  </si>
  <si>
    <t>10.1016/j.apcata.2009.01.016</t>
  </si>
  <si>
    <t>InTaO4</t>
  </si>
  <si>
    <t>10.1016/j.ssi.2009.10.002</t>
  </si>
  <si>
    <t>La2AlTaO7</t>
  </si>
  <si>
    <t>10.1016/j.jpcs.2008.12.005</t>
  </si>
  <si>
    <t>10.1016/j.materresbull.2008.09.020</t>
  </si>
  <si>
    <t>Bi1.8La0.2AlNbO7</t>
  </si>
  <si>
    <t>10.1016/j.ijhydene.2008.12.074</t>
  </si>
  <si>
    <t>10.1016/j.ijhydene.2009.02.053</t>
  </si>
  <si>
    <t>BiTaO4</t>
  </si>
  <si>
    <t>BiTa0.99Cu0.01O4</t>
  </si>
  <si>
    <t>BiTa0.98Cu0.02O4</t>
  </si>
  <si>
    <t>BiTa0.97Cu0.03O4</t>
  </si>
  <si>
    <t>BiTa0.96Cu0.04O4</t>
  </si>
  <si>
    <t>10.1016/j.molcata.2009.07.012</t>
  </si>
  <si>
    <t>10.1016/j.jpcs.2008.05.001</t>
  </si>
  <si>
    <t>NaNbO3</t>
  </si>
  <si>
    <t>10.1016/j.jpowsour.2008.05.057</t>
  </si>
  <si>
    <t>10.1016/j.apcata.2007.07.024</t>
  </si>
  <si>
    <t>10.1016/j.jssc.2015.09.025</t>
  </si>
  <si>
    <t>ZnIn1.6S4</t>
  </si>
  <si>
    <t>ZnIn2.0S4</t>
  </si>
  <si>
    <t>ZnIn2.3S4</t>
  </si>
  <si>
    <t>ZnIn2.6S4</t>
  </si>
  <si>
    <t>ZnIn2.9S4</t>
  </si>
  <si>
    <t>ZnIn3.1S4</t>
  </si>
  <si>
    <t>SrZrO3</t>
  </si>
  <si>
    <t>10.1016/j.fuel.2015.05.014</t>
  </si>
  <si>
    <t>10.1016/j.materresbull.2014.10.041</t>
  </si>
  <si>
    <t>ZnGa2O4</t>
  </si>
  <si>
    <t>NiGa2O4</t>
  </si>
  <si>
    <t>10.1002/cplu.201402279</t>
  </si>
  <si>
    <t>Ba5Ta4O11</t>
  </si>
  <si>
    <t>Ba5Nb4O11</t>
  </si>
  <si>
    <t>Ba5Ta2Nb2O11</t>
  </si>
  <si>
    <t>Ba2InTaO6</t>
  </si>
  <si>
    <t>10.1002/ejic.201500929</t>
  </si>
  <si>
    <t>10.1021/jp0552933</t>
  </si>
  <si>
    <t>Y3TaO7</t>
  </si>
  <si>
    <t>Gd3TaO7</t>
  </si>
  <si>
    <t>La3TaO7</t>
  </si>
  <si>
    <t>Y3NbO7</t>
  </si>
  <si>
    <t>Gd3NbO7</t>
  </si>
  <si>
    <t>La3NbO7</t>
  </si>
  <si>
    <t>Y2Ti2O7</t>
  </si>
  <si>
    <t>Gd2Ti2O7</t>
  </si>
  <si>
    <t>10.1021/cm071321d</t>
  </si>
  <si>
    <t>10.1021/jp709629t</t>
  </si>
  <si>
    <t>Y0.9In1.1O3</t>
  </si>
  <si>
    <t>Y1.0In1.0O3</t>
  </si>
  <si>
    <t>Y1.1In0.9O3</t>
  </si>
  <si>
    <t>Y1.2In0.8O3</t>
  </si>
  <si>
    <t>Y1.3In0.7O3</t>
  </si>
  <si>
    <t>Y1.4In0.6O3</t>
  </si>
  <si>
    <t>10.1021/jp8042768</t>
  </si>
  <si>
    <t>10.1021/jp906550t</t>
  </si>
  <si>
    <t>NaNbO3*0.14In2O3</t>
  </si>
  <si>
    <t>NaNbO3*0.33In2O3</t>
  </si>
  <si>
    <t>NaNbO3*0.6In2O3</t>
  </si>
  <si>
    <t>NaNbO3*In2O3</t>
  </si>
  <si>
    <t>NaNbO3*3In2O3</t>
  </si>
  <si>
    <t>10.1021/acs.langmuir.5b01294</t>
  </si>
  <si>
    <t>10.1039/A805563G</t>
  </si>
  <si>
    <t>Ga1.0In1.0O3</t>
  </si>
  <si>
    <t>In2O3</t>
  </si>
  <si>
    <t>Ga1.78In0.22O3</t>
  </si>
  <si>
    <t>Ga1.6In0.4O3</t>
  </si>
  <si>
    <t>Ga1.34In0.66O3</t>
  </si>
  <si>
    <t>Ga0.66In1.34O3</t>
  </si>
  <si>
    <t>Ga0.4In1.6O3</t>
  </si>
  <si>
    <t>10.1021/jp983590k</t>
  </si>
  <si>
    <t>LaTaO3</t>
  </si>
  <si>
    <t>KTa0.9Zn0.1O3</t>
  </si>
  <si>
    <t>KTa0.9Y0.1O3</t>
  </si>
  <si>
    <t>KTa0.9Al0.1O3</t>
  </si>
  <si>
    <t>KTa0.9Ga0.1O3</t>
  </si>
  <si>
    <t>KTa0.9In0.1O3</t>
  </si>
  <si>
    <t>KTa0.9Ce0.1O3</t>
  </si>
  <si>
    <t>KTa0.9Ti0.1O3</t>
  </si>
  <si>
    <t>KTa0.9Zr0.1O3</t>
  </si>
  <si>
    <t>KTa0.9Hf0.1O3</t>
  </si>
  <si>
    <t>KTa0.9Si0.1O3</t>
  </si>
  <si>
    <t>KTa0.9Ge0.1O3</t>
  </si>
  <si>
    <t>KTa0.9Nb0.1O3</t>
  </si>
  <si>
    <t>KTa0.9Sb0.1O3</t>
  </si>
  <si>
    <t>KTa0.9W0.1O3</t>
  </si>
  <si>
    <t>10.1016/S0009-2614(00)01220-3</t>
  </si>
  <si>
    <t>NaTaO3*0.01Pr2O3</t>
  </si>
  <si>
    <t>NaTaO3*0.01Nd2O3</t>
  </si>
  <si>
    <t>NaTaO3*0.01Sm2O3</t>
  </si>
  <si>
    <t>NaTaO3*0.01Eu2O3</t>
  </si>
  <si>
    <t>NaTaO3*0.01Gd2O3</t>
  </si>
  <si>
    <t>NaTaO3*0.01Tb2O3</t>
  </si>
  <si>
    <t>NaTaO3*0.01Dy2O3</t>
  </si>
  <si>
    <t>10.1016/S1010-6030(02)00076-X</t>
  </si>
  <si>
    <t>NaSbO3</t>
  </si>
  <si>
    <t>CaSb2O6</t>
  </si>
  <si>
    <t>Ca2Sb2O7</t>
  </si>
  <si>
    <t>Sr2Sb2O7</t>
  </si>
  <si>
    <t>10.1021/jp004386b</t>
  </si>
  <si>
    <t>10.1039/B110511F</t>
  </si>
  <si>
    <t>AgTaO3</t>
  </si>
  <si>
    <t>AgNbO3</t>
  </si>
  <si>
    <t>10.1021/jp025974n</t>
  </si>
  <si>
    <t>SrTiO3*0.01Сr2O3*0.0125Sb2O5</t>
  </si>
  <si>
    <t>10.1021/jp0255482</t>
  </si>
  <si>
    <t>10.1021/jp030020y</t>
  </si>
  <si>
    <t>LaInO3</t>
  </si>
  <si>
    <t>10.1021/ja027751g</t>
  </si>
  <si>
    <t>BaIn0.5Nb0.5O3</t>
  </si>
  <si>
    <t>SrIn0.5Nb0.5O3</t>
  </si>
  <si>
    <t>CaIn0.5Nb0.5O3</t>
  </si>
  <si>
    <t>10.1021/jp026403y</t>
  </si>
  <si>
    <t>CaCo0.33Nb0.67O3</t>
  </si>
  <si>
    <t>SrCo0.33Nb0.67O3</t>
  </si>
  <si>
    <t>BaCo0.33Nb0.67O3</t>
  </si>
  <si>
    <t>10.1021/jp0340919</t>
  </si>
  <si>
    <t>BaTaO3</t>
  </si>
  <si>
    <t>BaZn0.33Nb0.67O3</t>
  </si>
  <si>
    <t>10.1021/jp037182e</t>
  </si>
  <si>
    <t>BaNi0.33Nb0.67O3</t>
  </si>
  <si>
    <t>BaNi0.33Ta0.67O3</t>
  </si>
  <si>
    <t>10.1021/jp049556p</t>
  </si>
  <si>
    <t>10.1021/jp048428y</t>
  </si>
  <si>
    <t>10.1002/chem.200901772</t>
  </si>
  <si>
    <t>KTa0.92Zr0.08O3</t>
  </si>
  <si>
    <t>10.1002/adma.200500109</t>
  </si>
  <si>
    <t>SrTiO3*Fe2O3</t>
  </si>
  <si>
    <t>SrTiO3*BiFeO3</t>
  </si>
  <si>
    <t>10.1063/1.2396930</t>
  </si>
  <si>
    <t>10.1007/s10853-005-3651-7</t>
  </si>
  <si>
    <t>SrTi0.95r0.05O3</t>
  </si>
  <si>
    <t>10.1021/jp062487p</t>
  </si>
  <si>
    <t>10.1016/j.ijhydene.2006.10.005</t>
  </si>
  <si>
    <t>10.1063/1.2778631</t>
  </si>
  <si>
    <t>Sr0.25Ba0.75SnO3</t>
  </si>
  <si>
    <t>Na0.9La0.1Ta0.9Co0.1O3</t>
  </si>
  <si>
    <t>10.1063/1.2826277</t>
  </si>
  <si>
    <t>BiFeO3</t>
  </si>
  <si>
    <t>10.1063/1.2946486</t>
  </si>
  <si>
    <t>10.1016/j.ijhydene.2008.07.052</t>
  </si>
  <si>
    <t>10.1016/j.ijhydene.2008.02.001</t>
  </si>
  <si>
    <t>CaTiO3</t>
  </si>
  <si>
    <t>BaTiO3</t>
  </si>
  <si>
    <t>10.1063/1.2897300</t>
  </si>
  <si>
    <t>10.1039/B803996H</t>
  </si>
  <si>
    <t>Sr0.8La0.2TiO2.8N0.2</t>
  </si>
  <si>
    <t>AgSbO3</t>
  </si>
  <si>
    <t>10.1016/j.cattod.2007.10.094</t>
  </si>
  <si>
    <t>Na0.96Sr0.02TaO3</t>
  </si>
  <si>
    <t>Na0.96Ba0.02TaO3</t>
  </si>
  <si>
    <t>Na0.96Ca0.02TaO3</t>
  </si>
  <si>
    <t>10.1002/cssc.200900160</t>
  </si>
  <si>
    <t>10.1111/j.1551-2916.2008.02869.x</t>
  </si>
  <si>
    <t>10.1016/S1010-6030(03)00442-8</t>
  </si>
  <si>
    <t>Na0.04Sr0.92TiO3</t>
  </si>
  <si>
    <t>10.1021/jp908621e</t>
  </si>
  <si>
    <t>10.1021/jp903142n</t>
  </si>
  <si>
    <t>10.1021/cc9000295</t>
  </si>
  <si>
    <t>YInO3</t>
  </si>
  <si>
    <t>10.1016/j.ijhydene.2008.10.027</t>
  </si>
  <si>
    <t>NaBi0.02Ta0.98O3</t>
  </si>
  <si>
    <t>NaBi0.04Ta0.96O3</t>
  </si>
  <si>
    <t>NaBi0.06Ta0.94O3</t>
  </si>
  <si>
    <t>NaBi0.08Ta0.92O3</t>
  </si>
  <si>
    <t>NaBi0.1Ta0.9O3</t>
  </si>
  <si>
    <t>H</t>
  </si>
  <si>
    <t>10.1063/1.3243282</t>
  </si>
  <si>
    <t>Na0.9La0.1Ta0.9Cr0.1O3</t>
  </si>
  <si>
    <t>Na0.8La0.2Ta0.8Cr0.2O3</t>
  </si>
  <si>
    <t>Na0.7La0.3Ta0.7Cr0.3O3</t>
  </si>
  <si>
    <t>Na0.6La0.4Ta0.6Cr0.4O3</t>
  </si>
  <si>
    <t>Na0.5La0.5Ta0.5Cr0.5O3</t>
  </si>
  <si>
    <t>Na0.4La0.6Ta0.4Cr0.6O3</t>
  </si>
  <si>
    <t>Na0.3La0.7Ta0.3Cr0.7O3</t>
  </si>
  <si>
    <t>Na0.2La0.8Ta0.2Cr0.8O3</t>
  </si>
  <si>
    <t>Na0.1La0.9Ta0.1Cr0.9O3</t>
  </si>
  <si>
    <t>LaCrO3</t>
  </si>
  <si>
    <t>10.1021/ic902107u</t>
  </si>
  <si>
    <t>10.1039/B922793H</t>
  </si>
  <si>
    <t>10.1016/j.jcat.2010.03.020</t>
  </si>
  <si>
    <t>Sr2AlNbO6</t>
  </si>
  <si>
    <t>10.1021/ic101208q</t>
  </si>
  <si>
    <t>10.1016/j.ijhydene.2010.03.090</t>
  </si>
  <si>
    <t>10.1016/j.ijhydene.2010.04.015</t>
  </si>
  <si>
    <t>LaFeO3</t>
  </si>
  <si>
    <t>10.1016/j.ijhydene.2010.08.029</t>
  </si>
  <si>
    <t>BaZrO3*BaTaO2N</t>
  </si>
  <si>
    <t>10.1002/chem.201102970</t>
  </si>
  <si>
    <t>10.1039/C1EE01259B</t>
  </si>
  <si>
    <t>Na0.55K0.45TaO3</t>
  </si>
  <si>
    <t>Na0.57K0.43TaO3</t>
  </si>
  <si>
    <t>Na0.6K0.4TaO3</t>
  </si>
  <si>
    <t>Na0.63K0.37TaO3</t>
  </si>
  <si>
    <t>Na0.65K0.35TaO3</t>
  </si>
  <si>
    <t>Na0.58K0.42TaO3</t>
  </si>
  <si>
    <t>Na0.61K0.39TaO3</t>
  </si>
  <si>
    <t>10.1002/chem.201003755</t>
  </si>
  <si>
    <t>Na0.5La0.5TiO3*0.09LaCrO3</t>
  </si>
  <si>
    <t>10.1039/C1JM11385B</t>
  </si>
  <si>
    <t>Sr0.95Cr0.05TiO3</t>
  </si>
  <si>
    <t>10.1039/C0DT01844A</t>
  </si>
  <si>
    <t>LiNbO3</t>
  </si>
  <si>
    <t>10.1039/C1GC15070G</t>
  </si>
  <si>
    <t>10.1016/j.apcatb.2010.12.024</t>
  </si>
  <si>
    <t>NaTaO3*0.0025La2O3</t>
  </si>
  <si>
    <t>NaTaO3*0.025La2O3</t>
  </si>
  <si>
    <t>NaTaO3*0.08La2O3</t>
  </si>
  <si>
    <t>GaFeO3</t>
  </si>
  <si>
    <t>10.1016/j.ijhydene.2011.12.068</t>
  </si>
  <si>
    <t>10.1002/chem.201102214</t>
  </si>
  <si>
    <t>10.1016/j.ijhydene.2011.12.006</t>
  </si>
  <si>
    <t>NaBi0.07Ta0.93O3</t>
  </si>
  <si>
    <t>NaBi0.09Ta0.91O3</t>
  </si>
  <si>
    <t>B0.5iNa0.5TiO3</t>
  </si>
  <si>
    <t>10.1016/j.ijhydene.2011.10.105</t>
  </si>
  <si>
    <t>10.1016/j.ijhydene.2011.12.056</t>
  </si>
  <si>
    <t>NaBi0.075Ta0.925O3</t>
  </si>
  <si>
    <t>NaBi0.025Ta0.975O3</t>
  </si>
  <si>
    <t>NaBi0.05Ta0.95O3</t>
  </si>
  <si>
    <t>10.1039/C2TA00260D</t>
  </si>
  <si>
    <t>10.1016/j.apcatb.2012.06.007</t>
  </si>
  <si>
    <t>10.1021/acs.jpcc.7b08819</t>
  </si>
  <si>
    <t>10.1021/acs.jpcc.6b11754</t>
  </si>
  <si>
    <t>KNbO3*0.047ZrO2</t>
  </si>
  <si>
    <t>KNbO3*0.13ZrO2</t>
  </si>
  <si>
    <t>KNbO3*0.2ZrO2</t>
  </si>
  <si>
    <t>KNbO3*0.33ZrO2</t>
  </si>
  <si>
    <t>10.1002/cssc.201701794</t>
  </si>
  <si>
    <t>10.1016/j.cplett.2017.08.029</t>
  </si>
  <si>
    <t>NaTa0.9Nb0.1O3</t>
  </si>
  <si>
    <t>NaTa0.8Nb0.2O3</t>
  </si>
  <si>
    <t>NaTa0.7Nb0.3O3</t>
  </si>
  <si>
    <t>NaTa0.3Nb0.7O3</t>
  </si>
  <si>
    <t>NaTa0.5Nb0.5O3</t>
  </si>
  <si>
    <t>NaTa0.2Nb0.8O3</t>
  </si>
  <si>
    <t>10.1016/j.apcatb.2017.11.061</t>
  </si>
  <si>
    <t>Ca0.95La0.05Ti0.95Cr0.05O3</t>
  </si>
  <si>
    <t>Ca0.9La0.1Ti0.9Cr0.1O3</t>
  </si>
  <si>
    <t>Ca0.8La0.2Ti0.8Cr0.2O3</t>
  </si>
  <si>
    <t>10.1016/j.nanoen.2016.05.051</t>
  </si>
  <si>
    <t>Zn0.49Cu0.01Cd0.5S</t>
  </si>
  <si>
    <t>Zn0.48Cu0.02Cd0.5S</t>
  </si>
  <si>
    <t>Zn0.47Cu0.03Cd0.5S</t>
  </si>
  <si>
    <t>Zn0.46Cu0.04Cd0.5S</t>
  </si>
  <si>
    <t>Zn0.45Cu0.05Cd0.5S</t>
  </si>
  <si>
    <t>10.1016/j.ijhydene.2017.01.064</t>
  </si>
  <si>
    <t>Sr0.9La0.1Ti0.9Cr0.1O3</t>
  </si>
  <si>
    <t>Ba0.9La0.1Ti0.9Cr0.1O3</t>
  </si>
  <si>
    <t>10.1016/j.ijhydene.2016.08.139</t>
  </si>
  <si>
    <t>SrBi1.975Ce0.01875Ta2O9</t>
  </si>
  <si>
    <t>SrBi1.95Ce0.0375Ta2O9</t>
  </si>
  <si>
    <t>SrBi1.925Ce0.05625Ta2O9</t>
  </si>
  <si>
    <t>SrBi1.9Ce0.075Ta2O9</t>
  </si>
  <si>
    <t>10.1016/j.ijhydene.2017.04.203</t>
  </si>
  <si>
    <t>Na2Ti6O13</t>
  </si>
  <si>
    <t>Na2ZrTi5O13</t>
  </si>
  <si>
    <t>10.1016/j.ijhydene.2017.09.036</t>
  </si>
  <si>
    <t>La0.925Sr0.075Fe0.925Ti0.075O3</t>
  </si>
  <si>
    <t>La0.9625Sr0.0375Fe0.8875Ti0.1125O3</t>
  </si>
  <si>
    <t>LaFe0.85Ti0.15O3</t>
  </si>
  <si>
    <t>La0.8875Sr0.1125Fe0.9625Ti0.0375O3</t>
  </si>
  <si>
    <t>La0.85Sr0.15FeO3</t>
  </si>
  <si>
    <t>10.1016/j.ijhydene.2017.10.154</t>
  </si>
  <si>
    <t>SrTiO3*0.025Al2O3</t>
  </si>
  <si>
    <t>SrTiO3*0.075Al2O3</t>
  </si>
  <si>
    <t>10.1016/j.apcatb.2017.07.033</t>
  </si>
  <si>
    <t>LaCoO3</t>
  </si>
  <si>
    <t>-1</t>
  </si>
  <si>
    <t>mp-4651</t>
  </si>
  <si>
    <t>1512124</t>
  </si>
  <si>
    <t>mp-5999</t>
  </si>
  <si>
    <t>1009075</t>
  </si>
  <si>
    <t>mp-22736</t>
  </si>
  <si>
    <t>1542205</t>
  </si>
  <si>
    <t>mp-5238</t>
  </si>
  <si>
    <t>9009886</t>
  </si>
  <si>
    <t>mp-7375</t>
  </si>
  <si>
    <t>1531431</t>
  </si>
  <si>
    <t>mp-1019544</t>
  </si>
  <si>
    <t>1532743</t>
  </si>
  <si>
    <t>mp-1227503</t>
  </si>
  <si>
    <t>9012322</t>
  </si>
  <si>
    <t>mp-3491</t>
  </si>
  <si>
    <t>1530606</t>
  </si>
  <si>
    <t>mp-1179305</t>
  </si>
  <si>
    <t>1011144</t>
  </si>
  <si>
    <t>mp-12867</t>
  </si>
  <si>
    <t>1521093</t>
  </si>
  <si>
    <t>mp-542112</t>
  </si>
  <si>
    <t>1532747</t>
  </si>
  <si>
    <t>mp-674328</t>
  </si>
  <si>
    <t>1525846</t>
  </si>
  <si>
    <t>mp-8065</t>
  </si>
  <si>
    <t>9008090</t>
  </si>
  <si>
    <t>mp-8979</t>
  </si>
  <si>
    <t>4329321</t>
  </si>
  <si>
    <t>mp-560261</t>
  </si>
  <si>
    <t>1532721</t>
  </si>
  <si>
    <t>mp-4419</t>
  </si>
  <si>
    <t>1011064</t>
  </si>
  <si>
    <t>mp-1020622</t>
  </si>
  <si>
    <t>1010424</t>
  </si>
  <si>
    <t>mp-5794</t>
  </si>
  <si>
    <t>4001767</t>
  </si>
  <si>
    <t>mp-1178203</t>
  </si>
  <si>
    <t>1541403</t>
  </si>
  <si>
    <t>mp-1079630</t>
  </si>
  <si>
    <t>mp-2901885</t>
  </si>
  <si>
    <t>1525169</t>
  </si>
  <si>
    <t>mp-779424</t>
  </si>
  <si>
    <t>mp-31415</t>
  </si>
  <si>
    <t>mp-1101623</t>
  </si>
  <si>
    <t>mp-752432</t>
  </si>
  <si>
    <t>mp-560349</t>
  </si>
  <si>
    <t>1001651</t>
  </si>
  <si>
    <t>mp-686019</t>
  </si>
  <si>
    <t>1559965</t>
  </si>
  <si>
    <t>mp-686465</t>
  </si>
  <si>
    <t>4031663</t>
  </si>
  <si>
    <t>mp-504607</t>
  </si>
  <si>
    <t>4031807</t>
  </si>
  <si>
    <t>mp-8098</t>
  </si>
  <si>
    <t>mp-1244879</t>
  </si>
  <si>
    <t>1010341</t>
  </si>
  <si>
    <t>mp-1239192</t>
  </si>
  <si>
    <t>mp-4482</t>
  </si>
  <si>
    <t>1010156</t>
  </si>
  <si>
    <t>mp-9125</t>
  </si>
  <si>
    <t>2009656</t>
  </si>
  <si>
    <t>mp-1190115</t>
  </si>
  <si>
    <t>1011140</t>
  </si>
  <si>
    <t>mp-4103</t>
  </si>
  <si>
    <t>mp-9890</t>
  </si>
  <si>
    <t>8103400</t>
  </si>
  <si>
    <t>mp-1220387</t>
  </si>
  <si>
    <t>1100916</t>
  </si>
  <si>
    <t>mp-11623</t>
  </si>
  <si>
    <t>2013696</t>
  </si>
  <si>
    <t>mp-754678</t>
  </si>
  <si>
    <t>mp-551451</t>
  </si>
  <si>
    <t>1001090</t>
  </si>
  <si>
    <t>mp-19990</t>
  </si>
  <si>
    <t>1507756</t>
  </si>
  <si>
    <t>mp-677054</t>
  </si>
  <si>
    <t>1011279</t>
  </si>
  <si>
    <t>mp-19357</t>
  </si>
  <si>
    <t>1526176</t>
  </si>
  <si>
    <t>mp-1206057</t>
  </si>
  <si>
    <t>6000137</t>
  </si>
  <si>
    <t>mp-1078634</t>
  </si>
  <si>
    <t>1526450</t>
  </si>
  <si>
    <t>mp-674361</t>
  </si>
  <si>
    <t>1521772</t>
  </si>
  <si>
    <t>mp-861324</t>
  </si>
  <si>
    <t>4125730</t>
  </si>
  <si>
    <t>mp-5449</t>
  </si>
  <si>
    <t>4000748</t>
  </si>
  <si>
    <t>mp-1272753</t>
  </si>
  <si>
    <t>1530874</t>
  </si>
  <si>
    <t>Al2 O6 Sr Ti</t>
  </si>
  <si>
    <t>Co2 Mo O4</t>
  </si>
  <si>
    <t>O6 Sr Ti</t>
  </si>
  <si>
    <t>O3 Sr Ti</t>
  </si>
  <si>
    <t>O5 S2 Sm2 Ti2</t>
  </si>
  <si>
    <t>In S3 Zn</t>
  </si>
  <si>
    <t>Ag In S3 Zn</t>
  </si>
  <si>
    <t>Ag In S4 Zn</t>
  </si>
  <si>
    <t>Ag2 In S4 Zn</t>
  </si>
  <si>
    <t>Ag3 In S4 Zn</t>
  </si>
  <si>
    <t>Ca K O15 Sr Ta5</t>
  </si>
  <si>
    <t>Cu In S2</t>
  </si>
  <si>
    <t>Cu Ga In S2</t>
  </si>
  <si>
    <t>Cu Ga S2</t>
  </si>
  <si>
    <t>K Nb O3</t>
  </si>
  <si>
    <t>Cd S Zn</t>
  </si>
  <si>
    <t>Ba O3 Zr</t>
  </si>
  <si>
    <t>Ba O3 Sn Zr</t>
  </si>
  <si>
    <t>S Ti Zn</t>
  </si>
  <si>
    <t>S4 Sb2 Ti</t>
  </si>
  <si>
    <t>S5 Sb2 Ti</t>
  </si>
  <si>
    <t>S6 Sb2 Ti</t>
  </si>
  <si>
    <t>Ca In2 S4</t>
  </si>
  <si>
    <t>Nb O4 Sb</t>
  </si>
  <si>
    <t>O4 Sb Ta</t>
  </si>
  <si>
    <t>Bi2 K La O9 Ta2</t>
  </si>
  <si>
    <t>O3 Sn Sr</t>
  </si>
  <si>
    <t>Ca O3 Zr</t>
  </si>
  <si>
    <t>Ca N O2 Ta Zr</t>
  </si>
  <si>
    <t>Ca N O3 Ta</t>
  </si>
  <si>
    <t>K O13 Sn Ti6</t>
  </si>
  <si>
    <t>In2 S4 Zn</t>
  </si>
  <si>
    <t>H La Nb O7 Ta</t>
  </si>
  <si>
    <t>Cu La Ni O3</t>
  </si>
  <si>
    <t>La2 Na O6 Ta</t>
  </si>
  <si>
    <t>K2 O13 Ti6</t>
  </si>
  <si>
    <t>In2 Ni O11 Ta2</t>
  </si>
  <si>
    <t>In2 N Ni O11 Ta2</t>
  </si>
  <si>
    <t>In2 N2 Ni O11 Ta2</t>
  </si>
  <si>
    <t>Bi H K La O7 Ta2</t>
  </si>
  <si>
    <t>Bi H O7 Sr Ta2</t>
  </si>
  <si>
    <t>Bi Ca H O7 Ta2</t>
  </si>
  <si>
    <t>Ba Bi H O7 Ta2</t>
  </si>
  <si>
    <t>Na O6 Ta Y2</t>
  </si>
  <si>
    <t>Na O6 Ta Yb2</t>
  </si>
  <si>
    <t>Ce Na O5 Ta</t>
  </si>
  <si>
    <t>In O4 Ta</t>
  </si>
  <si>
    <t>Al La2 O7 Ta</t>
  </si>
  <si>
    <t>Al Bi La Nb O7</t>
  </si>
  <si>
    <t>Bi O4 Ta</t>
  </si>
  <si>
    <t>Bi Cu O4 Ta</t>
  </si>
  <si>
    <t>Na Nb O3</t>
  </si>
  <si>
    <t>In S4 Zn</t>
  </si>
  <si>
    <t>In3 S4 Zn</t>
  </si>
  <si>
    <t>O3 Sr Zr</t>
  </si>
  <si>
    <t>Ga2 O4 Zn</t>
  </si>
  <si>
    <t>Ga2 Ni O4</t>
  </si>
  <si>
    <t>Ba5 Nb2 O11 Ta2</t>
  </si>
  <si>
    <t>Ba5 O11 Ta4</t>
  </si>
  <si>
    <t>Ba5 Nb4 O11</t>
  </si>
  <si>
    <t>Ba2 In O6 Ta</t>
  </si>
  <si>
    <t>O7 Ta Y3</t>
  </si>
  <si>
    <t>Gd3 O7 Ta</t>
  </si>
  <si>
    <t>La3 O7 Ta</t>
  </si>
  <si>
    <t>Nb O7 Y3</t>
  </si>
  <si>
    <t>Gd3 Nb O7</t>
  </si>
  <si>
    <t>La3 Nb O7</t>
  </si>
  <si>
    <t>O7 Ti2 Y2</t>
  </si>
  <si>
    <t>Gd2 O7 Ti2</t>
  </si>
  <si>
    <t>In O3 Y</t>
  </si>
  <si>
    <t>In2 Na Nb O6</t>
  </si>
  <si>
    <t>Ga In O3</t>
  </si>
  <si>
    <t>In2 O3</t>
  </si>
  <si>
    <t>La O3 Ta</t>
  </si>
  <si>
    <t>K O3 Ta Zn</t>
  </si>
  <si>
    <t>K O3 Ta Y</t>
  </si>
  <si>
    <t>Al K O3 Ta</t>
  </si>
  <si>
    <t>Ga K O3 Ta</t>
  </si>
  <si>
    <t>In K O3 Ta</t>
  </si>
  <si>
    <t>Ce K O3 Ta</t>
  </si>
  <si>
    <t>K O3 Ta Ti</t>
  </si>
  <si>
    <t>K O3 Ta Zr</t>
  </si>
  <si>
    <t>Hf K O3 Ta</t>
  </si>
  <si>
    <t>K O3 Si Ta</t>
  </si>
  <si>
    <t>Ge K O3 Ta</t>
  </si>
  <si>
    <t>K Nb O3 Ta</t>
  </si>
  <si>
    <t>K O3 Sb Ta</t>
  </si>
  <si>
    <t>K O3 Ta W</t>
  </si>
  <si>
    <t>Na O6 Pr2 Ta</t>
  </si>
  <si>
    <t>Na Nd2 O6 Ta</t>
  </si>
  <si>
    <t>Na O6 Sm2 Ta</t>
  </si>
  <si>
    <t>Eu2 Na O6 Ta</t>
  </si>
  <si>
    <t>Gd2 Na O6 Ta</t>
  </si>
  <si>
    <t>Na O6 Ta Tb2</t>
  </si>
  <si>
    <t>Dy2 Na O6 Ta</t>
  </si>
  <si>
    <t>Na O3 Sb</t>
  </si>
  <si>
    <t>Ca O6 Sb2</t>
  </si>
  <si>
    <t>Ca2 O7 Sb2</t>
  </si>
  <si>
    <t>O7 Sb2 Sr2</t>
  </si>
  <si>
    <t>Ag O3 Ta</t>
  </si>
  <si>
    <t>Ag Nb O3</t>
  </si>
  <si>
    <t>O11 Sb2 Sr Ti</t>
  </si>
  <si>
    <t>In La O3</t>
  </si>
  <si>
    <t>Ba In Nb O3</t>
  </si>
  <si>
    <t>In Nb O3 Sr</t>
  </si>
  <si>
    <t>Ca In Nb O3</t>
  </si>
  <si>
    <t>Ca Co Nb O3</t>
  </si>
  <si>
    <t>Co Nb O3 Sr</t>
  </si>
  <si>
    <t>Ba Co Nb O3</t>
  </si>
  <si>
    <t>Ba Nb O3 Zn</t>
  </si>
  <si>
    <t>Ba O3 Ta</t>
  </si>
  <si>
    <t>Ba Nb Ni O3</t>
  </si>
  <si>
    <t>Ba Ni O3 Ta</t>
  </si>
  <si>
    <t>Fe2 O6 Sr Ti</t>
  </si>
  <si>
    <t>Bi Fe O6 Sr Ti</t>
  </si>
  <si>
    <t>Ba O3 Sn Sr</t>
  </si>
  <si>
    <t>Co La Na O3 Ta</t>
  </si>
  <si>
    <t>Bi Fe O3</t>
  </si>
  <si>
    <t>Ba O3 Ti</t>
  </si>
  <si>
    <t>La N O2 Sr Ti</t>
  </si>
  <si>
    <t>Ag O3 Sb</t>
  </si>
  <si>
    <t>Na O3 Sr Ta</t>
  </si>
  <si>
    <t>Ba Na O3 Ta</t>
  </si>
  <si>
    <t>Ca Na O3 Ta</t>
  </si>
  <si>
    <t>Na O3 Sr Ti</t>
  </si>
  <si>
    <t>Bi Na O3 Ta</t>
  </si>
  <si>
    <t>Cr La Na O3 Ta</t>
  </si>
  <si>
    <t>Cr La O3</t>
  </si>
  <si>
    <t>Al Nb O6 Sr2</t>
  </si>
  <si>
    <t>Fe La O3</t>
  </si>
  <si>
    <t>Ba2 N O5 Ta Zr</t>
  </si>
  <si>
    <t>K Na O3 Ta</t>
  </si>
  <si>
    <t>Cr La Na O6 Ti</t>
  </si>
  <si>
    <t>Cr O3 Sr Ti</t>
  </si>
  <si>
    <t>Li Nb O3</t>
  </si>
  <si>
    <t>Fe Ga O3</t>
  </si>
  <si>
    <t>B Na O3 Ti</t>
  </si>
  <si>
    <t>K Nb O5 Zr</t>
  </si>
  <si>
    <t>Na Nb O3 Ta</t>
  </si>
  <si>
    <t>Ca Cr La O3 Ti</t>
  </si>
  <si>
    <t>Cd Cu S Zn</t>
  </si>
  <si>
    <t>Cr La O3 Sr Ti</t>
  </si>
  <si>
    <t>Ba Cr La O3 Ti</t>
  </si>
  <si>
    <t>Bi Ce O9 Sr Ta2</t>
  </si>
  <si>
    <t>Na2 O13 Ti6</t>
  </si>
  <si>
    <t>Na2 O13 Ti5 Zr</t>
  </si>
  <si>
    <t>Fe La O3 Ti</t>
  </si>
  <si>
    <t>Fe La O3 Sr</t>
  </si>
  <si>
    <t>Fe La O3 Sr Ti</t>
  </si>
  <si>
    <t>Co La O3</t>
  </si>
  <si>
    <t>sd_1610477</t>
  </si>
  <si>
    <t>In-&gt;0.9In, 0.1Ga</t>
  </si>
  <si>
    <t>In-&gt;0.8In, 0.2Ga</t>
  </si>
  <si>
    <t>In-&gt;0.7In, 0.3Ga</t>
  </si>
  <si>
    <t>In-&gt;0.6In, 0.4Ga</t>
  </si>
  <si>
    <t>In-&gt;0.5In, 0.5Ga</t>
  </si>
  <si>
    <t>Zn-&gt;0.86Zn, 0.14Cd</t>
  </si>
  <si>
    <t>Zn-&gt;0.83Zn, 0.17Cd</t>
  </si>
  <si>
    <t>Zn-&gt;0.8Zn, 0.2Cd</t>
  </si>
  <si>
    <t>Zn-&gt;0.75Zn, 0.25Cd</t>
  </si>
  <si>
    <t>Zn-&gt;0.67Zn, 0.33Cd</t>
  </si>
  <si>
    <t>Zr-&gt;0.9Zr, 0.1Sn</t>
  </si>
  <si>
    <t>Zr-&gt;0.8Zr, 0.2Sn</t>
  </si>
  <si>
    <t>Zr-&gt;0.7Zr, 0.3Sn</t>
  </si>
  <si>
    <t>Zr-&gt;0.6Zr, 0.4Sn</t>
  </si>
  <si>
    <t>Zn-&gt;0.85Zn, 0.15Ti</t>
  </si>
  <si>
    <t>Zn-&gt;0.83Zn, 0.17Ti</t>
  </si>
  <si>
    <t>Zn-&gt;0.9Zn, 0.1Ti</t>
  </si>
  <si>
    <t>Sr-&gt;Ca; Ti-&gt;0.2Ta,0.8Zr; 3O-&gt;2.8O,0.2N</t>
  </si>
  <si>
    <t>Sr-&gt;Ca; Ti-&gt;0.4Ta,0.6Zr; 3O-&gt;2.6O,0.4N</t>
  </si>
  <si>
    <t>Sr-&gt;Ca; Ti-&gt;0.6Ta,0.4Zr; 3O-&gt;2.4O,0.6N</t>
  </si>
  <si>
    <t>2Nb-&gt;Nb,Ta</t>
  </si>
  <si>
    <t>2Nb-&gt;2Ta</t>
  </si>
  <si>
    <t>2Nb-&gt;0.67Nb,1.33Ta</t>
  </si>
  <si>
    <t>2Nb-&gt;0.67Ta,1.33Nb</t>
  </si>
  <si>
    <t>sd_1232613</t>
  </si>
  <si>
    <t>6Ti-&gt;5Ti,Zr</t>
  </si>
  <si>
    <t>sd_1813666</t>
  </si>
  <si>
    <t>3La-&gt;2La,Al</t>
  </si>
  <si>
    <t>3La-&gt;1.8Bi,0.2La,Al; Ta-&gt;Nb</t>
  </si>
  <si>
    <t>Ta-&gt;0.99Ta, 0.01Cu</t>
  </si>
  <si>
    <t>Ta-&gt;0.98Ta, 0.02Cu</t>
  </si>
  <si>
    <t>Ta-&gt;0.97Ta, 0.03Cu</t>
  </si>
  <si>
    <t>Ta-&gt;0.96Ta, 0.04Cu</t>
  </si>
  <si>
    <t>4Ta-&gt;2Ta,2Nb</t>
  </si>
  <si>
    <t>4Ta-&gt;4Nb</t>
  </si>
  <si>
    <t>sd_0305968</t>
  </si>
  <si>
    <t>Ta-&gt;0.9Ta, 0.1Zn</t>
  </si>
  <si>
    <t>Ta-&gt;0.9Ta, 0.1Y</t>
  </si>
  <si>
    <t>Ta-&gt;0.9Ta, 0.1Al</t>
  </si>
  <si>
    <t>Ta-&gt;0.9Ta, 0.1Ga</t>
  </si>
  <si>
    <t>Ta-&gt;0.9Ta, 0.1In</t>
  </si>
  <si>
    <t>Ta-&gt;0.9Ta, 0.1Ce</t>
  </si>
  <si>
    <t>Ta-&gt;0.9Ta, 0.1Ti</t>
  </si>
  <si>
    <t>Ta-&gt;0.9Ta, 0.1Zr</t>
  </si>
  <si>
    <t>Ta-&gt;0.9Ta, 0.1Hf</t>
  </si>
  <si>
    <t>Ta-&gt;0.9Ta, 0.1Si</t>
  </si>
  <si>
    <t>Ta-&gt;0.9Ta, 0.1Ge</t>
  </si>
  <si>
    <t>Ta-&gt;0.9Ta, 0.1Nb</t>
  </si>
  <si>
    <t>Ta-&gt;0.9Ta, 0.1Sb</t>
  </si>
  <si>
    <t>Ta-&gt;0.9Ta, 0.1W</t>
  </si>
  <si>
    <t>sd_1921175</t>
  </si>
  <si>
    <t>Ba-&gt;Sr</t>
  </si>
  <si>
    <t>Ba-&gt;Ca</t>
  </si>
  <si>
    <t>Ti-&gt;0.33Co, 0.67Nb</t>
  </si>
  <si>
    <t>Ti-&gt;0.33Co, 0.67Nb; Sr-&gt;Ca</t>
  </si>
  <si>
    <t>Ti-&gt;0.33Co, 0.67Nb; Sr-&gt;Ba</t>
  </si>
  <si>
    <t>Ti-&gt;0.33Zn, 0.67Nb; Sr-&gt;Ba</t>
  </si>
  <si>
    <t>Ti-&gt;0.33Ni, 0.67Nb; Sr-&gt;Ba</t>
  </si>
  <si>
    <t>Ti-&gt;0.33Ni, 0.67Ta; Sr-&gt;Ba</t>
  </si>
  <si>
    <t>Ta-&gt;0.92Ta, 0.08Zr</t>
  </si>
  <si>
    <t>sd_1500894</t>
  </si>
  <si>
    <t>Ba-&gt;0.75Ba, 0.25Sr</t>
  </si>
  <si>
    <t>Na-&gt;0.9Na, 0.1La; Ta-&gt;0.9Ta, 0.1Co</t>
  </si>
  <si>
    <t>Sr-&gt;0.8Sr, 0.2La; 3O-&gt;2.8O, 0.2N</t>
  </si>
  <si>
    <t>Na-&gt;0.96Na, 0.02Sr</t>
  </si>
  <si>
    <t>Na-&gt;0.96Na, 0.02Ba</t>
  </si>
  <si>
    <t>Na-&gt;0.96Na, 0.02Ca</t>
  </si>
  <si>
    <t>Na-&gt;0.04Na, 0.92Sr</t>
  </si>
  <si>
    <t>Ta-&gt;0.98Ta, 0.02Bi</t>
  </si>
  <si>
    <t>Ta-&gt;0.96Ta, 0.04Bi</t>
  </si>
  <si>
    <t>Ta-&gt;0.94Ta, 0.06Bi</t>
  </si>
  <si>
    <t>Ta-&gt;0.92Ta, 0.08Bi</t>
  </si>
  <si>
    <t>Ta-&gt;0.9Ta, 0.1Bi</t>
  </si>
  <si>
    <t>Na-&gt;0.9Na,0.1La; Ta-&gt;0.9Ta,0.1Cr</t>
  </si>
  <si>
    <t>Na-&gt;0.8Na,0.2La; Ta-&gt;0.8Ta,0.2Cr</t>
  </si>
  <si>
    <t>Na-&gt;0.7Na,0.3La; Ta-&gt;0.7Ta,0.3Cr</t>
  </si>
  <si>
    <t>Na-&gt;0.6Na,0.1La; Ta-&gt;0.6Ta,0.4Cr</t>
  </si>
  <si>
    <t>Na-&gt;0.5Na,0.5La; Ta-&gt;0.5Ta,0.5Cr</t>
  </si>
  <si>
    <t>Na-&gt;0.4Na,0.6La; Ta-&gt;0.4Ta,0.6Cr</t>
  </si>
  <si>
    <t>Na-&gt;0.3Na,0.7La; Ta-&gt;0.3Ta,0.7Cr</t>
  </si>
  <si>
    <t>Na-&gt;0.2Na,0.8La; Ta-&gt;0.2Ta,0.8Cr</t>
  </si>
  <si>
    <t>Na-&gt;0.1Na,0.9La; Ta-&gt;0.1Ta,0.9Cr</t>
  </si>
  <si>
    <t>Fe-&gt;0.7Ni, 0.3Cu</t>
  </si>
  <si>
    <t>Na-&gt;0.55Na, 0.45K</t>
  </si>
  <si>
    <t>Na-&gt;0.57Na, 0.43K</t>
  </si>
  <si>
    <t>Na-&gt;0.6Na, 0.4K</t>
  </si>
  <si>
    <t>Na-&gt;0.63Na, 0.37K</t>
  </si>
  <si>
    <t>Na-&gt;0.65Na, 0.35K</t>
  </si>
  <si>
    <t>Na-&gt;0.58Na, 0.42K</t>
  </si>
  <si>
    <t>Na-&gt;0.61Na, 0.39K</t>
  </si>
  <si>
    <t>Sr-&gt;0.95Sr, 0.05Cr</t>
  </si>
  <si>
    <t>Ta-&gt;0.93Ta, 0.07Bi</t>
  </si>
  <si>
    <t>Ta-&gt;0.91Ta, 0.09Bi</t>
  </si>
  <si>
    <t>Bi0.5Na0.5TiO3</t>
  </si>
  <si>
    <t>Sr-&gt;0.5Bi,0.5Na</t>
  </si>
  <si>
    <t>Ta-&gt;0.925Ta, 0.075Bi</t>
  </si>
  <si>
    <t>Ta-&gt;0.975Ta, 0.025Bi</t>
  </si>
  <si>
    <t>Ta-&gt;0.95Ta, 0.005Bi</t>
  </si>
  <si>
    <t>Ta-&gt;0.8Ta, 0.2Nb</t>
  </si>
  <si>
    <t>Ta-&gt;0.7Ta, 0.3Nb</t>
  </si>
  <si>
    <t>Ta-&gt;0.5Ta, 0.5Nb</t>
  </si>
  <si>
    <t>Ta-&gt;0.3Ta, 0.7Nb</t>
  </si>
  <si>
    <t>Ta-&gt;0.2Ta, 0.8Nb</t>
  </si>
  <si>
    <t>Ca-&gt;0.95Ca, 0.05La; Ti-&gt;0.95Ti, 0.05Cr</t>
  </si>
  <si>
    <t>Ca-&gt;0.9Ca, 0.1La; Ti-&gt;0.9Ti, 0.1Cr</t>
  </si>
  <si>
    <t>Ca-&gt;0.8Ca, 0.2La; Ti-&gt;0.8Ti, 0.2Cr</t>
  </si>
  <si>
    <t>Zn-&gt;0.5Zn, 0.5Cd</t>
  </si>
  <si>
    <t>Zn-&gt;0.49Zn, 0.01Cu, 0.5Cd</t>
  </si>
  <si>
    <t>Zn-&gt;0.48Zn, 0.02Cu, 0.5Cd</t>
  </si>
  <si>
    <t>Zn-&gt;0.47Zn, 0.03Cu, 0.5Cd</t>
  </si>
  <si>
    <t>Zn-&gt;0.46Zn, 0.04Cu, 0.5Cd</t>
  </si>
  <si>
    <t>Zn-&gt;0.45Zn, 0.05Cu, 0.5Cd</t>
  </si>
  <si>
    <t>Sr-&gt;0.9Sr, 0.1La; Ti-&gt;0.9Ti, 0.1Cr</t>
  </si>
  <si>
    <t>Sr-&gt;0.9Ca, 0.1La; Ti-&gt;0.9Ti, 0.1Cr</t>
  </si>
  <si>
    <t>Sr-&gt;0.9Ba, 0.1La; Ti-&gt;0.9Ti, 0.1Cr</t>
  </si>
  <si>
    <t>2Bi-&gt;1.975Bi, 0.01875Ce</t>
  </si>
  <si>
    <t>2Bi-&gt;1.95Bi, 0.0375Ce</t>
  </si>
  <si>
    <t>2Bi-&gt;1.925Bi, 0.05625Ce</t>
  </si>
  <si>
    <t>2Bi-&gt;1.9Bi, 0.075Ce</t>
  </si>
  <si>
    <t>Fe-&gt;0.85Fe, 0.15Ti</t>
  </si>
  <si>
    <t>La-&gt;0.85La, 0.15Sr</t>
  </si>
  <si>
    <t>La-&gt;0.8875Sr, 0.1125Sr; Fe-&gt;0.9625Fe, 0.0375Ti</t>
  </si>
  <si>
    <t>La-&gt;0.9625Sr, 0.0375Sr; Fe-&gt;0.8875Fe, 0.1125Ti</t>
  </si>
  <si>
    <t>La-&gt;0.925Sr, 0.075Sr; Fe-&gt;0.925Fe, 0.075Ti</t>
  </si>
  <si>
    <t>SrTiO3*0.01Cr2O3</t>
  </si>
  <si>
    <t>SrTiO3*0.02Cr2O3</t>
  </si>
  <si>
    <t>SrTiO3*0.04Cr2O3</t>
  </si>
  <si>
    <t>SrTiO3*0.08Cr2O3</t>
  </si>
  <si>
    <t>SrTiO3*0.06Cr2O3</t>
  </si>
  <si>
    <t>SrTiO3*0.05Cr2O3</t>
  </si>
  <si>
    <t>SrTiO3*0.01Cr2O3*0.0125Sb2O5</t>
  </si>
  <si>
    <t>Invalid structure to modify: sd_1610477</t>
  </si>
  <si>
    <t>N_MP0</t>
  </si>
  <si>
    <t>N_COD0</t>
  </si>
  <si>
    <t>N_MP1</t>
  </si>
  <si>
    <t>N_COD1</t>
  </si>
  <si>
    <t>N_MP2</t>
  </si>
  <si>
    <t>N_COD2</t>
  </si>
  <si>
    <t>N_MP3</t>
  </si>
  <si>
    <t>N_COD3</t>
  </si>
  <si>
    <t>N_MP4</t>
  </si>
  <si>
    <t>N_COD4</t>
  </si>
  <si>
    <t>N_MP5</t>
  </si>
  <si>
    <t>N_COD5</t>
  </si>
  <si>
    <t>Invalid structure to modify: sd_1251331</t>
  </si>
  <si>
    <t>N_MP6</t>
  </si>
  <si>
    <t>N_COD6</t>
  </si>
  <si>
    <t>N_MP7</t>
  </si>
  <si>
    <t>N_COD7</t>
  </si>
  <si>
    <t>N_MP8</t>
  </si>
  <si>
    <t>N_COD8</t>
  </si>
  <si>
    <t>N_MP9</t>
  </si>
  <si>
    <t>N_COD9</t>
  </si>
  <si>
    <t>N_MP10</t>
  </si>
  <si>
    <t>N_COD10</t>
  </si>
  <si>
    <t>N_MP11</t>
  </si>
  <si>
    <t>N_COD11</t>
  </si>
  <si>
    <t>N_MP12</t>
  </si>
  <si>
    <t>N_COD12</t>
  </si>
  <si>
    <t>N_MP13</t>
  </si>
  <si>
    <t>N_COD13</t>
  </si>
  <si>
    <t>N_MP14</t>
  </si>
  <si>
    <t>N_COD14</t>
  </si>
  <si>
    <t>N_MP15</t>
  </si>
  <si>
    <t>N_COD15</t>
  </si>
  <si>
    <t>N_MP16</t>
  </si>
  <si>
    <t>N_COD16</t>
  </si>
  <si>
    <t>N_MP17</t>
  </si>
  <si>
    <t>N_COD17</t>
  </si>
  <si>
    <t>N_MP18</t>
  </si>
  <si>
    <t>N_COD18</t>
  </si>
  <si>
    <t>N_MP19</t>
  </si>
  <si>
    <t>N_COD19</t>
  </si>
  <si>
    <t>N_MP20</t>
  </si>
  <si>
    <t>N_COD20</t>
  </si>
  <si>
    <t>N_MP21</t>
  </si>
  <si>
    <t>N_COD21</t>
  </si>
  <si>
    <t>N_MP22</t>
  </si>
  <si>
    <t>N_COD22</t>
  </si>
  <si>
    <t>N_MP23</t>
  </si>
  <si>
    <t>N_COD23</t>
  </si>
  <si>
    <t>N_MP24</t>
  </si>
  <si>
    <t>N_COD24</t>
  </si>
  <si>
    <t>N_MP25</t>
  </si>
  <si>
    <t>N_COD25</t>
  </si>
  <si>
    <t>N_MP26</t>
  </si>
  <si>
    <t>N_COD26</t>
  </si>
  <si>
    <t>N_MP27</t>
  </si>
  <si>
    <t>N_COD27</t>
  </si>
  <si>
    <t>N_MP28</t>
  </si>
  <si>
    <t>N_COD28</t>
  </si>
  <si>
    <t>N_MP29</t>
  </si>
  <si>
    <t>N_COD29</t>
  </si>
  <si>
    <t>N_MP30</t>
  </si>
  <si>
    <t>N_COD30</t>
  </si>
  <si>
    <t>N_MP31</t>
  </si>
  <si>
    <t>N_MP32</t>
  </si>
  <si>
    <t>N_MP33</t>
  </si>
  <si>
    <t>N_MP34</t>
  </si>
  <si>
    <t>N_MP35</t>
  </si>
  <si>
    <t>N_MP36</t>
  </si>
  <si>
    <t>N_MP37</t>
  </si>
  <si>
    <t>N_MP38</t>
  </si>
  <si>
    <t>N_Springer0</t>
  </si>
  <si>
    <t>N_Springer1</t>
  </si>
  <si>
    <t>N_Springer2</t>
  </si>
  <si>
    <t>N_Springer3</t>
  </si>
  <si>
    <t>N_Springer4</t>
  </si>
  <si>
    <t>N_Springer5</t>
  </si>
  <si>
    <t>N_Springer6</t>
  </si>
  <si>
    <t>N_Springer7</t>
  </si>
  <si>
    <t>N_Springer8</t>
  </si>
  <si>
    <t>N_Springer9</t>
  </si>
  <si>
    <t>N_Springer10</t>
  </si>
  <si>
    <t>N_Springer11</t>
  </si>
  <si>
    <t>N_Springer12</t>
  </si>
  <si>
    <t>N_MP39</t>
  </si>
  <si>
    <t>N_COD31</t>
  </si>
  <si>
    <t>N_MP40</t>
  </si>
  <si>
    <t>N_COD32</t>
  </si>
  <si>
    <t>N_MP41</t>
  </si>
  <si>
    <t>N_COD33</t>
  </si>
  <si>
    <t>N_MP42</t>
  </si>
  <si>
    <t>N_COD34</t>
  </si>
  <si>
    <t>N_MP43</t>
  </si>
  <si>
    <t>N_Springer13</t>
  </si>
  <si>
    <t>N_MP44</t>
  </si>
  <si>
    <t>N_Springer14</t>
  </si>
  <si>
    <t>N_MP45</t>
  </si>
  <si>
    <t>N_COD35</t>
  </si>
  <si>
    <t>N_MP46</t>
  </si>
  <si>
    <t>N_COD36</t>
  </si>
  <si>
    <t>N_MP47</t>
  </si>
  <si>
    <t>N_COD37</t>
  </si>
  <si>
    <t>N_MP48</t>
  </si>
  <si>
    <t>N_COD38</t>
  </si>
  <si>
    <t>N_MP49</t>
  </si>
  <si>
    <t>N_COD39</t>
  </si>
  <si>
    <t>N_MP50</t>
  </si>
  <si>
    <t>N_COD40</t>
  </si>
  <si>
    <t>N_MP51</t>
  </si>
  <si>
    <t>N_COD41</t>
  </si>
  <si>
    <t>N_MP52</t>
  </si>
  <si>
    <t>N_COD42</t>
  </si>
  <si>
    <t>N_MP53</t>
  </si>
  <si>
    <t>N_COD43</t>
  </si>
  <si>
    <t>N_MP54</t>
  </si>
  <si>
    <t>N_COD44</t>
  </si>
  <si>
    <t>N_MP55</t>
  </si>
  <si>
    <t>N_COD45</t>
  </si>
  <si>
    <t>N_MP56</t>
  </si>
  <si>
    <t>N_COD46</t>
  </si>
  <si>
    <t>N_MP57</t>
  </si>
  <si>
    <t>N_COD47</t>
  </si>
  <si>
    <t>N_MP58</t>
  </si>
  <si>
    <t>N_COD48</t>
  </si>
  <si>
    <t>N_MP59</t>
  </si>
  <si>
    <t>N_COD49</t>
  </si>
  <si>
    <t>N_Springer15</t>
  </si>
  <si>
    <t>N_Springer16</t>
  </si>
  <si>
    <t>N_MP60</t>
  </si>
  <si>
    <t>N_COD50</t>
  </si>
  <si>
    <t>N_MP61</t>
  </si>
  <si>
    <t>N_COD51</t>
  </si>
  <si>
    <t>N_MP62</t>
  </si>
  <si>
    <t>N_COD52</t>
  </si>
  <si>
    <t>N_MP63</t>
  </si>
  <si>
    <t>N_COD53</t>
  </si>
  <si>
    <t>N_MP64</t>
  </si>
  <si>
    <t>N_COD54</t>
  </si>
  <si>
    <t>N_MP65</t>
  </si>
  <si>
    <t>N_COD55</t>
  </si>
  <si>
    <t>N_MP66</t>
  </si>
  <si>
    <t>N_COD56</t>
  </si>
  <si>
    <t>N_MP67</t>
  </si>
  <si>
    <t>N_COD57</t>
  </si>
  <si>
    <t>N_MP68</t>
  </si>
  <si>
    <t>N_COD58</t>
  </si>
  <si>
    <t>N_Springer17</t>
  </si>
  <si>
    <t>N_MP69</t>
  </si>
  <si>
    <t>N_COD59</t>
  </si>
  <si>
    <t>N_MP70</t>
  </si>
  <si>
    <t>N_COD60</t>
  </si>
  <si>
    <t>N_MP71</t>
  </si>
  <si>
    <t>N_COD61</t>
  </si>
  <si>
    <t>N_MP72</t>
  </si>
  <si>
    <t>N_COD62</t>
  </si>
  <si>
    <t>N_MP73</t>
  </si>
  <si>
    <t>N_COD63</t>
  </si>
  <si>
    <t>N_MP74</t>
  </si>
  <si>
    <t>N_COD64</t>
  </si>
  <si>
    <t>N_MP75</t>
  </si>
  <si>
    <t>N_COD65</t>
  </si>
  <si>
    <t>N_MP76</t>
  </si>
  <si>
    <t>N_COD66</t>
  </si>
  <si>
    <t>N_MP77</t>
  </si>
  <si>
    <t>N_COD67</t>
  </si>
  <si>
    <t>N_MP78</t>
  </si>
  <si>
    <t>N_COD68</t>
  </si>
  <si>
    <t>N_MP79</t>
  </si>
  <si>
    <t>N_COD69</t>
  </si>
  <si>
    <t>N_MP80</t>
  </si>
  <si>
    <t>N_COD70</t>
  </si>
  <si>
    <t>N_MP81</t>
  </si>
  <si>
    <t>N_COD71</t>
  </si>
  <si>
    <t>N_MP82</t>
  </si>
  <si>
    <t>N_COD72</t>
  </si>
  <si>
    <t>N_MP83</t>
  </si>
  <si>
    <t>N_COD73</t>
  </si>
  <si>
    <t>N_MP84</t>
  </si>
  <si>
    <t>N_COD74</t>
  </si>
  <si>
    <t>N_MP85</t>
  </si>
  <si>
    <t>N_COD75</t>
  </si>
  <si>
    <t>N_MP86</t>
  </si>
  <si>
    <t>N_COD76</t>
  </si>
  <si>
    <t>N_MP87</t>
  </si>
  <si>
    <t>N_COD77</t>
  </si>
  <si>
    <t>N_MP88</t>
  </si>
  <si>
    <t>N_COD78</t>
  </si>
  <si>
    <t>N_MP89</t>
  </si>
  <si>
    <t>N_COD79</t>
  </si>
  <si>
    <t>N_MP90</t>
  </si>
  <si>
    <t>N_COD80</t>
  </si>
  <si>
    <t>N_MP91</t>
  </si>
  <si>
    <t>N_COD81</t>
  </si>
  <si>
    <t>N_MP92</t>
  </si>
  <si>
    <t>N_COD82</t>
  </si>
  <si>
    <t>N_MP93</t>
  </si>
  <si>
    <t>N_COD83</t>
  </si>
  <si>
    <t>N_MP94</t>
  </si>
  <si>
    <t>N_COD84</t>
  </si>
  <si>
    <t>N_MP95</t>
  </si>
  <si>
    <t>N_COD85</t>
  </si>
  <si>
    <t>N_MP96</t>
  </si>
  <si>
    <t>N_COD86</t>
  </si>
  <si>
    <t>N_MP97</t>
  </si>
  <si>
    <t>N_COD87</t>
  </si>
  <si>
    <t>N_MP98</t>
  </si>
  <si>
    <t>N_COD88</t>
  </si>
  <si>
    <t>N_MP99</t>
  </si>
  <si>
    <t>N_COD89</t>
  </si>
  <si>
    <t>N_MP100</t>
  </si>
  <si>
    <t>N_COD90</t>
  </si>
  <si>
    <t>N_MP101</t>
  </si>
  <si>
    <t>N_COD91</t>
  </si>
  <si>
    <t>N_MP102</t>
  </si>
  <si>
    <t>N_COD92</t>
  </si>
  <si>
    <t>N_MP103</t>
  </si>
  <si>
    <t>N_COD93</t>
  </si>
  <si>
    <t>N_MP104</t>
  </si>
  <si>
    <t>N_COD94</t>
  </si>
  <si>
    <t>N_MP105</t>
  </si>
  <si>
    <t>N_COD95</t>
  </si>
  <si>
    <t>N_MP106</t>
  </si>
  <si>
    <t>N_COD96</t>
  </si>
  <si>
    <t>N_MP107</t>
  </si>
  <si>
    <t>N_COD97</t>
  </si>
  <si>
    <t>N_MP108</t>
  </si>
  <si>
    <t>N_COD98</t>
  </si>
  <si>
    <t>N_MP109</t>
  </si>
  <si>
    <t>N_COD99</t>
  </si>
  <si>
    <t>N_MP110</t>
  </si>
  <si>
    <t>N_COD100</t>
  </si>
  <si>
    <t>N_MP111</t>
  </si>
  <si>
    <t>N_COD101</t>
  </si>
  <si>
    <t>N_MP112</t>
  </si>
  <si>
    <t>N_COD102</t>
  </si>
  <si>
    <t>N_MP113</t>
  </si>
  <si>
    <t>N_COD103</t>
  </si>
  <si>
    <t>N_MP114</t>
  </si>
  <si>
    <t>N_COD104</t>
  </si>
  <si>
    <t>N_MP115</t>
  </si>
  <si>
    <t>N_COD105</t>
  </si>
  <si>
    <t>N_MP116</t>
  </si>
  <si>
    <t>N_COD106</t>
  </si>
  <si>
    <t>N_MP117</t>
  </si>
  <si>
    <t>N_COD107</t>
  </si>
  <si>
    <t>N_MP118</t>
  </si>
  <si>
    <t>N_COD108</t>
  </si>
  <si>
    <t>N_MP119</t>
  </si>
  <si>
    <t>N_COD109</t>
  </si>
  <si>
    <t>N_MP120</t>
  </si>
  <si>
    <t>N_COD110</t>
  </si>
  <si>
    <t>N_MP121</t>
  </si>
  <si>
    <t>N_COD111</t>
  </si>
  <si>
    <t>N_MP122</t>
  </si>
  <si>
    <t>N_COD112</t>
  </si>
  <si>
    <t>N_MP123</t>
  </si>
  <si>
    <t>N_COD113</t>
  </si>
  <si>
    <t>N_MP124</t>
  </si>
  <si>
    <t>N_COD114</t>
  </si>
  <si>
    <t>N_MP125</t>
  </si>
  <si>
    <t>N_COD115</t>
  </si>
  <si>
    <t>N_MP126</t>
  </si>
  <si>
    <t>N_COD116</t>
  </si>
  <si>
    <t>N_MP127</t>
  </si>
  <si>
    <t>N_COD117</t>
  </si>
  <si>
    <t>N_MP128</t>
  </si>
  <si>
    <t>N_COD118</t>
  </si>
  <si>
    <t>N_MP129</t>
  </si>
  <si>
    <t>N_COD119</t>
  </si>
  <si>
    <t>N_MP130</t>
  </si>
  <si>
    <t>N_COD120</t>
  </si>
  <si>
    <t>N_MP131</t>
  </si>
  <si>
    <t>N_COD121</t>
  </si>
  <si>
    <t>N_MP132</t>
  </si>
  <si>
    <t>N_COD122</t>
  </si>
  <si>
    <t>N_MP133</t>
  </si>
  <si>
    <t>N_COD123</t>
  </si>
  <si>
    <t>N_MP134</t>
  </si>
  <si>
    <t>N_COD124</t>
  </si>
  <si>
    <t>N_MP135</t>
  </si>
  <si>
    <t>N_COD125</t>
  </si>
  <si>
    <t>N_MP136</t>
  </si>
  <si>
    <t>N_COD126</t>
  </si>
  <si>
    <t>N_MP137</t>
  </si>
  <si>
    <t>N_COD127</t>
  </si>
  <si>
    <t>N_MP138</t>
  </si>
  <si>
    <t>N_COD128</t>
  </si>
  <si>
    <t>N_MP139</t>
  </si>
  <si>
    <t>N_COD129</t>
  </si>
  <si>
    <t>N_MP140</t>
  </si>
  <si>
    <t>N_COD130</t>
  </si>
  <si>
    <t>N_MP141</t>
  </si>
  <si>
    <t>N_COD131</t>
  </si>
  <si>
    <t>N_MP142</t>
  </si>
  <si>
    <t>N_COD132</t>
  </si>
  <si>
    <t>N_MP143</t>
  </si>
  <si>
    <t>N_COD133</t>
  </si>
  <si>
    <t>N_MP144</t>
  </si>
  <si>
    <t>N_COD134</t>
  </si>
  <si>
    <t>N_MP145</t>
  </si>
  <si>
    <t>N_COD135</t>
  </si>
  <si>
    <t>N_MP146</t>
  </si>
  <si>
    <t>N_COD136</t>
  </si>
  <si>
    <t>N_MP147</t>
  </si>
  <si>
    <t>N_COD137</t>
  </si>
  <si>
    <t>N_MP148</t>
  </si>
  <si>
    <t>N_COD138</t>
  </si>
  <si>
    <t>N_MP149</t>
  </si>
  <si>
    <t>N_COD139</t>
  </si>
  <si>
    <t>N_MP150</t>
  </si>
  <si>
    <t>N_COD140</t>
  </si>
  <si>
    <t>N_MP151</t>
  </si>
  <si>
    <t>N_COD141</t>
  </si>
  <si>
    <t>N_MP152</t>
  </si>
  <si>
    <t>N_COD142</t>
  </si>
  <si>
    <t>N_MP153</t>
  </si>
  <si>
    <t>N_COD143</t>
  </si>
  <si>
    <t>N_MP154</t>
  </si>
  <si>
    <t>N_COD144</t>
  </si>
  <si>
    <t>N_MP155</t>
  </si>
  <si>
    <t>N_COD145</t>
  </si>
  <si>
    <t>N_MP156</t>
  </si>
  <si>
    <t>N_COD146</t>
  </si>
  <si>
    <t>N_MP157</t>
  </si>
  <si>
    <t>N_COD147</t>
  </si>
  <si>
    <t>N_MP158</t>
  </si>
  <si>
    <t>N_COD148</t>
  </si>
  <si>
    <t>N_MP159</t>
  </si>
  <si>
    <t>N_COD149</t>
  </si>
  <si>
    <t>N_MP160</t>
  </si>
  <si>
    <t>N_COD150</t>
  </si>
  <si>
    <t>N_MP161</t>
  </si>
  <si>
    <t>N_COD151</t>
  </si>
  <si>
    <t>N_MP162</t>
  </si>
  <si>
    <t>N_COD152</t>
  </si>
  <si>
    <t>N_MP163</t>
  </si>
  <si>
    <t>N_COD153</t>
  </si>
  <si>
    <t>N_MP164</t>
  </si>
  <si>
    <t>N_COD154</t>
  </si>
  <si>
    <t>N_MP165</t>
  </si>
  <si>
    <t>N_COD155</t>
  </si>
  <si>
    <t>N_MP166</t>
  </si>
  <si>
    <t>N_COD156</t>
  </si>
  <si>
    <t>N_MP167</t>
  </si>
  <si>
    <t>N_COD157</t>
  </si>
  <si>
    <t>N_MP168</t>
  </si>
  <si>
    <t>N_COD158</t>
  </si>
  <si>
    <t>N_MP169</t>
  </si>
  <si>
    <t>N_COD159</t>
  </si>
  <si>
    <t>N_MP170</t>
  </si>
  <si>
    <t>N_COD160</t>
  </si>
  <si>
    <t>N_MP171</t>
  </si>
  <si>
    <t>N_COD161</t>
  </si>
  <si>
    <t>N_MP172</t>
  </si>
  <si>
    <t>N_COD162</t>
  </si>
  <si>
    <t>N_MP173</t>
  </si>
  <si>
    <t>N_COD163</t>
  </si>
  <si>
    <t>N_MP174</t>
  </si>
  <si>
    <t>N_COD164</t>
  </si>
  <si>
    <t>N_MP175</t>
  </si>
  <si>
    <t>N_COD165</t>
  </si>
  <si>
    <t>N_MP176</t>
  </si>
  <si>
    <t>N_COD166</t>
  </si>
  <si>
    <t>N_MP177</t>
  </si>
  <si>
    <t>N_COD167</t>
  </si>
  <si>
    <t>N_MP178</t>
  </si>
  <si>
    <t>N_COD168</t>
  </si>
  <si>
    <t>N_MP179</t>
  </si>
  <si>
    <t>N_COD169</t>
  </si>
  <si>
    <t>N_MP180</t>
  </si>
  <si>
    <t>N_COD170</t>
  </si>
  <si>
    <t>N_MP181</t>
  </si>
  <si>
    <t>N_COD171</t>
  </si>
  <si>
    <t>Sr5Ta4O15N0.1</t>
  </si>
  <si>
    <t>Ba5Ta4O15N0.1</t>
  </si>
  <si>
    <t>Sr2Ta2O7N0.1</t>
  </si>
  <si>
    <t>M_MP481</t>
  </si>
  <si>
    <t>M_MP482</t>
  </si>
  <si>
    <t>M_MP483</t>
  </si>
  <si>
    <t>M_MP484</t>
  </si>
  <si>
    <t>M_MP485</t>
  </si>
  <si>
    <t>M_MP486</t>
  </si>
  <si>
    <t>M_MP487</t>
  </si>
  <si>
    <t>M_MP488</t>
  </si>
  <si>
    <t>M_MP489</t>
  </si>
  <si>
    <t>M_MP490</t>
  </si>
  <si>
    <t>M_MP491</t>
  </si>
  <si>
    <t>La0.33NbO3</t>
  </si>
  <si>
    <t>La0.33TaO3</t>
  </si>
  <si>
    <t>K1 La1 Nb2 O7</t>
  </si>
  <si>
    <t>Rb1 La1 Nb2 O7</t>
  </si>
  <si>
    <t>Cs1 La1 Nb2 O7</t>
  </si>
  <si>
    <t>K1 Ca2 Nb3 O10</t>
  </si>
  <si>
    <t>Rb1 Ca2 Nb3 O10</t>
  </si>
  <si>
    <t>Cs1 Ca2 Nb3 O10</t>
  </si>
  <si>
    <t>K1 Sr2 Nb3 O10</t>
  </si>
  <si>
    <t>K1 Ca2 Na1 Nb4 O13</t>
  </si>
  <si>
    <t>Ti1 O2</t>
  </si>
  <si>
    <t>H1 La1 Nb2 O7</t>
  </si>
  <si>
    <t>H1 Ca2 Nb3 O10</t>
  </si>
  <si>
    <t>H1 Sr2 Nb3 O10</t>
  </si>
  <si>
    <t>H1 Ca2 Na1 Nb4 O13</t>
  </si>
  <si>
    <t>K1 Nb3 O8</t>
  </si>
  <si>
    <t>K1 Nb1 O3</t>
  </si>
  <si>
    <t>Rb1 La1 Ta2 O7</t>
  </si>
  <si>
    <t>Rb1 Pr1 Ta2 O7</t>
  </si>
  <si>
    <t>Rb1 Nd1 Ta2 O7</t>
  </si>
  <si>
    <t>Rb1 Sm1 Ta2 O7</t>
  </si>
  <si>
    <t>Ca1 Ta2 O6</t>
  </si>
  <si>
    <t>Sr1 Ta2 O6</t>
  </si>
  <si>
    <t>Ba1 Ta2 O6</t>
  </si>
  <si>
    <t>Ca1 Bi2 Ta2 O9</t>
  </si>
  <si>
    <t>Sr1 Bi2 Ta2 O9</t>
  </si>
  <si>
    <t>Ba1 Bi2 Ta2 O9</t>
  </si>
  <si>
    <t>Ca1 Bi2 Nb2 O9</t>
  </si>
  <si>
    <t>Sr1 Bi2 Nb2 O9</t>
  </si>
  <si>
    <t>Ba1 Bi2 Nb2 O9</t>
  </si>
  <si>
    <t>Pb1 Bi2 Nb1.8 W0.2 O9</t>
  </si>
  <si>
    <t>Pb1 Bi2 Nb1.85 W0.15 O9</t>
  </si>
  <si>
    <t>Pb1 Bi2 Nb1.9 W0.1 O9</t>
  </si>
  <si>
    <t>Pb1 Bi2 Nb2 O9</t>
  </si>
  <si>
    <t>Pb1 Bi2 Nb1.9 Ti0.1 O9</t>
  </si>
  <si>
    <t>Ta2 O5</t>
  </si>
  <si>
    <t>Nb2 O5</t>
  </si>
  <si>
    <t>Ca1 Bi4 Ti4 O15</t>
  </si>
  <si>
    <t>Pb1 Bi4 Ti4 O15</t>
  </si>
  <si>
    <t>K0.5 La0.5 Ca1.5 Nb3 O10</t>
  </si>
  <si>
    <t>K0.5 La0.5 Ca0.75 Pb0.75 Nb3 O10</t>
  </si>
  <si>
    <t>K0.5 La0.25 Bi0.25 Ca0.75 Pb0.75 Nb3 O10</t>
  </si>
  <si>
    <t>Sr3 Ti2 O7</t>
  </si>
  <si>
    <t>Pb1 Ti1 O3</t>
  </si>
  <si>
    <t>La4 Ti3 O12</t>
  </si>
  <si>
    <t>Ca1 La4 Ti4 O15</t>
  </si>
  <si>
    <t>Sr1 La4 Ti4 O15</t>
  </si>
  <si>
    <t>Ba1 La4 Ti4 O15</t>
  </si>
  <si>
    <t>Ba3 La1 Nb3 O12</t>
  </si>
  <si>
    <t>Sr5 Nb4 O15</t>
  </si>
  <si>
    <t>Sr2 Ta2 O7</t>
  </si>
  <si>
    <t>Sr2 Nb2 O7</t>
  </si>
  <si>
    <t>K4 Nb4 Ta2 O17</t>
  </si>
  <si>
    <t>K4 Nb3 Ta3 O17</t>
  </si>
  <si>
    <t>K4 Nb2 Ta4 O17</t>
  </si>
  <si>
    <t>K4 Ta6 O17</t>
  </si>
  <si>
    <t>Rb4 Nb6 O17</t>
  </si>
  <si>
    <t>Rb4 Nb4 Ta2 O17</t>
  </si>
  <si>
    <t>Rb4 Nb3 Ta3 O17</t>
  </si>
  <si>
    <t>Rb4 Nb2 Ta4 O17</t>
  </si>
  <si>
    <t>Rb4 Ta6 O17</t>
  </si>
  <si>
    <t>K1 Ta1 O3</t>
  </si>
  <si>
    <t>Sr2 Ti1 O4</t>
  </si>
  <si>
    <t>Sr1.9 La0.1 Ti1 O4</t>
  </si>
  <si>
    <t>Sr1.8 La0.2 Ti1 O4</t>
  </si>
  <si>
    <t>Sr1.7 La0.3 Ti1 O4</t>
  </si>
  <si>
    <t>Sr1.6 La0.4 Ti1 O4</t>
  </si>
  <si>
    <t>Sr1.5 La0.5 Ti1 O4</t>
  </si>
  <si>
    <t>Cs1 Ca2 Ta3 O10</t>
  </si>
  <si>
    <t>Cs0.03 Na0.97 Ca2 Ta3 O10</t>
  </si>
  <si>
    <t>Cs0.03 Na0.1 H0.87 Ca2 Ta3 O10</t>
  </si>
  <si>
    <t>H16 Ca2 Ta3 O10 C6 N1</t>
  </si>
  <si>
    <t>Bi5 Ti3 Fe1 O15</t>
  </si>
  <si>
    <t>Bi4 La1 Ti3 Fe1 O15</t>
  </si>
  <si>
    <t>Bi3 La2 Ti3 Fe1 O15</t>
  </si>
  <si>
    <t>K1 La1 Ti1 O4</t>
  </si>
  <si>
    <t>K1 La1 Zr0.1 Ti0.9 O4</t>
  </si>
  <si>
    <t>K1 La1 Zr0.3 Ti0.7 O4</t>
  </si>
  <si>
    <t>K1 La1 Zr0.5 Ti0.5 O4</t>
  </si>
  <si>
    <t>K1 La1 Zr0.7 Ti0.3 O4</t>
  </si>
  <si>
    <t>K1 La1 Zr1 O4</t>
  </si>
  <si>
    <t>K2 La2 Ti3 O10</t>
  </si>
  <si>
    <t>K2 La2 Ti2.9 Fe0.1 O10</t>
  </si>
  <si>
    <t>K2 La2 Ti2.8 Fe0.2 O10</t>
  </si>
  <si>
    <t>K2 La2 Ti2.7 Fe0.3 O10</t>
  </si>
  <si>
    <t>K2 La2 Ti2.6 Fe0.4 O10</t>
  </si>
  <si>
    <t>K2 La2 Ti2.5 Fe0.5 O10</t>
  </si>
  <si>
    <t>K2 La2 Ti2.8 W0.2 O10</t>
  </si>
  <si>
    <t>K2 La2 Ti2.8 Ni0.2 O10</t>
  </si>
  <si>
    <t>H2 Sr1 Ta2 O7</t>
  </si>
  <si>
    <t>Li2 Sr1 Ta2 O7</t>
  </si>
  <si>
    <t>K2 Sr1 Ta2 O7</t>
  </si>
  <si>
    <t>Rb2 Sr1 Ta2 O7</t>
  </si>
  <si>
    <t>K6 La2 Ta6 O21</t>
  </si>
  <si>
    <t>H6 La2 Ta6 O21</t>
  </si>
  <si>
    <t>La1 Ta3 O9</t>
  </si>
  <si>
    <t>K2 Sr1.5 Ta3 O10</t>
  </si>
  <si>
    <t>Na2 Ca2 Nb4 O13</t>
  </si>
  <si>
    <t>Sr2 Fe1 Ta1 O6</t>
  </si>
  <si>
    <t>Sr3 Fe1 Ta1 O7</t>
  </si>
  <si>
    <t>Sr4 Fe1 Ta1 O8</t>
  </si>
  <si>
    <t>K2.33 Sr0.67 Nb5 O14.335</t>
  </si>
  <si>
    <t>H2.33 Sr0.67 Nb5 O14.335</t>
  </si>
  <si>
    <t>Bi2 W2 O9</t>
  </si>
  <si>
    <t>Bi2 W1 O6</t>
  </si>
  <si>
    <t>Bi14 W2 O27</t>
  </si>
  <si>
    <t>Bi2 Ti2 O7</t>
  </si>
  <si>
    <t>Bi4 Ti3 O12</t>
  </si>
  <si>
    <t>Bi3 Ti1 Nb1 O9</t>
  </si>
  <si>
    <t>Bi2 Mo1 O6</t>
  </si>
  <si>
    <t>Ba1 Bi4 Ti4 O15</t>
  </si>
  <si>
    <t>K0.5 La0.5 Bi2 Ta2 O9</t>
  </si>
  <si>
    <t>K0.5 La0.5 Bi2 Nb2 O9</t>
  </si>
  <si>
    <t>H1.9 K0.3 La0.5 Bi0.1 Ta2 O7</t>
  </si>
  <si>
    <t>H1.6 K0.2 La0.3 Bi0.1 Nb2 O6.5</t>
  </si>
  <si>
    <t>K2 La1 Ta5 O15</t>
  </si>
  <si>
    <t>H1.8 Ca0.8 Bi0.2 Ta2 O7</t>
  </si>
  <si>
    <t>H1.8 Sr0.8 Bi0.2 Ta2 O7</t>
  </si>
  <si>
    <t>H1.9 Ba0.8 Bi0.1 Ta2 O7</t>
  </si>
  <si>
    <t>Bi4 Nb1 O8 Cl1</t>
  </si>
  <si>
    <t>Bi4 Nb1 O8 Br1</t>
  </si>
  <si>
    <t>Bi4 Ta1 O8 Cl1</t>
  </si>
  <si>
    <t>Bi4 Ta1 O8 Br1</t>
  </si>
  <si>
    <t>H1 La1 Ta2 O7</t>
  </si>
  <si>
    <t>Na1 La1 Ta2 O7</t>
  </si>
  <si>
    <t>Cs1 La1 Ta2 O7</t>
  </si>
  <si>
    <t>H1 Pr1 Ta2 O7</t>
  </si>
  <si>
    <t>Na1 Pr1 Ta2 O7</t>
  </si>
  <si>
    <t>Cs1 Pr1 Ta2 O7</t>
  </si>
  <si>
    <t>H1 Nd1 Ta2 O7</t>
  </si>
  <si>
    <t>Na1 Nd1 Ta2 O7</t>
  </si>
  <si>
    <t>Cs1 Nd1 Ta2 O7</t>
  </si>
  <si>
    <t>H1 Sm1 Ta2 O7</t>
  </si>
  <si>
    <t>Na1 Sm1 Ta2 O7</t>
  </si>
  <si>
    <t>Cs1 Sm1 Ta2 O7</t>
  </si>
  <si>
    <t>Li1 Ca2 Ta3 O10</t>
  </si>
  <si>
    <t>Na1 Ca2 Ta3 O10</t>
  </si>
  <si>
    <t>K1 Ca2 Ta3 O10</t>
  </si>
  <si>
    <t>Rb1 Ca2 Ta3 O10</t>
  </si>
  <si>
    <t>Li1 Ca2 Ta3 O10.09 H0.18</t>
  </si>
  <si>
    <t>Li1 Ca2 Ta3 O10.26 H0.52</t>
  </si>
  <si>
    <t>Li1 Ca2 Ta3 O10.44 H0.88</t>
  </si>
  <si>
    <t>Li1 Ca2 Ta3 O10.45 H0.9</t>
  </si>
  <si>
    <t>Li1 Ca2 Ta3 O10.16 H0.32</t>
  </si>
  <si>
    <t>Li1 Ca2 Ta3 O10.37 H0.74</t>
  </si>
  <si>
    <t>Li1 Ca2 Ta3 O10.55 H1.1</t>
  </si>
  <si>
    <t>Li1 Ca2 Ta3 O10.62 H1.24</t>
  </si>
  <si>
    <t>Li1 Ca2 Ta3 O10.27 H0.54</t>
  </si>
  <si>
    <t>Li1 Ca2 Ta3 O10.43 H0.86</t>
  </si>
  <si>
    <t>Li1 Ca2 Ta3 O10.64 H1.28</t>
  </si>
  <si>
    <t>K1 Sr2 Ta1 Nb2 O10</t>
  </si>
  <si>
    <t>K1 Sr2 Ta1.5 Nb1.5 O10</t>
  </si>
  <si>
    <t>K1 Sr2 Ta2 Nb1 O10</t>
  </si>
  <si>
    <t>K1 Sr2 Ta3 O10</t>
  </si>
  <si>
    <t>H1 Sr2 Ta1 Nb2 O10</t>
  </si>
  <si>
    <t>H1 Sr2 Ta1.5 Nb1.5 O10</t>
  </si>
  <si>
    <t>H1 Sr2 Ta2 Nb1 O10</t>
  </si>
  <si>
    <t>H1 Sr2 Ta3 O10</t>
  </si>
  <si>
    <t>Na1 La1 Sr1 Nb2 Ni1 O9</t>
  </si>
  <si>
    <t>Cs1 La1 Sr1 Nb2 Ni1 O9</t>
  </si>
  <si>
    <t>H1 La1 Sr1 Nb2 Ni1 O9</t>
  </si>
  <si>
    <t>H1 Ca2 Ta1 Nb2 O10</t>
  </si>
  <si>
    <t>H1 Ca2 Ta1.5 Nb1.5 O10</t>
  </si>
  <si>
    <t>H1 Ca2 Ta2 Nb1 O10</t>
  </si>
  <si>
    <t>H1 Ca2 Ta3 O10</t>
  </si>
  <si>
    <t>Ag1 La1 Nb2 O7</t>
  </si>
  <si>
    <t>Ag1 Ca2 Nb3 O10</t>
  </si>
  <si>
    <t>Rb1 Sr2 Nb3 O10</t>
  </si>
  <si>
    <t>Ag1 Sr2 Nb3 O10</t>
  </si>
  <si>
    <t>Rb2 La2 Ti3 O10</t>
  </si>
  <si>
    <t>Ag2 La2 Ti3 O10</t>
  </si>
  <si>
    <t>La2 Ti2 O7</t>
  </si>
  <si>
    <t>La4 Ca1 Ti5 O17</t>
  </si>
  <si>
    <t>K1 Ba2 Ta3 O10</t>
  </si>
  <si>
    <t>Sr2 Nb0.1 Ta1.9 O7</t>
  </si>
  <si>
    <t>Sr2 Nb0.2 Ta1.8 O7</t>
  </si>
  <si>
    <t>Sr2 Nb0.3 Ta1.7 O7</t>
  </si>
  <si>
    <t>Sr2 Nb0.5 Ta1.5 O7</t>
  </si>
  <si>
    <t>Sr2 Nb0.7 Ta1.3 O7</t>
  </si>
  <si>
    <t>Sr2 Nb1 Ta1 O7</t>
  </si>
  <si>
    <t>Sr2 Nb1.6 Ta0.4 O7</t>
  </si>
  <si>
    <t>Nd1 La1 Ti2 O7</t>
  </si>
  <si>
    <t>Nd2 Ti2 O7</t>
  </si>
  <si>
    <t>Pr2 Ti2 O7</t>
  </si>
  <si>
    <t>Pr1 La1 Ti2 O7</t>
  </si>
  <si>
    <t>K2 La2 Ti2.985 Zn0.015 O9.985</t>
  </si>
  <si>
    <t>K2 La2 Ti2.97 Zn0.03 O9.97</t>
  </si>
  <si>
    <t>K2 La2 Ti2.955 Zn0.045 O9.955</t>
  </si>
  <si>
    <t>K2 La2 Ti2.94 Zn0.06 O9.94</t>
  </si>
  <si>
    <t>K2 La2 Ti2.925 Zn0.075 O9.925</t>
  </si>
  <si>
    <t>Cu2 La2 Ti3 O10</t>
  </si>
  <si>
    <t>Cu0.65 K0.35 La1 Nb2 O7</t>
  </si>
  <si>
    <t>Cu0.9 Rb0.1 Ca2 Ta3 O10</t>
  </si>
  <si>
    <t>Na1 Ta1 O3</t>
  </si>
  <si>
    <t>Cu0.02 Li0.98 Ta1 O3</t>
  </si>
  <si>
    <t>Cu0.09 Na0.91 Ta1 O3</t>
  </si>
  <si>
    <t>H1 La1.0125 Nb2 O7.0375 In0.0125</t>
  </si>
  <si>
    <t>H1 La1.025 Nb2 O7.075 In0.025</t>
  </si>
  <si>
    <t>H1 La1.0325 Nb2 O7.0975 In0.0325</t>
  </si>
  <si>
    <t>H1 La1.05 Nb2 O7.15 In0.05</t>
  </si>
  <si>
    <t>H1 La1.075 Nb2 O7.225 In0.075</t>
  </si>
  <si>
    <t>H0.98 La1 Nb1.98 Mo0.02 O7</t>
  </si>
  <si>
    <t>H0.95 La1 Nb1.95 Mo0.05 O7</t>
  </si>
  <si>
    <t>H0.9 La1 Nb1.9 Mo0.1 O7</t>
  </si>
  <si>
    <t>H0.85 La1 Nb1.85 Mo0.15 O7</t>
  </si>
  <si>
    <t>Bi4 Ti2.94 Cr0.06 O12</t>
  </si>
  <si>
    <t>Bi4 Ti2.85 Cr0.15 O12</t>
  </si>
  <si>
    <t>Bi4 Ti2.7 Cr0.3 O12</t>
  </si>
  <si>
    <t>Bi4 Ti2.6 Cr0.4 O12</t>
  </si>
  <si>
    <t>Bi4 Ti2.5 Cr0.5 O12</t>
  </si>
  <si>
    <t>Cs1 Ca2 Ta3 O10 N0.43</t>
  </si>
  <si>
    <t>Cs1 Ca2 Ta3 O10 N0.9</t>
  </si>
  <si>
    <t>Cs1 Ca2 Ta3 O10 N1.8</t>
  </si>
  <si>
    <t>H1 Pb2 Nb3 O10</t>
  </si>
  <si>
    <t>H1.98 Pb2 Nb2.99 Cr0.01 O10</t>
  </si>
  <si>
    <t>H1.9 Pb2 Nb2.95 Cr0.05 O10</t>
  </si>
  <si>
    <t>H1.8 Pb2 Nb2.9 Cr0.1 O10</t>
  </si>
  <si>
    <t>H1.6 Pb2 Nb2.8 Cr0.2 O10</t>
  </si>
  <si>
    <t>H1.2 Pb2 Nb2.6 Cr0.4 O10</t>
  </si>
  <si>
    <t>Ba5 Ta4 O15</t>
  </si>
  <si>
    <t>Ba5 Ta4 O14.47 N0.35</t>
  </si>
  <si>
    <t>Sr5 Ta4 O15</t>
  </si>
  <si>
    <t>Sr5 Ta4 O15 N0.1</t>
  </si>
  <si>
    <t>Ba5 Ta4 O15 N0.1</t>
  </si>
  <si>
    <t>Sr2 Ta2 O7 N0.1</t>
  </si>
  <si>
    <t>Sr1 Ti1 O3</t>
  </si>
  <si>
    <t>La1 Ti1 O3</t>
  </si>
  <si>
    <t>La1.98 Cr0.02 Ti2 O7</t>
  </si>
  <si>
    <t>La1.9 Cr0.1 Ti2 O7</t>
  </si>
  <si>
    <t>La1.98 Fe0.02 Ti2 O7</t>
  </si>
  <si>
    <t>La1.9 Fe0.1 Ti2 O7</t>
  </si>
  <si>
    <t>Sr2 Nb2 O5.5 N1.5</t>
  </si>
  <si>
    <t>Sr2 Nb2 O5.4 N1.6</t>
  </si>
  <si>
    <t>Sr2 Nb2 O5 N2</t>
  </si>
  <si>
    <t>Sr2 Nb2 O4.6 N2.4</t>
  </si>
  <si>
    <t>Sr2 Nb2 O4.43 N2.57</t>
  </si>
  <si>
    <t>Sr2 Nb2 O4.2 N2.8</t>
  </si>
  <si>
    <t>La2 Ti1.98 Rh0.02 O7</t>
  </si>
  <si>
    <t>La2 Ti1.996 Rh0.004 O7</t>
  </si>
  <si>
    <t>La2 Ti1.96 Rh0.04 O7</t>
  </si>
  <si>
    <t>Pb1 S1 H1 La2 Ti3 O10</t>
  </si>
  <si>
    <t>H1 La1 Nb2 O7.84 Ti0.42</t>
  </si>
  <si>
    <t>H1 La1 Nb2 O7.76 Ti0.38</t>
  </si>
  <si>
    <t>H1 Ca2 Ta1 Nb2 O10 Zn1 S1</t>
  </si>
  <si>
    <t>H1 Ca2 Nb3 O10 Zn1 S1</t>
  </si>
  <si>
    <t>Ca2 Ta2 O7</t>
  </si>
  <si>
    <t>Cd1 S1</t>
  </si>
  <si>
    <t>Zn0.1 Cd0.9 S1</t>
  </si>
  <si>
    <t>Zn0.2 Cd0.8 S1</t>
  </si>
  <si>
    <t>Zn0.3 Cd0.7 S1</t>
  </si>
  <si>
    <t>Zn0.4 Cd0.6 S1</t>
  </si>
  <si>
    <t>Zn0.5 Cd0.5 S1</t>
  </si>
  <si>
    <t>Zn0.6 Cd0.4 S1</t>
  </si>
  <si>
    <t>Zn0.7 Cd0.3 S1</t>
  </si>
  <si>
    <t>Zn0.8 Cd0.2 S1</t>
  </si>
  <si>
    <t>Zn0.9 Cd0.1 S1</t>
  </si>
  <si>
    <t>Zn1 S1</t>
  </si>
  <si>
    <t>Sr4 Ta2 O9</t>
  </si>
  <si>
    <t>H1 Ca2 Ta3 O9.7 N0.2</t>
  </si>
  <si>
    <t>Cs1 Ca2 Ta3 O9.7 N0.2</t>
  </si>
  <si>
    <t>Cs1 Sr1.5 Ba0.5 Ta3 O10</t>
  </si>
  <si>
    <t>H1 Sr1.5 Ba0.5 Ta3 O10</t>
  </si>
  <si>
    <t>K1 Ca2 Nb2.97 Rh0.03 O10</t>
  </si>
  <si>
    <t>H1 Ca2 Nb2.97 Rh0.03 O10</t>
  </si>
  <si>
    <t>H1 Ca2 Nb2.999 Rh0.001 O10</t>
  </si>
  <si>
    <t>H1 Ca2 Nb2.99 Rh0.01 O10</t>
  </si>
  <si>
    <t>H1 Ca2 Nb2.9 Rh0.1 O10</t>
  </si>
  <si>
    <t>H1 Ca2 Nb2.85 Rh0.15 O10</t>
  </si>
  <si>
    <t>Cs1 Ba2 Nb3 O10</t>
  </si>
  <si>
    <t>H1 Ba2 Nb3 O10</t>
  </si>
  <si>
    <t>H11 Sr2 Nb3 O10 C2 N2</t>
  </si>
  <si>
    <t>H15 Sr2 Nb3 O10 C4 N2</t>
  </si>
  <si>
    <t>H21 Sr2 Nb3 O10 C6 N2</t>
  </si>
  <si>
    <t>H23 Sr2 Nb3 O10 C8 N2</t>
  </si>
  <si>
    <t>H31 Sr2 Nb3 O10 C12 N2</t>
  </si>
  <si>
    <t>H39 Sr2 Nb3 O10 C16 N2</t>
  </si>
  <si>
    <t>H9 Sr2 Nb3 O12 C2</t>
  </si>
  <si>
    <t>H13 Sr2 Nb3 O12 C4</t>
  </si>
  <si>
    <t>H19 Sr2 Nb3 O12 C6</t>
  </si>
  <si>
    <t>H21 Sr2 Nb3 O12 C8</t>
  </si>
  <si>
    <t>H29 Sr2 Nb3 O12 C12</t>
  </si>
  <si>
    <t>Li2 La2 Ti3 O10</t>
  </si>
  <si>
    <t>Na2 La2 Ti3 O10</t>
  </si>
  <si>
    <t>Li2 Nd2 Ti3 O10</t>
  </si>
  <si>
    <t>Na2 Nd2 Ti3 O10</t>
  </si>
  <si>
    <t>K2 Nd2 Ti3 O10</t>
  </si>
  <si>
    <t>K1 Ca2 Nb3 O9 N0.33</t>
  </si>
  <si>
    <t>K1 Ca2 Nb3 O9 N0.67</t>
  </si>
  <si>
    <t>Rb1 La1 Ta2 O6.77 N0.15</t>
  </si>
  <si>
    <t>K1 Na1 Ca2 Nb4 O13</t>
  </si>
  <si>
    <t>K1 Na2 Ca2 Nb5 O16</t>
  </si>
  <si>
    <t>K1 Na3 Ca2 Nb6 O19</t>
  </si>
  <si>
    <t>H1 Ca1.5 Sr0.5 Nb3 O10</t>
  </si>
  <si>
    <t>H1 Ca1 Sr1 Nb3 O10</t>
  </si>
  <si>
    <t>H1 Ca0.5 Sr1.5 Nb3 O10</t>
  </si>
  <si>
    <t>H1 Ca2 Nb2.7 Ta0.3 O10</t>
  </si>
  <si>
    <t>H1 Ca2 Nb2 Ta1 O10</t>
  </si>
  <si>
    <t>H1 Ca2 Nb1.5 Ta1.5 O10</t>
  </si>
  <si>
    <t>K1 Ca1 Sr1 Nb3 O10</t>
  </si>
  <si>
    <t>La2 H2 O7</t>
  </si>
  <si>
    <t>H1 Ca2 Nb3 O10 Cd1 S1</t>
  </si>
  <si>
    <t>Cs1 Ba2 Ta3 O10</t>
  </si>
  <si>
    <t>K2 La2 Ti3 O10 Cd0.1 S0.1</t>
  </si>
  <si>
    <t>K2 La2 Ti3 O10 Cd0.2 S0.2</t>
  </si>
  <si>
    <t>K2 La2 Ti3 O10 Cd0.4 S0.4</t>
  </si>
  <si>
    <t>K2 La2 Ti3 O10 Cd0.6 S0.6</t>
  </si>
  <si>
    <t>K2 La2 Ti3 O10 Cd0.8 S0.8</t>
  </si>
  <si>
    <t>K2 La2 Ti3 O10 Cd0.12 S0.12</t>
  </si>
  <si>
    <t>Cs0.67 Ti1.83 O4</t>
  </si>
  <si>
    <t>H1 La1 Ti1 O4</t>
  </si>
  <si>
    <t>H6 La1 Ti1 O4 C1 N1</t>
  </si>
  <si>
    <t>H8 La1 Ti1 O4 C2 N1</t>
  </si>
  <si>
    <t>H11 La1 Ti1 O4 C3 N1</t>
  </si>
  <si>
    <t>H12 La1 Ti1 O4 C4 N1</t>
  </si>
  <si>
    <t>H16 La1 Ti1 O4 C6 N1</t>
  </si>
  <si>
    <t>H1 La1 Ti1 O5</t>
  </si>
  <si>
    <t>H5 La1 Ti1 O5 C1</t>
  </si>
  <si>
    <t>H7 La1 Ti1 O5 C2</t>
  </si>
  <si>
    <t>H10 La1 Ti1 O5 C3</t>
  </si>
  <si>
    <t>H11 La1 Ti1 O5 C4</t>
  </si>
  <si>
    <t>H15 La1 Ti1 O5 C6</t>
  </si>
  <si>
    <t>H23 La1 Ti1 O5 C10</t>
  </si>
  <si>
    <t>H1 Nd1 Ti1 O4</t>
  </si>
  <si>
    <t>H6 Nd1 Ti1 O4 C1 N1</t>
  </si>
  <si>
    <t>H8 Nd1 Ti1 O4 C2 N1</t>
  </si>
  <si>
    <t>H11 Nd1 Ti1 O4 C3 N1</t>
  </si>
  <si>
    <t>H12 Nd1 Ti1 O4 C4 N1</t>
  </si>
  <si>
    <t>H16 Nd1 Ti1 O4 C6 N1</t>
  </si>
  <si>
    <t>H1 Nd1 Ti1 O5</t>
  </si>
  <si>
    <t>H5 Nd1 Ti1 O5 C1</t>
  </si>
  <si>
    <t>H7 Nd1 Ti1 O5 C2</t>
  </si>
  <si>
    <t>H10 Nd1 Ti1 O5 C3</t>
  </si>
  <si>
    <t>H11 Nd1 Ti1 O5 C4</t>
  </si>
  <si>
    <t>H15 Nd1 Ti1 O5 C6</t>
  </si>
  <si>
    <t>H23 Nd1 Ti1 O5 C10</t>
  </si>
  <si>
    <t>H9 Ca2 Nb3 O12 C2</t>
  </si>
  <si>
    <t>H13 Ca2 Nb3 O12 C4</t>
  </si>
  <si>
    <t>H19 Ca2 Nb3 O12 C6</t>
  </si>
  <si>
    <t>H21 Ca2 Nb3 O12 C8</t>
  </si>
  <si>
    <t>H29 Ca2 Nb3 O12 C12</t>
  </si>
  <si>
    <t>H37 Ca2 Nb3 O12 C16</t>
  </si>
  <si>
    <t>H1 Rb1 La2 Ti3 O10</t>
  </si>
  <si>
    <t>H1.5 Rb0.5 La2 Ti3 O10</t>
  </si>
  <si>
    <t>H2 La2 Ti3 O10</t>
  </si>
  <si>
    <t>Li1 Nd1 Ta2 O7</t>
  </si>
  <si>
    <t>K1 Nd1 Ta2 O7</t>
  </si>
  <si>
    <t>H23 Ca2 Nb3 O10 C8 N2</t>
  </si>
  <si>
    <t>H16 La2 Ti3 O10 C4 N2</t>
  </si>
  <si>
    <t>H14 La2 Ti3 O12 C4</t>
  </si>
  <si>
    <t>H11 Ca2 Nb3 O10 C2 N2</t>
  </si>
  <si>
    <t>H15 Ca2 Nb3 O10 C4 N2</t>
  </si>
  <si>
    <t>H21 Ca2 Nb3 O10 C6 N2</t>
  </si>
  <si>
    <t>H31 Ca2 Nb3 O10 C12 N2</t>
  </si>
  <si>
    <t>H39 Ca2 Nb3 O10 C16 N2</t>
  </si>
  <si>
    <t>H12 La2 Ti3 O10 C2 N2</t>
  </si>
  <si>
    <t>H22 La2 Ti3 O10 C6 N2</t>
  </si>
  <si>
    <t>H24 La2 Ti3 O10 C8 N2</t>
  </si>
  <si>
    <t>H32 La2 Ti3 O10 C12 N2</t>
  </si>
  <si>
    <t>H40 La2 Ti3 O10 C16 N2</t>
  </si>
  <si>
    <t>H10 La2 Ti3 O12 C2</t>
  </si>
  <si>
    <t>H20 La2 Ti3 O12 C6</t>
  </si>
  <si>
    <t>H22 La2 Ti3 O12 C8</t>
  </si>
  <si>
    <t>H30 La2 Ti3 O12 C12</t>
  </si>
  <si>
    <t>H46 La2 Ti3 O12 C20</t>
  </si>
  <si>
    <t>H2 Nd2 Ti3 O10</t>
  </si>
  <si>
    <t>H12 Nd2 Ti3 O10 C2 N2</t>
  </si>
  <si>
    <t>H16 Nd2 Ti3 O10 C4 N2</t>
  </si>
  <si>
    <t>H22 Nd2 Ti3 O10 C6 N2</t>
  </si>
  <si>
    <t>H24 Nd2 Ti3 O10 C8 N2</t>
  </si>
  <si>
    <t>H32 Nd2 Ti3 O10 C12 N2</t>
  </si>
  <si>
    <t>H40 Nd2 Ti3 O10 C16 N2</t>
  </si>
  <si>
    <t>H10 Nd2 Ti3 O12 C2</t>
  </si>
  <si>
    <t>H14 Nd2 Ti3 O12 C4</t>
  </si>
  <si>
    <t>H20 Nd2 Ti3 O12 C6</t>
  </si>
  <si>
    <t>H22 Nd2 Ti3 O12 C8</t>
  </si>
  <si>
    <t>H30 Nd2 Ti3 O12 C12</t>
  </si>
  <si>
    <t>H46 Nd2 Ti3 O12 C20</t>
  </si>
  <si>
    <t>H4 K0.5 Bi2.5 Ti4 O14</t>
  </si>
  <si>
    <t>H9 K0.5 Bi2.5 Ti4 O14 C1 N1</t>
  </si>
  <si>
    <t>H11 K0.5 Bi2.5 Ti4 O14 C2 N1</t>
  </si>
  <si>
    <t>H14 K0.5 Bi2.5 Ti4 O14 C3 N1</t>
  </si>
  <si>
    <t>H15 K0.5 Bi2.5 Ti4 O14 C4 N1</t>
  </si>
  <si>
    <t>H19 K0.5 Bi2.5 Ti4 O14 C6 N1</t>
  </si>
  <si>
    <t>H23 K0.5 Bi2.5 Ti4 O14 C8 N1</t>
  </si>
  <si>
    <t>K2 Gd1.4 Eu0.6 Ti3 O10</t>
  </si>
  <si>
    <t>H2 Gd1.4 Eu0.6 Ti3 O10</t>
  </si>
  <si>
    <t>Rb1 La0.7 Tb0.3 Ta2 O7</t>
  </si>
  <si>
    <t>H1 La0.7 Tb0.3 Ta2 O7</t>
  </si>
  <si>
    <t>La0.33 Nb1 O3</t>
  </si>
  <si>
    <t>La0.33 Ta1 O3</t>
  </si>
  <si>
    <t>Ca1 Ti1 O3</t>
  </si>
  <si>
    <t>Sr2 Bi3 Ta2 O11 Cl1</t>
  </si>
  <si>
    <t>Sr1 Pb1 Bi3 Ta2 O11 Cl1</t>
  </si>
  <si>
    <t>Ba2 Bi3 Ta2 O11 Cl1</t>
  </si>
  <si>
    <t>Ba1 Pb1 Bi3 Ta2 O11 Cl1</t>
  </si>
  <si>
    <t>Sr1 Bi4 Ti1 Ta1 O11 Cl1</t>
  </si>
  <si>
    <t>Ba1 Bi4 Ti1 Ta1 O11 Cl1</t>
  </si>
  <si>
    <t>Pb1 Bi4 Ti1 Ta1 O11 Cl1</t>
  </si>
  <si>
    <t>Sr2 Bi3 Nb2 O11 Cl1</t>
  </si>
  <si>
    <t>Sr1 Pb1 Bi3 Nb2 O11 Cl1</t>
  </si>
  <si>
    <t>Ba2 Bi3 Nb2 O11 Cl1</t>
  </si>
  <si>
    <t>Ba1 Pb1 Bi3 Nb2 O11 Cl1</t>
  </si>
  <si>
    <t>Sr1 Bi4 Ti1 Nb1 O11 Cl1</t>
  </si>
  <si>
    <t>Ba1 Bi4 Ti1 Nb1 O11 Cl1</t>
  </si>
  <si>
    <t>Pb1 Bi4 Ti1 Nb1 O11 Cl1</t>
  </si>
  <si>
    <t>K1 Ca2 Nb2 Ta1 O10</t>
  </si>
  <si>
    <t>K1 Ca2 Nb1 Ta2 O10</t>
  </si>
  <si>
    <t>Na2 La2 Mn0.1 Ti2.9 O10</t>
  </si>
  <si>
    <t>Na2 La2 Mn0.3 Ti2.7 O10</t>
  </si>
  <si>
    <t>Na2 La2 Mn0.5 Ti2.5 O10</t>
  </si>
  <si>
    <t>Na2 La2 Mn0.7 Ti2.3 O10</t>
  </si>
  <si>
    <t>Na2 La2 Mn0.9 Ti2.1 O10</t>
  </si>
  <si>
    <t>Na2 La2 Mn1 Ti2 O10</t>
  </si>
  <si>
    <t>H1.4 Na0.6 La2 Ti3 O10</t>
  </si>
  <si>
    <t>H1.4 Na0.6 La2 Mn0.002 Ti2.998 O10</t>
  </si>
  <si>
    <t>H1.4 Na0.6 La2 Mn0.005 Ti2.995 O10</t>
  </si>
  <si>
    <t>H1.4 Na0.6 La2 Mn0.01 Ti2.99 O10</t>
  </si>
  <si>
    <t>H1.4 Na0.6 La2 Mn0.025 Ti2.975 O10</t>
  </si>
  <si>
    <t>H1.4 Na0.6 La2 Mn0.05 Ti2.95 O10</t>
  </si>
  <si>
    <t>H1.4 Na0.6 La2 Mn0.1 Ti2.9 O10</t>
  </si>
  <si>
    <t>H1.6 Na0.4 La2 Mn0.3 Ti2.7 O10</t>
  </si>
  <si>
    <t>H1.8 Na0.2 La2 Mn0.5 Ti2.5 O10</t>
  </si>
  <si>
    <t>H1.8 Na0.2 La2 Mn0.7 Ti2.3 O10</t>
  </si>
  <si>
    <t>H1.8 Na0.2 La2 Mn0.9 Ti2.1 O10</t>
  </si>
  <si>
    <t>H1.8 Na0.2 La2 Mn1 Ti2 O10</t>
  </si>
  <si>
    <t>H2.54 K1.6 La2 Ti3 O11.07</t>
  </si>
  <si>
    <t>H2.42 K1.2 La2 Ti3 O10.81</t>
  </si>
  <si>
    <t>H2.7 K0.5 La2 Ti3 O10.6</t>
  </si>
  <si>
    <t>H2.54 K0.4 La2 Ti3 O10.47</t>
  </si>
  <si>
    <t>La2 Ti2 O7.76 H1.52</t>
  </si>
  <si>
    <t>Nd2 Ti2 O7.71 H1.42</t>
  </si>
  <si>
    <t>H1 Rb1 Nd2 Ti3 O10</t>
  </si>
  <si>
    <t>H1.5 Rb0.5 Nd2 Ti3 O10</t>
  </si>
  <si>
    <t>Zr1 O2</t>
  </si>
  <si>
    <t>Zr1 O2.045 Y0.03</t>
  </si>
  <si>
    <t>Zr1 O2.015 Eu0.01</t>
  </si>
  <si>
    <t>Zr1 O2.015 Tb0.01</t>
  </si>
  <si>
    <t>Zr1 O2.015 Sm0.01</t>
  </si>
  <si>
    <t>Zr1 O2.015 Er0.01</t>
  </si>
  <si>
    <t>H1 Nd1 Nb2 O7</t>
  </si>
  <si>
    <t>Li1 Nd1 Nb2 O7</t>
  </si>
  <si>
    <t>Na1 Nd1 Nb2 O7</t>
  </si>
  <si>
    <t>Rb1 Nd1 Nb2 O7</t>
  </si>
  <si>
    <t>Cs1 Nd1 Nb2 O7</t>
  </si>
  <si>
    <t>SrTi0.95Cr0.05O3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</si>
</sst>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222222"/>
      <name val="Segoe U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5" fillId="0" borderId="0" applyNumberFormat="0" applyFill="0" applyBorder="0" applyAlignment="0" applyProtection="0"/>
    <xf numFmtId="0" fontId="24" fillId="0" borderId="0"/>
    <xf numFmtId="0" fontId="23" fillId="0" borderId="0"/>
    <xf numFmtId="0" fontId="19" fillId="0" borderId="0"/>
  </cellStyleXfs>
  <cellXfs count="132">
    <xf numFmtId="0" fontId="0" fillId="0" borderId="0" xfId="0"/>
    <xf numFmtId="0" fontId="0" fillId="2" borderId="0" xfId="0" applyFill="1"/>
    <xf numFmtId="0" fontId="0" fillId="3" borderId="0" xfId="0" applyFill="1"/>
    <xf numFmtId="0" fontId="25" fillId="0" borderId="0" xfId="1"/>
    <xf numFmtId="0" fontId="0" fillId="4" borderId="0" xfId="0" applyFill="1"/>
    <xf numFmtId="0" fontId="0" fillId="5" borderId="0" xfId="0" applyFill="1"/>
    <xf numFmtId="0" fontId="25" fillId="0" borderId="0" xfId="1" applyFill="1"/>
    <xf numFmtId="0" fontId="26" fillId="0" borderId="0" xfId="0" applyFont="1"/>
    <xf numFmtId="0" fontId="24" fillId="0" borderId="0" xfId="2"/>
    <xf numFmtId="0" fontId="27" fillId="0" borderId="1" xfId="2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/>
    </xf>
    <xf numFmtId="0" fontId="23" fillId="0" borderId="0" xfId="2" applyFont="1"/>
    <xf numFmtId="0" fontId="23" fillId="0" borderId="0" xfId="3"/>
    <xf numFmtId="0" fontId="27" fillId="0" borderId="1" xfId="3" applyFont="1" applyBorder="1" applyAlignment="1">
      <alignment horizontal="center" vertical="top"/>
    </xf>
    <xf numFmtId="0" fontId="23" fillId="2" borderId="0" xfId="3" applyFill="1"/>
    <xf numFmtId="0" fontId="27" fillId="0" borderId="0" xfId="3" applyFont="1" applyAlignment="1">
      <alignment horizontal="center" vertical="top"/>
    </xf>
    <xf numFmtId="0" fontId="22" fillId="0" borderId="0" xfId="3" applyFont="1"/>
    <xf numFmtId="0" fontId="21" fillId="0" borderId="0" xfId="3" applyFont="1"/>
    <xf numFmtId="0" fontId="27" fillId="0" borderId="2" xfId="0" applyFont="1" applyBorder="1" applyAlignment="1">
      <alignment horizontal="center" vertical="top"/>
    </xf>
    <xf numFmtId="0" fontId="20" fillId="0" borderId="0" xfId="3" applyFont="1"/>
    <xf numFmtId="0" fontId="19" fillId="0" borderId="0" xfId="4"/>
    <xf numFmtId="0" fontId="27" fillId="0" borderId="1" xfId="4" applyFont="1" applyBorder="1" applyAlignment="1">
      <alignment horizontal="center" vertical="top"/>
    </xf>
    <xf numFmtId="0" fontId="27" fillId="6" borderId="1" xfId="0" applyFont="1" applyFill="1" applyBorder="1" applyAlignment="1">
      <alignment horizontal="center" vertical="top"/>
    </xf>
    <xf numFmtId="0" fontId="0" fillId="6" borderId="0" xfId="0" applyFill="1"/>
    <xf numFmtId="0" fontId="27" fillId="0" borderId="0" xfId="0" applyFont="1" applyAlignment="1">
      <alignment horizontal="center" vertical="top"/>
    </xf>
    <xf numFmtId="0" fontId="24" fillId="2" borderId="0" xfId="2" applyFill="1"/>
    <xf numFmtId="0" fontId="19" fillId="2" borderId="0" xfId="4" applyFill="1"/>
    <xf numFmtId="0" fontId="18" fillId="0" borderId="0" xfId="3" applyFont="1"/>
    <xf numFmtId="0" fontId="18" fillId="4" borderId="0" xfId="3" applyFont="1" applyFill="1"/>
    <xf numFmtId="0" fontId="23" fillId="4" borderId="0" xfId="3" applyFill="1"/>
    <xf numFmtId="0" fontId="24" fillId="4" borderId="0" xfId="2" applyFill="1"/>
    <xf numFmtId="0" fontId="19" fillId="4" borderId="0" xfId="4" applyFill="1"/>
    <xf numFmtId="0" fontId="0" fillId="7" borderId="0" xfId="0" applyFill="1"/>
    <xf numFmtId="0" fontId="21" fillId="4" borderId="0" xfId="3" applyFont="1" applyFill="1"/>
    <xf numFmtId="0" fontId="0" fillId="8" borderId="0" xfId="0" applyFill="1"/>
    <xf numFmtId="0" fontId="18" fillId="0" borderId="0" xfId="4" applyFont="1"/>
    <xf numFmtId="0" fontId="22" fillId="4" borderId="0" xfId="3" applyFont="1" applyFill="1"/>
    <xf numFmtId="0" fontId="17" fillId="0" borderId="0" xfId="3" applyFont="1"/>
    <xf numFmtId="0" fontId="16" fillId="4" borderId="0" xfId="2" applyFont="1" applyFill="1"/>
    <xf numFmtId="0" fontId="27" fillId="9" borderId="1" xfId="4" applyFont="1" applyFill="1" applyBorder="1" applyAlignment="1">
      <alignment horizontal="center" vertical="top"/>
    </xf>
    <xf numFmtId="0" fontId="19" fillId="9" borderId="0" xfId="4" applyFill="1"/>
    <xf numFmtId="0" fontId="0" fillId="9" borderId="0" xfId="0" applyFill="1"/>
    <xf numFmtId="0" fontId="27" fillId="9" borderId="1" xfId="0" applyFont="1" applyFill="1" applyBorder="1" applyAlignment="1">
      <alignment horizontal="center" vertical="top"/>
    </xf>
    <xf numFmtId="0" fontId="27" fillId="10" borderId="1" xfId="0" applyFont="1" applyFill="1" applyBorder="1" applyAlignment="1">
      <alignment horizontal="center" vertical="top"/>
    </xf>
    <xf numFmtId="0" fontId="0" fillId="10" borderId="0" xfId="0" applyFill="1"/>
    <xf numFmtId="0" fontId="27" fillId="10" borderId="1" xfId="4" applyFont="1" applyFill="1" applyBorder="1" applyAlignment="1">
      <alignment horizontal="center" vertical="top"/>
    </xf>
    <xf numFmtId="0" fontId="19" fillId="10" borderId="0" xfId="4" applyFill="1"/>
    <xf numFmtId="0" fontId="15" fillId="0" borderId="0" xfId="2" applyFont="1"/>
    <xf numFmtId="0" fontId="27" fillId="11" borderId="1" xfId="0" applyFont="1" applyFill="1" applyBorder="1" applyAlignment="1">
      <alignment horizontal="center" vertical="top"/>
    </xf>
    <xf numFmtId="0" fontId="27" fillId="12" borderId="1" xfId="2" applyFont="1" applyFill="1" applyBorder="1" applyAlignment="1">
      <alignment horizontal="center" vertical="top"/>
    </xf>
    <xf numFmtId="0" fontId="27" fillId="12" borderId="1" xfId="0" applyFont="1" applyFill="1" applyBorder="1" applyAlignment="1">
      <alignment horizontal="center" vertical="top"/>
    </xf>
    <xf numFmtId="0" fontId="27" fillId="12" borderId="0" xfId="0" applyFont="1" applyFill="1" applyAlignment="1">
      <alignment horizontal="center" vertical="top"/>
    </xf>
    <xf numFmtId="0" fontId="27" fillId="11" borderId="2" xfId="0" applyFont="1" applyFill="1" applyBorder="1" applyAlignment="1">
      <alignment horizontal="center" vertical="top"/>
    </xf>
    <xf numFmtId="0" fontId="27" fillId="11" borderId="1" xfId="4" applyFont="1" applyFill="1" applyBorder="1" applyAlignment="1">
      <alignment horizontal="center" vertical="top"/>
    </xf>
    <xf numFmtId="0" fontId="28" fillId="0" borderId="0" xfId="1" applyFont="1" applyFill="1"/>
    <xf numFmtId="0" fontId="29" fillId="9" borderId="1" xfId="4" applyFont="1" applyFill="1" applyBorder="1" applyAlignment="1">
      <alignment horizontal="center" vertical="top"/>
    </xf>
    <xf numFmtId="0" fontId="0" fillId="13" borderId="0" xfId="0" applyFill="1"/>
    <xf numFmtId="0" fontId="13" fillId="0" borderId="0" xfId="3" applyFont="1"/>
    <xf numFmtId="0" fontId="0" fillId="14" borderId="0" xfId="0" applyFill="1"/>
    <xf numFmtId="0" fontId="13" fillId="0" borderId="0" xfId="2" applyFont="1"/>
    <xf numFmtId="0" fontId="0" fillId="15" borderId="0" xfId="0" applyFill="1"/>
    <xf numFmtId="0" fontId="14" fillId="0" borderId="0" xfId="3" applyFont="1"/>
    <xf numFmtId="0" fontId="12" fillId="0" borderId="0" xfId="3" applyFont="1"/>
    <xf numFmtId="0" fontId="27" fillId="16" borderId="1" xfId="0" applyFont="1" applyFill="1" applyBorder="1" applyAlignment="1">
      <alignment horizontal="center" vertical="top"/>
    </xf>
    <xf numFmtId="0" fontId="0" fillId="16" borderId="0" xfId="0" applyFill="1"/>
    <xf numFmtId="0" fontId="27" fillId="0" borderId="3" xfId="0" applyFont="1" applyBorder="1" applyAlignment="1">
      <alignment horizontal="center" vertical="top"/>
    </xf>
    <xf numFmtId="0" fontId="27" fillId="0" borderId="4" xfId="0" applyFont="1" applyBorder="1" applyAlignment="1">
      <alignment horizontal="center" vertical="top"/>
    </xf>
    <xf numFmtId="0" fontId="27" fillId="17" borderId="1" xfId="0" applyFont="1" applyFill="1" applyBorder="1" applyAlignment="1">
      <alignment horizontal="center" vertical="top"/>
    </xf>
    <xf numFmtId="0" fontId="0" fillId="17" borderId="1" xfId="0" applyFill="1" applyBorder="1"/>
    <xf numFmtId="0" fontId="27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4" borderId="1" xfId="0" applyFill="1" applyBorder="1"/>
    <xf numFmtId="0" fontId="0" fillId="0" borderId="1" xfId="0" applyBorder="1"/>
    <xf numFmtId="0" fontId="0" fillId="14" borderId="1" xfId="0" applyFill="1" applyBorder="1"/>
    <xf numFmtId="0" fontId="24" fillId="14" borderId="0" xfId="2" applyFill="1"/>
    <xf numFmtId="0" fontId="0" fillId="18" borderId="0" xfId="0" applyFill="1"/>
    <xf numFmtId="0" fontId="0" fillId="19" borderId="0" xfId="0" applyFill="1"/>
    <xf numFmtId="0" fontId="0" fillId="8" borderId="1" xfId="0" applyFill="1" applyBorder="1"/>
    <xf numFmtId="0" fontId="0" fillId="20" borderId="0" xfId="0" applyFill="1"/>
    <xf numFmtId="0" fontId="0" fillId="11" borderId="0" xfId="0" applyFill="1"/>
    <xf numFmtId="0" fontId="0" fillId="21" borderId="0" xfId="0" applyFill="1"/>
    <xf numFmtId="0" fontId="28" fillId="2" borderId="0" xfId="1" applyFont="1" applyFill="1"/>
    <xf numFmtId="0" fontId="30" fillId="22" borderId="5" xfId="0" applyFont="1" applyFill="1" applyBorder="1" applyAlignment="1">
      <alignment horizontal="center" vertical="center"/>
    </xf>
    <xf numFmtId="0" fontId="30" fillId="14" borderId="6" xfId="0" applyFont="1" applyFill="1" applyBorder="1" applyAlignment="1">
      <alignment horizontal="center" vertical="center"/>
    </xf>
    <xf numFmtId="0" fontId="30" fillId="14" borderId="6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top"/>
    </xf>
    <xf numFmtId="0" fontId="32" fillId="17" borderId="1" xfId="0" applyFont="1" applyFill="1" applyBorder="1"/>
    <xf numFmtId="0" fontId="32" fillId="0" borderId="0" xfId="0" applyFont="1"/>
    <xf numFmtId="0" fontId="31" fillId="2" borderId="1" xfId="0" applyFont="1" applyFill="1" applyBorder="1" applyAlignment="1">
      <alignment horizontal="center" vertical="top"/>
    </xf>
    <xf numFmtId="0" fontId="30" fillId="0" borderId="5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11" fontId="33" fillId="0" borderId="6" xfId="0" applyNumberFormat="1" applyFont="1" applyBorder="1" applyAlignment="1">
      <alignment horizontal="center" vertical="center"/>
    </xf>
    <xf numFmtId="0" fontId="33" fillId="23" borderId="6" xfId="0" applyFont="1" applyFill="1" applyBorder="1" applyAlignment="1">
      <alignment horizontal="center" vertical="center"/>
    </xf>
    <xf numFmtId="0" fontId="27" fillId="14" borderId="0" xfId="0" applyFont="1" applyFill="1" applyAlignment="1">
      <alignment horizontal="center" vertical="top"/>
    </xf>
    <xf numFmtId="0" fontId="0" fillId="24" borderId="0" xfId="0" applyFill="1"/>
    <xf numFmtId="0" fontId="11" fillId="0" borderId="0" xfId="2" applyFont="1"/>
    <xf numFmtId="0" fontId="11" fillId="2" borderId="0" xfId="2" applyFont="1" applyFill="1"/>
    <xf numFmtId="0" fontId="0" fillId="25" borderId="0" xfId="0" applyFill="1"/>
    <xf numFmtId="0" fontId="10" fillId="0" borderId="0" xfId="2" applyFont="1"/>
    <xf numFmtId="0" fontId="10" fillId="14" borderId="0" xfId="2" applyFont="1" applyFill="1"/>
    <xf numFmtId="0" fontId="10" fillId="4" borderId="0" xfId="2" applyFont="1" applyFill="1"/>
    <xf numFmtId="0" fontId="10" fillId="2" borderId="0" xfId="2" applyFont="1" applyFill="1"/>
    <xf numFmtId="0" fontId="9" fillId="0" borderId="0" xfId="2" applyFont="1"/>
    <xf numFmtId="0" fontId="8" fillId="14" borderId="0" xfId="2" applyFont="1" applyFill="1"/>
    <xf numFmtId="0" fontId="7" fillId="14" borderId="0" xfId="2" applyFont="1" applyFill="1"/>
    <xf numFmtId="0" fontId="7" fillId="2" borderId="0" xfId="2" applyFont="1" applyFill="1"/>
    <xf numFmtId="0" fontId="6" fillId="0" borderId="0" xfId="2" applyFont="1"/>
    <xf numFmtId="0" fontId="5" fillId="0" borderId="0" xfId="2" applyFont="1"/>
    <xf numFmtId="0" fontId="4" fillId="0" borderId="0" xfId="2" applyFont="1"/>
    <xf numFmtId="0" fontId="3" fillId="0" borderId="0" xfId="2" applyFont="1"/>
    <xf numFmtId="0" fontId="2" fillId="0" borderId="0" xfId="2" applyFont="1"/>
    <xf numFmtId="0" fontId="2" fillId="14" borderId="0" xfId="2" applyFont="1" applyFill="1"/>
    <xf numFmtId="0" fontId="1" fillId="0" borderId="0" xfId="2" applyFont="1"/>
    <xf numFmtId="0" fontId="30" fillId="22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23" borderId="6" xfId="0" applyFont="1" applyFill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25" fillId="0" borderId="6" xfId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2" fontId="30" fillId="22" borderId="6" xfId="0" applyNumberFormat="1" applyFont="1" applyFill="1" applyBorder="1" applyAlignment="1">
      <alignment horizontal="center" vertical="center"/>
    </xf>
    <xf numFmtId="2" fontId="30" fillId="0" borderId="6" xfId="0" applyNumberFormat="1" applyFont="1" applyBorder="1" applyAlignment="1">
      <alignment horizontal="center" vertical="center"/>
    </xf>
    <xf numFmtId="2" fontId="33" fillId="0" borderId="6" xfId="0" applyNumberFormat="1" applyFont="1" applyBorder="1" applyAlignment="1">
      <alignment horizontal="center" vertical="center"/>
    </xf>
    <xf numFmtId="2" fontId="30" fillId="23" borderId="6" xfId="0" applyNumberFormat="1" applyFont="1" applyFill="1" applyBorder="1" applyAlignment="1">
      <alignment horizontal="center" vertical="center"/>
    </xf>
    <xf numFmtId="2" fontId="34" fillId="0" borderId="6" xfId="0" applyNumberFormat="1" applyFont="1" applyBorder="1" applyAlignment="1">
      <alignment horizontal="center" vertical="center"/>
    </xf>
    <xf numFmtId="2" fontId="0" fillId="0" borderId="0" xfId="0" applyNumberFormat="1"/>
    <xf numFmtId="0" fontId="33" fillId="2" borderId="6" xfId="0" applyFont="1" applyFill="1" applyBorder="1" applyAlignment="1">
      <alignment horizontal="center" vertical="center"/>
    </xf>
    <xf numFmtId="0" fontId="30" fillId="23" borderId="0" xfId="0" applyFont="1" applyFill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4" fillId="2" borderId="5" xfId="0" applyFont="1" applyFill="1" applyBorder="1" applyAlignment="1">
      <alignment horizontal="center" vertical="center"/>
    </xf>
    <xf numFmtId="0" fontId="33" fillId="23" borderId="0" xfId="0" applyFont="1" applyFill="1" applyAlignment="1">
      <alignment horizontal="center" vertical="center"/>
    </xf>
    <xf numFmtId="0" fontId="27" fillId="0" borderId="8" xfId="0" applyFont="1" applyBorder="1" applyAlignment="1">
      <alignment horizontal="center" vertical="top"/>
    </xf>
    <xf numFmtId="0" fontId="27" fillId="14" borderId="1" xfId="0" applyFont="1" applyFill="1" applyBorder="1" applyAlignment="1">
      <alignment horizontal="center" vertical="top"/>
    </xf>
  </cellXfs>
  <cellStyles count="5">
    <cellStyle name="Гиперссылка" xfId="1" builtinId="8"/>
    <cellStyle name="Обычный" xfId="0" builtinId="0"/>
    <cellStyle name="Обычный 2" xfId="2" xr:uid="{00000000-0005-0000-0000-000002000000}"/>
    <cellStyle name="Обычный 3" xfId="3" xr:uid="{00000000-0005-0000-0000-000003000000}"/>
    <cellStyle name="Обычный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/>
              <a:t>Кол-во образцов</a:t>
            </a:r>
          </a:p>
        </c:rich>
      </c:tx>
      <c:layout>
        <c:manualLayout>
          <c:xMode val="edge"/>
          <c:yMode val="edge"/>
          <c:x val="0.53889724310776943"/>
          <c:y val="3.436426116838488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1390563021727547"/>
          <c:y val="0.18391433888633338"/>
          <c:w val="0.47055315453989305"/>
          <c:h val="0.71687937633225396"/>
        </c:manualLayout>
      </c:layout>
      <c:pieChart>
        <c:varyColors val="1"/>
        <c:ser>
          <c:idx val="0"/>
          <c:order val="0"/>
          <c:tx>
            <c:strRef>
              <c:f>Dopants!$C$1</c:f>
              <c:strCache>
                <c:ptCount val="1"/>
                <c:pt idx="0">
                  <c:v>Кол-во образцов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Dopants!$B$2:$B$9</c:f>
              <c:strCache>
                <c:ptCount val="8"/>
                <c:pt idx="0">
                  <c:v>CdS</c:v>
                </c:pt>
                <c:pt idx="1">
                  <c:v>ZnS</c:v>
                </c:pt>
                <c:pt idx="2">
                  <c:v>Co</c:v>
                </c:pt>
                <c:pt idx="3">
                  <c:v>CuO</c:v>
                </c:pt>
                <c:pt idx="4">
                  <c:v>In</c:v>
                </c:pt>
                <c:pt idx="5">
                  <c:v>N</c:v>
                </c:pt>
                <c:pt idx="6">
                  <c:v>Pt</c:v>
                </c:pt>
                <c:pt idx="7">
                  <c:v>Rh</c:v>
                </c:pt>
              </c:strCache>
            </c:strRef>
          </c:cat>
          <c:val>
            <c:numRef>
              <c:f>Dopants!$C$2:$C$9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17</c:v>
                </c:pt>
                <c:pt idx="6">
                  <c:v>21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C-4A17-9B5E-478B7303FAD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1461654414410319"/>
          <c:y val="0.18880839895013124"/>
          <c:w val="0.49923267167361657"/>
          <c:h val="0.70967844404064873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Dopants!$B$10:$B$11</c:f>
              <c:strCache>
                <c:ptCount val="2"/>
                <c:pt idx="0">
                  <c:v>С допантом</c:v>
                </c:pt>
                <c:pt idx="1">
                  <c:v>Без допанта</c:v>
                </c:pt>
              </c:strCache>
            </c:strRef>
          </c:cat>
          <c:val>
            <c:numRef>
              <c:f>Dopants!$C$10:$C$11</c:f>
              <c:numCache>
                <c:formatCode>General</c:formatCode>
                <c:ptCount val="2"/>
                <c:pt idx="0">
                  <c:v>52</c:v>
                </c:pt>
                <c:pt idx="1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7-46DB-8740-7DC1CE5A187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160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405454211462002"/>
          <c:y val="0.13511924156032221"/>
          <c:w val="0.44138035870516185"/>
          <c:h val="0.73563393117526976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Dopants!$B$13:$B$14</c:f>
              <c:strCache>
                <c:ptCount val="2"/>
                <c:pt idx="0">
                  <c:v>Materials Project ID</c:v>
                </c:pt>
                <c:pt idx="1">
                  <c:v>Без ID</c:v>
                </c:pt>
              </c:strCache>
            </c:strRef>
          </c:cat>
          <c:val>
            <c:numRef>
              <c:f>Dopants!$C$13:$C$14</c:f>
              <c:numCache>
                <c:formatCode>General</c:formatCode>
                <c:ptCount val="2"/>
                <c:pt idx="0">
                  <c:v>194</c:v>
                </c:pt>
                <c:pt idx="1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6-40C9-99C9-70515D1CB59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2216631951255203"/>
          <c:y val="0.82929246990677874"/>
          <c:w val="0.33745107929124518"/>
          <c:h val="0.14779125053457776"/>
        </c:manualLayout>
      </c:layout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464820</xdr:colOff>
      <xdr:row>0</xdr:row>
      <xdr:rowOff>175260</xdr:rowOff>
    </xdr:from>
    <xdr:to>
      <xdr:col>14</xdr:col>
      <xdr:colOff>132335</xdr:colOff>
      <xdr:row>31</xdr:row>
      <xdr:rowOff>116988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0520" y="175260"/>
          <a:ext cx="6373115" cy="5611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2</xdr:row>
      <xdr:rowOff>83820</xdr:rowOff>
    </xdr:from>
    <xdr:to>
      <xdr:col>13</xdr:col>
      <xdr:colOff>106680</xdr:colOff>
      <xdr:row>20</xdr:row>
      <xdr:rowOff>118110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411480</xdr:colOff>
      <xdr:row>14</xdr:row>
      <xdr:rowOff>22860</xdr:rowOff>
    </xdr:from>
    <xdr:to>
      <xdr:col>14</xdr:col>
      <xdr:colOff>205740</xdr:colOff>
      <xdr:row>34</xdr:row>
      <xdr:rowOff>80010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129540</xdr:colOff>
      <xdr:row>1</xdr:row>
      <xdr:rowOff>68580</xdr:rowOff>
    </xdr:from>
    <xdr:to>
      <xdr:col>19</xdr:col>
      <xdr:colOff>586740</xdr:colOff>
      <xdr:row>27</xdr:row>
      <xdr:rowOff>83820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121920</xdr:colOff>
      <xdr:row>1</xdr:row>
      <xdr:rowOff>114300</xdr:rowOff>
    </xdr:from>
    <xdr:to>
      <xdr:col>11</xdr:col>
      <xdr:colOff>255544</xdr:colOff>
      <xdr:row>4</xdr:row>
      <xdr:rowOff>32450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6480" y="297180"/>
          <a:ext cx="1962424" cy="466790"/>
        </a:xfrm>
        <a:prstGeom prst="rect">
          <a:avLst/>
        </a:prstGeom>
      </xdr:spPr>
    </xdr:pic>
    <xdr:clientData/>
  </xdr:twoCellAnchor>
  <xdr:twoCellAnchor editAs="oneCell">
    <xdr:from>
      <xdr:col>11</xdr:col>
      <xdr:colOff>373380</xdr:colOff>
      <xdr:row>9</xdr:row>
      <xdr:rowOff>68580</xdr:rowOff>
    </xdr:from>
    <xdr:to>
      <xdr:col>14</xdr:col>
      <xdr:colOff>200860</xdr:colOff>
      <xdr:row>29</xdr:row>
      <xdr:rowOff>73031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6740" y="1714500"/>
          <a:ext cx="1656280" cy="36620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525554</xdr:colOff>
      <xdr:row>1</xdr:row>
      <xdr:rowOff>68580</xdr:rowOff>
    </xdr:from>
    <xdr:to>
      <xdr:col>10</xdr:col>
      <xdr:colOff>149380</xdr:colOff>
      <xdr:row>22</xdr:row>
      <xdr:rowOff>76828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094" y="251460"/>
          <a:ext cx="4843526" cy="38487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114300</xdr:colOff>
      <xdr:row>134</xdr:row>
      <xdr:rowOff>92189</xdr:rowOff>
    </xdr:from>
    <xdr:to>
      <xdr:col>37</xdr:col>
      <xdr:colOff>67770</xdr:colOff>
      <xdr:row>147</xdr:row>
      <xdr:rowOff>80508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04680" y="25619189"/>
          <a:ext cx="4182570" cy="2464819"/>
        </a:xfrm>
        <a:prstGeom prst="rect">
          <a:avLst/>
        </a:prstGeom>
      </xdr:spPr>
    </xdr:pic>
    <xdr:clientData/>
  </xdr:twoCellAnchor>
  <xdr:twoCellAnchor editAs="oneCell">
    <xdr:from>
      <xdr:col>28</xdr:col>
      <xdr:colOff>312420</xdr:colOff>
      <xdr:row>484</xdr:row>
      <xdr:rowOff>72934</xdr:rowOff>
    </xdr:from>
    <xdr:to>
      <xdr:col>38</xdr:col>
      <xdr:colOff>1066580</xdr:colOff>
      <xdr:row>501</xdr:row>
      <xdr:rowOff>33073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56040" y="92412094"/>
          <a:ext cx="7932200" cy="3236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ystallography.net/cod/1544425.html" TargetMode="External"/><Relationship Id="rId2" Type="http://schemas.openxmlformats.org/officeDocument/2006/relationships/hyperlink" Target="https://doi.org/10.1016/j.pnsc.2012.03.002" TargetMode="External"/><Relationship Id="rId1" Type="http://schemas.openxmlformats.org/officeDocument/2006/relationships/hyperlink" Target="https://doi.org/10.1016/j.pnsc.2012.03.00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ystallography.net/cod/1544425.html" TargetMode="External"/><Relationship Id="rId2" Type="http://schemas.openxmlformats.org/officeDocument/2006/relationships/hyperlink" Target="https://doi.org/10.1016/j.pnsc.2012.03.002" TargetMode="External"/><Relationship Id="rId1" Type="http://schemas.openxmlformats.org/officeDocument/2006/relationships/hyperlink" Target="https://doi.org/10.1016/j.pnsc.2012.03.00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rystallography.net/cod/1544425.html" TargetMode="External"/><Relationship Id="rId3" Type="http://schemas.openxmlformats.org/officeDocument/2006/relationships/hyperlink" Target="https://www.wellesu.com/10.1016/0025-5408(87)90060-2" TargetMode="External"/><Relationship Id="rId7" Type="http://schemas.openxmlformats.org/officeDocument/2006/relationships/hyperlink" Target="https://sci-hub.ru/10.1016/0025-5408(81)90063-5" TargetMode="External"/><Relationship Id="rId2" Type="http://schemas.openxmlformats.org/officeDocument/2006/relationships/hyperlink" Target="https://doi.org/10.1016/j.pnsc.2012.03.002" TargetMode="External"/><Relationship Id="rId1" Type="http://schemas.openxmlformats.org/officeDocument/2006/relationships/hyperlink" Target="https://doi.org/10.1016/j.pnsc.2012.03.002" TargetMode="External"/><Relationship Id="rId6" Type="http://schemas.openxmlformats.org/officeDocument/2006/relationships/hyperlink" Target="https://sci-hub.ru/10.1016/0025-5408(81)90063-5" TargetMode="External"/><Relationship Id="rId5" Type="http://schemas.openxmlformats.org/officeDocument/2006/relationships/hyperlink" Target="https://sci-hub.ru/10.1016/0025-5408(81)90063-5" TargetMode="External"/><Relationship Id="rId4" Type="http://schemas.openxmlformats.org/officeDocument/2006/relationships/hyperlink" Target="https://sci-hub.ru/10.1016/0025-5408(81)90063-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rystallography.net/cod/1544425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pnsc.2012.03.002" TargetMode="External"/><Relationship Id="rId1" Type="http://schemas.openxmlformats.org/officeDocument/2006/relationships/hyperlink" Target="https://doi.org/10.1016/j.pnsc.2012.03.002" TargetMode="External"/><Relationship Id="rId6" Type="http://schemas.openxmlformats.org/officeDocument/2006/relationships/hyperlink" Target="https://www.crystallography.net/cod/1544425.html" TargetMode="External"/><Relationship Id="rId5" Type="http://schemas.openxmlformats.org/officeDocument/2006/relationships/hyperlink" Target="https://www.crystallography.net/cod/1544425.html" TargetMode="External"/><Relationship Id="rId4" Type="http://schemas.openxmlformats.org/officeDocument/2006/relationships/hyperlink" Target="https://www.crystallography.net/cod/1544425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39/C4RA12646G" TargetMode="External"/><Relationship Id="rId2" Type="http://schemas.openxmlformats.org/officeDocument/2006/relationships/hyperlink" Target="https://doi.org/10.1016/j.catcom.2010.09.032" TargetMode="External"/><Relationship Id="rId1" Type="http://schemas.openxmlformats.org/officeDocument/2006/relationships/hyperlink" Target="https://doi.org/10.1039/C5TA04843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https://doi.org/10.1016/j.catcom.2010.09.032" TargetMode="External"/><Relationship Id="rId1" Type="http://schemas.openxmlformats.org/officeDocument/2006/relationships/hyperlink" Target="https://doi.org/10.1039/C5TA0484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24"/>
  <sheetViews>
    <sheetView workbookViewId="0">
      <pane ySplit="1" topLeftCell="A432" activePane="bottomLeft" state="frozen"/>
      <selection pane="bottomLeft" sqref="A1:BX523"/>
    </sheetView>
  </sheetViews>
  <sheetFormatPr defaultRowHeight="14.4" x14ac:dyDescent="0.3"/>
  <cols>
    <col min="1" max="1" width="16.88671875" customWidth="1"/>
    <col min="2" max="2" width="21.44140625" customWidth="1"/>
    <col min="3" max="3" width="15.44140625" customWidth="1"/>
    <col min="4" max="4" width="8.88671875" customWidth="1"/>
    <col min="5" max="5" width="11.88671875" customWidth="1"/>
    <col min="6" max="6" width="8.88671875" customWidth="1"/>
    <col min="7" max="7" width="20.21875" customWidth="1"/>
    <col min="8" max="8" width="15.33203125" customWidth="1"/>
    <col min="9" max="9" width="12.88671875" customWidth="1"/>
    <col min="10" max="10" width="10.77734375" customWidth="1"/>
    <col min="11" max="13" width="0" hidden="1" customWidth="1"/>
    <col min="14" max="14" width="11.109375" hidden="1" customWidth="1"/>
    <col min="15" max="17" width="0" hidden="1" customWidth="1"/>
    <col min="18" max="18" width="18.77734375" hidden="1" customWidth="1"/>
    <col min="19" max="20" width="0" hidden="1" customWidth="1"/>
    <col min="21" max="21" width="10.5546875" hidden="1" customWidth="1"/>
    <col min="22" max="22" width="14.44140625" hidden="1" customWidth="1"/>
    <col min="23" max="25" width="0" hidden="1" customWidth="1"/>
    <col min="26" max="26" width="12" hidden="1" customWidth="1"/>
    <col min="27" max="27" width="11.77734375" hidden="1" customWidth="1"/>
    <col min="28" max="28" width="10" hidden="1" customWidth="1"/>
    <col min="29" max="29" width="11.44140625" hidden="1" customWidth="1"/>
    <col min="30" max="30" width="17.109375" hidden="1" customWidth="1"/>
    <col min="31" max="31" width="17.109375" style="44" hidden="1" customWidth="1"/>
    <col min="32" max="32" width="13.44140625" style="44" hidden="1" customWidth="1"/>
    <col min="33" max="33" width="16.109375" style="44" hidden="1" customWidth="1"/>
    <col min="34" max="34" width="19.44140625" style="44" hidden="1" customWidth="1"/>
    <col min="35" max="35" width="19.44140625" style="41" hidden="1" customWidth="1"/>
    <col min="36" max="36" width="23.109375" style="41" hidden="1" customWidth="1"/>
    <col min="37" max="37" width="22.109375" style="41" hidden="1" customWidth="1"/>
    <col min="38" max="38" width="29.21875" style="41" hidden="1" customWidth="1"/>
    <col min="39" max="52" width="0" hidden="1" customWidth="1"/>
    <col min="53" max="55" width="0" style="64" hidden="1" customWidth="1"/>
    <col min="56" max="62" width="0" hidden="1" customWidth="1"/>
    <col min="63" max="63" width="12.33203125" customWidth="1"/>
    <col min="65" max="65" width="11.109375" customWidth="1"/>
    <col min="66" max="66" width="17.5546875" customWidth="1"/>
    <col min="68" max="68" width="17.6640625" customWidth="1"/>
    <col min="70" max="70" width="9.44140625" customWidth="1"/>
    <col min="71" max="71" width="10.5546875" customWidth="1"/>
    <col min="72" max="72" width="9.5546875" customWidth="1"/>
    <col min="73" max="73" width="11.33203125" customWidth="1"/>
    <col min="75" max="75" width="17.44140625" customWidth="1"/>
    <col min="76" max="76" width="14.77734375" customWidth="1"/>
  </cols>
  <sheetData>
    <row r="1" spans="1:76" x14ac:dyDescent="0.3">
      <c r="A1" t="s">
        <v>112</v>
      </c>
      <c r="B1" s="13" t="s">
        <v>684</v>
      </c>
      <c r="C1" s="15" t="s">
        <v>892</v>
      </c>
      <c r="D1" t="s">
        <v>675</v>
      </c>
      <c r="E1" t="s">
        <v>880</v>
      </c>
      <c r="F1" t="s">
        <v>113</v>
      </c>
      <c r="G1" t="s">
        <v>50</v>
      </c>
      <c r="H1" s="49" t="s">
        <v>522</v>
      </c>
      <c r="I1" s="50" t="s">
        <v>605</v>
      </c>
      <c r="J1" s="51" t="s">
        <v>1146</v>
      </c>
      <c r="K1" s="52" t="s">
        <v>1096</v>
      </c>
      <c r="L1" s="53" t="s">
        <v>1108</v>
      </c>
      <c r="M1" s="48" t="s">
        <v>1191</v>
      </c>
      <c r="N1" s="48" t="s">
        <v>1203</v>
      </c>
      <c r="O1" t="s">
        <v>467</v>
      </c>
      <c r="P1" t="s">
        <v>468</v>
      </c>
      <c r="Q1" t="s">
        <v>469</v>
      </c>
      <c r="R1" t="s">
        <v>438</v>
      </c>
      <c r="S1" t="s">
        <v>1132</v>
      </c>
      <c r="T1" s="21" t="s">
        <v>1105</v>
      </c>
      <c r="U1" s="21" t="s">
        <v>1106</v>
      </c>
      <c r="V1" s="21" t="s">
        <v>1107</v>
      </c>
      <c r="W1" s="10" t="s">
        <v>1192</v>
      </c>
      <c r="X1" s="10" t="s">
        <v>1193</v>
      </c>
      <c r="Y1" s="10" t="s">
        <v>1194</v>
      </c>
      <c r="Z1" s="10" t="s">
        <v>1199</v>
      </c>
      <c r="AA1" s="10" t="s">
        <v>1200</v>
      </c>
      <c r="AB1" s="10" t="s">
        <v>1201</v>
      </c>
      <c r="AC1" t="s">
        <v>466</v>
      </c>
      <c r="AD1" s="10" t="s">
        <v>1094</v>
      </c>
      <c r="AE1" s="43" t="s">
        <v>1103</v>
      </c>
      <c r="AF1" s="45" t="s">
        <v>1196</v>
      </c>
      <c r="AG1" s="43" t="s">
        <v>1195</v>
      </c>
      <c r="AH1" s="43" t="s">
        <v>1202</v>
      </c>
      <c r="AI1" s="55" t="s">
        <v>1104</v>
      </c>
      <c r="AJ1" s="39" t="s">
        <v>1197</v>
      </c>
      <c r="AK1" s="42" t="s">
        <v>1198</v>
      </c>
      <c r="AL1" s="42" t="s">
        <v>1204</v>
      </c>
      <c r="AM1" s="22" t="s">
        <v>1113</v>
      </c>
      <c r="AN1" s="22" t="s">
        <v>1114</v>
      </c>
      <c r="AO1" s="22" t="s">
        <v>1115</v>
      </c>
      <c r="AP1" s="22" t="s">
        <v>1116</v>
      </c>
      <c r="AQ1" s="22" t="s">
        <v>1117</v>
      </c>
      <c r="AR1" s="22" t="s">
        <v>1118</v>
      </c>
      <c r="AS1" s="22" t="s">
        <v>1119</v>
      </c>
      <c r="AT1" s="22" t="s">
        <v>1120</v>
      </c>
      <c r="AU1" s="21" t="s">
        <v>1109</v>
      </c>
      <c r="AV1" s="21" t="s">
        <v>1110</v>
      </c>
      <c r="AW1" s="21" t="s">
        <v>1111</v>
      </c>
      <c r="AX1" s="21" t="s">
        <v>1112</v>
      </c>
      <c r="AY1" s="10" t="s">
        <v>1092</v>
      </c>
      <c r="AZ1" s="10" t="s">
        <v>1093</v>
      </c>
      <c r="BA1" s="63" t="s">
        <v>1205</v>
      </c>
      <c r="BB1" s="63" t="s">
        <v>1206</v>
      </c>
      <c r="BC1" s="63" t="s">
        <v>1207</v>
      </c>
      <c r="BD1" s="10" t="s">
        <v>1211</v>
      </c>
      <c r="BE1" s="10" t="s">
        <v>1208</v>
      </c>
      <c r="BF1" s="10" t="s">
        <v>1209</v>
      </c>
      <c r="BG1" s="10" t="s">
        <v>1210</v>
      </c>
      <c r="BH1" s="10" t="s">
        <v>1247</v>
      </c>
      <c r="BI1" s="10" t="s">
        <v>1248</v>
      </c>
      <c r="BJ1" s="10" t="s">
        <v>1249</v>
      </c>
      <c r="BK1" s="65" t="s">
        <v>1251</v>
      </c>
      <c r="BL1" s="65" t="s">
        <v>1252</v>
      </c>
      <c r="BM1" s="65" t="s">
        <v>1253</v>
      </c>
      <c r="BN1" s="65" t="s">
        <v>1254</v>
      </c>
      <c r="BO1" s="65" t="s">
        <v>1255</v>
      </c>
      <c r="BP1" s="65" t="s">
        <v>1256</v>
      </c>
      <c r="BQ1" s="65" t="s">
        <v>1257</v>
      </c>
      <c r="BR1" s="65" t="s">
        <v>1258</v>
      </c>
      <c r="BS1" s="65" t="s">
        <v>1259</v>
      </c>
      <c r="BT1" s="65" t="s">
        <v>1260</v>
      </c>
      <c r="BU1" s="65" t="s">
        <v>1261</v>
      </c>
      <c r="BV1" s="65" t="s">
        <v>1262</v>
      </c>
      <c r="BW1" s="65" t="s">
        <v>1263</v>
      </c>
      <c r="BX1" s="65" t="s">
        <v>1265</v>
      </c>
    </row>
    <row r="2" spans="1:76" x14ac:dyDescent="0.3">
      <c r="A2" t="s">
        <v>0</v>
      </c>
      <c r="B2" s="12" t="s">
        <v>685</v>
      </c>
      <c r="C2" s="12"/>
      <c r="F2">
        <v>3.5</v>
      </c>
      <c r="G2" t="s">
        <v>454</v>
      </c>
      <c r="H2" s="8" t="s">
        <v>523</v>
      </c>
      <c r="I2" t="s">
        <v>606</v>
      </c>
      <c r="K2" s="54">
        <v>4</v>
      </c>
      <c r="L2" s="20">
        <v>4</v>
      </c>
      <c r="M2">
        <v>4</v>
      </c>
      <c r="N2">
        <v>0</v>
      </c>
      <c r="T2" s="20">
        <v>6.6040679999999998</v>
      </c>
      <c r="U2" s="20">
        <v>7.9389519999999996</v>
      </c>
      <c r="V2" s="20">
        <v>33.703336</v>
      </c>
      <c r="W2">
        <v>7.83</v>
      </c>
      <c r="X2">
        <v>33.209989999999998</v>
      </c>
      <c r="Y2">
        <v>6.46</v>
      </c>
      <c r="Z2">
        <v>0</v>
      </c>
      <c r="AD2">
        <v>34</v>
      </c>
      <c r="AE2" s="44">
        <f>O2*P2*Q2</f>
        <v>0</v>
      </c>
      <c r="AF2" s="46">
        <v>1767.0449718798691</v>
      </c>
      <c r="AG2" s="44">
        <v>1679.8210721820001</v>
      </c>
      <c r="AH2" s="44">
        <v>0</v>
      </c>
      <c r="AJ2" s="40">
        <v>7.6964651247849417E-2</v>
      </c>
      <c r="AK2" s="41">
        <v>8.0961003676030277E-2</v>
      </c>
      <c r="AM2" s="23">
        <v>1.62962962962963</v>
      </c>
      <c r="AN2" s="23">
        <v>2.518518518518519</v>
      </c>
      <c r="AO2" s="23">
        <v>0.88888888888888884</v>
      </c>
      <c r="AP2" s="23">
        <v>0</v>
      </c>
      <c r="AQ2" s="23">
        <v>0.32352941176470579</v>
      </c>
      <c r="AR2" s="23">
        <v>0.5</v>
      </c>
      <c r="AS2" s="23">
        <v>0.1764705882352941</v>
      </c>
      <c r="AT2" s="23">
        <v>0</v>
      </c>
      <c r="AU2" s="20">
        <v>0.82</v>
      </c>
      <c r="AV2" s="20">
        <v>3.44</v>
      </c>
      <c r="AW2" s="20">
        <v>2.62</v>
      </c>
      <c r="AX2" s="20">
        <v>2.642962962962963</v>
      </c>
      <c r="AY2">
        <v>2.642962962962963</v>
      </c>
      <c r="AZ2">
        <v>5.9587362692592576</v>
      </c>
      <c r="BA2" s="64">
        <v>0.48264383878002159</v>
      </c>
      <c r="BB2" s="64">
        <v>0.50770488753139842</v>
      </c>
      <c r="BD2" t="s">
        <v>459</v>
      </c>
      <c r="BE2">
        <v>3.8482325623924708E-2</v>
      </c>
      <c r="BF2">
        <v>4.0480501838015132E-2</v>
      </c>
      <c r="BH2">
        <v>7.8962827461939847E-2</v>
      </c>
      <c r="BI2" t="s">
        <v>459</v>
      </c>
      <c r="BJ2">
        <v>0.49517436315571001</v>
      </c>
      <c r="BX2">
        <v>130</v>
      </c>
    </row>
    <row r="3" spans="1:76" x14ac:dyDescent="0.3">
      <c r="A3" t="s">
        <v>1</v>
      </c>
      <c r="B3" s="12" t="s">
        <v>686</v>
      </c>
      <c r="C3" s="12"/>
      <c r="F3">
        <v>3.2</v>
      </c>
      <c r="G3" t="s">
        <v>454</v>
      </c>
      <c r="H3" s="8" t="s">
        <v>524</v>
      </c>
      <c r="I3" t="s">
        <v>607</v>
      </c>
      <c r="L3" s="20">
        <v>1</v>
      </c>
      <c r="M3">
        <v>1</v>
      </c>
      <c r="N3">
        <v>0</v>
      </c>
      <c r="O3">
        <v>7.806</v>
      </c>
      <c r="P3">
        <v>7.6680000000000001</v>
      </c>
      <c r="Q3">
        <v>21.54</v>
      </c>
      <c r="R3" s="1" t="s">
        <v>513</v>
      </c>
      <c r="S3" s="1"/>
      <c r="T3" s="20">
        <v>3.9327019999999999</v>
      </c>
      <c r="U3" s="20">
        <v>3.9458000000000002</v>
      </c>
      <c r="V3" s="20">
        <v>11.356398779999999</v>
      </c>
      <c r="W3">
        <v>3.9060000000000001</v>
      </c>
      <c r="X3">
        <v>21.603000000000002</v>
      </c>
      <c r="Y3">
        <v>3.8879000000000001</v>
      </c>
      <c r="Z3">
        <v>0</v>
      </c>
      <c r="AC3">
        <v>2</v>
      </c>
      <c r="AD3">
        <v>14</v>
      </c>
      <c r="AE3" s="44">
        <f t="shared" ref="AE3:AE66" si="0">O3*P3*Q3</f>
        <v>1289.30702832</v>
      </c>
      <c r="AF3" s="46">
        <v>173.54502164551991</v>
      </c>
      <c r="AG3" s="44">
        <v>328.06612625219998</v>
      </c>
      <c r="AH3" s="44">
        <v>0</v>
      </c>
      <c r="AJ3" s="40">
        <v>8.0670709348241429E-2</v>
      </c>
      <c r="AK3" s="41">
        <v>4.2674323496713393E-2</v>
      </c>
      <c r="AM3" s="23">
        <v>1.7272727272727271</v>
      </c>
      <c r="AN3" s="23">
        <v>2.545454545454545</v>
      </c>
      <c r="AO3" s="23">
        <v>0.81818181818181823</v>
      </c>
      <c r="AP3" s="23">
        <v>0</v>
      </c>
      <c r="AQ3" s="23">
        <v>0.3392857142857143</v>
      </c>
      <c r="AR3" s="23">
        <v>0.5</v>
      </c>
      <c r="AS3" s="23">
        <v>0.1607142857142857</v>
      </c>
      <c r="AT3" s="23">
        <v>0</v>
      </c>
      <c r="AU3" s="20">
        <v>0.82</v>
      </c>
      <c r="AV3" s="20">
        <v>3.44</v>
      </c>
      <c r="AW3" s="20">
        <v>2.62</v>
      </c>
      <c r="AX3" s="20">
        <v>2.6545454545454539</v>
      </c>
      <c r="AY3">
        <v>2.6545454545454539</v>
      </c>
      <c r="AZ3">
        <v>5.9946911436363637</v>
      </c>
      <c r="BA3" s="64">
        <v>0.48450364842179561</v>
      </c>
      <c r="BE3">
        <v>4.0335354674120701E-2</v>
      </c>
      <c r="BF3">
        <v>2.13371617483567E-2</v>
      </c>
      <c r="BH3">
        <v>6.1672516422477411E-2</v>
      </c>
      <c r="BI3">
        <v>3.0836258211238698E-2</v>
      </c>
      <c r="BJ3">
        <v>0.48450364842179561</v>
      </c>
      <c r="BK3" t="s">
        <v>1264</v>
      </c>
      <c r="BL3">
        <f t="shared" ref="BL3:BL9" si="1">1200+273</f>
        <v>1473</v>
      </c>
      <c r="BM3">
        <v>48</v>
      </c>
      <c r="BU3" t="s">
        <v>1266</v>
      </c>
      <c r="BV3">
        <v>450</v>
      </c>
      <c r="BX3">
        <v>28</v>
      </c>
    </row>
    <row r="4" spans="1:76" x14ac:dyDescent="0.3">
      <c r="A4" t="s">
        <v>2</v>
      </c>
      <c r="B4" s="12" t="s">
        <v>687</v>
      </c>
      <c r="C4" s="12"/>
      <c r="F4">
        <v>3.35</v>
      </c>
      <c r="G4" t="s">
        <v>454</v>
      </c>
      <c r="H4" s="8" t="s">
        <v>525</v>
      </c>
      <c r="I4">
        <v>-1</v>
      </c>
      <c r="L4" s="20">
        <v>2</v>
      </c>
      <c r="M4">
        <v>0</v>
      </c>
      <c r="N4">
        <v>0</v>
      </c>
      <c r="O4">
        <v>3.8849999999999998</v>
      </c>
      <c r="P4">
        <v>3.8849999999999998</v>
      </c>
      <c r="Q4">
        <v>10.989000000000001</v>
      </c>
      <c r="R4" s="1" t="s">
        <v>439</v>
      </c>
      <c r="S4" s="1"/>
      <c r="T4" s="20">
        <v>11.92921406</v>
      </c>
      <c r="U4" s="20">
        <v>11.92921406</v>
      </c>
      <c r="V4" s="20">
        <v>11.92921406</v>
      </c>
      <c r="W4">
        <v>0</v>
      </c>
      <c r="Z4">
        <v>0</v>
      </c>
      <c r="AC4">
        <v>2</v>
      </c>
      <c r="AD4">
        <v>14</v>
      </c>
      <c r="AE4" s="44">
        <f t="shared" si="0"/>
        <v>165.859449525</v>
      </c>
      <c r="AF4" s="46">
        <v>349.00875366799971</v>
      </c>
      <c r="AG4" s="44">
        <v>0</v>
      </c>
      <c r="AH4" s="44">
        <v>0</v>
      </c>
      <c r="AJ4" s="40">
        <v>8.0227214090553903E-2</v>
      </c>
      <c r="AM4" s="23">
        <v>1.7272727272727271</v>
      </c>
      <c r="AN4" s="23">
        <v>2.545454545454545</v>
      </c>
      <c r="AO4" s="23">
        <v>0.81818181818181823</v>
      </c>
      <c r="AP4" s="23">
        <v>0</v>
      </c>
      <c r="AQ4" s="23">
        <v>0.3392857142857143</v>
      </c>
      <c r="AR4" s="23">
        <v>0.5</v>
      </c>
      <c r="AS4" s="23">
        <v>0.1607142857142857</v>
      </c>
      <c r="AT4" s="23">
        <v>0</v>
      </c>
      <c r="AU4" s="20">
        <v>0.82</v>
      </c>
      <c r="AV4" s="20">
        <v>3.44</v>
      </c>
      <c r="AW4" s="20">
        <v>2.62</v>
      </c>
      <c r="AX4" s="20">
        <v>2.6545454545454539</v>
      </c>
      <c r="AY4">
        <v>2.6545454545454552</v>
      </c>
      <c r="AZ4">
        <v>5.9865512095454543</v>
      </c>
      <c r="BA4" s="64">
        <v>0.50734392504100967</v>
      </c>
      <c r="BE4">
        <v>4.0113607045276937E-2</v>
      </c>
      <c r="BH4">
        <v>8.0227214090553903E-2</v>
      </c>
      <c r="BI4">
        <v>4.0113607045276937E-2</v>
      </c>
      <c r="BJ4">
        <v>0.50734392504100967</v>
      </c>
      <c r="BK4" t="s">
        <v>1264</v>
      </c>
      <c r="BL4">
        <f t="shared" si="1"/>
        <v>1473</v>
      </c>
      <c r="BM4">
        <v>48</v>
      </c>
      <c r="BU4" t="s">
        <v>1266</v>
      </c>
      <c r="BV4">
        <v>450</v>
      </c>
      <c r="BX4">
        <v>60</v>
      </c>
    </row>
    <row r="5" spans="1:76" x14ac:dyDescent="0.3">
      <c r="A5" t="s">
        <v>3</v>
      </c>
      <c r="B5" s="12" t="s">
        <v>688</v>
      </c>
      <c r="C5" s="12"/>
      <c r="F5">
        <v>3.3</v>
      </c>
      <c r="G5" t="s">
        <v>454</v>
      </c>
      <c r="H5" s="8" t="s">
        <v>526</v>
      </c>
      <c r="I5" t="s">
        <v>608</v>
      </c>
      <c r="L5" s="20">
        <v>1</v>
      </c>
      <c r="M5">
        <v>1</v>
      </c>
      <c r="N5">
        <v>0</v>
      </c>
      <c r="O5">
        <v>3.9049999999999998</v>
      </c>
      <c r="P5">
        <v>3.9049999999999998</v>
      </c>
      <c r="Q5">
        <v>11.185</v>
      </c>
      <c r="R5" s="1" t="s">
        <v>439</v>
      </c>
      <c r="S5" s="1"/>
      <c r="T5" s="20">
        <v>3.952105</v>
      </c>
      <c r="U5" s="20">
        <v>3.952105</v>
      </c>
      <c r="V5" s="20">
        <v>11.503833</v>
      </c>
      <c r="W5">
        <v>3.9079999999999999</v>
      </c>
      <c r="X5">
        <v>3.9079999999999999</v>
      </c>
      <c r="Y5">
        <v>11.16</v>
      </c>
      <c r="Z5">
        <v>0</v>
      </c>
      <c r="AC5">
        <v>2</v>
      </c>
      <c r="AD5">
        <v>14</v>
      </c>
      <c r="AE5" s="44">
        <f t="shared" si="0"/>
        <v>170.56034462499997</v>
      </c>
      <c r="AF5" s="46">
        <v>179.6799083471451</v>
      </c>
      <c r="AG5" s="44">
        <v>170.44069823999999</v>
      </c>
      <c r="AH5" s="44">
        <v>0</v>
      </c>
      <c r="AJ5" s="40">
        <v>7.7916335380980528E-2</v>
      </c>
      <c r="AK5" s="41">
        <v>8.2140006140355049E-2</v>
      </c>
      <c r="AM5" s="23">
        <v>1.7272727272727271</v>
      </c>
      <c r="AN5" s="23">
        <v>2.545454545454545</v>
      </c>
      <c r="AO5" s="23">
        <v>0.81818181818181823</v>
      </c>
      <c r="AP5" s="23">
        <v>0</v>
      </c>
      <c r="AQ5" s="23">
        <v>0.3392857142857143</v>
      </c>
      <c r="AR5" s="23">
        <v>0.5</v>
      </c>
      <c r="AS5" s="23">
        <v>0.1607142857142857</v>
      </c>
      <c r="AT5" s="23">
        <v>0</v>
      </c>
      <c r="AU5" s="20">
        <v>0.79</v>
      </c>
      <c r="AV5" s="20">
        <v>3.44</v>
      </c>
      <c r="AW5" s="20">
        <v>2.65</v>
      </c>
      <c r="AX5" s="20">
        <v>2.6518181818181819</v>
      </c>
      <c r="AY5">
        <v>2.6518181818181819</v>
      </c>
      <c r="AZ5">
        <v>5.9730281035195452</v>
      </c>
      <c r="BA5" s="64">
        <v>0.5243291310951993</v>
      </c>
      <c r="BB5" s="64">
        <v>0.55275184384813547</v>
      </c>
      <c r="BE5">
        <v>3.8958167690490257E-2</v>
      </c>
      <c r="BF5">
        <v>4.1070003070177517E-2</v>
      </c>
      <c r="BH5">
        <v>8.0028170760667788E-2</v>
      </c>
      <c r="BI5">
        <v>4.0014085380333887E-2</v>
      </c>
      <c r="BJ5">
        <v>0.53854048747166738</v>
      </c>
      <c r="BK5" t="s">
        <v>1264</v>
      </c>
      <c r="BL5">
        <f t="shared" si="1"/>
        <v>1473</v>
      </c>
      <c r="BM5">
        <v>48</v>
      </c>
      <c r="BU5" t="s">
        <v>1266</v>
      </c>
      <c r="BV5">
        <v>450</v>
      </c>
      <c r="BX5">
        <v>12</v>
      </c>
    </row>
    <row r="6" spans="1:76" x14ac:dyDescent="0.3">
      <c r="A6" t="s">
        <v>4</v>
      </c>
      <c r="B6" s="62" t="s">
        <v>689</v>
      </c>
      <c r="C6" s="12"/>
      <c r="F6">
        <v>3.35</v>
      </c>
      <c r="G6" t="s">
        <v>454</v>
      </c>
      <c r="H6" s="8" t="s">
        <v>527</v>
      </c>
      <c r="I6" t="s">
        <v>609</v>
      </c>
      <c r="K6" s="6"/>
      <c r="L6" s="20">
        <v>4</v>
      </c>
      <c r="M6">
        <v>4</v>
      </c>
      <c r="N6">
        <v>0</v>
      </c>
      <c r="O6">
        <v>7.7270000000000003</v>
      </c>
      <c r="P6">
        <v>7.7270000000000003</v>
      </c>
      <c r="Q6">
        <v>29.466000000000001</v>
      </c>
      <c r="R6" t="s">
        <v>452</v>
      </c>
      <c r="T6" s="20">
        <v>7.8084429999999996</v>
      </c>
      <c r="U6" s="20">
        <v>7.8548809999999998</v>
      </c>
      <c r="V6" s="20">
        <v>15.19056011</v>
      </c>
      <c r="W6">
        <v>3.8801999999999999</v>
      </c>
      <c r="X6">
        <v>29.507999999999999</v>
      </c>
      <c r="Y6">
        <v>7.7140000000000004</v>
      </c>
      <c r="Z6">
        <v>0</v>
      </c>
      <c r="AC6">
        <v>3</v>
      </c>
      <c r="AD6">
        <v>20</v>
      </c>
      <c r="AE6" s="44">
        <f t="shared" si="0"/>
        <v>1759.3125835140002</v>
      </c>
      <c r="AF6" s="46">
        <v>924.74694800021894</v>
      </c>
      <c r="AG6" s="44">
        <v>883.22940750240002</v>
      </c>
      <c r="AH6" s="44">
        <v>0</v>
      </c>
      <c r="AJ6" s="40">
        <v>8.6510153045653584E-2</v>
      </c>
      <c r="AK6" s="41">
        <v>9.0576694254581439E-2</v>
      </c>
      <c r="AM6" s="23">
        <v>1.75</v>
      </c>
      <c r="AN6" s="23">
        <v>2.5</v>
      </c>
      <c r="AO6" s="23">
        <v>0.75</v>
      </c>
      <c r="AP6" s="23">
        <v>0</v>
      </c>
      <c r="AQ6" s="23">
        <v>0.35</v>
      </c>
      <c r="AR6" s="23">
        <v>0.5</v>
      </c>
      <c r="AS6" s="23">
        <v>0.15</v>
      </c>
      <c r="AT6" s="23">
        <v>0</v>
      </c>
      <c r="AU6" s="20">
        <v>0.82</v>
      </c>
      <c r="AV6" s="20">
        <v>3.44</v>
      </c>
      <c r="AW6" s="20">
        <v>2.62</v>
      </c>
      <c r="AX6" s="20">
        <v>2.6262500000000002</v>
      </c>
      <c r="AY6">
        <v>2.6262500000000002</v>
      </c>
      <c r="AZ6">
        <v>5.96680968125</v>
      </c>
      <c r="BA6" s="64">
        <v>0.50555206026575039</v>
      </c>
      <c r="BB6" s="64">
        <v>0</v>
      </c>
      <c r="BE6">
        <v>4.3255076522826792E-2</v>
      </c>
      <c r="BF6">
        <v>4.5288347127290719E-2</v>
      </c>
      <c r="BH6">
        <v>8.8543423650117511E-2</v>
      </c>
      <c r="BI6">
        <v>4.4271711825058763E-2</v>
      </c>
      <c r="BJ6">
        <v>0.2527760301328752</v>
      </c>
      <c r="BK6" t="s">
        <v>1264</v>
      </c>
      <c r="BL6">
        <f t="shared" si="1"/>
        <v>1473</v>
      </c>
      <c r="BM6">
        <v>48</v>
      </c>
      <c r="BU6" t="s">
        <v>1266</v>
      </c>
      <c r="BV6">
        <v>450</v>
      </c>
      <c r="BX6">
        <v>14</v>
      </c>
    </row>
    <row r="7" spans="1:76" x14ac:dyDescent="0.3">
      <c r="A7" t="s">
        <v>5</v>
      </c>
      <c r="B7" s="12" t="s">
        <v>690</v>
      </c>
      <c r="C7" s="12"/>
      <c r="F7">
        <v>3.5</v>
      </c>
      <c r="G7" t="s">
        <v>454</v>
      </c>
      <c r="H7" s="8" t="s">
        <v>528</v>
      </c>
      <c r="I7" t="s">
        <v>610</v>
      </c>
      <c r="K7" s="6"/>
      <c r="L7" s="20">
        <v>1</v>
      </c>
      <c r="M7">
        <v>1</v>
      </c>
      <c r="N7">
        <v>0</v>
      </c>
      <c r="O7">
        <v>7.7249999999999996</v>
      </c>
      <c r="P7">
        <v>7.7249999999999996</v>
      </c>
      <c r="Q7">
        <v>14.909000000000001</v>
      </c>
      <c r="R7" t="s">
        <v>451</v>
      </c>
      <c r="T7" s="20">
        <v>3.9661010000000001</v>
      </c>
      <c r="U7" s="20">
        <v>3.9661010000000001</v>
      </c>
      <c r="V7" s="20">
        <v>15.283337</v>
      </c>
      <c r="W7">
        <v>3.8586499999999999</v>
      </c>
      <c r="X7">
        <v>3.8586499999999999</v>
      </c>
      <c r="Y7">
        <v>14.9108</v>
      </c>
      <c r="Z7">
        <v>0</v>
      </c>
      <c r="AC7">
        <v>3</v>
      </c>
      <c r="AD7">
        <v>20</v>
      </c>
      <c r="AE7" s="44">
        <f t="shared" si="0"/>
        <v>889.70389312500004</v>
      </c>
      <c r="AF7" s="46">
        <v>240.40623599981481</v>
      </c>
      <c r="AG7" s="44">
        <v>222.00958249733301</v>
      </c>
      <c r="AH7" s="44">
        <v>0</v>
      </c>
      <c r="AJ7" s="40">
        <v>8.3192517518619641E-2</v>
      </c>
      <c r="AK7" s="41">
        <v>9.0086201573034624E-2</v>
      </c>
      <c r="AM7" s="23">
        <v>1.75</v>
      </c>
      <c r="AN7" s="23">
        <v>2.5</v>
      </c>
      <c r="AO7" s="23">
        <v>0.75</v>
      </c>
      <c r="AP7" s="23">
        <v>0</v>
      </c>
      <c r="AQ7" s="23">
        <v>0.35</v>
      </c>
      <c r="AR7" s="23">
        <v>0.5</v>
      </c>
      <c r="AS7" s="23">
        <v>0.15</v>
      </c>
      <c r="AT7" s="23">
        <v>0</v>
      </c>
      <c r="AU7" s="20">
        <v>0.82</v>
      </c>
      <c r="AV7" s="20">
        <v>3.44</v>
      </c>
      <c r="AW7" s="20">
        <v>2.62</v>
      </c>
      <c r="AX7" s="20">
        <v>2.6262500000000002</v>
      </c>
      <c r="AY7">
        <v>2.6262500000000002</v>
      </c>
      <c r="AZ7">
        <v>5.9612134765624996</v>
      </c>
      <c r="BA7" s="64">
        <v>0.50467688585120674</v>
      </c>
      <c r="BB7" s="64">
        <v>0.54649654829675798</v>
      </c>
      <c r="BE7">
        <v>4.159625875930982E-2</v>
      </c>
      <c r="BF7">
        <v>4.5043100786517312E-2</v>
      </c>
      <c r="BH7">
        <v>8.6639359545827133E-2</v>
      </c>
      <c r="BI7">
        <v>4.3319679772913573E-2</v>
      </c>
      <c r="BJ7">
        <v>0.5255867170739823</v>
      </c>
      <c r="BK7" t="s">
        <v>1264</v>
      </c>
      <c r="BL7">
        <f t="shared" si="1"/>
        <v>1473</v>
      </c>
      <c r="BM7">
        <v>48</v>
      </c>
      <c r="BU7" t="s">
        <v>1266</v>
      </c>
      <c r="BV7">
        <v>450</v>
      </c>
      <c r="BX7">
        <v>3</v>
      </c>
    </row>
    <row r="8" spans="1:76" x14ac:dyDescent="0.3">
      <c r="A8" t="s">
        <v>6</v>
      </c>
      <c r="B8" s="12" t="s">
        <v>691</v>
      </c>
      <c r="C8" s="12"/>
      <c r="F8">
        <v>3.5</v>
      </c>
      <c r="G8" t="s">
        <v>454</v>
      </c>
      <c r="H8" s="8" t="s">
        <v>529</v>
      </c>
      <c r="I8" t="s">
        <v>611</v>
      </c>
      <c r="K8" s="6"/>
      <c r="L8" s="20">
        <v>8</v>
      </c>
      <c r="M8">
        <v>8</v>
      </c>
      <c r="N8">
        <v>0</v>
      </c>
      <c r="O8">
        <v>7.7270000000000003</v>
      </c>
      <c r="P8">
        <v>7.7270000000000003</v>
      </c>
      <c r="Q8">
        <v>30.175999999999998</v>
      </c>
      <c r="R8" t="s">
        <v>452</v>
      </c>
      <c r="T8" s="20">
        <v>7.8252249999999997</v>
      </c>
      <c r="U8" s="20">
        <v>7.8345229999999999</v>
      </c>
      <c r="V8" s="20">
        <v>31.031406</v>
      </c>
      <c r="W8">
        <v>30.184999999999999</v>
      </c>
      <c r="X8">
        <v>7.74</v>
      </c>
      <c r="Y8">
        <v>7.7460000000000004</v>
      </c>
      <c r="Z8">
        <v>0</v>
      </c>
      <c r="AC8">
        <v>3</v>
      </c>
      <c r="AD8">
        <v>20</v>
      </c>
      <c r="AE8" s="44">
        <f t="shared" si="0"/>
        <v>1801.704219104</v>
      </c>
      <c r="AF8" s="46">
        <v>1902.4394671889761</v>
      </c>
      <c r="AG8" s="44">
        <v>1809.7126974</v>
      </c>
      <c r="AH8" s="44">
        <v>0</v>
      </c>
      <c r="AJ8" s="40">
        <v>8.4102544527429435E-2</v>
      </c>
      <c r="AK8" s="41">
        <v>8.8411823727529093E-2</v>
      </c>
      <c r="AM8" s="23">
        <v>1.75</v>
      </c>
      <c r="AN8" s="23">
        <v>2.5</v>
      </c>
      <c r="AO8" s="23">
        <v>0.75</v>
      </c>
      <c r="AP8" s="23">
        <v>0</v>
      </c>
      <c r="AQ8" s="23">
        <v>0.35</v>
      </c>
      <c r="AR8" s="23">
        <v>0.5</v>
      </c>
      <c r="AS8" s="23">
        <v>0.15</v>
      </c>
      <c r="AT8" s="23">
        <v>0</v>
      </c>
      <c r="AU8" s="20">
        <v>0.79</v>
      </c>
      <c r="AV8" s="20">
        <v>3.44</v>
      </c>
      <c r="AW8" s="20">
        <v>2.65</v>
      </c>
      <c r="AX8" s="20">
        <v>2.6243750000000001</v>
      </c>
      <c r="AY8">
        <v>2.6243750000000001</v>
      </c>
      <c r="AZ8">
        <v>5.9519163411696878</v>
      </c>
      <c r="BA8" s="64">
        <v>0.53407279423354193</v>
      </c>
      <c r="BB8" s="64">
        <v>0.5614378257728565</v>
      </c>
      <c r="BE8">
        <v>4.2051272263714717E-2</v>
      </c>
      <c r="BF8">
        <v>4.4205911863764553E-2</v>
      </c>
      <c r="BH8">
        <v>8.6257184127479264E-2</v>
      </c>
      <c r="BI8">
        <v>4.3128592063739632E-2</v>
      </c>
      <c r="BJ8">
        <v>0.54775531000319921</v>
      </c>
      <c r="BK8" t="s">
        <v>1264</v>
      </c>
      <c r="BL8">
        <f t="shared" si="1"/>
        <v>1473</v>
      </c>
      <c r="BM8">
        <v>48</v>
      </c>
      <c r="BU8" t="s">
        <v>1266</v>
      </c>
      <c r="BV8">
        <v>450</v>
      </c>
      <c r="BX8">
        <v>2</v>
      </c>
    </row>
    <row r="9" spans="1:76" x14ac:dyDescent="0.3">
      <c r="A9" t="s">
        <v>7</v>
      </c>
      <c r="B9" s="12" t="s">
        <v>692</v>
      </c>
      <c r="C9" s="12"/>
      <c r="F9">
        <v>3.16</v>
      </c>
      <c r="G9" t="s">
        <v>454</v>
      </c>
      <c r="H9" s="8">
        <v>-1</v>
      </c>
      <c r="I9">
        <v>-1</v>
      </c>
      <c r="K9">
        <v>4</v>
      </c>
      <c r="L9" s="20">
        <v>0</v>
      </c>
      <c r="M9">
        <v>0</v>
      </c>
      <c r="N9">
        <v>0</v>
      </c>
      <c r="O9">
        <v>7.8310000000000004</v>
      </c>
      <c r="P9">
        <v>7.8010000000000002</v>
      </c>
      <c r="Q9">
        <v>15.05</v>
      </c>
      <c r="R9" t="s">
        <v>1141</v>
      </c>
      <c r="S9">
        <v>15.05</v>
      </c>
      <c r="T9" s="20">
        <v>0</v>
      </c>
      <c r="U9" s="20"/>
      <c r="V9" s="20"/>
      <c r="W9">
        <v>0</v>
      </c>
      <c r="Z9">
        <v>0</v>
      </c>
      <c r="AC9">
        <v>3</v>
      </c>
      <c r="AD9">
        <v>20</v>
      </c>
      <c r="AE9" s="44">
        <f t="shared" si="0"/>
        <v>919.39894655000012</v>
      </c>
      <c r="AF9" s="46">
        <f>O9*P9*Q9*SIN(RADIANS(97.44))</f>
        <v>911.65853089860946</v>
      </c>
      <c r="AG9" s="44">
        <v>0</v>
      </c>
      <c r="AH9" s="44">
        <v>0</v>
      </c>
      <c r="AI9" s="41">
        <f>K9*AD9/AE9</f>
        <v>8.7013369223660861E-2</v>
      </c>
      <c r="AJ9" s="40"/>
      <c r="AM9" s="23">
        <v>1.75</v>
      </c>
      <c r="AN9" s="23">
        <v>2.5</v>
      </c>
      <c r="AO9" s="23">
        <v>0.75</v>
      </c>
      <c r="AP9" s="23">
        <v>0</v>
      </c>
      <c r="AQ9" s="23">
        <v>0.35</v>
      </c>
      <c r="AR9" s="23">
        <v>0.5</v>
      </c>
      <c r="AS9" s="23">
        <v>0.15</v>
      </c>
      <c r="AT9" s="23">
        <v>0</v>
      </c>
      <c r="AU9" s="20">
        <v>0.82</v>
      </c>
      <c r="AV9" s="20">
        <v>3.44</v>
      </c>
      <c r="AW9" s="20">
        <v>2.62</v>
      </c>
      <c r="AX9" s="20">
        <v>2.62</v>
      </c>
      <c r="AY9">
        <v>2.62</v>
      </c>
      <c r="AZ9">
        <v>5.9423863675000002</v>
      </c>
      <c r="BD9">
        <v>4.350668461183043E-2</v>
      </c>
      <c r="BE9">
        <v>0</v>
      </c>
      <c r="BH9">
        <v>8.7013369223660861E-2</v>
      </c>
      <c r="BI9">
        <v>2.1753342305915219E-2</v>
      </c>
      <c r="BJ9">
        <v>0</v>
      </c>
      <c r="BK9" t="s">
        <v>1264</v>
      </c>
      <c r="BL9">
        <f t="shared" si="1"/>
        <v>1473</v>
      </c>
      <c r="BM9">
        <v>48</v>
      </c>
      <c r="BU9" t="s">
        <v>1266</v>
      </c>
      <c r="BV9">
        <v>450</v>
      </c>
      <c r="BX9">
        <v>10</v>
      </c>
    </row>
    <row r="10" spans="1:76" x14ac:dyDescent="0.3">
      <c r="A10" t="s">
        <v>455</v>
      </c>
      <c r="B10" s="12" t="s">
        <v>693</v>
      </c>
      <c r="C10" s="12"/>
      <c r="F10">
        <v>3.21</v>
      </c>
      <c r="G10" t="s">
        <v>454</v>
      </c>
      <c r="H10" s="8">
        <v>-1</v>
      </c>
      <c r="I10">
        <v>-1</v>
      </c>
      <c r="K10">
        <v>8</v>
      </c>
      <c r="L10" s="20">
        <v>0</v>
      </c>
      <c r="M10">
        <v>0</v>
      </c>
      <c r="N10">
        <v>0</v>
      </c>
      <c r="O10">
        <v>7.7489999999999997</v>
      </c>
      <c r="P10">
        <v>7.7359999999999998</v>
      </c>
      <c r="Q10">
        <v>37.369999999999997</v>
      </c>
      <c r="R10" t="s">
        <v>1142</v>
      </c>
      <c r="S10">
        <f>Q10/2</f>
        <v>18.684999999999999</v>
      </c>
      <c r="T10" s="20">
        <v>0</v>
      </c>
      <c r="U10" s="20"/>
      <c r="V10" s="20"/>
      <c r="W10">
        <v>0</v>
      </c>
      <c r="Z10">
        <v>0</v>
      </c>
      <c r="AC10">
        <v>4</v>
      </c>
      <c r="AD10">
        <v>26</v>
      </c>
      <c r="AE10" s="44">
        <f t="shared" si="0"/>
        <v>2240.1918856799994</v>
      </c>
      <c r="AF10" s="46">
        <v>2240</v>
      </c>
      <c r="AG10" s="44">
        <v>0</v>
      </c>
      <c r="AH10" s="44">
        <v>0</v>
      </c>
      <c r="AI10" s="41">
        <f>K10*AD10/AE10</f>
        <v>9.2849189093845236E-2</v>
      </c>
      <c r="AJ10" s="40"/>
      <c r="AM10" s="23">
        <v>1.714285714285714</v>
      </c>
      <c r="AN10" s="23">
        <v>2.4761904761904758</v>
      </c>
      <c r="AO10" s="23">
        <v>0.76190476190476186</v>
      </c>
      <c r="AP10" s="23">
        <v>0</v>
      </c>
      <c r="AQ10" s="23">
        <v>0.34615384615384609</v>
      </c>
      <c r="AR10" s="23">
        <v>0.5</v>
      </c>
      <c r="AS10" s="23">
        <v>0.1538461538461538</v>
      </c>
      <c r="AT10" s="23">
        <v>0</v>
      </c>
      <c r="AU10" s="20">
        <v>0.82</v>
      </c>
      <c r="AV10" s="20">
        <v>3.44</v>
      </c>
      <c r="AW10" s="20">
        <v>2.62</v>
      </c>
      <c r="AX10" s="20">
        <v>2.612857142857143</v>
      </c>
      <c r="AY10">
        <v>2.612857142857143</v>
      </c>
      <c r="AZ10">
        <v>5.9413964502380949</v>
      </c>
      <c r="BD10">
        <v>4.6424594546922618E-2</v>
      </c>
      <c r="BE10">
        <v>0</v>
      </c>
      <c r="BH10">
        <v>9.2849189093845236E-2</v>
      </c>
      <c r="BI10">
        <v>2.3212297273461309E-2</v>
      </c>
      <c r="BJ10">
        <v>0</v>
      </c>
      <c r="BX10">
        <v>5</v>
      </c>
    </row>
    <row r="11" spans="1:76" x14ac:dyDescent="0.3">
      <c r="A11" t="s">
        <v>8</v>
      </c>
      <c r="B11" s="12" t="s">
        <v>694</v>
      </c>
      <c r="C11" s="12"/>
      <c r="F11">
        <v>3</v>
      </c>
      <c r="G11" t="s">
        <v>454</v>
      </c>
      <c r="H11" s="8" t="s">
        <v>530</v>
      </c>
      <c r="I11" t="s">
        <v>612</v>
      </c>
      <c r="L11" s="20">
        <v>30</v>
      </c>
      <c r="M11">
        <v>4</v>
      </c>
      <c r="N11">
        <v>0</v>
      </c>
      <c r="T11" s="20">
        <v>10.59112378</v>
      </c>
      <c r="U11" s="20">
        <v>10.784736629999999</v>
      </c>
      <c r="V11" s="20">
        <v>10.486176179999999</v>
      </c>
      <c r="W11">
        <v>3.73</v>
      </c>
      <c r="X11">
        <v>3.73</v>
      </c>
      <c r="Y11">
        <v>9.3699999999999992</v>
      </c>
      <c r="Z11">
        <v>0</v>
      </c>
      <c r="AC11" s="1" t="s">
        <v>459</v>
      </c>
      <c r="AD11">
        <v>4</v>
      </c>
      <c r="AE11" s="44">
        <f t="shared" si="0"/>
        <v>0</v>
      </c>
      <c r="AF11" s="46">
        <v>1182.741260108548</v>
      </c>
      <c r="AG11" s="44">
        <v>130.36387300000001</v>
      </c>
      <c r="AH11" s="44">
        <v>0</v>
      </c>
      <c r="AJ11" s="40">
        <v>0.1014592151701775</v>
      </c>
      <c r="AK11" s="41">
        <v>0.1227333894874388</v>
      </c>
      <c r="AM11" s="23">
        <v>2</v>
      </c>
      <c r="AN11" s="23">
        <v>2.666666666666667</v>
      </c>
      <c r="AO11" s="23">
        <v>0.66666666666666663</v>
      </c>
      <c r="AP11" s="23">
        <v>0</v>
      </c>
      <c r="AQ11" s="23">
        <v>0.375</v>
      </c>
      <c r="AR11" s="23">
        <v>0.5</v>
      </c>
      <c r="AS11" s="23">
        <v>0.125</v>
      </c>
      <c r="AT11" s="23">
        <v>0</v>
      </c>
      <c r="AU11" s="20">
        <v>1.54</v>
      </c>
      <c r="AV11" s="20">
        <v>3.44</v>
      </c>
      <c r="AW11" s="20">
        <v>1.9</v>
      </c>
      <c r="AX11" s="20">
        <v>2.8066666666666671</v>
      </c>
      <c r="AY11">
        <v>2.8066666666666662</v>
      </c>
      <c r="AZ11">
        <v>6.1769976</v>
      </c>
      <c r="BA11" s="64">
        <v>0.46900407026869628</v>
      </c>
      <c r="BB11" s="64">
        <v>0.56734579634715776</v>
      </c>
      <c r="BE11">
        <v>5.072960758508873E-2</v>
      </c>
      <c r="BF11">
        <v>6.136669474371937E-2</v>
      </c>
      <c r="BH11">
        <v>0.1120963023288082</v>
      </c>
      <c r="BI11">
        <v>5.604815116440405E-2</v>
      </c>
      <c r="BJ11">
        <v>0.51817493330792708</v>
      </c>
    </row>
    <row r="12" spans="1:76" x14ac:dyDescent="0.3">
      <c r="A12" t="s">
        <v>10</v>
      </c>
      <c r="B12" s="12" t="s">
        <v>695</v>
      </c>
      <c r="C12" s="12"/>
      <c r="F12">
        <v>3.9</v>
      </c>
      <c r="G12" t="s">
        <v>453</v>
      </c>
      <c r="H12" s="8" t="s">
        <v>531</v>
      </c>
      <c r="I12">
        <v>-1</v>
      </c>
      <c r="L12" s="20">
        <v>1</v>
      </c>
      <c r="M12">
        <v>0</v>
      </c>
      <c r="N12">
        <v>0</v>
      </c>
      <c r="O12">
        <v>3.8849999999999998</v>
      </c>
      <c r="P12">
        <v>3.8849999999999998</v>
      </c>
      <c r="Q12">
        <v>11.12</v>
      </c>
      <c r="R12" t="s">
        <v>439</v>
      </c>
      <c r="T12" s="20">
        <v>3.9103940000000001</v>
      </c>
      <c r="U12" s="20">
        <v>3.9103940000000001</v>
      </c>
      <c r="V12" s="20">
        <v>11.314458</v>
      </c>
      <c r="W12">
        <v>0</v>
      </c>
      <c r="Z12">
        <v>0</v>
      </c>
      <c r="AC12">
        <v>2</v>
      </c>
      <c r="AD12">
        <v>14</v>
      </c>
      <c r="AE12" s="44">
        <f t="shared" si="0"/>
        <v>167.83666199999996</v>
      </c>
      <c r="AF12" s="46">
        <v>173.0114278564659</v>
      </c>
      <c r="AG12" s="44">
        <v>0</v>
      </c>
      <c r="AH12" s="44">
        <v>0</v>
      </c>
      <c r="AJ12" s="40">
        <v>8.0919510193365449E-2</v>
      </c>
      <c r="AM12" s="23">
        <v>1.9090909090909089</v>
      </c>
      <c r="AN12" s="23">
        <v>2.545454545454545</v>
      </c>
      <c r="AO12" s="23">
        <v>0.63636363636363635</v>
      </c>
      <c r="AP12" s="23">
        <v>2.545454545454545</v>
      </c>
      <c r="AQ12" s="23">
        <v>0.25</v>
      </c>
      <c r="AR12" s="23">
        <v>0.33333333333333331</v>
      </c>
      <c r="AS12" s="23">
        <v>8.3333333333333329E-2</v>
      </c>
      <c r="AT12" s="23">
        <v>0.33333333333333331</v>
      </c>
      <c r="AU12" s="20">
        <v>0.82</v>
      </c>
      <c r="AV12" s="20">
        <v>3.44</v>
      </c>
      <c r="AW12" s="20">
        <v>2.62</v>
      </c>
      <c r="AX12" s="20">
        <v>2.6363636363636358</v>
      </c>
      <c r="AY12">
        <v>2.6363636363636371</v>
      </c>
      <c r="AZ12">
        <v>6.0044088459090901</v>
      </c>
      <c r="BA12" s="64">
        <v>0.5117218936152963</v>
      </c>
      <c r="BE12">
        <v>4.0459755096682717E-2</v>
      </c>
      <c r="BH12">
        <v>8.0919510193365449E-2</v>
      </c>
      <c r="BI12">
        <v>4.0459755096682717E-2</v>
      </c>
      <c r="BJ12">
        <v>0.5117218936152963</v>
      </c>
      <c r="BX12">
        <v>19.5</v>
      </c>
    </row>
    <row r="13" spans="1:76" x14ac:dyDescent="0.3">
      <c r="A13" t="s">
        <v>11</v>
      </c>
      <c r="B13" s="12" t="s">
        <v>696</v>
      </c>
      <c r="C13" s="12"/>
      <c r="F13">
        <v>3.6</v>
      </c>
      <c r="G13" t="s">
        <v>453</v>
      </c>
      <c r="H13" s="8">
        <v>-1</v>
      </c>
      <c r="I13">
        <v>-1</v>
      </c>
      <c r="J13" s="47" t="s">
        <v>1144</v>
      </c>
      <c r="L13" s="20">
        <v>0</v>
      </c>
      <c r="M13">
        <v>0</v>
      </c>
      <c r="N13">
        <v>1</v>
      </c>
      <c r="T13" s="20">
        <v>0</v>
      </c>
      <c r="U13" s="20"/>
      <c r="V13" s="20"/>
      <c r="W13">
        <v>0</v>
      </c>
      <c r="Z13">
        <v>3.8653</v>
      </c>
      <c r="AA13">
        <v>3.8653</v>
      </c>
      <c r="AB13">
        <v>11.0131</v>
      </c>
      <c r="AC13">
        <v>2</v>
      </c>
      <c r="AD13">
        <v>14</v>
      </c>
      <c r="AE13" s="44">
        <f t="shared" si="0"/>
        <v>0</v>
      </c>
      <c r="AF13" s="46">
        <v>0</v>
      </c>
      <c r="AG13" s="44">
        <v>0</v>
      </c>
      <c r="AH13" s="44">
        <v>164.541706117579</v>
      </c>
      <c r="AJ13" s="40"/>
      <c r="AL13" s="41">
        <v>8.5084811202795069E-2</v>
      </c>
      <c r="AM13" s="23">
        <v>1.9090909090909089</v>
      </c>
      <c r="AN13" s="23">
        <v>2.545454545454545</v>
      </c>
      <c r="AO13" s="23">
        <v>0.54545454545454541</v>
      </c>
      <c r="AP13" s="23">
        <v>2.8181818181818179</v>
      </c>
      <c r="AQ13" s="23">
        <v>0.2441860465116279</v>
      </c>
      <c r="AR13" s="23">
        <v>0.32558139534883718</v>
      </c>
      <c r="AS13" s="23">
        <v>6.9767441860465115E-2</v>
      </c>
      <c r="AT13" s="23">
        <v>0.3604651162790698</v>
      </c>
      <c r="AU13" s="20">
        <v>0.82</v>
      </c>
      <c r="AV13" s="20">
        <v>3.44</v>
      </c>
      <c r="AW13" s="20">
        <v>2.62</v>
      </c>
      <c r="AX13" s="20">
        <v>2.6390909090909092</v>
      </c>
      <c r="AY13">
        <v>2.6390909090909092</v>
      </c>
      <c r="AZ13">
        <v>5.9791810459090904</v>
      </c>
      <c r="BC13" s="64">
        <v>0.53381265134868672</v>
      </c>
      <c r="BG13">
        <v>4.2542405601397527E-2</v>
      </c>
      <c r="BH13">
        <v>8.5084811202795069E-2</v>
      </c>
      <c r="BI13">
        <v>4.2542405601397527E-2</v>
      </c>
      <c r="BJ13">
        <v>0.53381265134868672</v>
      </c>
      <c r="BX13">
        <v>18</v>
      </c>
    </row>
    <row r="14" spans="1:76" x14ac:dyDescent="0.3">
      <c r="A14" t="s">
        <v>12</v>
      </c>
      <c r="B14" s="12" t="s">
        <v>697</v>
      </c>
      <c r="C14" s="12"/>
      <c r="F14">
        <v>4.2</v>
      </c>
      <c r="G14" t="s">
        <v>453</v>
      </c>
      <c r="H14" s="8">
        <v>-1</v>
      </c>
      <c r="I14">
        <v>-1</v>
      </c>
      <c r="J14" s="8" t="s">
        <v>1145</v>
      </c>
      <c r="L14" s="20">
        <v>0</v>
      </c>
      <c r="M14">
        <v>0</v>
      </c>
      <c r="N14">
        <v>1</v>
      </c>
      <c r="T14" s="20">
        <v>0</v>
      </c>
      <c r="U14" s="20"/>
      <c r="V14" s="20"/>
      <c r="W14">
        <v>0</v>
      </c>
      <c r="Z14">
        <v>3.8445</v>
      </c>
      <c r="AA14">
        <v>3.8445</v>
      </c>
      <c r="AB14">
        <v>11.03</v>
      </c>
      <c r="AC14">
        <v>2</v>
      </c>
      <c r="AD14">
        <v>14</v>
      </c>
      <c r="AE14" s="44">
        <f t="shared" si="0"/>
        <v>0</v>
      </c>
      <c r="AF14" s="46">
        <v>0</v>
      </c>
      <c r="AG14" s="44">
        <v>0</v>
      </c>
      <c r="AH14" s="44">
        <v>163.0253881575</v>
      </c>
      <c r="AJ14" s="40"/>
      <c r="AL14" s="41">
        <v>8.5876194856683907E-2</v>
      </c>
      <c r="AM14" s="23">
        <v>1.9090909090909089</v>
      </c>
      <c r="AN14" s="23">
        <v>2.545454545454545</v>
      </c>
      <c r="AO14" s="23">
        <v>0.54545454545454541</v>
      </c>
      <c r="AP14" s="23">
        <v>2.9090909090909092</v>
      </c>
      <c r="AQ14" s="23">
        <v>0.2413793103448276</v>
      </c>
      <c r="AR14" s="23">
        <v>0.32183908045977011</v>
      </c>
      <c r="AS14" s="23">
        <v>6.8965517241379309E-2</v>
      </c>
      <c r="AT14" s="23">
        <v>0.36781609195402298</v>
      </c>
      <c r="AU14" s="20">
        <v>0.82</v>
      </c>
      <c r="AV14" s="20">
        <v>3.44</v>
      </c>
      <c r="AW14" s="20">
        <v>2.62</v>
      </c>
      <c r="AX14" s="20">
        <v>2.64</v>
      </c>
      <c r="AY14">
        <v>2.64</v>
      </c>
      <c r="AZ14">
        <v>5.9811382595454541</v>
      </c>
      <c r="BC14" s="64">
        <v>0.53809297903977493</v>
      </c>
      <c r="BG14">
        <v>4.2938097428341947E-2</v>
      </c>
      <c r="BH14">
        <v>8.5876194856683907E-2</v>
      </c>
      <c r="BI14">
        <v>4.2938097428341947E-2</v>
      </c>
      <c r="BJ14">
        <v>0.53809297903977493</v>
      </c>
      <c r="BX14">
        <v>21</v>
      </c>
    </row>
    <row r="15" spans="1:76" x14ac:dyDescent="0.3">
      <c r="A15" t="s">
        <v>13</v>
      </c>
      <c r="B15" s="12" t="s">
        <v>698</v>
      </c>
      <c r="C15" s="12"/>
      <c r="F15">
        <v>4.2</v>
      </c>
      <c r="G15" t="s">
        <v>453</v>
      </c>
      <c r="H15" s="8">
        <v>-1</v>
      </c>
      <c r="I15">
        <v>-1</v>
      </c>
      <c r="J15" t="s">
        <v>1147</v>
      </c>
      <c r="L15" s="20">
        <v>0</v>
      </c>
      <c r="M15">
        <v>0</v>
      </c>
      <c r="N15">
        <v>1</v>
      </c>
      <c r="T15" s="20">
        <v>0</v>
      </c>
      <c r="U15" s="20"/>
      <c r="V15" s="20"/>
      <c r="W15">
        <v>0</v>
      </c>
      <c r="Z15">
        <v>3.8252000000000002</v>
      </c>
      <c r="AA15">
        <v>3.8252000000000002</v>
      </c>
      <c r="AB15">
        <v>11.013500000000001</v>
      </c>
      <c r="AC15">
        <v>2</v>
      </c>
      <c r="AD15">
        <v>14</v>
      </c>
      <c r="AE15" s="44">
        <f t="shared" si="0"/>
        <v>0</v>
      </c>
      <c r="AF15" s="46">
        <v>0</v>
      </c>
      <c r="AG15" s="44">
        <v>0</v>
      </c>
      <c r="AH15" s="44">
        <v>161.15123953304001</v>
      </c>
      <c r="AJ15" s="40"/>
      <c r="AL15" s="41">
        <v>8.6874913531953646E-2</v>
      </c>
      <c r="AM15" s="23">
        <v>1.9090909090909089</v>
      </c>
      <c r="AN15" s="23">
        <v>2.545454545454545</v>
      </c>
      <c r="AO15" s="23">
        <v>0.54545454545454541</v>
      </c>
      <c r="AP15" s="23">
        <v>3.0909090909090908</v>
      </c>
      <c r="AQ15" s="23">
        <v>0.2359550561797753</v>
      </c>
      <c r="AR15" s="23">
        <v>0.3146067415730337</v>
      </c>
      <c r="AS15" s="23">
        <v>6.7415730337078636E-2</v>
      </c>
      <c r="AT15" s="23">
        <v>0.38202247191011229</v>
      </c>
      <c r="AU15" s="20">
        <v>0.82</v>
      </c>
      <c r="AV15" s="20">
        <v>3.44</v>
      </c>
      <c r="AW15" s="20">
        <v>2.62</v>
      </c>
      <c r="AX15" s="20">
        <v>2.642727272727273</v>
      </c>
      <c r="AY15">
        <v>2.642727272727273</v>
      </c>
      <c r="AZ15">
        <v>5.9894662913636356</v>
      </c>
      <c r="BC15" s="64">
        <v>0.54194665977883461</v>
      </c>
      <c r="BG15">
        <v>4.3437456765976823E-2</v>
      </c>
      <c r="BH15">
        <v>8.6874913531953646E-2</v>
      </c>
      <c r="BI15">
        <v>4.3437456765976823E-2</v>
      </c>
      <c r="BJ15">
        <v>0.54194665977883461</v>
      </c>
      <c r="BX15">
        <v>21</v>
      </c>
    </row>
    <row r="16" spans="1:76" x14ac:dyDescent="0.3">
      <c r="A16" t="s">
        <v>14</v>
      </c>
      <c r="B16" s="12" t="s">
        <v>699</v>
      </c>
      <c r="C16" s="12"/>
      <c r="F16">
        <v>4</v>
      </c>
      <c r="G16" t="s">
        <v>9</v>
      </c>
      <c r="H16" s="47" t="s">
        <v>532</v>
      </c>
      <c r="I16" t="s">
        <v>613</v>
      </c>
      <c r="L16" s="20">
        <v>4</v>
      </c>
      <c r="M16">
        <v>4</v>
      </c>
      <c r="N16">
        <v>0</v>
      </c>
      <c r="T16" s="20">
        <v>7.8568680000000004</v>
      </c>
      <c r="U16" s="20">
        <v>7.8568680000000004</v>
      </c>
      <c r="V16" s="20">
        <v>7.8568680000000004</v>
      </c>
      <c r="W16">
        <v>7.78</v>
      </c>
      <c r="X16">
        <v>7.78</v>
      </c>
      <c r="Y16">
        <v>7.78</v>
      </c>
      <c r="Z16">
        <v>0</v>
      </c>
      <c r="AD16">
        <v>12</v>
      </c>
      <c r="AE16" s="44">
        <f t="shared" si="0"/>
        <v>0</v>
      </c>
      <c r="AF16" s="46">
        <v>485.00740615389492</v>
      </c>
      <c r="AG16" s="44">
        <v>470.91095200000012</v>
      </c>
      <c r="AH16" s="44">
        <v>0</v>
      </c>
      <c r="AJ16" s="40">
        <v>9.896756088868755E-2</v>
      </c>
      <c r="AK16" s="41">
        <v>0.1019300990901566</v>
      </c>
      <c r="AM16" s="23">
        <v>2</v>
      </c>
      <c r="AN16" s="23">
        <v>2.666666666666667</v>
      </c>
      <c r="AO16" s="23">
        <v>0.66666666666666663</v>
      </c>
      <c r="AP16" s="23">
        <v>3.1111111111111112</v>
      </c>
      <c r="AQ16" s="23">
        <v>0.23684210526315791</v>
      </c>
      <c r="AR16" s="23">
        <v>0.31578947368421051</v>
      </c>
      <c r="AS16" s="23">
        <v>7.8947368421052627E-2</v>
      </c>
      <c r="AT16" s="23">
        <v>0.36842105263157893</v>
      </c>
      <c r="AU16" s="20">
        <v>1</v>
      </c>
      <c r="AV16" s="20">
        <v>3.44</v>
      </c>
      <c r="AW16" s="20">
        <v>2.44</v>
      </c>
      <c r="AX16" s="20">
        <v>2.7377777777777781</v>
      </c>
      <c r="AY16">
        <v>2.7377777777777781</v>
      </c>
      <c r="AZ16">
        <v>6.2421139038888889</v>
      </c>
      <c r="BA16" s="64">
        <v>0.49860192759728061</v>
      </c>
      <c r="BB16" s="64">
        <v>0.51352729551146459</v>
      </c>
      <c r="BE16">
        <v>4.9483780444343768E-2</v>
      </c>
      <c r="BF16">
        <v>5.0965049545078307E-2</v>
      </c>
      <c r="BH16">
        <v>0.1004488299894221</v>
      </c>
      <c r="BI16">
        <v>5.0224414994711038E-2</v>
      </c>
      <c r="BJ16">
        <v>0.50606461155437255</v>
      </c>
    </row>
    <row r="17" spans="1:76" x14ac:dyDescent="0.3">
      <c r="A17" t="s">
        <v>15</v>
      </c>
      <c r="B17" s="12" t="s">
        <v>700</v>
      </c>
      <c r="C17" s="12"/>
      <c r="F17">
        <v>4.4000000000000004</v>
      </c>
      <c r="G17" t="s">
        <v>9</v>
      </c>
      <c r="H17" s="8" t="s">
        <v>533</v>
      </c>
      <c r="I17" t="s">
        <v>614</v>
      </c>
      <c r="L17" s="20">
        <v>4</v>
      </c>
      <c r="M17">
        <v>4</v>
      </c>
      <c r="N17">
        <v>0</v>
      </c>
      <c r="T17" s="20">
        <v>5.63450966</v>
      </c>
      <c r="U17" s="20">
        <v>7.6422105</v>
      </c>
      <c r="V17" s="20">
        <v>11.066420430000001</v>
      </c>
      <c r="W17">
        <v>11.013</v>
      </c>
      <c r="X17">
        <v>7.6319999999999997</v>
      </c>
      <c r="Y17">
        <v>5.6210000000000004</v>
      </c>
      <c r="Z17">
        <v>0</v>
      </c>
      <c r="AD17">
        <v>12</v>
      </c>
      <c r="AE17" s="44">
        <f t="shared" si="0"/>
        <v>0</v>
      </c>
      <c r="AF17" s="46">
        <v>476.5212686940929</v>
      </c>
      <c r="AG17" s="44">
        <v>472.45188513599999</v>
      </c>
      <c r="AH17" s="44">
        <v>0</v>
      </c>
      <c r="AJ17" s="40">
        <v>0.1007300264509579</v>
      </c>
      <c r="AK17" s="41">
        <v>0.1015976473163669</v>
      </c>
      <c r="AM17" s="23">
        <v>2</v>
      </c>
      <c r="AN17" s="23">
        <v>2.666666666666667</v>
      </c>
      <c r="AO17" s="23">
        <v>0.66666666666666663</v>
      </c>
      <c r="AP17" s="23">
        <v>3.1111111111111112</v>
      </c>
      <c r="AQ17" s="23">
        <v>0.23684210526315791</v>
      </c>
      <c r="AR17" s="23">
        <v>0.31578947368421051</v>
      </c>
      <c r="AS17" s="23">
        <v>7.8947368421052627E-2</v>
      </c>
      <c r="AT17" s="23">
        <v>0.36842105263157893</v>
      </c>
      <c r="AU17" s="20">
        <v>0.95</v>
      </c>
      <c r="AV17" s="20">
        <v>3.44</v>
      </c>
      <c r="AW17" s="20">
        <v>2.4900000000000002</v>
      </c>
      <c r="AX17" s="20">
        <v>2.7322222222222221</v>
      </c>
      <c r="AY17">
        <v>2.7322222222222221</v>
      </c>
      <c r="AZ17">
        <v>6.2204042916666662</v>
      </c>
      <c r="BA17" s="64">
        <v>0.5362582325986015</v>
      </c>
      <c r="BB17" s="64">
        <v>0.54087720122437066</v>
      </c>
      <c r="BE17">
        <v>5.0365013225478962E-2</v>
      </c>
      <c r="BF17">
        <v>5.0798823658183438E-2</v>
      </c>
      <c r="BH17">
        <v>0.1011638368836624</v>
      </c>
      <c r="BI17">
        <v>5.05819184418312E-2</v>
      </c>
      <c r="BJ17">
        <v>0.53856771691148608</v>
      </c>
    </row>
    <row r="18" spans="1:76" x14ac:dyDescent="0.3">
      <c r="A18" t="s">
        <v>16</v>
      </c>
      <c r="B18" s="12" t="s">
        <v>701</v>
      </c>
      <c r="C18" s="12"/>
      <c r="F18">
        <v>4.0999999999999996</v>
      </c>
      <c r="G18" t="s">
        <v>9</v>
      </c>
      <c r="H18" s="8" t="s">
        <v>534</v>
      </c>
      <c r="I18" t="s">
        <v>615</v>
      </c>
      <c r="L18" s="20">
        <v>6</v>
      </c>
      <c r="M18">
        <v>12</v>
      </c>
      <c r="N18">
        <v>0</v>
      </c>
      <c r="T18" s="20">
        <v>9.2906580000000005</v>
      </c>
      <c r="U18" s="20">
        <v>9.8537374799999977</v>
      </c>
      <c r="V18" s="20">
        <v>14.19785074</v>
      </c>
      <c r="W18">
        <v>21.14</v>
      </c>
      <c r="X18">
        <v>21.14</v>
      </c>
      <c r="Y18">
        <v>3.9169999999999998</v>
      </c>
      <c r="Z18">
        <v>0</v>
      </c>
      <c r="AD18">
        <v>12</v>
      </c>
      <c r="AE18" s="44">
        <f t="shared" si="0"/>
        <v>0</v>
      </c>
      <c r="AF18" s="46">
        <v>1160.7096237378021</v>
      </c>
      <c r="AG18" s="44">
        <v>1515.9824344215051</v>
      </c>
      <c r="AH18" s="44">
        <v>0</v>
      </c>
      <c r="AJ18" s="40">
        <v>6.2031018376620617E-2</v>
      </c>
      <c r="AK18" s="41">
        <v>9.4987907993109438E-2</v>
      </c>
      <c r="AM18" s="23">
        <v>2</v>
      </c>
      <c r="AN18" s="23">
        <v>2.666666666666667</v>
      </c>
      <c r="AO18" s="23">
        <v>0.66666666666666663</v>
      </c>
      <c r="AP18" s="23">
        <v>3.1111111111111112</v>
      </c>
      <c r="AQ18" s="23">
        <v>0.23684210526315791</v>
      </c>
      <c r="AR18" s="23">
        <v>0.31578947368421051</v>
      </c>
      <c r="AS18" s="23">
        <v>7.8947368421052627E-2</v>
      </c>
      <c r="AT18" s="23">
        <v>0.36842105263157893</v>
      </c>
      <c r="AU18" s="20">
        <v>0.89</v>
      </c>
      <c r="AV18" s="20">
        <v>3.44</v>
      </c>
      <c r="AW18" s="20">
        <v>2.5499999999999998</v>
      </c>
      <c r="AX18" s="20">
        <v>2.7255555555555562</v>
      </c>
      <c r="AY18">
        <v>2.7255555555555548</v>
      </c>
      <c r="AZ18">
        <v>6.1987019111111108</v>
      </c>
      <c r="BA18" s="64">
        <v>0.35206135737794247</v>
      </c>
      <c r="BB18" s="64">
        <v>0.53911047565759851</v>
      </c>
      <c r="BE18">
        <v>3.1015509188310308E-2</v>
      </c>
      <c r="BF18">
        <v>4.7493953996554719E-2</v>
      </c>
      <c r="BH18">
        <v>7.8509463184865028E-2</v>
      </c>
      <c r="BI18">
        <v>3.9254731592432507E-2</v>
      </c>
      <c r="BJ18">
        <v>0.44558591651777052</v>
      </c>
    </row>
    <row r="19" spans="1:76" x14ac:dyDescent="0.3">
      <c r="A19" t="s">
        <v>17</v>
      </c>
      <c r="B19" s="12" t="s">
        <v>702</v>
      </c>
      <c r="C19" s="12"/>
      <c r="F19">
        <v>3.67</v>
      </c>
      <c r="G19" t="s">
        <v>117</v>
      </c>
      <c r="H19" s="8" t="s">
        <v>535</v>
      </c>
      <c r="I19" t="s">
        <v>616</v>
      </c>
      <c r="L19" s="20">
        <v>1</v>
      </c>
      <c r="M19">
        <v>4</v>
      </c>
      <c r="N19">
        <v>0</v>
      </c>
      <c r="O19">
        <v>5.4669999999999996</v>
      </c>
      <c r="P19">
        <v>5.4269999999999996</v>
      </c>
      <c r="Q19">
        <v>24.931000000000001</v>
      </c>
      <c r="R19" t="s">
        <v>450</v>
      </c>
      <c r="T19" s="20">
        <v>13.46934785</v>
      </c>
      <c r="U19" s="20">
        <v>13.46934785</v>
      </c>
      <c r="V19" s="20">
        <v>13.46934785</v>
      </c>
      <c r="W19">
        <v>5.4659000000000004</v>
      </c>
      <c r="X19">
        <v>5.4318</v>
      </c>
      <c r="Y19">
        <v>24.9619</v>
      </c>
      <c r="Z19">
        <v>0</v>
      </c>
      <c r="AC19">
        <v>2</v>
      </c>
      <c r="AD19">
        <v>18</v>
      </c>
      <c r="AE19" s="44">
        <f t="shared" si="0"/>
        <v>739.68803577899985</v>
      </c>
      <c r="AF19" s="46">
        <v>189.22149105491849</v>
      </c>
      <c r="AG19" s="44">
        <v>741.11071385887806</v>
      </c>
      <c r="AH19" s="44">
        <v>0</v>
      </c>
      <c r="AJ19" s="40">
        <v>9.5126615373598261E-2</v>
      </c>
      <c r="AK19" s="41">
        <v>9.7151476363233638E-2</v>
      </c>
      <c r="AM19" s="23">
        <v>2</v>
      </c>
      <c r="AN19" s="23">
        <v>3</v>
      </c>
      <c r="AO19" s="23">
        <v>1.857142857142857</v>
      </c>
      <c r="AP19" s="23">
        <v>4</v>
      </c>
      <c r="AQ19" s="23">
        <v>0.18421052631578949</v>
      </c>
      <c r="AR19" s="23">
        <v>0.27631578947368418</v>
      </c>
      <c r="AS19" s="23">
        <v>0.1710526315789474</v>
      </c>
      <c r="AT19" s="23">
        <v>0.36842105263157893</v>
      </c>
      <c r="AU19" s="20">
        <v>1</v>
      </c>
      <c r="AV19" s="20">
        <v>3.44</v>
      </c>
      <c r="AW19" s="20">
        <v>2.44</v>
      </c>
      <c r="AX19" s="20">
        <v>2.785714285714286</v>
      </c>
      <c r="AY19">
        <v>2.785714285714286</v>
      </c>
      <c r="AZ19">
        <v>6.216117408214286</v>
      </c>
      <c r="BA19" s="64">
        <v>0.52325723799350143</v>
      </c>
      <c r="BE19">
        <v>4.7563307686799138E-2</v>
      </c>
      <c r="BF19">
        <v>4.8575738181616819E-2</v>
      </c>
      <c r="BH19">
        <v>9.6139045868415957E-2</v>
      </c>
      <c r="BI19">
        <v>4.8069522934207978E-2</v>
      </c>
      <c r="BJ19">
        <v>0.52325723799350143</v>
      </c>
      <c r="BP19">
        <v>1.96</v>
      </c>
      <c r="BX19">
        <v>1500</v>
      </c>
    </row>
    <row r="20" spans="1:76" x14ac:dyDescent="0.3">
      <c r="A20" t="s">
        <v>51</v>
      </c>
      <c r="B20" s="12" t="s">
        <v>703</v>
      </c>
      <c r="C20" s="12"/>
      <c r="F20">
        <v>3.64</v>
      </c>
      <c r="G20" t="s">
        <v>117</v>
      </c>
      <c r="H20" s="8" t="s">
        <v>536</v>
      </c>
      <c r="I20" t="s">
        <v>617</v>
      </c>
      <c r="L20" s="20">
        <v>1</v>
      </c>
      <c r="M20">
        <v>4</v>
      </c>
      <c r="N20">
        <v>0</v>
      </c>
      <c r="O20">
        <v>5.4729999999999999</v>
      </c>
      <c r="P20">
        <v>5.5269999999999992</v>
      </c>
      <c r="Q20">
        <v>25.030999999999999</v>
      </c>
      <c r="R20" t="s">
        <v>450</v>
      </c>
      <c r="T20" s="20">
        <v>12.88926011</v>
      </c>
      <c r="U20" s="20">
        <v>12.88926011</v>
      </c>
      <c r="V20" s="20">
        <v>12.88926011</v>
      </c>
      <c r="W20">
        <v>5.5223699999999996</v>
      </c>
      <c r="X20">
        <v>5.5240799999999997</v>
      </c>
      <c r="Y20">
        <v>25.026399999999999</v>
      </c>
      <c r="Z20">
        <v>0</v>
      </c>
      <c r="AC20">
        <v>2</v>
      </c>
      <c r="AD20">
        <v>18</v>
      </c>
      <c r="AE20" s="44">
        <f t="shared" si="0"/>
        <v>757.16950240099993</v>
      </c>
      <c r="AF20" s="46">
        <v>195.03203980213701</v>
      </c>
      <c r="AG20" s="44">
        <v>763.45570050087724</v>
      </c>
      <c r="AH20" s="44">
        <v>0</v>
      </c>
      <c r="AJ20" s="40">
        <v>9.2292528029042184E-2</v>
      </c>
      <c r="AK20" s="41">
        <v>9.4308025930991482E-2</v>
      </c>
      <c r="AM20" s="23">
        <v>2</v>
      </c>
      <c r="AN20" s="23">
        <v>3</v>
      </c>
      <c r="AO20" s="23">
        <v>1.857142857142857</v>
      </c>
      <c r="AP20" s="23">
        <v>4</v>
      </c>
      <c r="AQ20" s="23">
        <v>0.18421052631578949</v>
      </c>
      <c r="AR20" s="23">
        <v>0.27631578947368418</v>
      </c>
      <c r="AS20" s="23">
        <v>0.1710526315789474</v>
      </c>
      <c r="AT20" s="23">
        <v>0.36842105263157893</v>
      </c>
      <c r="AU20" s="20">
        <v>0.95</v>
      </c>
      <c r="AV20" s="20">
        <v>3.44</v>
      </c>
      <c r="AW20" s="20">
        <v>2.4900000000000002</v>
      </c>
      <c r="AX20" s="20">
        <v>2.782142857142857</v>
      </c>
      <c r="AY20">
        <v>2.7821428571428579</v>
      </c>
      <c r="AZ20">
        <v>6.2021612289285706</v>
      </c>
      <c r="BA20" s="64">
        <v>0.52524560229640982</v>
      </c>
      <c r="BB20" s="64">
        <v>0.53671599358424449</v>
      </c>
      <c r="BE20">
        <v>4.6146264014521092E-2</v>
      </c>
      <c r="BF20">
        <v>4.7154012965495741E-2</v>
      </c>
      <c r="BH20">
        <v>9.3300276980016833E-2</v>
      </c>
      <c r="BI20">
        <v>4.6650138490008423E-2</v>
      </c>
      <c r="BJ20">
        <v>0.53098079794032715</v>
      </c>
      <c r="BP20">
        <v>2.36</v>
      </c>
      <c r="BX20">
        <v>11299.999999999998</v>
      </c>
    </row>
    <row r="21" spans="1:76" x14ac:dyDescent="0.3">
      <c r="A21" t="s">
        <v>18</v>
      </c>
      <c r="B21" s="12" t="s">
        <v>704</v>
      </c>
      <c r="C21" s="12"/>
      <c r="F21">
        <v>3.52</v>
      </c>
      <c r="G21" t="s">
        <v>117</v>
      </c>
      <c r="H21" s="8" t="s">
        <v>537</v>
      </c>
      <c r="I21" t="s">
        <v>618</v>
      </c>
      <c r="L21" s="20">
        <v>1</v>
      </c>
      <c r="M21">
        <v>1</v>
      </c>
      <c r="N21">
        <v>0</v>
      </c>
      <c r="O21">
        <v>3.9539999999999997</v>
      </c>
      <c r="P21">
        <v>3.9539999999999997</v>
      </c>
      <c r="Q21">
        <v>25.487000000000002</v>
      </c>
      <c r="R21" t="s">
        <v>440</v>
      </c>
      <c r="T21" s="20">
        <v>12.939761450000001</v>
      </c>
      <c r="U21" s="20">
        <v>12.939761450000001</v>
      </c>
      <c r="V21" s="20">
        <v>12.939761450000001</v>
      </c>
      <c r="W21">
        <v>3.9355000000000002</v>
      </c>
      <c r="X21">
        <v>3.9355000000000002</v>
      </c>
      <c r="Y21">
        <v>25.5686</v>
      </c>
      <c r="Z21">
        <v>0</v>
      </c>
      <c r="AC21">
        <v>2</v>
      </c>
      <c r="AD21">
        <v>18</v>
      </c>
      <c r="AE21" s="44">
        <f t="shared" si="0"/>
        <v>398.46671449199999</v>
      </c>
      <c r="AF21" s="46">
        <v>198.96095988642259</v>
      </c>
      <c r="AG21" s="44">
        <v>396.01057416815007</v>
      </c>
      <c r="AH21" s="44">
        <v>0</v>
      </c>
      <c r="AJ21" s="40">
        <v>9.047000984653146E-2</v>
      </c>
      <c r="AK21" s="41">
        <v>4.5453331739462637E-2</v>
      </c>
      <c r="AM21" s="23">
        <v>2</v>
      </c>
      <c r="AN21" s="23">
        <v>3</v>
      </c>
      <c r="AO21" s="23">
        <v>1.857142857142857</v>
      </c>
      <c r="AP21" s="23">
        <v>4</v>
      </c>
      <c r="AQ21" s="23">
        <v>0.18421052631578949</v>
      </c>
      <c r="AR21" s="23">
        <v>0.27631578947368418</v>
      </c>
      <c r="AS21" s="23">
        <v>0.1710526315789474</v>
      </c>
      <c r="AT21" s="23">
        <v>0.36842105263157893</v>
      </c>
      <c r="AU21" s="20">
        <v>0.89</v>
      </c>
      <c r="AV21" s="20">
        <v>3.44</v>
      </c>
      <c r="AW21" s="20">
        <v>2.5499999999999998</v>
      </c>
      <c r="AX21" s="20">
        <v>2.777857142857143</v>
      </c>
      <c r="AY21">
        <v>2.777857142857143</v>
      </c>
      <c r="AZ21">
        <v>6.1882096985714297</v>
      </c>
      <c r="BA21" s="64">
        <v>0.53609483093200738</v>
      </c>
      <c r="BE21">
        <v>4.5235004923265723E-2</v>
      </c>
      <c r="BF21">
        <v>2.2726665869731318E-2</v>
      </c>
      <c r="BH21">
        <v>6.7961670792997045E-2</v>
      </c>
      <c r="BI21">
        <v>3.3980835396498522E-2</v>
      </c>
      <c r="BJ21">
        <v>0.53609483093200738</v>
      </c>
      <c r="BP21">
        <v>2.1800000000000002</v>
      </c>
      <c r="BX21">
        <v>550</v>
      </c>
    </row>
    <row r="22" spans="1:76" x14ac:dyDescent="0.3">
      <c r="A22" t="s">
        <v>19</v>
      </c>
      <c r="B22" s="12" t="s">
        <v>705</v>
      </c>
      <c r="C22" s="12"/>
      <c r="F22">
        <v>3.46</v>
      </c>
      <c r="G22" t="s">
        <v>435</v>
      </c>
      <c r="H22" s="8" t="s">
        <v>538</v>
      </c>
      <c r="I22">
        <v>-1</v>
      </c>
      <c r="L22" s="20">
        <v>1</v>
      </c>
      <c r="M22">
        <v>0</v>
      </c>
      <c r="N22">
        <v>0</v>
      </c>
      <c r="O22" t="s">
        <v>464</v>
      </c>
      <c r="P22" t="s">
        <v>464</v>
      </c>
      <c r="Q22" t="s">
        <v>464</v>
      </c>
      <c r="R22" t="s">
        <v>450</v>
      </c>
      <c r="T22" s="20">
        <v>13.83861243</v>
      </c>
      <c r="U22" s="20">
        <v>13.83861243</v>
      </c>
      <c r="V22" s="20">
        <v>13.83861243</v>
      </c>
      <c r="W22">
        <v>0</v>
      </c>
      <c r="Z22">
        <v>0</v>
      </c>
      <c r="AC22">
        <v>2</v>
      </c>
      <c r="AD22">
        <v>18</v>
      </c>
      <c r="AE22" s="44" t="e">
        <f t="shared" si="0"/>
        <v>#VALUE!</v>
      </c>
      <c r="AF22" s="46">
        <v>208.2630581553295</v>
      </c>
      <c r="AG22" s="44">
        <v>0</v>
      </c>
      <c r="AH22" s="44">
        <v>0</v>
      </c>
      <c r="AJ22" s="40">
        <v>8.6429154356194082E-2</v>
      </c>
      <c r="AM22" s="23">
        <v>1.857142857142857</v>
      </c>
      <c r="AN22" s="23">
        <v>3</v>
      </c>
      <c r="AO22" s="23">
        <v>2</v>
      </c>
      <c r="AP22" s="23">
        <v>2</v>
      </c>
      <c r="AQ22" s="23">
        <v>0.20967741935483869</v>
      </c>
      <c r="AR22" s="23">
        <v>0.33870967741935482</v>
      </c>
      <c r="AS22" s="23">
        <v>0.22580645161290319</v>
      </c>
      <c r="AT22" s="23">
        <v>0.22580645161290319</v>
      </c>
      <c r="AU22" s="20">
        <v>1</v>
      </c>
      <c r="AV22" s="20">
        <v>3.44</v>
      </c>
      <c r="AW22" s="20">
        <v>2.44</v>
      </c>
      <c r="AX22" s="20">
        <v>2.8</v>
      </c>
      <c r="AY22">
        <v>2.8</v>
      </c>
      <c r="AZ22">
        <v>6.2020864082142868</v>
      </c>
      <c r="BA22" s="64">
        <v>0.47541563854575991</v>
      </c>
      <c r="BE22">
        <v>4.3214577178097048E-2</v>
      </c>
      <c r="BH22">
        <v>8.6429154356194082E-2</v>
      </c>
      <c r="BI22">
        <v>4.3214577178097048E-2</v>
      </c>
      <c r="BJ22">
        <v>0.47541563854575991</v>
      </c>
      <c r="BX22">
        <v>580</v>
      </c>
    </row>
    <row r="23" spans="1:76" x14ac:dyDescent="0.3">
      <c r="A23" t="s">
        <v>20</v>
      </c>
      <c r="B23" s="12" t="s">
        <v>706</v>
      </c>
      <c r="C23" s="12"/>
      <c r="F23">
        <v>3.43</v>
      </c>
      <c r="G23" t="s">
        <v>435</v>
      </c>
      <c r="H23" s="8" t="s">
        <v>539</v>
      </c>
      <c r="I23" t="s">
        <v>619</v>
      </c>
      <c r="L23" s="20">
        <v>2</v>
      </c>
      <c r="M23">
        <v>4</v>
      </c>
      <c r="N23">
        <v>0</v>
      </c>
      <c r="O23" t="s">
        <v>464</v>
      </c>
      <c r="P23" t="s">
        <v>464</v>
      </c>
      <c r="Q23" t="s">
        <v>464</v>
      </c>
      <c r="R23" t="s">
        <v>450</v>
      </c>
      <c r="T23" s="20">
        <v>13.01244535</v>
      </c>
      <c r="U23" s="20">
        <v>13.01244535</v>
      </c>
      <c r="V23" s="20">
        <v>5.6884839999999999</v>
      </c>
      <c r="W23">
        <v>5.5060000000000002</v>
      </c>
      <c r="X23">
        <v>5.5060000000000002</v>
      </c>
      <c r="Y23">
        <v>25</v>
      </c>
      <c r="Z23">
        <v>0</v>
      </c>
      <c r="AC23">
        <v>2</v>
      </c>
      <c r="AD23">
        <v>18</v>
      </c>
      <c r="AE23" s="44" t="e">
        <f t="shared" si="0"/>
        <v>#VALUE!</v>
      </c>
      <c r="AF23" s="46">
        <v>408.08048566890238</v>
      </c>
      <c r="AG23" s="44">
        <v>757.90090000000009</v>
      </c>
      <c r="AH23" s="44">
        <v>0</v>
      </c>
      <c r="AJ23" s="40">
        <v>8.8217891480379992E-2</v>
      </c>
      <c r="AK23" s="41">
        <v>9.4999227471559922E-2</v>
      </c>
      <c r="AM23" s="23">
        <v>1.857142857142857</v>
      </c>
      <c r="AN23" s="23">
        <v>3</v>
      </c>
      <c r="AO23" s="23">
        <v>2</v>
      </c>
      <c r="AP23" s="23">
        <v>2</v>
      </c>
      <c r="AQ23" s="23">
        <v>0.20967741935483869</v>
      </c>
      <c r="AR23" s="23">
        <v>0.33870967741935482</v>
      </c>
      <c r="AS23" s="23">
        <v>0.22580645161290319</v>
      </c>
      <c r="AT23" s="23">
        <v>0.22580645161290319</v>
      </c>
      <c r="AU23" s="20">
        <v>0.95</v>
      </c>
      <c r="AV23" s="20">
        <v>3.44</v>
      </c>
      <c r="AW23" s="20">
        <v>2.4900000000000002</v>
      </c>
      <c r="AX23" s="20">
        <v>2.7964285714285722</v>
      </c>
      <c r="AY23">
        <v>2.7964285714285722</v>
      </c>
      <c r="AZ23">
        <v>6.1881302289285713</v>
      </c>
      <c r="BA23" s="64">
        <v>0.50205645606923555</v>
      </c>
      <c r="BB23" s="64">
        <v>0.54064968764634491</v>
      </c>
      <c r="BE23">
        <v>4.4108945740190003E-2</v>
      </c>
      <c r="BF23">
        <v>4.7499613735779961E-2</v>
      </c>
      <c r="BH23">
        <v>9.1608559475969964E-2</v>
      </c>
      <c r="BI23">
        <v>4.5804279737984982E-2</v>
      </c>
      <c r="BJ23">
        <v>0.52135307185779023</v>
      </c>
      <c r="BX23">
        <v>3660</v>
      </c>
    </row>
    <row r="24" spans="1:76" x14ac:dyDescent="0.3">
      <c r="A24" t="s">
        <v>21</v>
      </c>
      <c r="B24" s="12" t="s">
        <v>707</v>
      </c>
      <c r="C24" s="12"/>
      <c r="F24">
        <v>3.3</v>
      </c>
      <c r="G24" t="s">
        <v>435</v>
      </c>
      <c r="H24" s="8" t="s">
        <v>540</v>
      </c>
      <c r="I24" t="s">
        <v>620</v>
      </c>
      <c r="L24" s="20">
        <v>2</v>
      </c>
      <c r="M24">
        <v>2</v>
      </c>
      <c r="N24">
        <v>0</v>
      </c>
      <c r="O24" t="s">
        <v>464</v>
      </c>
      <c r="P24" t="s">
        <v>464</v>
      </c>
      <c r="Q24" t="s">
        <v>464</v>
      </c>
      <c r="R24" t="s">
        <v>440</v>
      </c>
      <c r="T24" s="20">
        <v>13.052871550000001</v>
      </c>
      <c r="U24" s="20">
        <v>13.052871550000001</v>
      </c>
      <c r="V24" s="20">
        <v>5.7602650000000004</v>
      </c>
      <c r="W24">
        <v>3.9390000000000001</v>
      </c>
      <c r="X24">
        <v>3.9390000000000001</v>
      </c>
      <c r="Y24">
        <v>25.636399999999998</v>
      </c>
      <c r="Z24">
        <v>0</v>
      </c>
      <c r="AC24">
        <v>2</v>
      </c>
      <c r="AD24">
        <v>18</v>
      </c>
      <c r="AE24" s="44" t="e">
        <f t="shared" si="0"/>
        <v>#VALUE!</v>
      </c>
      <c r="AF24" s="46">
        <v>419.87909289623292</v>
      </c>
      <c r="AG24" s="44">
        <v>397.76722984439999</v>
      </c>
      <c r="AH24" s="44">
        <v>0</v>
      </c>
      <c r="AJ24" s="40">
        <v>8.5738967738736363E-2</v>
      </c>
      <c r="AK24" s="41">
        <v>9.0505193235960166E-2</v>
      </c>
      <c r="AM24" s="23">
        <v>1.857142857142857</v>
      </c>
      <c r="AN24" s="23">
        <v>3</v>
      </c>
      <c r="AO24" s="23">
        <v>2</v>
      </c>
      <c r="AP24" s="23">
        <v>2</v>
      </c>
      <c r="AQ24" s="23">
        <v>0.20967741935483869</v>
      </c>
      <c r="AR24" s="23">
        <v>0.33870967741935482</v>
      </c>
      <c r="AS24" s="23">
        <v>0.22580645161290319</v>
      </c>
      <c r="AT24" s="23">
        <v>0.22580645161290319</v>
      </c>
      <c r="AU24" s="20">
        <v>0.89</v>
      </c>
      <c r="AV24" s="20">
        <v>3.44</v>
      </c>
      <c r="AW24" s="20">
        <v>2.5499999999999998</v>
      </c>
      <c r="AX24" s="20">
        <v>2.7921428571428568</v>
      </c>
      <c r="AY24">
        <v>2.7921428571428568</v>
      </c>
      <c r="AZ24">
        <v>6.1741786985714304</v>
      </c>
      <c r="BA24" s="64">
        <v>0.50806026761966716</v>
      </c>
      <c r="BB24" s="64">
        <v>0</v>
      </c>
      <c r="BE24">
        <v>4.2869483869368182E-2</v>
      </c>
      <c r="BF24">
        <v>4.5252596617980083E-2</v>
      </c>
      <c r="BH24">
        <v>8.8122080487348264E-2</v>
      </c>
      <c r="BI24">
        <v>4.4061040243674132E-2</v>
      </c>
      <c r="BJ24">
        <v>0.25403013380983358</v>
      </c>
      <c r="BX24">
        <v>1130</v>
      </c>
    </row>
    <row r="25" spans="1:76" x14ac:dyDescent="0.3">
      <c r="A25" t="s">
        <v>22</v>
      </c>
      <c r="B25" s="12" t="s">
        <v>876</v>
      </c>
      <c r="C25" s="12"/>
      <c r="F25">
        <v>2.74</v>
      </c>
      <c r="G25" t="s">
        <v>213</v>
      </c>
      <c r="H25" s="25" t="s">
        <v>541</v>
      </c>
      <c r="I25" t="s">
        <v>621</v>
      </c>
      <c r="L25" s="20">
        <v>0</v>
      </c>
      <c r="M25">
        <v>4</v>
      </c>
      <c r="N25">
        <v>0</v>
      </c>
      <c r="T25" s="20">
        <v>0</v>
      </c>
      <c r="U25" s="20"/>
      <c r="V25" s="20"/>
      <c r="W25">
        <v>5.5453000000000001</v>
      </c>
      <c r="X25">
        <v>5.5453000000000001</v>
      </c>
      <c r="Y25">
        <v>25.686699999999998</v>
      </c>
      <c r="Z25">
        <v>0</v>
      </c>
      <c r="AC25" t="s">
        <v>464</v>
      </c>
      <c r="AD25">
        <v>18</v>
      </c>
      <c r="AE25" s="44">
        <f t="shared" si="0"/>
        <v>0</v>
      </c>
      <c r="AF25" s="46">
        <v>0</v>
      </c>
      <c r="AG25" s="44">
        <v>789.87506903020289</v>
      </c>
      <c r="AH25" s="44">
        <v>0</v>
      </c>
      <c r="AJ25" s="40"/>
      <c r="AK25" s="41">
        <v>9.1153655588092616E-2</v>
      </c>
      <c r="AM25" s="23">
        <v>1.871428571428571</v>
      </c>
      <c r="AN25" s="23">
        <v>3.1428571428571428</v>
      </c>
      <c r="AO25" s="23">
        <v>2.714285714285714</v>
      </c>
      <c r="AP25" s="23">
        <v>3.2</v>
      </c>
      <c r="AQ25" s="23">
        <v>0.17124183006535951</v>
      </c>
      <c r="AR25" s="23">
        <v>0.28758169934640521</v>
      </c>
      <c r="AS25" s="23">
        <v>0.2483660130718954</v>
      </c>
      <c r="AT25" s="23">
        <v>0.29281045751633977</v>
      </c>
      <c r="AU25" s="20">
        <v>1.6</v>
      </c>
      <c r="AV25" s="20">
        <v>3.44</v>
      </c>
      <c r="AW25" s="20">
        <v>1.84</v>
      </c>
      <c r="AX25" s="20">
        <v>2.9058571428571431</v>
      </c>
      <c r="AY25">
        <v>2.9058571428571431</v>
      </c>
      <c r="AZ25">
        <v>6.2676757950000006</v>
      </c>
      <c r="BA25" s="64">
        <v>0.51995616258071919</v>
      </c>
      <c r="BB25" s="64">
        <v>0.51988140722208986</v>
      </c>
      <c r="BF25">
        <v>4.5576827794046308E-2</v>
      </c>
      <c r="BH25">
        <v>9.1153655588092616E-2</v>
      </c>
      <c r="BI25">
        <v>4.5576827794046308E-2</v>
      </c>
      <c r="BJ25">
        <v>0.51991878490140453</v>
      </c>
      <c r="BX25">
        <v>38.960999999999999</v>
      </c>
    </row>
    <row r="26" spans="1:76" x14ac:dyDescent="0.3">
      <c r="A26" t="s">
        <v>23</v>
      </c>
      <c r="B26" s="12" t="s">
        <v>877</v>
      </c>
      <c r="C26" s="12"/>
      <c r="F26">
        <v>2.74</v>
      </c>
      <c r="G26" t="s">
        <v>213</v>
      </c>
      <c r="H26" s="25" t="s">
        <v>541</v>
      </c>
      <c r="I26" t="s">
        <v>621</v>
      </c>
      <c r="L26" s="20">
        <v>0</v>
      </c>
      <c r="M26">
        <v>4</v>
      </c>
      <c r="N26">
        <v>0</v>
      </c>
      <c r="T26" s="20">
        <v>0</v>
      </c>
      <c r="U26" s="20"/>
      <c r="V26" s="20"/>
      <c r="W26">
        <v>5.5453000000000001</v>
      </c>
      <c r="X26">
        <v>5.5453000000000001</v>
      </c>
      <c r="Y26">
        <v>25.686699999999998</v>
      </c>
      <c r="Z26">
        <v>0</v>
      </c>
      <c r="AC26" t="s">
        <v>464</v>
      </c>
      <c r="AD26">
        <v>18</v>
      </c>
      <c r="AE26" s="44">
        <f t="shared" si="0"/>
        <v>0</v>
      </c>
      <c r="AF26" s="46">
        <v>0</v>
      </c>
      <c r="AG26" s="44">
        <v>789.87506903020289</v>
      </c>
      <c r="AH26" s="44">
        <v>0</v>
      </c>
      <c r="AJ26" s="40"/>
      <c r="AK26" s="41">
        <v>9.1153655588092616E-2</v>
      </c>
      <c r="AM26" s="23">
        <v>1.8678571428571431</v>
      </c>
      <c r="AN26" s="23">
        <v>3.1428571428571428</v>
      </c>
      <c r="AO26" s="23">
        <v>2.714285714285714</v>
      </c>
      <c r="AP26" s="23">
        <v>3.15</v>
      </c>
      <c r="AQ26" s="23">
        <v>0.1717569786535304</v>
      </c>
      <c r="AR26" s="23">
        <v>0.28899835796387519</v>
      </c>
      <c r="AS26" s="23">
        <v>0.24958949096880129</v>
      </c>
      <c r="AT26" s="23">
        <v>0.28965517241379313</v>
      </c>
      <c r="AU26" s="20">
        <v>1.6</v>
      </c>
      <c r="AV26" s="20">
        <v>3.44</v>
      </c>
      <c r="AW26" s="20">
        <v>1.84</v>
      </c>
      <c r="AX26" s="20">
        <v>2.903142857142857</v>
      </c>
      <c r="AY26">
        <v>2.903142857142857</v>
      </c>
      <c r="AZ26">
        <v>6.2658828646428582</v>
      </c>
      <c r="BA26" s="64">
        <v>0.51995616258071919</v>
      </c>
      <c r="BB26" s="64">
        <v>0.51988140722208986</v>
      </c>
      <c r="BF26">
        <v>4.5576827794046308E-2</v>
      </c>
      <c r="BH26">
        <v>9.1153655588092616E-2</v>
      </c>
      <c r="BI26">
        <v>4.5576827794046308E-2</v>
      </c>
      <c r="BJ26">
        <v>0.51991878490140453</v>
      </c>
      <c r="BX26">
        <v>50.949000000000005</v>
      </c>
    </row>
    <row r="27" spans="1:76" x14ac:dyDescent="0.3">
      <c r="A27" t="s">
        <v>24</v>
      </c>
      <c r="B27" s="12" t="s">
        <v>878</v>
      </c>
      <c r="C27" s="12"/>
      <c r="F27">
        <v>2.75</v>
      </c>
      <c r="G27" t="s">
        <v>213</v>
      </c>
      <c r="H27" s="25" t="s">
        <v>541</v>
      </c>
      <c r="I27" t="s">
        <v>621</v>
      </c>
      <c r="L27" s="20">
        <v>0</v>
      </c>
      <c r="M27">
        <v>4</v>
      </c>
      <c r="N27">
        <v>0</v>
      </c>
      <c r="T27" s="20">
        <v>0</v>
      </c>
      <c r="U27" s="20"/>
      <c r="V27" s="20"/>
      <c r="W27">
        <v>5.5453000000000001</v>
      </c>
      <c r="X27">
        <v>5.5453000000000001</v>
      </c>
      <c r="Y27">
        <v>25.686699999999998</v>
      </c>
      <c r="Z27">
        <v>0</v>
      </c>
      <c r="AC27" t="s">
        <v>464</v>
      </c>
      <c r="AD27">
        <v>18</v>
      </c>
      <c r="AE27" s="44">
        <f t="shared" si="0"/>
        <v>0</v>
      </c>
      <c r="AF27" s="46">
        <v>0</v>
      </c>
      <c r="AG27" s="44">
        <v>789.87506903020289</v>
      </c>
      <c r="AH27" s="44">
        <v>0</v>
      </c>
      <c r="AJ27" s="40"/>
      <c r="AK27" s="41">
        <v>9.1153655588092616E-2</v>
      </c>
      <c r="AM27" s="23">
        <v>1.8642857142857141</v>
      </c>
      <c r="AN27" s="23">
        <v>3.1428571428571428</v>
      </c>
      <c r="AO27" s="23">
        <v>2.714285714285714</v>
      </c>
      <c r="AP27" s="23">
        <v>3.1</v>
      </c>
      <c r="AQ27" s="23">
        <v>0.17227722772277229</v>
      </c>
      <c r="AR27" s="23">
        <v>0.29042904290429039</v>
      </c>
      <c r="AS27" s="23">
        <v>0.25082508250825092</v>
      </c>
      <c r="AT27" s="23">
        <v>0.28646864686468648</v>
      </c>
      <c r="AU27" s="20">
        <v>1.6</v>
      </c>
      <c r="AV27" s="20">
        <v>3.44</v>
      </c>
      <c r="AW27" s="20">
        <v>1.84</v>
      </c>
      <c r="AX27" s="20">
        <v>2.9004285714285709</v>
      </c>
      <c r="AY27">
        <v>2.9004285714285718</v>
      </c>
      <c r="AZ27">
        <v>6.2640899342857157</v>
      </c>
      <c r="BA27" s="64">
        <v>0.51995616258071919</v>
      </c>
      <c r="BB27" s="64">
        <v>0.51988140722208986</v>
      </c>
      <c r="BF27">
        <v>4.5576827794046308E-2</v>
      </c>
      <c r="BH27">
        <v>9.1153655588092616E-2</v>
      </c>
      <c r="BI27">
        <v>4.5576827794046308E-2</v>
      </c>
      <c r="BJ27">
        <v>0.51991878490140453</v>
      </c>
      <c r="BX27">
        <v>30.303000000000001</v>
      </c>
    </row>
    <row r="28" spans="1:76" x14ac:dyDescent="0.3">
      <c r="A28" t="s">
        <v>25</v>
      </c>
      <c r="B28" s="12" t="s">
        <v>708</v>
      </c>
      <c r="C28" s="12"/>
      <c r="F28">
        <v>2.88</v>
      </c>
      <c r="G28" t="s">
        <v>213</v>
      </c>
      <c r="H28" s="8" t="s">
        <v>541</v>
      </c>
      <c r="I28" t="s">
        <v>621</v>
      </c>
      <c r="L28" s="20">
        <v>1</v>
      </c>
      <c r="M28">
        <v>4</v>
      </c>
      <c r="N28">
        <v>0</v>
      </c>
      <c r="O28">
        <v>5.4960000000000004</v>
      </c>
      <c r="P28">
        <v>5.4960000000000004</v>
      </c>
      <c r="Q28">
        <v>25.55</v>
      </c>
      <c r="R28" t="s">
        <v>450</v>
      </c>
      <c r="T28" s="20">
        <v>12.868820120000001</v>
      </c>
      <c r="U28" s="20">
        <v>12.868820120000001</v>
      </c>
      <c r="V28" s="20">
        <v>12.868820120000001</v>
      </c>
      <c r="W28">
        <v>5.5453000000000001</v>
      </c>
      <c r="X28">
        <v>5.5453000000000001</v>
      </c>
      <c r="Y28">
        <v>25.686699999999998</v>
      </c>
      <c r="Z28">
        <v>0</v>
      </c>
      <c r="AC28">
        <v>4</v>
      </c>
      <c r="AD28">
        <v>18</v>
      </c>
      <c r="AE28" s="44">
        <f t="shared" si="0"/>
        <v>771.76370880000013</v>
      </c>
      <c r="AF28" s="46">
        <v>197.4403766939285</v>
      </c>
      <c r="AG28" s="44">
        <v>789.87506903020289</v>
      </c>
      <c r="AH28" s="44">
        <v>0</v>
      </c>
      <c r="AJ28" s="40">
        <v>9.1166762854710051E-2</v>
      </c>
      <c r="AK28" s="41">
        <v>9.1153655588092616E-2</v>
      </c>
      <c r="AM28" s="23">
        <v>1.857142857142857</v>
      </c>
      <c r="AN28" s="23">
        <v>3.1428571428571428</v>
      </c>
      <c r="AO28" s="23">
        <v>2.714285714285714</v>
      </c>
      <c r="AP28" s="23">
        <v>3</v>
      </c>
      <c r="AQ28" s="23">
        <v>0.17333333333333331</v>
      </c>
      <c r="AR28" s="23">
        <v>0.29333333333333328</v>
      </c>
      <c r="AS28" s="23">
        <v>0.25333333333333341</v>
      </c>
      <c r="AT28" s="23">
        <v>0.28000000000000003</v>
      </c>
      <c r="AU28" s="20">
        <v>1.6</v>
      </c>
      <c r="AV28" s="20">
        <v>3.44</v>
      </c>
      <c r="AW28" s="20">
        <v>1.84</v>
      </c>
      <c r="AX28" s="20">
        <v>2.895</v>
      </c>
      <c r="AY28">
        <v>2.895</v>
      </c>
      <c r="AZ28">
        <v>6.260504073571429</v>
      </c>
      <c r="BA28" s="64">
        <v>0.51995616258071919</v>
      </c>
      <c r="BB28" s="64">
        <v>0.51988140722208986</v>
      </c>
      <c r="BE28">
        <v>4.5583381427355033E-2</v>
      </c>
      <c r="BF28">
        <v>4.5576827794046308E-2</v>
      </c>
      <c r="BH28">
        <v>9.1160209221401334E-2</v>
      </c>
      <c r="BI28">
        <v>4.5580104610700667E-2</v>
      </c>
      <c r="BJ28">
        <v>0.51991878490140453</v>
      </c>
      <c r="BX28">
        <v>25.308</v>
      </c>
    </row>
    <row r="29" spans="1:76" x14ac:dyDescent="0.3">
      <c r="A29" t="s">
        <v>26</v>
      </c>
      <c r="B29" s="12" t="s">
        <v>879</v>
      </c>
      <c r="C29" s="12"/>
      <c r="F29">
        <v>2.91</v>
      </c>
      <c r="G29" t="s">
        <v>213</v>
      </c>
      <c r="H29" s="25" t="s">
        <v>541</v>
      </c>
      <c r="I29" t="s">
        <v>621</v>
      </c>
      <c r="L29" s="20">
        <v>0</v>
      </c>
      <c r="M29">
        <v>4</v>
      </c>
      <c r="N29">
        <v>0</v>
      </c>
      <c r="T29" s="20">
        <v>0</v>
      </c>
      <c r="U29" s="20"/>
      <c r="V29" s="20"/>
      <c r="W29">
        <v>5.5453000000000001</v>
      </c>
      <c r="X29">
        <v>5.5453000000000001</v>
      </c>
      <c r="Y29">
        <v>25.686699999999998</v>
      </c>
      <c r="Z29">
        <v>0</v>
      </c>
      <c r="AC29" t="s">
        <v>464</v>
      </c>
      <c r="AD29">
        <v>18</v>
      </c>
      <c r="AE29" s="44">
        <f t="shared" si="0"/>
        <v>0</v>
      </c>
      <c r="AF29" s="46">
        <v>0</v>
      </c>
      <c r="AG29" s="44">
        <v>789.87506903020289</v>
      </c>
      <c r="AH29" s="44">
        <v>0</v>
      </c>
      <c r="AJ29" s="40"/>
      <c r="AK29" s="41">
        <v>9.1153655588092616E-2</v>
      </c>
      <c r="AM29" s="23">
        <v>1.8642857142857141</v>
      </c>
      <c r="AN29" s="23">
        <v>3.1428571428571428</v>
      </c>
      <c r="AO29" s="23">
        <v>2.7</v>
      </c>
      <c r="AP29" s="23">
        <v>3</v>
      </c>
      <c r="AQ29" s="23">
        <v>0.1741160773849233</v>
      </c>
      <c r="AR29" s="23">
        <v>0.29352901934623082</v>
      </c>
      <c r="AS29" s="23">
        <v>0.25216811207471651</v>
      </c>
      <c r="AT29" s="23">
        <v>0.28018679119412943</v>
      </c>
      <c r="AU29" s="20">
        <v>1.54</v>
      </c>
      <c r="AV29" s="20">
        <v>3.44</v>
      </c>
      <c r="AW29" s="20">
        <v>1.9</v>
      </c>
      <c r="AX29" s="20">
        <v>2.894571428571429</v>
      </c>
      <c r="AY29">
        <v>2.894571428571429</v>
      </c>
      <c r="AZ29">
        <v>6.2577448164285716</v>
      </c>
      <c r="BA29" s="64">
        <v>0.51995616258071919</v>
      </c>
      <c r="BB29" s="64">
        <v>0.51988140722208986</v>
      </c>
      <c r="BF29">
        <v>4.5576827794046308E-2</v>
      </c>
      <c r="BH29">
        <v>9.1153655588092616E-2</v>
      </c>
      <c r="BI29">
        <v>4.5576827794046308E-2</v>
      </c>
      <c r="BJ29">
        <v>0.51991878490140453</v>
      </c>
      <c r="BX29">
        <v>9.3239999999999998</v>
      </c>
    </row>
    <row r="30" spans="1:76" x14ac:dyDescent="0.3">
      <c r="A30" t="s">
        <v>8</v>
      </c>
      <c r="B30" s="12" t="s">
        <v>694</v>
      </c>
      <c r="C30" s="12"/>
      <c r="D30" t="s">
        <v>676</v>
      </c>
      <c r="E30" t="s">
        <v>1067</v>
      </c>
      <c r="F30">
        <v>2.73</v>
      </c>
      <c r="G30" t="s">
        <v>213</v>
      </c>
      <c r="H30" s="8" t="s">
        <v>530</v>
      </c>
      <c r="I30" t="s">
        <v>612</v>
      </c>
      <c r="L30" s="20">
        <v>30</v>
      </c>
      <c r="M30">
        <v>4</v>
      </c>
      <c r="N30">
        <v>0</v>
      </c>
      <c r="T30" s="20">
        <v>10.59112378</v>
      </c>
      <c r="U30" s="20">
        <v>10.784736629999999</v>
      </c>
      <c r="V30" s="20">
        <v>10.486176179999999</v>
      </c>
      <c r="W30">
        <v>3.73</v>
      </c>
      <c r="X30">
        <v>3.73</v>
      </c>
      <c r="Y30">
        <v>9.3699999999999992</v>
      </c>
      <c r="Z30">
        <v>0</v>
      </c>
      <c r="AC30" t="s">
        <v>464</v>
      </c>
      <c r="AD30">
        <v>4</v>
      </c>
      <c r="AE30" s="44">
        <f t="shared" si="0"/>
        <v>0</v>
      </c>
      <c r="AF30" s="46">
        <v>1182.741260108548</v>
      </c>
      <c r="AG30" s="44">
        <v>130.36387300000001</v>
      </c>
      <c r="AH30" s="44">
        <v>0</v>
      </c>
      <c r="AJ30" s="40">
        <v>0.1014592151701775</v>
      </c>
      <c r="AK30" s="41">
        <v>0.1227333894874388</v>
      </c>
      <c r="AM30" s="23">
        <v>2</v>
      </c>
      <c r="AN30" s="23">
        <v>2.666666666666667</v>
      </c>
      <c r="AO30" s="23">
        <v>0.66666666666666663</v>
      </c>
      <c r="AP30" s="23">
        <v>0</v>
      </c>
      <c r="AQ30" s="23">
        <v>0.375</v>
      </c>
      <c r="AR30" s="23">
        <v>0.5</v>
      </c>
      <c r="AS30" s="23">
        <v>0.125</v>
      </c>
      <c r="AT30" s="23">
        <v>0</v>
      </c>
      <c r="AU30" s="20">
        <v>1.54</v>
      </c>
      <c r="AV30" s="20">
        <v>3.44</v>
      </c>
      <c r="AW30" s="20">
        <v>1.9</v>
      </c>
      <c r="AX30" s="20">
        <v>2.8066666666666671</v>
      </c>
      <c r="AY30">
        <v>2.8066666666666662</v>
      </c>
      <c r="AZ30">
        <v>6.1769976</v>
      </c>
      <c r="BA30" s="64">
        <v>0.46900407026869628</v>
      </c>
      <c r="BB30" s="64">
        <v>0.56734579634715776</v>
      </c>
      <c r="BE30">
        <v>5.072960758508873E-2</v>
      </c>
      <c r="BF30">
        <v>6.136669474371937E-2</v>
      </c>
      <c r="BH30">
        <v>0.1120963023288082</v>
      </c>
      <c r="BI30">
        <v>5.604815116440405E-2</v>
      </c>
      <c r="BJ30">
        <v>0.51817493330792708</v>
      </c>
    </row>
    <row r="31" spans="1:76" x14ac:dyDescent="0.3">
      <c r="A31" t="s">
        <v>10</v>
      </c>
      <c r="B31" s="12" t="s">
        <v>695</v>
      </c>
      <c r="C31" s="12"/>
      <c r="F31">
        <v>3.9</v>
      </c>
      <c r="G31" t="s">
        <v>134</v>
      </c>
      <c r="H31" s="8" t="s">
        <v>531</v>
      </c>
      <c r="I31">
        <v>-1</v>
      </c>
      <c r="L31" s="20">
        <v>1</v>
      </c>
      <c r="M31">
        <v>0</v>
      </c>
      <c r="N31">
        <v>0</v>
      </c>
      <c r="O31">
        <v>3.8849999999999998</v>
      </c>
      <c r="P31">
        <v>3.8849999999999998</v>
      </c>
      <c r="Q31">
        <v>11.12</v>
      </c>
      <c r="R31" t="s">
        <v>439</v>
      </c>
      <c r="T31" s="20">
        <v>3.9103940000000001</v>
      </c>
      <c r="U31" s="20">
        <v>3.9103940000000001</v>
      </c>
      <c r="V31" s="20">
        <v>11.314458</v>
      </c>
      <c r="W31">
        <v>0</v>
      </c>
      <c r="Z31">
        <v>0</v>
      </c>
      <c r="AC31">
        <v>2</v>
      </c>
      <c r="AD31">
        <v>14</v>
      </c>
      <c r="AE31" s="44">
        <f t="shared" si="0"/>
        <v>167.83666199999996</v>
      </c>
      <c r="AF31" s="46">
        <v>173.0114278564659</v>
      </c>
      <c r="AG31" s="44">
        <v>0</v>
      </c>
      <c r="AH31" s="44">
        <v>0</v>
      </c>
      <c r="AJ31" s="40">
        <v>8.0919510193365449E-2</v>
      </c>
      <c r="AM31" s="23">
        <v>1.9090909090909089</v>
      </c>
      <c r="AN31" s="23">
        <v>2.545454545454545</v>
      </c>
      <c r="AO31" s="23">
        <v>0.63636363636363635</v>
      </c>
      <c r="AP31" s="23">
        <v>2.545454545454545</v>
      </c>
      <c r="AQ31" s="23">
        <v>0.25</v>
      </c>
      <c r="AR31" s="23">
        <v>0.33333333333333331</v>
      </c>
      <c r="AS31" s="23">
        <v>8.3333333333333329E-2</v>
      </c>
      <c r="AT31" s="23">
        <v>0.33333333333333331</v>
      </c>
      <c r="AU31" s="20">
        <v>0.82</v>
      </c>
      <c r="AV31" s="20">
        <v>3.44</v>
      </c>
      <c r="AW31" s="20">
        <v>2.62</v>
      </c>
      <c r="AX31" s="20">
        <v>2.6363636363636358</v>
      </c>
      <c r="AY31">
        <v>2.6363636363636371</v>
      </c>
      <c r="AZ31">
        <v>6.0044088459090901</v>
      </c>
      <c r="BA31" s="64">
        <v>0.5117218936152963</v>
      </c>
      <c r="BE31">
        <v>4.0459755096682717E-2</v>
      </c>
      <c r="BH31">
        <v>8.0919510193365449E-2</v>
      </c>
      <c r="BI31">
        <v>4.0459755096682717E-2</v>
      </c>
      <c r="BJ31">
        <v>0.5117218936152963</v>
      </c>
      <c r="BP31" t="s">
        <v>464</v>
      </c>
    </row>
    <row r="32" spans="1:76" x14ac:dyDescent="0.3">
      <c r="A32" t="s">
        <v>11</v>
      </c>
      <c r="B32" s="12" t="s">
        <v>696</v>
      </c>
      <c r="C32" s="12"/>
      <c r="F32">
        <v>3.5</v>
      </c>
      <c r="G32" t="s">
        <v>134</v>
      </c>
      <c r="H32" s="8">
        <v>-1</v>
      </c>
      <c r="I32">
        <v>-1</v>
      </c>
      <c r="J32" s="8" t="s">
        <v>1144</v>
      </c>
      <c r="L32" s="20">
        <v>0</v>
      </c>
      <c r="M32">
        <v>0</v>
      </c>
      <c r="N32">
        <v>1</v>
      </c>
      <c r="O32">
        <v>3.8839999999999999</v>
      </c>
      <c r="P32">
        <v>3.8839999999999999</v>
      </c>
      <c r="Q32">
        <v>11.12</v>
      </c>
      <c r="R32" t="s">
        <v>439</v>
      </c>
      <c r="T32" s="20">
        <v>0</v>
      </c>
      <c r="U32" s="20"/>
      <c r="V32" s="20"/>
      <c r="W32">
        <v>0</v>
      </c>
      <c r="Z32">
        <v>3.8653</v>
      </c>
      <c r="AA32">
        <v>3.8653</v>
      </c>
      <c r="AB32">
        <v>11.0131</v>
      </c>
      <c r="AC32">
        <v>2</v>
      </c>
      <c r="AD32">
        <v>14</v>
      </c>
      <c r="AE32" s="44">
        <f t="shared" si="0"/>
        <v>167.75027071999997</v>
      </c>
      <c r="AF32" s="46">
        <v>0</v>
      </c>
      <c r="AG32" s="44">
        <v>0</v>
      </c>
      <c r="AH32" s="44">
        <v>164.541706117579</v>
      </c>
      <c r="AJ32" s="40"/>
      <c r="AL32" s="41">
        <v>8.5084811202795069E-2</v>
      </c>
      <c r="AM32" s="23">
        <v>1.9090909090909089</v>
      </c>
      <c r="AN32" s="23">
        <v>2.545454545454545</v>
      </c>
      <c r="AO32" s="23">
        <v>0.54545454545454541</v>
      </c>
      <c r="AP32" s="23">
        <v>2.8181818181818179</v>
      </c>
      <c r="AQ32" s="23">
        <v>0.2441860465116279</v>
      </c>
      <c r="AR32" s="23">
        <v>0.32558139534883718</v>
      </c>
      <c r="AS32" s="23">
        <v>6.9767441860465115E-2</v>
      </c>
      <c r="AT32" s="23">
        <v>0.3604651162790698</v>
      </c>
      <c r="AU32" s="20">
        <v>0.82</v>
      </c>
      <c r="AV32" s="20">
        <v>3.44</v>
      </c>
      <c r="AW32" s="20">
        <v>2.62</v>
      </c>
      <c r="AX32" s="20">
        <v>2.6390909090909092</v>
      </c>
      <c r="AY32">
        <v>2.6390909090909092</v>
      </c>
      <c r="AZ32">
        <v>5.9791810459090904</v>
      </c>
      <c r="BC32" s="64">
        <v>0.53381265134868672</v>
      </c>
      <c r="BG32">
        <v>4.2542405601397527E-2</v>
      </c>
      <c r="BH32">
        <v>8.5084811202795069E-2</v>
      </c>
      <c r="BI32">
        <v>4.2542405601397527E-2</v>
      </c>
      <c r="BJ32">
        <v>0.53381265134868672</v>
      </c>
      <c r="BP32" t="s">
        <v>464</v>
      </c>
    </row>
    <row r="33" spans="1:68" x14ac:dyDescent="0.3">
      <c r="A33" t="s">
        <v>12</v>
      </c>
      <c r="B33" s="12" t="s">
        <v>697</v>
      </c>
      <c r="C33" s="12"/>
      <c r="F33">
        <v>3.8</v>
      </c>
      <c r="G33" t="s">
        <v>134</v>
      </c>
      <c r="H33" s="8">
        <v>-1</v>
      </c>
      <c r="I33">
        <v>-1</v>
      </c>
      <c r="J33" s="8" t="s">
        <v>1145</v>
      </c>
      <c r="L33" s="20">
        <v>0</v>
      </c>
      <c r="M33">
        <v>0</v>
      </c>
      <c r="N33">
        <v>1</v>
      </c>
      <c r="O33">
        <v>3.8460000000000001</v>
      </c>
      <c r="P33">
        <v>3.8460000000000001</v>
      </c>
      <c r="Q33">
        <v>11.1</v>
      </c>
      <c r="R33" t="s">
        <v>439</v>
      </c>
      <c r="T33" s="20">
        <v>0</v>
      </c>
      <c r="U33" s="20"/>
      <c r="V33" s="20"/>
      <c r="W33">
        <v>0</v>
      </c>
      <c r="Z33">
        <v>3.8445</v>
      </c>
      <c r="AA33">
        <v>3.8445</v>
      </c>
      <c r="AB33">
        <v>11.03</v>
      </c>
      <c r="AC33">
        <v>2</v>
      </c>
      <c r="AD33">
        <v>14</v>
      </c>
      <c r="AE33" s="44">
        <f t="shared" si="0"/>
        <v>164.1880476</v>
      </c>
      <c r="AF33" s="46">
        <v>0</v>
      </c>
      <c r="AG33" s="44">
        <v>0</v>
      </c>
      <c r="AH33" s="44">
        <v>163.0253881575</v>
      </c>
      <c r="AJ33" s="40"/>
      <c r="AL33" s="41">
        <v>8.5876194856683907E-2</v>
      </c>
      <c r="AM33" s="23">
        <v>1.9090909090909089</v>
      </c>
      <c r="AN33" s="23">
        <v>2.545454545454545</v>
      </c>
      <c r="AO33" s="23">
        <v>0.54545454545454541</v>
      </c>
      <c r="AP33" s="23">
        <v>2.9090909090909092</v>
      </c>
      <c r="AQ33" s="23">
        <v>0.2413793103448276</v>
      </c>
      <c r="AR33" s="23">
        <v>0.32183908045977011</v>
      </c>
      <c r="AS33" s="23">
        <v>6.8965517241379309E-2</v>
      </c>
      <c r="AT33" s="23">
        <v>0.36781609195402298</v>
      </c>
      <c r="AU33" s="20">
        <v>0.82</v>
      </c>
      <c r="AV33" s="20">
        <v>3.44</v>
      </c>
      <c r="AW33" s="20">
        <v>2.62</v>
      </c>
      <c r="AX33" s="20">
        <v>2.64</v>
      </c>
      <c r="AY33">
        <v>2.64</v>
      </c>
      <c r="AZ33">
        <v>5.9811382595454541</v>
      </c>
      <c r="BC33" s="64">
        <v>0.53809297903977493</v>
      </c>
      <c r="BG33">
        <v>4.2938097428341947E-2</v>
      </c>
      <c r="BH33">
        <v>8.5876194856683907E-2</v>
      </c>
      <c r="BI33">
        <v>4.2938097428341947E-2</v>
      </c>
      <c r="BJ33">
        <v>0.53809297903977493</v>
      </c>
      <c r="BP33" t="s">
        <v>464</v>
      </c>
    </row>
    <row r="34" spans="1:68" x14ac:dyDescent="0.3">
      <c r="A34" t="s">
        <v>13</v>
      </c>
      <c r="B34" s="12" t="s">
        <v>698</v>
      </c>
      <c r="C34" s="12"/>
      <c r="F34">
        <v>3.8</v>
      </c>
      <c r="G34" t="s">
        <v>134</v>
      </c>
      <c r="H34" s="8">
        <v>-1</v>
      </c>
      <c r="I34">
        <v>-1</v>
      </c>
      <c r="J34" t="s">
        <v>1147</v>
      </c>
      <c r="L34" s="20">
        <v>0</v>
      </c>
      <c r="M34">
        <v>0</v>
      </c>
      <c r="N34">
        <v>1</v>
      </c>
      <c r="O34">
        <v>3.8420000000000001</v>
      </c>
      <c r="P34">
        <v>3.8420000000000001</v>
      </c>
      <c r="Q34">
        <v>11.11</v>
      </c>
      <c r="R34" t="s">
        <v>439</v>
      </c>
      <c r="T34" s="20">
        <v>0</v>
      </c>
      <c r="U34" s="20"/>
      <c r="V34" s="20"/>
      <c r="W34">
        <v>0</v>
      </c>
      <c r="Z34">
        <v>3.8252000000000002</v>
      </c>
      <c r="AA34">
        <v>3.8252000000000002</v>
      </c>
      <c r="AB34">
        <v>11.013500000000001</v>
      </c>
      <c r="AC34">
        <v>2</v>
      </c>
      <c r="AD34">
        <v>14</v>
      </c>
      <c r="AE34" s="44">
        <f t="shared" si="0"/>
        <v>163.99431004000002</v>
      </c>
      <c r="AF34" s="46">
        <v>0</v>
      </c>
      <c r="AG34" s="44">
        <v>0</v>
      </c>
      <c r="AH34" s="44">
        <v>161.15123953304001</v>
      </c>
      <c r="AJ34" s="40"/>
      <c r="AL34" s="41">
        <v>8.6874913531953646E-2</v>
      </c>
      <c r="AM34" s="23">
        <v>1.9090909090909089</v>
      </c>
      <c r="AN34" s="23">
        <v>2.545454545454545</v>
      </c>
      <c r="AO34" s="23">
        <v>0.54545454545454541</v>
      </c>
      <c r="AP34" s="23">
        <v>3.0909090909090908</v>
      </c>
      <c r="AQ34" s="23">
        <v>0.2359550561797753</v>
      </c>
      <c r="AR34" s="23">
        <v>0.3146067415730337</v>
      </c>
      <c r="AS34" s="23">
        <v>6.7415730337078636E-2</v>
      </c>
      <c r="AT34" s="23">
        <v>0.38202247191011229</v>
      </c>
      <c r="AU34" s="20">
        <v>0.82</v>
      </c>
      <c r="AV34" s="20">
        <v>3.44</v>
      </c>
      <c r="AW34" s="20">
        <v>2.62</v>
      </c>
      <c r="AX34" s="20">
        <v>2.642727272727273</v>
      </c>
      <c r="AY34">
        <v>2.642727272727273</v>
      </c>
      <c r="AZ34">
        <v>5.9894662913636356</v>
      </c>
      <c r="BC34" s="64">
        <v>0.54194665977883461</v>
      </c>
      <c r="BG34">
        <v>4.3437456765976823E-2</v>
      </c>
      <c r="BH34">
        <v>8.6874913531953646E-2</v>
      </c>
      <c r="BI34">
        <v>4.3437456765976823E-2</v>
      </c>
      <c r="BJ34">
        <v>0.54194665977883461</v>
      </c>
      <c r="BP34" t="s">
        <v>464</v>
      </c>
    </row>
    <row r="35" spans="1:68" x14ac:dyDescent="0.3">
      <c r="A35" t="s">
        <v>30</v>
      </c>
      <c r="B35" s="12" t="s">
        <v>709</v>
      </c>
      <c r="C35" s="12"/>
      <c r="F35">
        <v>3.36</v>
      </c>
      <c r="G35" t="s">
        <v>29</v>
      </c>
      <c r="H35" s="8">
        <v>-1</v>
      </c>
      <c r="I35" t="s">
        <v>622</v>
      </c>
      <c r="L35" s="20">
        <v>0</v>
      </c>
      <c r="M35">
        <v>4</v>
      </c>
      <c r="N35">
        <v>0</v>
      </c>
      <c r="O35">
        <v>5.4324000000000003</v>
      </c>
      <c r="P35">
        <v>5.4151999999999996</v>
      </c>
      <c r="Q35">
        <v>40.78</v>
      </c>
      <c r="T35" s="20">
        <v>0</v>
      </c>
      <c r="U35" s="20"/>
      <c r="V35" s="20"/>
      <c r="W35">
        <v>5.4234</v>
      </c>
      <c r="X35">
        <v>5.4020999999999999</v>
      </c>
      <c r="Y35">
        <v>40.593499999999999</v>
      </c>
      <c r="Z35">
        <v>0</v>
      </c>
      <c r="AC35" t="s">
        <v>464</v>
      </c>
      <c r="AD35">
        <v>30</v>
      </c>
      <c r="AE35" s="44">
        <f t="shared" si="0"/>
        <v>1199.6469745344</v>
      </c>
      <c r="AF35" s="46">
        <v>0</v>
      </c>
      <c r="AG35" s="44">
        <v>1189.2981797145901</v>
      </c>
      <c r="AH35" s="44">
        <v>0</v>
      </c>
      <c r="AJ35" s="40"/>
      <c r="AK35" s="41">
        <v>0.1008998433250758</v>
      </c>
      <c r="AM35" s="23">
        <v>2</v>
      </c>
      <c r="AN35" s="23">
        <v>3</v>
      </c>
      <c r="AO35" s="23">
        <v>2</v>
      </c>
      <c r="AP35" s="23">
        <v>2.333333333333333</v>
      </c>
      <c r="AQ35" s="23">
        <v>0.2142857142857143</v>
      </c>
      <c r="AR35" s="23">
        <v>0.3214285714285714</v>
      </c>
      <c r="AS35" s="23">
        <v>0.2142857142857143</v>
      </c>
      <c r="AT35" s="23">
        <v>0.25</v>
      </c>
      <c r="AU35" s="20">
        <v>1</v>
      </c>
      <c r="AV35" s="20">
        <v>3.44</v>
      </c>
      <c r="AW35" s="20">
        <v>2.44</v>
      </c>
      <c r="AX35" s="20">
        <v>2.7850000000000001</v>
      </c>
      <c r="AY35">
        <v>2.7850000000000001</v>
      </c>
      <c r="AZ35">
        <v>6.1010684060416667</v>
      </c>
      <c r="BF35">
        <v>5.0449921662537908E-2</v>
      </c>
      <c r="BH35">
        <v>0.1008998433250758</v>
      </c>
      <c r="BI35">
        <v>5.0449921662537908E-2</v>
      </c>
      <c r="BJ35">
        <v>0</v>
      </c>
    </row>
    <row r="36" spans="1:68" x14ac:dyDescent="0.3">
      <c r="A36" t="s">
        <v>31</v>
      </c>
      <c r="B36" s="12" t="s">
        <v>710</v>
      </c>
      <c r="C36" s="12"/>
      <c r="F36">
        <v>3.02</v>
      </c>
      <c r="G36" t="s">
        <v>29</v>
      </c>
      <c r="H36" s="8">
        <v>-1</v>
      </c>
      <c r="I36">
        <v>-1</v>
      </c>
      <c r="J36" t="s">
        <v>1148</v>
      </c>
      <c r="L36" s="20">
        <v>0</v>
      </c>
      <c r="M36">
        <v>0</v>
      </c>
      <c r="N36">
        <v>4</v>
      </c>
      <c r="O36" t="s">
        <v>464</v>
      </c>
      <c r="P36" t="s">
        <v>464</v>
      </c>
      <c r="Q36" t="s">
        <v>464</v>
      </c>
      <c r="T36" s="20">
        <v>0</v>
      </c>
      <c r="U36" s="20"/>
      <c r="V36" s="20"/>
      <c r="W36">
        <v>0</v>
      </c>
      <c r="Z36">
        <v>41.36</v>
      </c>
      <c r="AA36">
        <v>5.4370000000000003</v>
      </c>
      <c r="AB36">
        <v>5.55</v>
      </c>
      <c r="AC36" t="s">
        <v>464</v>
      </c>
      <c r="AD36">
        <v>30</v>
      </c>
      <c r="AE36" s="44" t="e">
        <f t="shared" si="0"/>
        <v>#VALUE!</v>
      </c>
      <c r="AF36" s="46">
        <v>0</v>
      </c>
      <c r="AG36" s="44">
        <v>0</v>
      </c>
      <c r="AH36" s="44">
        <v>1248.0524760000001</v>
      </c>
      <c r="AJ36" s="40"/>
      <c r="AL36" s="41">
        <v>9.6149803239523393E-2</v>
      </c>
      <c r="AM36" s="23">
        <v>2</v>
      </c>
      <c r="AN36" s="23">
        <v>3.083333333333333</v>
      </c>
      <c r="AO36" s="23">
        <v>2.416666666666667</v>
      </c>
      <c r="AP36" s="23">
        <v>2.916666666666667</v>
      </c>
      <c r="AQ36" s="23">
        <v>0.192</v>
      </c>
      <c r="AR36" s="23">
        <v>0.29599999999999999</v>
      </c>
      <c r="AS36" s="23">
        <v>0.23200000000000001</v>
      </c>
      <c r="AT36" s="23">
        <v>0.28000000000000003</v>
      </c>
      <c r="AU36" s="20">
        <v>1.54</v>
      </c>
      <c r="AV36" s="20">
        <v>3.44</v>
      </c>
      <c r="AW36" s="20">
        <v>1.9</v>
      </c>
      <c r="AX36" s="20">
        <v>2.840416666666667</v>
      </c>
      <c r="AY36">
        <v>2.840416666666667</v>
      </c>
      <c r="AZ36">
        <v>6.1351453775000007</v>
      </c>
      <c r="BG36">
        <v>4.8074901619761697E-2</v>
      </c>
      <c r="BH36">
        <v>9.6149803239523393E-2</v>
      </c>
      <c r="BI36">
        <v>4.8074901619761697E-2</v>
      </c>
      <c r="BJ36">
        <v>0</v>
      </c>
    </row>
    <row r="37" spans="1:68" x14ac:dyDescent="0.3">
      <c r="A37" t="s">
        <v>19</v>
      </c>
      <c r="B37" s="12" t="s">
        <v>705</v>
      </c>
      <c r="C37" s="12"/>
      <c r="F37">
        <v>3.18</v>
      </c>
      <c r="G37" t="s">
        <v>29</v>
      </c>
      <c r="H37" s="8" t="s">
        <v>538</v>
      </c>
      <c r="I37">
        <v>-1</v>
      </c>
      <c r="L37" s="20">
        <v>1</v>
      </c>
      <c r="M37">
        <v>0</v>
      </c>
      <c r="N37">
        <v>0</v>
      </c>
      <c r="O37" t="s">
        <v>464</v>
      </c>
      <c r="P37" t="s">
        <v>464</v>
      </c>
      <c r="Q37" t="s">
        <v>464</v>
      </c>
      <c r="T37" s="20">
        <v>13.83861243</v>
      </c>
      <c r="U37" s="20">
        <v>13.83861243</v>
      </c>
      <c r="V37" s="20">
        <v>13.83861243</v>
      </c>
      <c r="W37">
        <v>0</v>
      </c>
      <c r="Z37">
        <v>0</v>
      </c>
      <c r="AC37">
        <v>2</v>
      </c>
      <c r="AD37">
        <v>18</v>
      </c>
      <c r="AE37" s="44" t="e">
        <f t="shared" si="0"/>
        <v>#VALUE!</v>
      </c>
      <c r="AF37" s="46">
        <v>208.2630581553295</v>
      </c>
      <c r="AG37" s="44">
        <v>0</v>
      </c>
      <c r="AH37" s="44">
        <v>0</v>
      </c>
      <c r="AJ37" s="40">
        <v>8.6429154356194082E-2</v>
      </c>
      <c r="AM37" s="23">
        <v>1.857142857142857</v>
      </c>
      <c r="AN37" s="23">
        <v>3</v>
      </c>
      <c r="AO37" s="23">
        <v>2</v>
      </c>
      <c r="AP37" s="23">
        <v>2</v>
      </c>
      <c r="AQ37" s="23">
        <v>0.20967741935483869</v>
      </c>
      <c r="AR37" s="23">
        <v>0.33870967741935482</v>
      </c>
      <c r="AS37" s="23">
        <v>0.22580645161290319</v>
      </c>
      <c r="AT37" s="23">
        <v>0.22580645161290319</v>
      </c>
      <c r="AU37" s="20">
        <v>1</v>
      </c>
      <c r="AV37" s="20">
        <v>3.44</v>
      </c>
      <c r="AW37" s="20">
        <v>2.44</v>
      </c>
      <c r="AX37" s="20">
        <v>2.8</v>
      </c>
      <c r="AY37">
        <v>2.8</v>
      </c>
      <c r="AZ37">
        <v>6.2020864082142868</v>
      </c>
      <c r="BA37" s="64">
        <v>0.47541563854575991</v>
      </c>
      <c r="BE37">
        <v>4.3214577178097048E-2</v>
      </c>
      <c r="BH37">
        <v>8.6429154356194082E-2</v>
      </c>
      <c r="BI37">
        <v>4.3214577178097048E-2</v>
      </c>
      <c r="BJ37">
        <v>0.47541563854575991</v>
      </c>
    </row>
    <row r="38" spans="1:68" x14ac:dyDescent="0.3">
      <c r="A38" t="s">
        <v>25</v>
      </c>
      <c r="B38" s="12" t="s">
        <v>708</v>
      </c>
      <c r="C38" s="12"/>
      <c r="F38">
        <v>2.88</v>
      </c>
      <c r="G38" t="s">
        <v>29</v>
      </c>
      <c r="H38" s="8" t="s">
        <v>541</v>
      </c>
      <c r="I38" t="s">
        <v>621</v>
      </c>
      <c r="L38" s="20">
        <v>1</v>
      </c>
      <c r="M38">
        <v>4</v>
      </c>
      <c r="N38">
        <v>0</v>
      </c>
      <c r="O38" t="s">
        <v>464</v>
      </c>
      <c r="P38" t="s">
        <v>464</v>
      </c>
      <c r="Q38" t="s">
        <v>464</v>
      </c>
      <c r="T38" s="20">
        <v>12.868820120000001</v>
      </c>
      <c r="U38" s="20">
        <v>12.868820120000001</v>
      </c>
      <c r="V38" s="20">
        <v>12.868820120000001</v>
      </c>
      <c r="W38">
        <v>5.5453000000000001</v>
      </c>
      <c r="X38">
        <v>5.5453000000000001</v>
      </c>
      <c r="Y38">
        <v>25.686699999999998</v>
      </c>
      <c r="Z38">
        <v>0</v>
      </c>
      <c r="AC38">
        <v>2</v>
      </c>
      <c r="AD38">
        <v>18</v>
      </c>
      <c r="AE38" s="44" t="e">
        <f t="shared" si="0"/>
        <v>#VALUE!</v>
      </c>
      <c r="AF38" s="46">
        <v>197.4403766939285</v>
      </c>
      <c r="AG38" s="44">
        <v>789.87506903020289</v>
      </c>
      <c r="AH38" s="44">
        <v>0</v>
      </c>
      <c r="AJ38" s="40">
        <v>9.1166762854710051E-2</v>
      </c>
      <c r="AK38" s="41">
        <v>9.1153655588092616E-2</v>
      </c>
      <c r="AM38" s="23">
        <v>1.857142857142857</v>
      </c>
      <c r="AN38" s="23">
        <v>3.1428571428571428</v>
      </c>
      <c r="AO38" s="23">
        <v>2.714285714285714</v>
      </c>
      <c r="AP38" s="23">
        <v>3</v>
      </c>
      <c r="AQ38" s="23">
        <v>0.17333333333333331</v>
      </c>
      <c r="AR38" s="23">
        <v>0.29333333333333328</v>
      </c>
      <c r="AS38" s="23">
        <v>0.25333333333333341</v>
      </c>
      <c r="AT38" s="23">
        <v>0.28000000000000003</v>
      </c>
      <c r="AU38" s="20">
        <v>1.6</v>
      </c>
      <c r="AV38" s="20">
        <v>3.44</v>
      </c>
      <c r="AW38" s="20">
        <v>1.84</v>
      </c>
      <c r="AX38" s="20">
        <v>2.895</v>
      </c>
      <c r="AY38">
        <v>2.895</v>
      </c>
      <c r="AZ38">
        <v>6.260504073571429</v>
      </c>
      <c r="BA38" s="64">
        <v>0.51995616258071919</v>
      </c>
      <c r="BB38" s="64">
        <v>0.51988140722208986</v>
      </c>
      <c r="BE38">
        <v>4.5583381427355033E-2</v>
      </c>
      <c r="BF38">
        <v>4.5576827794046308E-2</v>
      </c>
      <c r="BH38">
        <v>9.1160209221401334E-2</v>
      </c>
      <c r="BI38">
        <v>4.5580104610700667E-2</v>
      </c>
      <c r="BJ38">
        <v>0.51991878490140453</v>
      </c>
    </row>
    <row r="39" spans="1:68" x14ac:dyDescent="0.3">
      <c r="A39" t="s">
        <v>32</v>
      </c>
      <c r="B39" s="12" t="s">
        <v>881</v>
      </c>
      <c r="C39" s="12"/>
      <c r="F39">
        <v>3.44</v>
      </c>
      <c r="G39" t="s">
        <v>29</v>
      </c>
      <c r="H39" s="8">
        <v>-1</v>
      </c>
      <c r="I39">
        <v>-1</v>
      </c>
      <c r="J39" t="s">
        <v>1149</v>
      </c>
      <c r="L39" s="20">
        <v>0</v>
      </c>
      <c r="M39">
        <v>0</v>
      </c>
      <c r="N39">
        <v>2</v>
      </c>
      <c r="O39">
        <v>3.9</v>
      </c>
      <c r="P39">
        <v>3.9</v>
      </c>
      <c r="Q39">
        <v>29.65</v>
      </c>
      <c r="R39" t="s">
        <v>472</v>
      </c>
      <c r="T39" s="20">
        <v>0</v>
      </c>
      <c r="U39" s="20"/>
      <c r="V39" s="20"/>
      <c r="W39">
        <v>0</v>
      </c>
      <c r="AC39" t="s">
        <v>464</v>
      </c>
      <c r="AD39">
        <v>20</v>
      </c>
      <c r="AE39" s="44">
        <f t="shared" si="0"/>
        <v>450.97649999999993</v>
      </c>
      <c r="AF39" s="46">
        <v>0</v>
      </c>
      <c r="AG39" s="44">
        <v>0</v>
      </c>
      <c r="AH39" s="44">
        <v>451.2</v>
      </c>
      <c r="AJ39" s="40"/>
      <c r="AL39" s="56">
        <f>N39*AD39/AH39</f>
        <v>8.8652482269503549E-2</v>
      </c>
      <c r="AM39" s="23">
        <v>1.774193548387097</v>
      </c>
      <c r="AN39" s="23">
        <v>2.580645161290323</v>
      </c>
      <c r="AO39" s="23">
        <v>0.80645161290322576</v>
      </c>
      <c r="AP39" s="23">
        <v>0</v>
      </c>
      <c r="AQ39" s="23">
        <v>0.34375</v>
      </c>
      <c r="AR39" s="23">
        <v>0.5</v>
      </c>
      <c r="AS39" s="23">
        <v>0.15625</v>
      </c>
      <c r="AT39" s="23">
        <v>0</v>
      </c>
      <c r="AU39" s="20">
        <v>0.82</v>
      </c>
      <c r="AV39" s="20">
        <v>3.44</v>
      </c>
      <c r="AW39" s="20">
        <v>2.62</v>
      </c>
      <c r="AX39" s="20">
        <v>2.6877419354838712</v>
      </c>
      <c r="AY39">
        <v>2.6877419354838712</v>
      </c>
      <c r="AZ39">
        <v>6.0811360720967738</v>
      </c>
      <c r="BC39" s="64">
        <v>0</v>
      </c>
      <c r="BG39">
        <v>4.4326241134751768E-2</v>
      </c>
      <c r="BH39">
        <v>8.8652482269503549E-2</v>
      </c>
      <c r="BI39">
        <v>4.4326241134751768E-2</v>
      </c>
      <c r="BJ39">
        <v>0</v>
      </c>
    </row>
    <row r="40" spans="1:68" x14ac:dyDescent="0.3">
      <c r="A40" s="4" t="s">
        <v>974</v>
      </c>
      <c r="B40" s="33" t="s">
        <v>975</v>
      </c>
      <c r="C40" s="29"/>
      <c r="D40" s="4"/>
      <c r="E40" s="4"/>
      <c r="F40" s="4">
        <v>3.09</v>
      </c>
      <c r="G40" s="4" t="s">
        <v>29</v>
      </c>
      <c r="H40" s="30">
        <v>-2</v>
      </c>
      <c r="I40" s="4">
        <v>-1</v>
      </c>
      <c r="J40" s="4"/>
      <c r="K40" s="4"/>
      <c r="L40" s="31">
        <v>0</v>
      </c>
      <c r="M40">
        <v>0</v>
      </c>
      <c r="N40">
        <v>0</v>
      </c>
      <c r="O40" s="4" t="s">
        <v>464</v>
      </c>
      <c r="P40" s="4" t="s">
        <v>464</v>
      </c>
      <c r="Q40" s="4" t="s">
        <v>464</v>
      </c>
      <c r="R40" s="4"/>
      <c r="S40" s="4"/>
      <c r="T40" s="31">
        <v>0</v>
      </c>
      <c r="U40" s="31"/>
      <c r="V40" s="31"/>
      <c r="W40">
        <v>0</v>
      </c>
      <c r="Z40">
        <v>0</v>
      </c>
      <c r="AC40" s="4" t="s">
        <v>464</v>
      </c>
      <c r="AD40" s="4">
        <v>20</v>
      </c>
      <c r="AE40" s="44" t="e">
        <f t="shared" si="0"/>
        <v>#VALUE!</v>
      </c>
      <c r="AF40" s="46">
        <v>0</v>
      </c>
      <c r="AG40" s="44">
        <v>0</v>
      </c>
      <c r="AH40" s="44">
        <v>0</v>
      </c>
      <c r="AJ40" s="40"/>
      <c r="AM40" s="4">
        <v>1.774193548387097</v>
      </c>
      <c r="AN40" s="4">
        <v>2.67741935483871</v>
      </c>
      <c r="AO40" s="4">
        <v>1.290322580645161</v>
      </c>
      <c r="AP40" s="4">
        <v>0.67741935483870963</v>
      </c>
      <c r="AQ40" s="4">
        <v>0.27638190954773872</v>
      </c>
      <c r="AR40" s="4">
        <v>0.41708542713567842</v>
      </c>
      <c r="AS40" s="4">
        <v>0.20100502512562821</v>
      </c>
      <c r="AT40" s="4">
        <v>0.1055276381909548</v>
      </c>
      <c r="AU40" s="31">
        <v>0.82</v>
      </c>
      <c r="AV40" s="31">
        <v>3.44</v>
      </c>
      <c r="AW40" s="31">
        <v>2.62</v>
      </c>
      <c r="AX40" s="31">
        <v>2.7520967741935478</v>
      </c>
      <c r="AY40" s="4">
        <v>2.7520967741935478</v>
      </c>
      <c r="AZ40" s="4">
        <v>6.1207093292741934</v>
      </c>
      <c r="BH40">
        <v>0</v>
      </c>
      <c r="BI40">
        <v>0</v>
      </c>
      <c r="BJ40">
        <v>0</v>
      </c>
      <c r="BP40" s="4"/>
    </row>
    <row r="41" spans="1:68" x14ac:dyDescent="0.3">
      <c r="A41" s="4" t="s">
        <v>33</v>
      </c>
      <c r="B41" s="29" t="s">
        <v>882</v>
      </c>
      <c r="C41" s="29"/>
      <c r="D41" s="4"/>
      <c r="E41" s="4"/>
      <c r="F41" s="4">
        <v>3.06</v>
      </c>
      <c r="G41" s="4" t="s">
        <v>29</v>
      </c>
      <c r="H41" s="30">
        <v>-2</v>
      </c>
      <c r="I41" s="4">
        <v>-1</v>
      </c>
      <c r="J41" s="4"/>
      <c r="K41" s="4"/>
      <c r="L41" s="31">
        <v>0</v>
      </c>
      <c r="M41">
        <v>0</v>
      </c>
      <c r="N41">
        <v>0</v>
      </c>
      <c r="O41" s="4" t="s">
        <v>464</v>
      </c>
      <c r="P41" s="4" t="s">
        <v>464</v>
      </c>
      <c r="Q41" s="4" t="s">
        <v>464</v>
      </c>
      <c r="R41" s="4"/>
      <c r="S41" s="4"/>
      <c r="T41" s="31">
        <v>0</v>
      </c>
      <c r="U41" s="31"/>
      <c r="V41" s="31"/>
      <c r="W41">
        <v>0</v>
      </c>
      <c r="Z41">
        <v>0</v>
      </c>
      <c r="AC41" s="4" t="s">
        <v>464</v>
      </c>
      <c r="AD41" s="4">
        <v>20</v>
      </c>
      <c r="AE41" s="44" t="e">
        <f t="shared" si="0"/>
        <v>#VALUE!</v>
      </c>
      <c r="AF41" s="46">
        <v>0</v>
      </c>
      <c r="AG41" s="44">
        <v>0</v>
      </c>
      <c r="AH41" s="44">
        <v>0</v>
      </c>
      <c r="AJ41" s="40"/>
      <c r="AM41" s="4">
        <v>1.774193548387097</v>
      </c>
      <c r="AN41" s="4">
        <v>2.725806451612903</v>
      </c>
      <c r="AO41" s="4">
        <v>1.435483870967742</v>
      </c>
      <c r="AP41" s="4">
        <v>0.90322580645161288</v>
      </c>
      <c r="AQ41" s="4">
        <v>0.25943396226415089</v>
      </c>
      <c r="AR41" s="4">
        <v>0.3985849056603773</v>
      </c>
      <c r="AS41" s="4">
        <v>0.2099056603773585</v>
      </c>
      <c r="AT41" s="4">
        <v>0.13207547169811321</v>
      </c>
      <c r="AU41" s="31">
        <v>0.82</v>
      </c>
      <c r="AV41" s="31">
        <v>3.44</v>
      </c>
      <c r="AW41" s="31">
        <v>2.62</v>
      </c>
      <c r="AX41" s="31">
        <v>2.7669354838709679</v>
      </c>
      <c r="AY41" s="4">
        <v>2.7669354838709679</v>
      </c>
      <c r="AZ41" s="4">
        <v>6.1375918448387097</v>
      </c>
      <c r="BH41">
        <v>0</v>
      </c>
      <c r="BI41">
        <v>0</v>
      </c>
      <c r="BJ41">
        <v>0</v>
      </c>
      <c r="BP41" s="4"/>
    </row>
    <row r="42" spans="1:68" x14ac:dyDescent="0.3">
      <c r="A42" t="s">
        <v>34</v>
      </c>
      <c r="B42" s="12" t="s">
        <v>711</v>
      </c>
      <c r="C42" s="12"/>
      <c r="F42">
        <v>3.31</v>
      </c>
      <c r="G42" t="s">
        <v>29</v>
      </c>
      <c r="H42" s="8" t="s">
        <v>542</v>
      </c>
      <c r="I42" t="s">
        <v>623</v>
      </c>
      <c r="L42" s="20">
        <v>1</v>
      </c>
      <c r="M42">
        <v>2</v>
      </c>
      <c r="N42">
        <v>0</v>
      </c>
      <c r="O42">
        <v>3.9</v>
      </c>
      <c r="P42">
        <v>3.9</v>
      </c>
      <c r="Q42">
        <v>29.65</v>
      </c>
      <c r="R42" t="s">
        <v>440</v>
      </c>
      <c r="T42" s="20">
        <v>3.9086759899999999</v>
      </c>
      <c r="U42" s="20">
        <v>3.908676100000001</v>
      </c>
      <c r="V42" s="20">
        <v>10.552604730000001</v>
      </c>
      <c r="W42">
        <v>3.899</v>
      </c>
      <c r="X42">
        <v>3.899</v>
      </c>
      <c r="Y42">
        <v>20.399989999999999</v>
      </c>
      <c r="Z42">
        <v>0</v>
      </c>
      <c r="AC42" t="s">
        <v>464</v>
      </c>
      <c r="AD42">
        <v>14</v>
      </c>
      <c r="AE42" s="44">
        <f t="shared" si="0"/>
        <v>450.97649999999993</v>
      </c>
      <c r="AF42" s="46">
        <v>155.59136328639269</v>
      </c>
      <c r="AG42" s="44">
        <v>310.12474837798999</v>
      </c>
      <c r="AH42" s="44">
        <v>0</v>
      </c>
      <c r="AJ42" s="40">
        <v>8.9979287437893268E-2</v>
      </c>
      <c r="AK42" s="41">
        <v>9.0286248183820222E-2</v>
      </c>
      <c r="AM42" s="23">
        <v>2</v>
      </c>
      <c r="AN42" s="23">
        <v>2.333333333333333</v>
      </c>
      <c r="AO42" s="23">
        <v>0.33333333333333331</v>
      </c>
      <c r="AP42" s="23">
        <v>0</v>
      </c>
      <c r="AQ42" s="23">
        <v>0.42857142857142849</v>
      </c>
      <c r="AR42" s="23">
        <v>0.5</v>
      </c>
      <c r="AS42" s="23">
        <v>7.1428571428571425E-2</v>
      </c>
      <c r="AT42" s="23">
        <v>0</v>
      </c>
      <c r="AU42" s="20">
        <v>0.95</v>
      </c>
      <c r="AV42" s="20">
        <v>3.44</v>
      </c>
      <c r="AW42" s="20">
        <v>2.4900000000000002</v>
      </c>
      <c r="AX42" s="20">
        <v>2.500833333333333</v>
      </c>
      <c r="AY42">
        <v>2.500833333333333</v>
      </c>
      <c r="AZ42">
        <v>5.6917605187500007</v>
      </c>
      <c r="BA42" s="64">
        <v>0.58499657192886345</v>
      </c>
      <c r="BB42" s="64">
        <v>0.58699226437317098</v>
      </c>
      <c r="BE42">
        <v>4.4989643718946627E-2</v>
      </c>
      <c r="BF42">
        <v>4.5143124091910111E-2</v>
      </c>
      <c r="BH42">
        <v>9.0132767810856745E-2</v>
      </c>
      <c r="BI42">
        <v>4.5066383905428373E-2</v>
      </c>
      <c r="BJ42">
        <v>0.58599441815101727</v>
      </c>
    </row>
    <row r="43" spans="1:68" x14ac:dyDescent="0.3">
      <c r="A43" t="s">
        <v>35</v>
      </c>
      <c r="B43" s="12" t="s">
        <v>712</v>
      </c>
      <c r="C43" s="12"/>
      <c r="F43">
        <v>2.98</v>
      </c>
      <c r="G43" t="s">
        <v>29</v>
      </c>
      <c r="H43" s="8" t="s">
        <v>543</v>
      </c>
      <c r="I43" t="s">
        <v>624</v>
      </c>
      <c r="L43" s="20">
        <v>1</v>
      </c>
      <c r="M43">
        <v>1</v>
      </c>
      <c r="N43">
        <v>0</v>
      </c>
      <c r="O43" t="s">
        <v>464</v>
      </c>
      <c r="P43" t="s">
        <v>464</v>
      </c>
      <c r="Q43" t="s">
        <v>464</v>
      </c>
      <c r="R43" t="s">
        <v>440</v>
      </c>
      <c r="T43" s="20">
        <v>3.969049</v>
      </c>
      <c r="U43" s="20">
        <v>3.969049</v>
      </c>
      <c r="V43" s="20">
        <v>3.969049</v>
      </c>
      <c r="W43">
        <v>4</v>
      </c>
      <c r="X43">
        <v>4.2110000000000003</v>
      </c>
      <c r="Y43">
        <v>3.875</v>
      </c>
      <c r="Z43">
        <v>0</v>
      </c>
      <c r="AC43" t="s">
        <v>464</v>
      </c>
      <c r="AD43">
        <v>6</v>
      </c>
      <c r="AE43" s="44" t="e">
        <f t="shared" si="0"/>
        <v>#VALUE!</v>
      </c>
      <c r="AF43" s="46">
        <v>62.525817922855822</v>
      </c>
      <c r="AG43" s="44">
        <v>65.270499999999998</v>
      </c>
      <c r="AH43" s="44">
        <v>0</v>
      </c>
      <c r="AJ43" s="40">
        <v>9.5960360045234158E-2</v>
      </c>
      <c r="AK43" s="41">
        <v>9.1925142292459849E-2</v>
      </c>
      <c r="AM43" s="23">
        <v>2</v>
      </c>
      <c r="AN43" s="23">
        <v>2.8</v>
      </c>
      <c r="AO43" s="23">
        <v>2.4</v>
      </c>
      <c r="AP43" s="23">
        <v>2.8</v>
      </c>
      <c r="AQ43" s="23">
        <v>0.2</v>
      </c>
      <c r="AR43" s="23">
        <v>0.28000000000000003</v>
      </c>
      <c r="AS43" s="23">
        <v>0.24</v>
      </c>
      <c r="AT43" s="23">
        <v>0.28000000000000003</v>
      </c>
      <c r="AU43" s="20">
        <v>1.54</v>
      </c>
      <c r="AV43" s="20">
        <v>3.44</v>
      </c>
      <c r="AW43" s="20">
        <v>1.9</v>
      </c>
      <c r="AX43" s="20">
        <v>2.8380000000000001</v>
      </c>
      <c r="AY43">
        <v>2.8380000000000001</v>
      </c>
      <c r="AZ43">
        <v>5.9914547000000002</v>
      </c>
      <c r="BA43" s="64">
        <v>0.58734468850194366</v>
      </c>
      <c r="BB43" s="64">
        <v>0.56264632646033053</v>
      </c>
      <c r="BE43">
        <v>4.7980180022617079E-2</v>
      </c>
      <c r="BF43">
        <v>4.5962571146229918E-2</v>
      </c>
      <c r="BH43">
        <v>9.3942751168847011E-2</v>
      </c>
      <c r="BI43">
        <v>4.6971375584423498E-2</v>
      </c>
      <c r="BJ43">
        <v>0.57499550748113704</v>
      </c>
    </row>
    <row r="44" spans="1:68" x14ac:dyDescent="0.3">
      <c r="A44" t="s">
        <v>37</v>
      </c>
      <c r="B44" s="12" t="s">
        <v>713</v>
      </c>
      <c r="C44" s="12"/>
      <c r="F44">
        <v>4.04</v>
      </c>
      <c r="G44" t="s">
        <v>36</v>
      </c>
      <c r="H44" s="8" t="s">
        <v>544</v>
      </c>
      <c r="I44" t="s">
        <v>625</v>
      </c>
      <c r="L44" s="20">
        <v>1</v>
      </c>
      <c r="M44">
        <v>2</v>
      </c>
      <c r="N44">
        <v>0</v>
      </c>
      <c r="T44" s="20">
        <v>5.7458564399999998</v>
      </c>
      <c r="U44" s="20">
        <v>5.7458564399999998</v>
      </c>
      <c r="V44" s="20">
        <v>11.67169612</v>
      </c>
      <c r="W44">
        <v>5.6660000000000004</v>
      </c>
      <c r="X44">
        <v>5.6659999999999986</v>
      </c>
      <c r="Y44">
        <v>22.968</v>
      </c>
      <c r="Z44">
        <v>0</v>
      </c>
      <c r="AC44" t="s">
        <v>464</v>
      </c>
      <c r="AD44">
        <v>30</v>
      </c>
      <c r="AE44" s="44">
        <f t="shared" si="0"/>
        <v>0</v>
      </c>
      <c r="AF44" s="46">
        <v>333.30247418302179</v>
      </c>
      <c r="AG44" s="44">
        <v>638.56770625824583</v>
      </c>
      <c r="AH44" s="44">
        <v>0</v>
      </c>
      <c r="AJ44" s="40">
        <v>9.0008332742008132E-2</v>
      </c>
      <c r="AK44" s="41">
        <v>9.3960279249911127E-2</v>
      </c>
      <c r="AM44" s="23">
        <v>1.833333333333333</v>
      </c>
      <c r="AN44" s="23">
        <v>2.5</v>
      </c>
      <c r="AO44" s="23">
        <v>0.66666666666666663</v>
      </c>
      <c r="AP44" s="23">
        <v>0</v>
      </c>
      <c r="AQ44" s="23">
        <v>0.36666666666666659</v>
      </c>
      <c r="AR44" s="23">
        <v>0.5</v>
      </c>
      <c r="AS44" s="23">
        <v>0.1333333333333333</v>
      </c>
      <c r="AT44" s="23">
        <v>0</v>
      </c>
      <c r="AU44" s="20">
        <v>0.95</v>
      </c>
      <c r="AV44" s="20">
        <v>3.44</v>
      </c>
      <c r="AW44" s="20">
        <v>2.4900000000000002</v>
      </c>
      <c r="AX44" s="20">
        <v>2.614583333333333</v>
      </c>
      <c r="AY44">
        <v>2.614583333333333</v>
      </c>
      <c r="AZ44">
        <v>5.9505645781250003</v>
      </c>
      <c r="BA44" s="64">
        <v>0.54547732833861384</v>
      </c>
      <c r="BB44" s="64">
        <v>0.56942730227099381</v>
      </c>
      <c r="BE44">
        <v>4.5004166371004073E-2</v>
      </c>
      <c r="BF44">
        <v>4.6980139624955557E-2</v>
      </c>
      <c r="BH44">
        <v>9.1984305995959637E-2</v>
      </c>
      <c r="BI44">
        <v>4.5992152997979818E-2</v>
      </c>
      <c r="BJ44">
        <v>0.55745231530480388</v>
      </c>
      <c r="BP44">
        <v>1</v>
      </c>
    </row>
    <row r="45" spans="1:68" x14ac:dyDescent="0.3">
      <c r="A45" t="s">
        <v>38</v>
      </c>
      <c r="B45" s="12" t="s">
        <v>714</v>
      </c>
      <c r="C45" s="12"/>
      <c r="F45">
        <v>3.91</v>
      </c>
      <c r="G45" t="s">
        <v>36</v>
      </c>
      <c r="H45" s="8" t="s">
        <v>545</v>
      </c>
      <c r="I45" t="s">
        <v>626</v>
      </c>
      <c r="L45" s="20">
        <v>1</v>
      </c>
      <c r="M45">
        <v>1</v>
      </c>
      <c r="N45">
        <v>0</v>
      </c>
      <c r="T45" s="20">
        <v>5.8532381300000003</v>
      </c>
      <c r="U45" s="20">
        <v>5.8532371599999999</v>
      </c>
      <c r="V45" s="20">
        <v>11.912811489999999</v>
      </c>
      <c r="W45">
        <v>5.7946</v>
      </c>
      <c r="X45">
        <v>5.7946</v>
      </c>
      <c r="Y45">
        <v>11.787599999999999</v>
      </c>
      <c r="Z45">
        <v>0</v>
      </c>
      <c r="AC45" t="s">
        <v>464</v>
      </c>
      <c r="AD45">
        <v>30</v>
      </c>
      <c r="AE45" s="44">
        <f t="shared" si="0"/>
        <v>0</v>
      </c>
      <c r="AF45" s="46">
        <v>353.45760058531442</v>
      </c>
      <c r="AG45" s="44">
        <v>342.77011164986573</v>
      </c>
      <c r="AH45" s="44">
        <v>0</v>
      </c>
      <c r="AJ45" s="40">
        <v>8.487580957467307E-2</v>
      </c>
      <c r="AK45" s="41">
        <v>8.752221672887435E-2</v>
      </c>
      <c r="AM45" s="23">
        <v>1.833333333333333</v>
      </c>
      <c r="AN45" s="23">
        <v>2.5</v>
      </c>
      <c r="AO45" s="23">
        <v>0.66666666666666663</v>
      </c>
      <c r="AP45" s="23">
        <v>0</v>
      </c>
      <c r="AQ45" s="23">
        <v>0.36666666666666659</v>
      </c>
      <c r="AR45" s="23">
        <v>0.5</v>
      </c>
      <c r="AS45" s="23">
        <v>0.1333333333333333</v>
      </c>
      <c r="AT45" s="23">
        <v>0</v>
      </c>
      <c r="AU45" s="20">
        <v>0.89</v>
      </c>
      <c r="AV45" s="20">
        <v>3.44</v>
      </c>
      <c r="AW45" s="20">
        <v>2.5499999999999998</v>
      </c>
      <c r="AX45" s="20">
        <v>2.6020833333333329</v>
      </c>
      <c r="AY45">
        <v>2.6020833333333329</v>
      </c>
      <c r="AZ45">
        <v>5.9098726145833336</v>
      </c>
      <c r="BA45" s="64">
        <v>0.57410011132036598</v>
      </c>
      <c r="BB45" s="64">
        <v>0.59200041353179045</v>
      </c>
      <c r="BE45">
        <v>4.2437904787336528E-2</v>
      </c>
      <c r="BF45">
        <v>4.3761108364437168E-2</v>
      </c>
      <c r="BH45">
        <v>8.619901315177371E-2</v>
      </c>
      <c r="BI45">
        <v>4.3099506575886848E-2</v>
      </c>
      <c r="BJ45">
        <v>0.58305026242607827</v>
      </c>
      <c r="BP45">
        <v>1</v>
      </c>
    </row>
    <row r="46" spans="1:68" x14ac:dyDescent="0.3">
      <c r="A46" t="s">
        <v>39</v>
      </c>
      <c r="B46" s="12" t="s">
        <v>715</v>
      </c>
      <c r="C46" s="12"/>
      <c r="F46">
        <v>3.79</v>
      </c>
      <c r="G46" t="s">
        <v>36</v>
      </c>
      <c r="H46" s="8">
        <v>-1</v>
      </c>
      <c r="I46">
        <v>-1</v>
      </c>
      <c r="J46" t="s">
        <v>1150</v>
      </c>
      <c r="L46" s="20">
        <v>0</v>
      </c>
      <c r="M46">
        <v>0</v>
      </c>
      <c r="N46">
        <v>1</v>
      </c>
      <c r="T46" s="20">
        <v>0</v>
      </c>
      <c r="U46" s="20"/>
      <c r="V46" s="20"/>
      <c r="W46">
        <v>0</v>
      </c>
      <c r="Z46">
        <v>5.532</v>
      </c>
      <c r="AA46">
        <v>5.532</v>
      </c>
      <c r="AB46">
        <v>11.016</v>
      </c>
      <c r="AC46" t="s">
        <v>464</v>
      </c>
      <c r="AD46">
        <v>30</v>
      </c>
      <c r="AE46" s="44">
        <f t="shared" si="0"/>
        <v>0</v>
      </c>
      <c r="AF46" s="46">
        <v>0</v>
      </c>
      <c r="AG46" s="44">
        <v>0</v>
      </c>
      <c r="AH46" s="44">
        <v>291.95700632233962</v>
      </c>
      <c r="AJ46" s="40"/>
      <c r="AL46" s="41">
        <v>0.1027548555107393</v>
      </c>
      <c r="AM46" s="23">
        <v>2</v>
      </c>
      <c r="AN46" s="23">
        <v>2.5</v>
      </c>
      <c r="AO46" s="23">
        <v>0.5</v>
      </c>
      <c r="AP46" s="23">
        <v>0</v>
      </c>
      <c r="AQ46" s="23">
        <v>0.4</v>
      </c>
      <c r="AR46" s="23">
        <v>0.5</v>
      </c>
      <c r="AS46" s="23">
        <v>0.1</v>
      </c>
      <c r="AT46" s="23">
        <v>0</v>
      </c>
      <c r="AU46" s="20">
        <v>1</v>
      </c>
      <c r="AV46" s="20">
        <v>3.44</v>
      </c>
      <c r="AW46" s="20">
        <v>2.44</v>
      </c>
      <c r="AX46" s="20">
        <v>2.6316666666666659</v>
      </c>
      <c r="AY46">
        <v>2.6316666666666668</v>
      </c>
      <c r="AZ46">
        <v>5.9266157452083332</v>
      </c>
      <c r="BC46" s="64">
        <v>0</v>
      </c>
      <c r="BG46">
        <v>5.1377427755369638E-2</v>
      </c>
      <c r="BH46">
        <v>0.1027548555107393</v>
      </c>
      <c r="BI46">
        <v>5.1377427755369638E-2</v>
      </c>
      <c r="BJ46">
        <v>0</v>
      </c>
      <c r="BP46">
        <v>1</v>
      </c>
    </row>
    <row r="47" spans="1:68" x14ac:dyDescent="0.3">
      <c r="A47" t="s">
        <v>40</v>
      </c>
      <c r="B47" s="12" t="s">
        <v>716</v>
      </c>
      <c r="C47" s="12"/>
      <c r="F47">
        <v>3.85</v>
      </c>
      <c r="G47" t="s">
        <v>36</v>
      </c>
      <c r="H47" s="8" t="s">
        <v>546</v>
      </c>
      <c r="I47" t="s">
        <v>627</v>
      </c>
      <c r="L47" s="20">
        <v>2</v>
      </c>
      <c r="M47">
        <v>2</v>
      </c>
      <c r="N47">
        <v>0</v>
      </c>
      <c r="T47" s="20">
        <v>5.6269875200000001</v>
      </c>
      <c r="U47" s="20">
        <v>5.6269875200000001</v>
      </c>
      <c r="V47" s="20">
        <v>22.749475</v>
      </c>
      <c r="W47">
        <v>5.5670999999999999</v>
      </c>
      <c r="X47">
        <v>5.5670999999999999</v>
      </c>
      <c r="Y47">
        <v>22.4603</v>
      </c>
      <c r="Z47">
        <v>0</v>
      </c>
      <c r="AC47" t="s">
        <v>464</v>
      </c>
      <c r="AD47">
        <v>30</v>
      </c>
      <c r="AE47" s="44">
        <f t="shared" si="0"/>
        <v>0</v>
      </c>
      <c r="AF47" s="46">
        <v>623.81230762201892</v>
      </c>
      <c r="AG47" s="44">
        <v>602.84300974379039</v>
      </c>
      <c r="AH47" s="44">
        <v>0</v>
      </c>
      <c r="AJ47" s="40">
        <v>9.6182776881592519E-2</v>
      </c>
      <c r="AK47" s="41">
        <v>9.9528399650018556E-2</v>
      </c>
      <c r="AM47" s="23">
        <v>2</v>
      </c>
      <c r="AN47" s="23">
        <v>2.5</v>
      </c>
      <c r="AO47" s="23">
        <v>0.5</v>
      </c>
      <c r="AP47" s="23">
        <v>0</v>
      </c>
      <c r="AQ47" s="23">
        <v>0.4</v>
      </c>
      <c r="AR47" s="23">
        <v>0.5</v>
      </c>
      <c r="AS47" s="23">
        <v>0.1</v>
      </c>
      <c r="AT47" s="23">
        <v>0</v>
      </c>
      <c r="AU47" s="20">
        <v>0.89</v>
      </c>
      <c r="AV47" s="20">
        <v>3.44</v>
      </c>
      <c r="AW47" s="20">
        <v>2.5499999999999998</v>
      </c>
      <c r="AX47" s="20">
        <v>2.6270833333333332</v>
      </c>
      <c r="AY47">
        <v>2.6270833333333332</v>
      </c>
      <c r="AZ47">
        <v>5.9103362479166668</v>
      </c>
      <c r="BA47" s="64">
        <v>0.55608047790729209</v>
      </c>
      <c r="BB47" s="64">
        <v>0</v>
      </c>
      <c r="BE47">
        <v>4.8091388440796259E-2</v>
      </c>
      <c r="BF47">
        <v>4.9764199825009278E-2</v>
      </c>
      <c r="BH47">
        <v>9.7855588265805538E-2</v>
      </c>
      <c r="BI47">
        <v>4.8927794132902769E-2</v>
      </c>
      <c r="BJ47">
        <v>0.27804023895364599</v>
      </c>
      <c r="BP47">
        <v>1</v>
      </c>
    </row>
    <row r="48" spans="1:68" x14ac:dyDescent="0.3">
      <c r="A48" t="s">
        <v>41</v>
      </c>
      <c r="B48" s="12" t="s">
        <v>717</v>
      </c>
      <c r="C48" s="12"/>
      <c r="F48">
        <v>3.95</v>
      </c>
      <c r="G48" t="s">
        <v>36</v>
      </c>
      <c r="H48" s="8" t="s">
        <v>547</v>
      </c>
      <c r="I48" t="s">
        <v>628</v>
      </c>
      <c r="L48" s="20">
        <v>1</v>
      </c>
      <c r="M48">
        <v>3</v>
      </c>
      <c r="N48">
        <v>0</v>
      </c>
      <c r="T48" s="20">
        <v>9.3662349099999993</v>
      </c>
      <c r="U48" s="20">
        <v>9.3662349099999993</v>
      </c>
      <c r="V48" s="20">
        <v>9.3662351000000008</v>
      </c>
      <c r="W48">
        <v>5.5609999999999999</v>
      </c>
      <c r="X48">
        <v>5.5609999999999999</v>
      </c>
      <c r="Y48">
        <v>26.24</v>
      </c>
      <c r="Z48">
        <v>0</v>
      </c>
      <c r="AC48" t="s">
        <v>464</v>
      </c>
      <c r="AD48">
        <v>24</v>
      </c>
      <c r="AE48" s="44">
        <f t="shared" si="0"/>
        <v>0</v>
      </c>
      <c r="AF48" s="46">
        <v>238.908881754341</v>
      </c>
      <c r="AG48" s="44">
        <v>702.74902632242595</v>
      </c>
      <c r="AH48" s="44">
        <v>0</v>
      </c>
      <c r="AJ48" s="40">
        <v>0.10045670895014321</v>
      </c>
      <c r="AK48" s="41">
        <v>0.1024547844296349</v>
      </c>
      <c r="AM48" s="23">
        <v>2</v>
      </c>
      <c r="AN48" s="23">
        <v>2.5263157894736841</v>
      </c>
      <c r="AO48" s="23">
        <v>0.52631578947368418</v>
      </c>
      <c r="AP48" s="23">
        <v>0</v>
      </c>
      <c r="AQ48" s="23">
        <v>0.39583333333333343</v>
      </c>
      <c r="AR48" s="23">
        <v>0.5</v>
      </c>
      <c r="AS48" s="23">
        <v>0.1041666666666667</v>
      </c>
      <c r="AT48" s="23">
        <v>0</v>
      </c>
      <c r="AU48" s="20">
        <v>1.1000000000000001</v>
      </c>
      <c r="AV48" s="20">
        <v>3.44</v>
      </c>
      <c r="AW48" s="20">
        <v>2.34</v>
      </c>
      <c r="AX48" s="20">
        <v>2.647368421052632</v>
      </c>
      <c r="AY48">
        <v>2.6473684210526311</v>
      </c>
      <c r="AZ48">
        <v>5.9525974578947363</v>
      </c>
      <c r="BA48" s="64">
        <v>0.55552189395192297</v>
      </c>
      <c r="BB48" s="64">
        <v>0.56657117763069742</v>
      </c>
      <c r="BE48">
        <v>5.0228354475071582E-2</v>
      </c>
      <c r="BF48">
        <v>5.1227392214817473E-2</v>
      </c>
      <c r="BH48">
        <v>0.10145574668988901</v>
      </c>
      <c r="BI48">
        <v>5.0727873344944517E-2</v>
      </c>
      <c r="BJ48">
        <v>0.56104653579131014</v>
      </c>
      <c r="BP48">
        <v>1</v>
      </c>
    </row>
    <row r="49" spans="1:68" x14ac:dyDescent="0.3">
      <c r="A49" t="s">
        <v>39</v>
      </c>
      <c r="B49" s="12" t="s">
        <v>715</v>
      </c>
      <c r="C49" s="12"/>
      <c r="F49">
        <v>3.79</v>
      </c>
      <c r="G49" t="s">
        <v>36</v>
      </c>
      <c r="H49" s="8">
        <v>-1</v>
      </c>
      <c r="I49">
        <v>-1</v>
      </c>
      <c r="J49" t="s">
        <v>1150</v>
      </c>
      <c r="L49" s="20">
        <v>0</v>
      </c>
      <c r="M49">
        <v>0</v>
      </c>
      <c r="N49">
        <v>1</v>
      </c>
      <c r="T49" s="20">
        <v>0</v>
      </c>
      <c r="U49" s="20"/>
      <c r="V49" s="20"/>
      <c r="W49">
        <v>0</v>
      </c>
      <c r="Z49">
        <v>5.532</v>
      </c>
      <c r="AA49">
        <v>5.532</v>
      </c>
      <c r="AB49">
        <v>11.016</v>
      </c>
      <c r="AC49" t="s">
        <v>464</v>
      </c>
      <c r="AD49">
        <v>30</v>
      </c>
      <c r="AE49" s="44">
        <f t="shared" si="0"/>
        <v>0</v>
      </c>
      <c r="AF49" s="46">
        <v>0</v>
      </c>
      <c r="AG49" s="44">
        <v>0</v>
      </c>
      <c r="AH49" s="44">
        <v>291.95700632233962</v>
      </c>
      <c r="AJ49" s="40"/>
      <c r="AL49" s="41">
        <v>0.1027548555107393</v>
      </c>
      <c r="AM49" s="23">
        <v>2</v>
      </c>
      <c r="AN49" s="23">
        <v>2.5</v>
      </c>
      <c r="AO49" s="23">
        <v>0.5</v>
      </c>
      <c r="AP49" s="23">
        <v>0</v>
      </c>
      <c r="AQ49" s="23">
        <v>0.4</v>
      </c>
      <c r="AR49" s="23">
        <v>0.5</v>
      </c>
      <c r="AS49" s="23">
        <v>0.1</v>
      </c>
      <c r="AT49" s="23">
        <v>0</v>
      </c>
      <c r="AU49" s="20">
        <v>1</v>
      </c>
      <c r="AV49" s="20">
        <v>3.44</v>
      </c>
      <c r="AW49" s="20">
        <v>2.44</v>
      </c>
      <c r="AX49" s="20">
        <v>2.6316666666666659</v>
      </c>
      <c r="AY49">
        <v>2.6316666666666668</v>
      </c>
      <c r="AZ49">
        <v>5.9266157452083332</v>
      </c>
      <c r="BC49" s="64">
        <v>0</v>
      </c>
      <c r="BG49">
        <v>5.1377427755369638E-2</v>
      </c>
      <c r="BH49">
        <v>0.1027548555107393</v>
      </c>
      <c r="BI49">
        <v>5.1377427755369638E-2</v>
      </c>
      <c r="BJ49">
        <v>0</v>
      </c>
      <c r="BP49">
        <v>1</v>
      </c>
    </row>
    <row r="50" spans="1:68" x14ac:dyDescent="0.3">
      <c r="A50" t="s">
        <v>42</v>
      </c>
      <c r="B50" s="12" t="s">
        <v>718</v>
      </c>
      <c r="C50" s="12"/>
      <c r="F50">
        <v>3.82</v>
      </c>
      <c r="G50" t="s">
        <v>36</v>
      </c>
      <c r="H50" s="8">
        <v>-1</v>
      </c>
      <c r="I50">
        <v>-1</v>
      </c>
      <c r="J50" t="s">
        <v>1151</v>
      </c>
      <c r="L50" s="20">
        <v>0</v>
      </c>
      <c r="M50">
        <v>0</v>
      </c>
      <c r="N50">
        <v>1</v>
      </c>
      <c r="T50" s="20">
        <v>0</v>
      </c>
      <c r="U50" s="20"/>
      <c r="V50" s="20"/>
      <c r="W50">
        <v>0</v>
      </c>
      <c r="Z50">
        <v>5.55</v>
      </c>
      <c r="AA50">
        <v>5.55</v>
      </c>
      <c r="AB50">
        <v>11.066000000000001</v>
      </c>
      <c r="AC50" t="s">
        <v>464</v>
      </c>
      <c r="AD50">
        <v>30</v>
      </c>
      <c r="AE50" s="44">
        <f t="shared" si="0"/>
        <v>0</v>
      </c>
      <c r="AF50" s="46">
        <v>0</v>
      </c>
      <c r="AG50" s="44">
        <v>0</v>
      </c>
      <c r="AH50" s="44">
        <v>295.19382183577648</v>
      </c>
      <c r="AJ50" s="40"/>
      <c r="AL50" s="41">
        <v>0.1016281432092089</v>
      </c>
      <c r="AM50" s="23">
        <v>2</v>
      </c>
      <c r="AN50" s="23">
        <v>2.5</v>
      </c>
      <c r="AO50" s="23">
        <v>0.5</v>
      </c>
      <c r="AP50" s="23">
        <v>0</v>
      </c>
      <c r="AQ50" s="23">
        <v>0.4</v>
      </c>
      <c r="AR50" s="23">
        <v>0.5</v>
      </c>
      <c r="AS50" s="23">
        <v>0.1</v>
      </c>
      <c r="AT50" s="23">
        <v>0</v>
      </c>
      <c r="AU50" s="20">
        <v>0.95</v>
      </c>
      <c r="AV50" s="20">
        <v>3.44</v>
      </c>
      <c r="AW50" s="20">
        <v>2.4900000000000002</v>
      </c>
      <c r="AX50" s="20">
        <v>2.6295833333333332</v>
      </c>
      <c r="AY50">
        <v>2.6295833333333332</v>
      </c>
      <c r="AZ50">
        <v>5.9184746406250008</v>
      </c>
      <c r="BC50" s="64">
        <v>0</v>
      </c>
      <c r="BG50">
        <v>5.0814071604604473E-2</v>
      </c>
      <c r="BH50">
        <v>0.1016281432092089</v>
      </c>
      <c r="BI50">
        <v>5.0814071604604473E-2</v>
      </c>
      <c r="BJ50">
        <v>0</v>
      </c>
      <c r="BP50">
        <v>1</v>
      </c>
    </row>
    <row r="51" spans="1:68" x14ac:dyDescent="0.3">
      <c r="A51" t="s">
        <v>40</v>
      </c>
      <c r="B51" s="12" t="s">
        <v>716</v>
      </c>
      <c r="C51" s="12"/>
      <c r="F51">
        <v>3.85</v>
      </c>
      <c r="G51" t="s">
        <v>36</v>
      </c>
      <c r="H51" s="8" t="s">
        <v>546</v>
      </c>
      <c r="I51" t="s">
        <v>627</v>
      </c>
      <c r="L51" s="20">
        <v>2</v>
      </c>
      <c r="M51">
        <v>2</v>
      </c>
      <c r="N51">
        <v>0</v>
      </c>
      <c r="T51" s="20">
        <v>5.6269875200000001</v>
      </c>
      <c r="U51" s="20">
        <v>5.6269875200000001</v>
      </c>
      <c r="V51" s="20">
        <v>22.749475</v>
      </c>
      <c r="W51">
        <v>5.5670999999999999</v>
      </c>
      <c r="X51">
        <v>5.5670999999999999</v>
      </c>
      <c r="Y51">
        <v>22.4603</v>
      </c>
      <c r="Z51">
        <v>0</v>
      </c>
      <c r="AC51" t="s">
        <v>464</v>
      </c>
      <c r="AD51">
        <v>30</v>
      </c>
      <c r="AE51" s="44">
        <f t="shared" si="0"/>
        <v>0</v>
      </c>
      <c r="AF51" s="46">
        <v>623.81230762201892</v>
      </c>
      <c r="AG51" s="44">
        <v>602.84300974379039</v>
      </c>
      <c r="AH51" s="44">
        <v>0</v>
      </c>
      <c r="AJ51" s="40">
        <v>9.6182776881592519E-2</v>
      </c>
      <c r="AK51" s="41">
        <v>9.9528399650018556E-2</v>
      </c>
      <c r="AM51" s="23">
        <v>2</v>
      </c>
      <c r="AN51" s="23">
        <v>2.5</v>
      </c>
      <c r="AO51" s="23">
        <v>0.5</v>
      </c>
      <c r="AP51" s="23">
        <v>0</v>
      </c>
      <c r="AQ51" s="23">
        <v>0.4</v>
      </c>
      <c r="AR51" s="23">
        <v>0.5</v>
      </c>
      <c r="AS51" s="23">
        <v>0.1</v>
      </c>
      <c r="AT51" s="23">
        <v>0</v>
      </c>
      <c r="AU51" s="20">
        <v>0.89</v>
      </c>
      <c r="AV51" s="20">
        <v>3.44</v>
      </c>
      <c r="AW51" s="20">
        <v>2.5499999999999998</v>
      </c>
      <c r="AX51" s="20">
        <v>2.6270833333333332</v>
      </c>
      <c r="AY51">
        <v>2.6270833333333332</v>
      </c>
      <c r="AZ51">
        <v>5.9103362479166668</v>
      </c>
      <c r="BA51" s="64">
        <v>0.55608047790729209</v>
      </c>
      <c r="BB51" s="64">
        <v>0</v>
      </c>
      <c r="BE51">
        <v>4.8091388440796259E-2</v>
      </c>
      <c r="BF51">
        <v>4.9764199825009278E-2</v>
      </c>
      <c r="BH51">
        <v>9.7855588265805538E-2</v>
      </c>
      <c r="BI51">
        <v>4.8927794132902769E-2</v>
      </c>
      <c r="BJ51">
        <v>0.27804023895364599</v>
      </c>
      <c r="BP51">
        <v>1</v>
      </c>
    </row>
    <row r="52" spans="1:68" x14ac:dyDescent="0.3">
      <c r="A52" t="s">
        <v>43</v>
      </c>
      <c r="B52" s="12" t="s">
        <v>719</v>
      </c>
      <c r="C52" s="12"/>
      <c r="F52">
        <v>4.07</v>
      </c>
      <c r="G52" t="s">
        <v>36</v>
      </c>
      <c r="H52" s="8" t="s">
        <v>548</v>
      </c>
      <c r="I52">
        <v>-1</v>
      </c>
      <c r="L52" s="20">
        <v>1</v>
      </c>
      <c r="M52">
        <v>0</v>
      </c>
      <c r="N52">
        <v>0</v>
      </c>
      <c r="T52" s="20">
        <v>9.9321903099999993</v>
      </c>
      <c r="U52" s="20">
        <v>9.9321903099999993</v>
      </c>
      <c r="V52" s="20">
        <v>9.9321899499999997</v>
      </c>
      <c r="W52">
        <v>0</v>
      </c>
      <c r="Z52">
        <v>0</v>
      </c>
      <c r="AC52" t="s">
        <v>464</v>
      </c>
      <c r="AD52">
        <v>24</v>
      </c>
      <c r="AE52" s="44">
        <f t="shared" si="0"/>
        <v>0</v>
      </c>
      <c r="AF52" s="46">
        <v>275.17611786249188</v>
      </c>
      <c r="AG52" s="44">
        <v>0</v>
      </c>
      <c r="AH52" s="44">
        <v>0</v>
      </c>
      <c r="AJ52" s="40">
        <v>8.7216871094871057E-2</v>
      </c>
      <c r="AM52" s="23">
        <v>1.8421052631578949</v>
      </c>
      <c r="AN52" s="23">
        <v>2.5263157894736841</v>
      </c>
      <c r="AO52" s="23">
        <v>0.68421052631578949</v>
      </c>
      <c r="AP52" s="23">
        <v>0</v>
      </c>
      <c r="AQ52" s="23">
        <v>0.36458333333333343</v>
      </c>
      <c r="AR52" s="23">
        <v>0.5</v>
      </c>
      <c r="AS52" s="23">
        <v>0.13541666666666671</v>
      </c>
      <c r="AT52" s="23">
        <v>0</v>
      </c>
      <c r="AU52" s="20">
        <v>0.89</v>
      </c>
      <c r="AV52" s="20">
        <v>3.44</v>
      </c>
      <c r="AW52" s="20">
        <v>2.5499999999999998</v>
      </c>
      <c r="AX52" s="20">
        <v>2.6236842105263158</v>
      </c>
      <c r="AY52">
        <v>2.623684210526315</v>
      </c>
      <c r="AZ52">
        <v>5.9521582263157891</v>
      </c>
      <c r="BA52" s="64">
        <v>0.56264133404440497</v>
      </c>
      <c r="BE52">
        <v>4.3608435547435528E-2</v>
      </c>
      <c r="BH52">
        <v>8.7216871094871057E-2</v>
      </c>
      <c r="BI52">
        <v>4.3608435547435528E-2</v>
      </c>
      <c r="BJ52">
        <v>0.56264133404440497</v>
      </c>
      <c r="BP52">
        <v>1</v>
      </c>
    </row>
    <row r="53" spans="1:68" x14ac:dyDescent="0.3">
      <c r="A53" t="s">
        <v>37</v>
      </c>
      <c r="B53" s="12" t="s">
        <v>713</v>
      </c>
      <c r="C53" s="12"/>
      <c r="F53">
        <v>4.04</v>
      </c>
      <c r="G53" t="s">
        <v>36</v>
      </c>
      <c r="H53" s="8" t="s">
        <v>544</v>
      </c>
      <c r="I53" t="s">
        <v>625</v>
      </c>
      <c r="L53" s="20">
        <v>1</v>
      </c>
      <c r="M53">
        <v>2</v>
      </c>
      <c r="N53">
        <v>0</v>
      </c>
      <c r="T53" s="20">
        <v>5.7458564399999998</v>
      </c>
      <c r="U53" s="20">
        <v>5.7458564399999998</v>
      </c>
      <c r="V53" s="20">
        <v>11.67169612</v>
      </c>
      <c r="W53">
        <v>5.6660000000000004</v>
      </c>
      <c r="X53">
        <v>5.6659999999999986</v>
      </c>
      <c r="Y53">
        <v>22.968</v>
      </c>
      <c r="Z53">
        <v>0</v>
      </c>
      <c r="AC53" t="s">
        <v>464</v>
      </c>
      <c r="AD53">
        <v>30</v>
      </c>
      <c r="AE53" s="44">
        <f t="shared" si="0"/>
        <v>0</v>
      </c>
      <c r="AF53" s="46">
        <v>333.30247418302179</v>
      </c>
      <c r="AG53" s="44">
        <v>638.56770625824583</v>
      </c>
      <c r="AH53" s="44">
        <v>0</v>
      </c>
      <c r="AJ53" s="40">
        <v>9.0008332742008132E-2</v>
      </c>
      <c r="AK53" s="41">
        <v>9.3960279249911127E-2</v>
      </c>
      <c r="AM53" s="23">
        <v>1.833333333333333</v>
      </c>
      <c r="AN53" s="23">
        <v>2.5</v>
      </c>
      <c r="AO53" s="23">
        <v>0.66666666666666663</v>
      </c>
      <c r="AP53" s="23">
        <v>0</v>
      </c>
      <c r="AQ53" s="23">
        <v>0.36666666666666659</v>
      </c>
      <c r="AR53" s="23">
        <v>0.5</v>
      </c>
      <c r="AS53" s="23">
        <v>0.1333333333333333</v>
      </c>
      <c r="AT53" s="23">
        <v>0</v>
      </c>
      <c r="AU53" s="20">
        <v>0.95</v>
      </c>
      <c r="AV53" s="20">
        <v>3.44</v>
      </c>
      <c r="AW53" s="20">
        <v>2.4900000000000002</v>
      </c>
      <c r="AX53" s="20">
        <v>2.614583333333333</v>
      </c>
      <c r="AY53">
        <v>2.614583333333333</v>
      </c>
      <c r="AZ53">
        <v>5.9505645781250003</v>
      </c>
      <c r="BA53" s="64">
        <v>0.54547732833861384</v>
      </c>
      <c r="BB53" s="64">
        <v>0.56942730227099381</v>
      </c>
      <c r="BE53">
        <v>4.5004166371004073E-2</v>
      </c>
      <c r="BF53">
        <v>4.6980139624955557E-2</v>
      </c>
      <c r="BH53">
        <v>9.1984305995959637E-2</v>
      </c>
      <c r="BI53">
        <v>4.5992152997979818E-2</v>
      </c>
      <c r="BJ53">
        <v>0.55745231530480388</v>
      </c>
      <c r="BP53">
        <v>1</v>
      </c>
    </row>
    <row r="54" spans="1:68" x14ac:dyDescent="0.3">
      <c r="A54" t="s">
        <v>38</v>
      </c>
      <c r="B54" s="12" t="s">
        <v>714</v>
      </c>
      <c r="C54" s="12"/>
      <c r="F54">
        <v>3.87</v>
      </c>
      <c r="G54" t="s">
        <v>36</v>
      </c>
      <c r="H54" s="8" t="s">
        <v>545</v>
      </c>
      <c r="I54" t="s">
        <v>626</v>
      </c>
      <c r="L54" s="20">
        <v>1</v>
      </c>
      <c r="M54">
        <v>1</v>
      </c>
      <c r="N54">
        <v>0</v>
      </c>
      <c r="T54" s="20">
        <v>5.8532381300000003</v>
      </c>
      <c r="U54" s="20">
        <v>5.8532371599999999</v>
      </c>
      <c r="V54" s="20">
        <v>11.912811489999999</v>
      </c>
      <c r="W54">
        <v>5.7946</v>
      </c>
      <c r="X54">
        <v>5.7946</v>
      </c>
      <c r="Y54">
        <v>11.787599999999999</v>
      </c>
      <c r="Z54">
        <v>0</v>
      </c>
      <c r="AC54" t="s">
        <v>464</v>
      </c>
      <c r="AD54">
        <v>30</v>
      </c>
      <c r="AE54" s="44">
        <f t="shared" si="0"/>
        <v>0</v>
      </c>
      <c r="AF54" s="46">
        <v>353.45760058531442</v>
      </c>
      <c r="AG54" s="44">
        <v>342.77011164986573</v>
      </c>
      <c r="AH54" s="44">
        <v>0</v>
      </c>
      <c r="AJ54" s="40">
        <v>8.487580957467307E-2</v>
      </c>
      <c r="AK54" s="41">
        <v>8.752221672887435E-2</v>
      </c>
      <c r="AM54" s="23">
        <v>1.833333333333333</v>
      </c>
      <c r="AN54" s="23">
        <v>2.5</v>
      </c>
      <c r="AO54" s="23">
        <v>0.66666666666666663</v>
      </c>
      <c r="AP54" s="23">
        <v>0</v>
      </c>
      <c r="AQ54" s="23">
        <v>0.36666666666666659</v>
      </c>
      <c r="AR54" s="23">
        <v>0.5</v>
      </c>
      <c r="AS54" s="23">
        <v>0.1333333333333333</v>
      </c>
      <c r="AT54" s="23">
        <v>0</v>
      </c>
      <c r="AU54" s="20">
        <v>0.89</v>
      </c>
      <c r="AV54" s="20">
        <v>3.44</v>
      </c>
      <c r="AW54" s="20">
        <v>2.5499999999999998</v>
      </c>
      <c r="AX54" s="20">
        <v>2.6020833333333329</v>
      </c>
      <c r="AY54">
        <v>2.6020833333333329</v>
      </c>
      <c r="AZ54">
        <v>5.9098726145833336</v>
      </c>
      <c r="BA54" s="64">
        <v>0.57410011132036598</v>
      </c>
      <c r="BB54" s="64">
        <v>0.59200041353179045</v>
      </c>
      <c r="BE54">
        <v>4.2437904787336528E-2</v>
      </c>
      <c r="BF54">
        <v>4.3761108364437168E-2</v>
      </c>
      <c r="BH54">
        <v>8.619901315177371E-2</v>
      </c>
      <c r="BI54">
        <v>4.3099506575886848E-2</v>
      </c>
      <c r="BJ54">
        <v>0.58305026242607827</v>
      </c>
      <c r="BP54">
        <v>1</v>
      </c>
    </row>
    <row r="55" spans="1:68" x14ac:dyDescent="0.3">
      <c r="A55" t="s">
        <v>44</v>
      </c>
      <c r="B55" s="12" t="s">
        <v>720</v>
      </c>
      <c r="C55" s="12"/>
      <c r="F55">
        <v>3.4</v>
      </c>
      <c r="G55" t="s">
        <v>36</v>
      </c>
      <c r="H55" s="8" t="s">
        <v>549</v>
      </c>
      <c r="I55">
        <v>-1</v>
      </c>
      <c r="L55" s="20">
        <v>1</v>
      </c>
      <c r="M55">
        <v>0</v>
      </c>
      <c r="N55">
        <v>0</v>
      </c>
      <c r="T55" s="20">
        <v>15.28115725</v>
      </c>
      <c r="U55" s="20">
        <v>15.28115725</v>
      </c>
      <c r="V55" s="20">
        <v>15.28115725</v>
      </c>
      <c r="W55">
        <v>0</v>
      </c>
      <c r="Z55">
        <v>0</v>
      </c>
      <c r="AC55" t="s">
        <v>464</v>
      </c>
      <c r="AD55">
        <v>20</v>
      </c>
      <c r="AE55" s="44">
        <f t="shared" si="0"/>
        <v>0</v>
      </c>
      <c r="AF55" s="46">
        <v>229.90248606119221</v>
      </c>
      <c r="AG55" s="44">
        <v>0</v>
      </c>
      <c r="AH55" s="44">
        <v>0</v>
      </c>
      <c r="AJ55" s="40">
        <v>8.6993404650164072E-2</v>
      </c>
      <c r="AM55" s="23">
        <v>1.882352941176471</v>
      </c>
      <c r="AN55" s="23">
        <v>2.3529411764705879</v>
      </c>
      <c r="AO55" s="23">
        <v>0.47058823529411759</v>
      </c>
      <c r="AP55" s="23">
        <v>0</v>
      </c>
      <c r="AQ55" s="23">
        <v>0.4</v>
      </c>
      <c r="AR55" s="23">
        <v>0.5</v>
      </c>
      <c r="AS55" s="23">
        <v>9.9999999999999992E-2</v>
      </c>
      <c r="AT55" s="23">
        <v>0</v>
      </c>
      <c r="AU55" s="20">
        <v>0.82</v>
      </c>
      <c r="AV55" s="20">
        <v>3.44</v>
      </c>
      <c r="AW55" s="20">
        <v>2.62</v>
      </c>
      <c r="AX55" s="20">
        <v>2.5211764705882351</v>
      </c>
      <c r="AY55">
        <v>2.521176470588236</v>
      </c>
      <c r="AZ55">
        <v>5.6898745917647062</v>
      </c>
      <c r="BA55" s="64">
        <v>0.57369840599679445</v>
      </c>
      <c r="BE55">
        <v>4.3496702325082043E-2</v>
      </c>
      <c r="BH55">
        <v>8.6993404650164072E-2</v>
      </c>
      <c r="BI55">
        <v>4.3496702325082043E-2</v>
      </c>
      <c r="BJ55">
        <v>0.57369840599679445</v>
      </c>
      <c r="BP55">
        <v>1</v>
      </c>
    </row>
    <row r="56" spans="1:68" x14ac:dyDescent="0.3">
      <c r="A56" t="s">
        <v>34</v>
      </c>
      <c r="B56" s="12" t="s">
        <v>711</v>
      </c>
      <c r="C56" s="12"/>
      <c r="F56">
        <v>3.2</v>
      </c>
      <c r="G56" t="s">
        <v>36</v>
      </c>
      <c r="H56" s="8" t="s">
        <v>542</v>
      </c>
      <c r="I56" t="s">
        <v>623</v>
      </c>
      <c r="L56" s="20">
        <v>1</v>
      </c>
      <c r="M56">
        <v>2</v>
      </c>
      <c r="N56">
        <v>0</v>
      </c>
      <c r="T56" s="20">
        <v>3.9086759899999999</v>
      </c>
      <c r="U56" s="20">
        <v>3.908676100000001</v>
      </c>
      <c r="V56" s="20">
        <v>10.552604730000001</v>
      </c>
      <c r="W56">
        <v>3.899</v>
      </c>
      <c r="X56">
        <v>3.899</v>
      </c>
      <c r="Y56">
        <v>20.399989999999999</v>
      </c>
      <c r="Z56">
        <v>0</v>
      </c>
      <c r="AC56" t="s">
        <v>464</v>
      </c>
      <c r="AD56">
        <v>14</v>
      </c>
      <c r="AE56" s="44">
        <f t="shared" si="0"/>
        <v>0</v>
      </c>
      <c r="AF56" s="46">
        <v>155.59136328639269</v>
      </c>
      <c r="AG56" s="44">
        <v>310.12474837798999</v>
      </c>
      <c r="AH56" s="44">
        <v>0</v>
      </c>
      <c r="AJ56" s="40">
        <v>8.9979287437893268E-2</v>
      </c>
      <c r="AK56" s="41">
        <v>9.0286248183820222E-2</v>
      </c>
      <c r="AM56" s="23">
        <v>2</v>
      </c>
      <c r="AN56" s="23">
        <v>2.333333333333333</v>
      </c>
      <c r="AO56" s="23">
        <v>0.33333333333333331</v>
      </c>
      <c r="AP56" s="23">
        <v>0</v>
      </c>
      <c r="AQ56" s="23">
        <v>0.42857142857142849</v>
      </c>
      <c r="AR56" s="23">
        <v>0.5</v>
      </c>
      <c r="AS56" s="23">
        <v>7.1428571428571425E-2</v>
      </c>
      <c r="AT56" s="23">
        <v>0</v>
      </c>
      <c r="AU56" s="20">
        <v>0.95</v>
      </c>
      <c r="AV56" s="20">
        <v>3.44</v>
      </c>
      <c r="AW56" s="20">
        <v>2.4900000000000002</v>
      </c>
      <c r="AX56" s="20">
        <v>2.500833333333333</v>
      </c>
      <c r="AY56">
        <v>2.500833333333333</v>
      </c>
      <c r="AZ56">
        <v>5.6917605187500007</v>
      </c>
      <c r="BA56" s="64">
        <v>0.58499657192886345</v>
      </c>
      <c r="BB56" s="64">
        <v>0.58699226437317098</v>
      </c>
      <c r="BE56">
        <v>4.4989643718946627E-2</v>
      </c>
      <c r="BF56">
        <v>4.5143124091910111E-2</v>
      </c>
      <c r="BH56">
        <v>9.0132767810856745E-2</v>
      </c>
      <c r="BI56">
        <v>4.5066383905428373E-2</v>
      </c>
      <c r="BJ56">
        <v>0.58599441815101727</v>
      </c>
      <c r="BP56">
        <v>1</v>
      </c>
    </row>
    <row r="57" spans="1:68" x14ac:dyDescent="0.3">
      <c r="A57" t="s">
        <v>45</v>
      </c>
      <c r="B57" s="12" t="s">
        <v>721</v>
      </c>
      <c r="C57" s="12"/>
      <c r="F57">
        <v>3.3</v>
      </c>
      <c r="G57" t="s">
        <v>36</v>
      </c>
      <c r="H57" s="8" t="s">
        <v>550</v>
      </c>
      <c r="I57">
        <v>-1</v>
      </c>
      <c r="L57" s="20">
        <v>1</v>
      </c>
      <c r="M57">
        <v>0</v>
      </c>
      <c r="N57">
        <v>0</v>
      </c>
      <c r="T57" s="20">
        <v>3.91068857</v>
      </c>
      <c r="U57" s="20">
        <v>3.9106874500000002</v>
      </c>
      <c r="V57" s="20">
        <v>14.360376649999999</v>
      </c>
      <c r="W57">
        <v>0</v>
      </c>
      <c r="Z57">
        <v>0</v>
      </c>
      <c r="AC57" t="s">
        <v>464</v>
      </c>
      <c r="AD57">
        <v>20</v>
      </c>
      <c r="AE57" s="44">
        <f t="shared" si="0"/>
        <v>0</v>
      </c>
      <c r="AF57" s="46">
        <v>215.5098899352688</v>
      </c>
      <c r="AG57" s="44">
        <v>0</v>
      </c>
      <c r="AH57" s="44">
        <v>0</v>
      </c>
      <c r="AJ57" s="40">
        <v>9.2803165580972902E-2</v>
      </c>
      <c r="AM57" s="23">
        <v>2</v>
      </c>
      <c r="AN57" s="23">
        <v>2.3529411764705879</v>
      </c>
      <c r="AO57" s="23">
        <v>0.35294117647058831</v>
      </c>
      <c r="AP57" s="23">
        <v>0</v>
      </c>
      <c r="AQ57" s="23">
        <v>0.42499999999999999</v>
      </c>
      <c r="AR57" s="23">
        <v>0.5</v>
      </c>
      <c r="AS57" s="23">
        <v>7.4999999999999997E-2</v>
      </c>
      <c r="AT57" s="23">
        <v>0</v>
      </c>
      <c r="AU57" s="20">
        <v>0.95</v>
      </c>
      <c r="AV57" s="20">
        <v>3.44</v>
      </c>
      <c r="AW57" s="20">
        <v>2.4900000000000002</v>
      </c>
      <c r="AX57" s="20">
        <v>2.518823529411764</v>
      </c>
      <c r="AY57">
        <v>2.5188235294117649</v>
      </c>
      <c r="AZ57">
        <v>5.720303876470588</v>
      </c>
      <c r="BA57" s="64">
        <v>0.59173155274922506</v>
      </c>
      <c r="BE57">
        <v>4.6401582790486458E-2</v>
      </c>
      <c r="BH57">
        <v>9.2803165580972902E-2</v>
      </c>
      <c r="BI57">
        <v>4.6401582790486458E-2</v>
      </c>
      <c r="BJ57">
        <v>0.59173155274922506</v>
      </c>
      <c r="BP57">
        <v>1</v>
      </c>
    </row>
    <row r="58" spans="1:68" x14ac:dyDescent="0.3">
      <c r="A58" t="s">
        <v>46</v>
      </c>
      <c r="B58" s="12" t="s">
        <v>722</v>
      </c>
      <c r="C58" s="12"/>
      <c r="F58">
        <v>3.8</v>
      </c>
      <c r="G58" t="s">
        <v>36</v>
      </c>
      <c r="H58" s="8" t="s">
        <v>551</v>
      </c>
      <c r="I58" t="s">
        <v>629</v>
      </c>
      <c r="L58" s="20">
        <v>2</v>
      </c>
      <c r="M58">
        <v>4</v>
      </c>
      <c r="N58">
        <v>0</v>
      </c>
      <c r="T58" s="20">
        <v>7.41544296</v>
      </c>
      <c r="U58" s="20">
        <v>7.4154429599999991</v>
      </c>
      <c r="V58" s="20">
        <v>7.41544296</v>
      </c>
      <c r="W58">
        <v>7.8</v>
      </c>
      <c r="X58">
        <v>13.010999999999999</v>
      </c>
      <c r="Y58">
        <v>5.5460000000000003</v>
      </c>
      <c r="Z58">
        <v>0</v>
      </c>
      <c r="AC58" t="s">
        <v>464</v>
      </c>
      <c r="AD58">
        <v>14</v>
      </c>
      <c r="AE58" s="44">
        <f t="shared" si="0"/>
        <v>0</v>
      </c>
      <c r="AF58" s="46">
        <v>288.33429290182369</v>
      </c>
      <c r="AG58" s="44">
        <v>556.51188553357167</v>
      </c>
      <c r="AH58" s="44">
        <v>0</v>
      </c>
      <c r="AJ58" s="40">
        <v>9.7109503410799117E-2</v>
      </c>
      <c r="AK58" s="41">
        <v>0.10062678166578309</v>
      </c>
      <c r="AM58" s="23">
        <v>2</v>
      </c>
      <c r="AN58" s="23">
        <v>2.545454545454545</v>
      </c>
      <c r="AO58" s="23">
        <v>0.54545454545454541</v>
      </c>
      <c r="AP58" s="23">
        <v>0</v>
      </c>
      <c r="AQ58" s="23">
        <v>0.39285714285714279</v>
      </c>
      <c r="AR58" s="23">
        <v>0.5</v>
      </c>
      <c r="AS58" s="23">
        <v>0.1071428571428571</v>
      </c>
      <c r="AT58" s="23">
        <v>0</v>
      </c>
      <c r="AU58" s="20">
        <v>1.1000000000000001</v>
      </c>
      <c r="AV58" s="20">
        <v>3.44</v>
      </c>
      <c r="AW58" s="20">
        <v>2.34</v>
      </c>
      <c r="AX58" s="20">
        <v>2.669090909090909</v>
      </c>
      <c r="AY58">
        <v>2.669090909090909</v>
      </c>
      <c r="AZ58">
        <v>5.9831974772727277</v>
      </c>
      <c r="BA58" s="64">
        <v>0.52442413903612473</v>
      </c>
      <c r="BB58" s="64">
        <v>0.54341863036636606</v>
      </c>
      <c r="BE58">
        <v>4.8554751705399558E-2</v>
      </c>
      <c r="BF58">
        <v>5.0313390832891547E-2</v>
      </c>
      <c r="BH58">
        <v>9.8868142538291098E-2</v>
      </c>
      <c r="BI58">
        <v>4.9434071269145549E-2</v>
      </c>
      <c r="BJ58">
        <v>0.53392138470124539</v>
      </c>
      <c r="BP58">
        <v>1</v>
      </c>
    </row>
    <row r="59" spans="1:68" x14ac:dyDescent="0.3">
      <c r="A59" t="s">
        <v>47</v>
      </c>
      <c r="B59" s="12" t="s">
        <v>723</v>
      </c>
      <c r="C59" s="12"/>
      <c r="F59">
        <v>3.8</v>
      </c>
      <c r="G59" t="s">
        <v>36</v>
      </c>
      <c r="H59" s="8">
        <v>-1</v>
      </c>
      <c r="I59">
        <v>-1</v>
      </c>
      <c r="J59" t="s">
        <v>1152</v>
      </c>
      <c r="L59" s="20">
        <v>0</v>
      </c>
      <c r="M59">
        <v>0</v>
      </c>
      <c r="N59">
        <v>2</v>
      </c>
      <c r="T59" s="20">
        <v>0</v>
      </c>
      <c r="U59" s="20"/>
      <c r="V59" s="20"/>
      <c r="W59">
        <v>0</v>
      </c>
      <c r="Z59">
        <v>5.5170000000000003</v>
      </c>
      <c r="AA59">
        <v>31.274999999999999</v>
      </c>
      <c r="AB59">
        <v>3.8942000000000001</v>
      </c>
      <c r="AC59" t="s">
        <v>464</v>
      </c>
      <c r="AD59">
        <v>34</v>
      </c>
      <c r="AE59" s="44">
        <f t="shared" si="0"/>
        <v>0</v>
      </c>
      <c r="AF59" s="46">
        <v>0</v>
      </c>
      <c r="AG59" s="44">
        <v>0</v>
      </c>
      <c r="AH59" s="44">
        <v>671.92152628500003</v>
      </c>
      <c r="AJ59" s="40"/>
      <c r="AL59" s="41">
        <v>0.1012022942261822</v>
      </c>
      <c r="AM59" s="23">
        <v>2</v>
      </c>
      <c r="AN59" s="23">
        <v>2.518518518518519</v>
      </c>
      <c r="AO59" s="23">
        <v>0.51851851851851849</v>
      </c>
      <c r="AP59" s="23">
        <v>0</v>
      </c>
      <c r="AQ59" s="23">
        <v>0.39705882352941169</v>
      </c>
      <c r="AR59" s="23">
        <v>0.5</v>
      </c>
      <c r="AS59" s="23">
        <v>0.1029411764705882</v>
      </c>
      <c r="AT59" s="23">
        <v>0</v>
      </c>
      <c r="AU59" s="20">
        <v>1</v>
      </c>
      <c r="AV59" s="20">
        <v>3.44</v>
      </c>
      <c r="AW59" s="20">
        <v>2.44</v>
      </c>
      <c r="AX59" s="20">
        <v>2.6511111111111112</v>
      </c>
      <c r="AY59">
        <v>2.6511111111111112</v>
      </c>
      <c r="AZ59">
        <v>5.9544359512962952</v>
      </c>
      <c r="BG59">
        <v>5.0601147113091112E-2</v>
      </c>
      <c r="BH59">
        <v>0.1012022942261822</v>
      </c>
      <c r="BI59">
        <v>5.0601147113091112E-2</v>
      </c>
      <c r="BJ59">
        <v>0</v>
      </c>
      <c r="BP59">
        <v>1</v>
      </c>
    </row>
    <row r="60" spans="1:68" x14ac:dyDescent="0.3">
      <c r="A60" t="s">
        <v>40</v>
      </c>
      <c r="B60" s="12" t="s">
        <v>716</v>
      </c>
      <c r="C60" s="12"/>
      <c r="F60">
        <v>3.85</v>
      </c>
      <c r="G60" t="s">
        <v>36</v>
      </c>
      <c r="H60" s="8" t="s">
        <v>546</v>
      </c>
      <c r="I60" t="s">
        <v>627</v>
      </c>
      <c r="L60" s="20">
        <v>2</v>
      </c>
      <c r="M60">
        <v>2</v>
      </c>
      <c r="N60">
        <v>0</v>
      </c>
      <c r="T60" s="20">
        <v>5.6269875200000001</v>
      </c>
      <c r="U60" s="20">
        <v>5.6269875200000001</v>
      </c>
      <c r="V60" s="20">
        <v>22.749475</v>
      </c>
      <c r="W60">
        <v>5.5670999999999999</v>
      </c>
      <c r="X60">
        <v>5.5670999999999999</v>
      </c>
      <c r="Y60">
        <v>22.4603</v>
      </c>
      <c r="Z60">
        <v>0</v>
      </c>
      <c r="AC60" t="s">
        <v>464</v>
      </c>
      <c r="AD60">
        <v>30</v>
      </c>
      <c r="AE60" s="44">
        <f t="shared" si="0"/>
        <v>0</v>
      </c>
      <c r="AF60" s="46">
        <v>623.81230762201892</v>
      </c>
      <c r="AG60" s="44">
        <v>602.84300974379039</v>
      </c>
      <c r="AH60" s="44">
        <v>0</v>
      </c>
      <c r="AJ60" s="40">
        <v>9.6182776881592519E-2</v>
      </c>
      <c r="AK60" s="41">
        <v>9.9528399650018556E-2</v>
      </c>
      <c r="AM60" s="23">
        <v>2</v>
      </c>
      <c r="AN60" s="23">
        <v>2.5</v>
      </c>
      <c r="AO60" s="23">
        <v>0.5</v>
      </c>
      <c r="AP60" s="23">
        <v>0</v>
      </c>
      <c r="AQ60" s="23">
        <v>0.4</v>
      </c>
      <c r="AR60" s="23">
        <v>0.5</v>
      </c>
      <c r="AS60" s="23">
        <v>0.1</v>
      </c>
      <c r="AT60" s="23">
        <v>0</v>
      </c>
      <c r="AU60" s="20">
        <v>0.89</v>
      </c>
      <c r="AV60" s="20">
        <v>3.44</v>
      </c>
      <c r="AW60" s="20">
        <v>2.5499999999999998</v>
      </c>
      <c r="AX60" s="20">
        <v>2.6270833333333332</v>
      </c>
      <c r="AY60">
        <v>2.6270833333333332</v>
      </c>
      <c r="AZ60">
        <v>5.9103362479166668</v>
      </c>
      <c r="BA60" s="64">
        <v>0.55608047790729209</v>
      </c>
      <c r="BB60" s="64">
        <v>0</v>
      </c>
      <c r="BE60">
        <v>4.8091388440796259E-2</v>
      </c>
      <c r="BF60">
        <v>4.9764199825009278E-2</v>
      </c>
      <c r="BH60">
        <v>9.7855588265805538E-2</v>
      </c>
      <c r="BI60">
        <v>4.8927794132902769E-2</v>
      </c>
      <c r="BJ60">
        <v>0.27804023895364599</v>
      </c>
      <c r="BP60">
        <v>1</v>
      </c>
    </row>
    <row r="61" spans="1:68" x14ac:dyDescent="0.3">
      <c r="A61" t="s">
        <v>48</v>
      </c>
      <c r="B61" s="12" t="s">
        <v>724</v>
      </c>
      <c r="C61" s="12"/>
      <c r="F61">
        <v>4.3</v>
      </c>
      <c r="G61" t="s">
        <v>36</v>
      </c>
      <c r="H61" s="8" t="s">
        <v>552</v>
      </c>
      <c r="I61" t="s">
        <v>630</v>
      </c>
      <c r="L61" s="20">
        <v>2</v>
      </c>
      <c r="M61">
        <v>8</v>
      </c>
      <c r="N61">
        <v>0</v>
      </c>
      <c r="T61" s="20">
        <v>7.4836094600000003</v>
      </c>
      <c r="U61" s="20">
        <v>7.4836094600000003</v>
      </c>
      <c r="V61" s="20">
        <v>7.4836094600000003</v>
      </c>
      <c r="W61">
        <v>10.34</v>
      </c>
      <c r="X61">
        <v>10.34</v>
      </c>
      <c r="Y61">
        <v>10.34</v>
      </c>
      <c r="Z61">
        <v>0</v>
      </c>
      <c r="AC61" t="s">
        <v>464</v>
      </c>
      <c r="AD61">
        <v>14</v>
      </c>
      <c r="AE61" s="44">
        <f t="shared" si="0"/>
        <v>0</v>
      </c>
      <c r="AF61" s="46">
        <v>296.35915518228359</v>
      </c>
      <c r="AG61" s="44">
        <v>1105.507304</v>
      </c>
      <c r="AH61" s="44">
        <v>0</v>
      </c>
      <c r="AJ61" s="40">
        <v>9.4479956196318104E-2</v>
      </c>
      <c r="AK61" s="41">
        <v>0.1013109543417363</v>
      </c>
      <c r="AM61" s="23">
        <v>1.8181818181818179</v>
      </c>
      <c r="AN61" s="23">
        <v>2.545454545454545</v>
      </c>
      <c r="AO61" s="23">
        <v>0.72727272727272729</v>
      </c>
      <c r="AP61" s="23">
        <v>0</v>
      </c>
      <c r="AQ61" s="23">
        <v>0.35714285714285721</v>
      </c>
      <c r="AR61" s="23">
        <v>0.5</v>
      </c>
      <c r="AS61" s="23">
        <v>0.1428571428571429</v>
      </c>
      <c r="AT61" s="23">
        <v>0</v>
      </c>
      <c r="AU61" s="20">
        <v>1</v>
      </c>
      <c r="AV61" s="20">
        <v>3.44</v>
      </c>
      <c r="AW61" s="20">
        <v>2.44</v>
      </c>
      <c r="AX61" s="20">
        <v>2.6618181818181821</v>
      </c>
      <c r="AY61">
        <v>2.6618181818181821</v>
      </c>
      <c r="AZ61">
        <v>6.0537295018181814</v>
      </c>
      <c r="BA61" s="64">
        <v>0.50642227837041764</v>
      </c>
      <c r="BB61" s="64">
        <v>0.5430371307011983</v>
      </c>
      <c r="BE61">
        <v>4.7239978098159073E-2</v>
      </c>
      <c r="BF61">
        <v>5.0655477170868157E-2</v>
      </c>
      <c r="BH61">
        <v>9.789545526902721E-2</v>
      </c>
      <c r="BI61">
        <v>4.8947727634513619E-2</v>
      </c>
      <c r="BJ61">
        <v>0.52472970453580792</v>
      </c>
      <c r="BP61">
        <v>1</v>
      </c>
    </row>
    <row r="62" spans="1:68" x14ac:dyDescent="0.3">
      <c r="A62" t="s">
        <v>49</v>
      </c>
      <c r="B62" s="12" t="s">
        <v>725</v>
      </c>
      <c r="C62" s="12"/>
      <c r="F62">
        <v>4</v>
      </c>
      <c r="G62" t="s">
        <v>36</v>
      </c>
      <c r="H62" s="8" t="s">
        <v>553</v>
      </c>
      <c r="I62" t="s">
        <v>631</v>
      </c>
      <c r="L62" s="20">
        <v>8</v>
      </c>
      <c r="M62">
        <v>8</v>
      </c>
      <c r="N62">
        <v>0</v>
      </c>
      <c r="T62" s="20">
        <v>5.8017180100000001</v>
      </c>
      <c r="U62" s="20">
        <v>7.9756520899999996</v>
      </c>
      <c r="V62" s="20">
        <v>27.352093400000001</v>
      </c>
      <c r="W62">
        <v>26.646989999999999</v>
      </c>
      <c r="X62">
        <v>7.9359999999999999</v>
      </c>
      <c r="Y62">
        <v>5.7050000000000001</v>
      </c>
      <c r="Z62">
        <v>0</v>
      </c>
      <c r="AC62" t="s">
        <v>464</v>
      </c>
      <c r="AD62">
        <v>14</v>
      </c>
      <c r="AE62" s="44">
        <f t="shared" si="0"/>
        <v>0</v>
      </c>
      <c r="AF62" s="46">
        <v>1265.6493143942739</v>
      </c>
      <c r="AG62" s="44">
        <v>1206.4392746112001</v>
      </c>
      <c r="AH62" s="44">
        <v>0</v>
      </c>
      <c r="AJ62" s="40">
        <v>8.8492127105210025E-2</v>
      </c>
      <c r="AK62" s="41">
        <v>9.2835174017436004E-2</v>
      </c>
      <c r="AM62" s="23">
        <v>1.8181818181818179</v>
      </c>
      <c r="AN62" s="23">
        <v>2.545454545454545</v>
      </c>
      <c r="AO62" s="23">
        <v>0.72727272727272729</v>
      </c>
      <c r="AP62" s="23">
        <v>0</v>
      </c>
      <c r="AQ62" s="23">
        <v>0.35714285714285721</v>
      </c>
      <c r="AR62" s="23">
        <v>0.5</v>
      </c>
      <c r="AS62" s="23">
        <v>0.1428571428571429</v>
      </c>
      <c r="AT62" s="23">
        <v>0</v>
      </c>
      <c r="AU62" s="20">
        <v>0.95</v>
      </c>
      <c r="AV62" s="20">
        <v>3.44</v>
      </c>
      <c r="AW62" s="20">
        <v>2.4900000000000002</v>
      </c>
      <c r="AX62" s="20">
        <v>2.6527272727272719</v>
      </c>
      <c r="AY62">
        <v>2.6527272727272728</v>
      </c>
      <c r="AZ62">
        <v>6.0182046818181814</v>
      </c>
      <c r="BA62" s="64">
        <v>0.5176653673612065</v>
      </c>
      <c r="BB62" s="64">
        <v>0.54307152550012683</v>
      </c>
      <c r="BE62">
        <v>4.4246063552605013E-2</v>
      </c>
      <c r="BF62">
        <v>4.6417587008717988E-2</v>
      </c>
      <c r="BH62">
        <v>9.0663650561323014E-2</v>
      </c>
      <c r="BI62">
        <v>4.53318252806615E-2</v>
      </c>
      <c r="BJ62">
        <v>0.53036844643066661</v>
      </c>
      <c r="BP62">
        <v>1</v>
      </c>
    </row>
    <row r="63" spans="1:68" x14ac:dyDescent="0.3">
      <c r="A63" t="s">
        <v>38</v>
      </c>
      <c r="B63" s="12" t="s">
        <v>714</v>
      </c>
      <c r="C63" s="12"/>
      <c r="F63">
        <v>3.91</v>
      </c>
      <c r="G63" t="s">
        <v>36</v>
      </c>
      <c r="H63" s="8" t="s">
        <v>545</v>
      </c>
      <c r="I63" t="s">
        <v>626</v>
      </c>
      <c r="L63" s="20">
        <v>1</v>
      </c>
      <c r="M63">
        <v>1</v>
      </c>
      <c r="N63">
        <v>0</v>
      </c>
      <c r="T63" s="20">
        <v>5.8532381300000003</v>
      </c>
      <c r="U63" s="20">
        <v>5.8532371599999999</v>
      </c>
      <c r="V63" s="20">
        <v>11.912811489999999</v>
      </c>
      <c r="W63">
        <v>5.7946</v>
      </c>
      <c r="X63">
        <v>5.7946</v>
      </c>
      <c r="Y63">
        <v>11.787599999999999</v>
      </c>
      <c r="Z63">
        <v>0</v>
      </c>
      <c r="AC63" t="s">
        <v>464</v>
      </c>
      <c r="AD63">
        <v>30</v>
      </c>
      <c r="AE63" s="44">
        <f t="shared" si="0"/>
        <v>0</v>
      </c>
      <c r="AF63" s="46">
        <v>353.45760058531442</v>
      </c>
      <c r="AG63" s="44">
        <v>342.77011164986573</v>
      </c>
      <c r="AH63" s="44">
        <v>0</v>
      </c>
      <c r="AJ63" s="40">
        <v>8.487580957467307E-2</v>
      </c>
      <c r="AK63" s="41">
        <v>8.752221672887435E-2</v>
      </c>
      <c r="AM63" s="23">
        <v>1.833333333333333</v>
      </c>
      <c r="AN63" s="23">
        <v>2.5</v>
      </c>
      <c r="AO63" s="23">
        <v>0.66666666666666663</v>
      </c>
      <c r="AP63" s="23">
        <v>0</v>
      </c>
      <c r="AQ63" s="23">
        <v>0.36666666666666659</v>
      </c>
      <c r="AR63" s="23">
        <v>0.5</v>
      </c>
      <c r="AS63" s="23">
        <v>0.1333333333333333</v>
      </c>
      <c r="AT63" s="23">
        <v>0</v>
      </c>
      <c r="AU63" s="20">
        <v>0.89</v>
      </c>
      <c r="AV63" s="20">
        <v>3.44</v>
      </c>
      <c r="AW63" s="20">
        <v>2.5499999999999998</v>
      </c>
      <c r="AX63" s="20">
        <v>2.6020833333333329</v>
      </c>
      <c r="AY63">
        <v>2.6020833333333329</v>
      </c>
      <c r="AZ63">
        <v>5.9098726145833336</v>
      </c>
      <c r="BA63" s="64">
        <v>0.57410011132036598</v>
      </c>
      <c r="BB63" s="64">
        <v>0.59200041353179045</v>
      </c>
      <c r="BE63">
        <v>4.2437904787336528E-2</v>
      </c>
      <c r="BF63">
        <v>4.3761108364437168E-2</v>
      </c>
      <c r="BH63">
        <v>8.619901315177371E-2</v>
      </c>
      <c r="BI63">
        <v>4.3099506575886848E-2</v>
      </c>
      <c r="BJ63">
        <v>0.58305026242607827</v>
      </c>
      <c r="BP63">
        <v>1</v>
      </c>
    </row>
    <row r="64" spans="1:68" x14ac:dyDescent="0.3">
      <c r="A64" t="s">
        <v>51</v>
      </c>
      <c r="B64" s="12" t="s">
        <v>703</v>
      </c>
      <c r="C64" s="12"/>
      <c r="F64">
        <v>5.5</v>
      </c>
      <c r="G64" t="s">
        <v>52</v>
      </c>
      <c r="H64" s="8" t="s">
        <v>536</v>
      </c>
      <c r="I64" t="s">
        <v>617</v>
      </c>
      <c r="L64" s="20">
        <v>1</v>
      </c>
      <c r="M64">
        <v>4</v>
      </c>
      <c r="N64">
        <v>0</v>
      </c>
      <c r="T64" s="20">
        <v>12.88926011</v>
      </c>
      <c r="U64" s="20">
        <v>12.88926011</v>
      </c>
      <c r="V64" s="20">
        <v>12.88926011</v>
      </c>
      <c r="W64">
        <v>5.5223699999999996</v>
      </c>
      <c r="X64">
        <v>5.5240799999999997</v>
      </c>
      <c r="Y64">
        <v>25.026399999999999</v>
      </c>
      <c r="Z64">
        <v>0</v>
      </c>
      <c r="AC64" t="s">
        <v>464</v>
      </c>
      <c r="AD64">
        <v>18</v>
      </c>
      <c r="AE64" s="44">
        <f t="shared" si="0"/>
        <v>0</v>
      </c>
      <c r="AF64" s="46">
        <v>195.03203980213701</v>
      </c>
      <c r="AG64" s="44">
        <v>763.45570050087724</v>
      </c>
      <c r="AH64" s="44">
        <v>0</v>
      </c>
      <c r="AJ64" s="40">
        <v>9.2292528029042184E-2</v>
      </c>
      <c r="AK64" s="41">
        <v>9.4308025930991482E-2</v>
      </c>
      <c r="AM64" s="23">
        <v>2</v>
      </c>
      <c r="AN64" s="23">
        <v>3</v>
      </c>
      <c r="AO64" s="23">
        <v>1.857142857142857</v>
      </c>
      <c r="AP64" s="23">
        <v>4</v>
      </c>
      <c r="AQ64" s="23">
        <v>0.18421052631578949</v>
      </c>
      <c r="AR64" s="23">
        <v>0.27631578947368418</v>
      </c>
      <c r="AS64" s="23">
        <v>0.1710526315789474</v>
      </c>
      <c r="AT64" s="23">
        <v>0.36842105263157893</v>
      </c>
      <c r="AU64" s="20">
        <v>0.95</v>
      </c>
      <c r="AV64" s="20">
        <v>3.44</v>
      </c>
      <c r="AW64" s="20">
        <v>2.4900000000000002</v>
      </c>
      <c r="AX64" s="20">
        <v>2.782142857142857</v>
      </c>
      <c r="AY64">
        <v>2.7821428571428579</v>
      </c>
      <c r="AZ64">
        <v>6.2021612289285706</v>
      </c>
      <c r="BA64" s="64">
        <v>0.52524560229640982</v>
      </c>
      <c r="BB64" s="64">
        <v>0.53671599358424449</v>
      </c>
      <c r="BE64">
        <v>4.6146264014521092E-2</v>
      </c>
      <c r="BF64">
        <v>4.7154012965495741E-2</v>
      </c>
      <c r="BH64">
        <v>9.3300276980016833E-2</v>
      </c>
      <c r="BI64">
        <v>4.6650138490008423E-2</v>
      </c>
      <c r="BJ64">
        <v>0.53098079794032715</v>
      </c>
    </row>
    <row r="65" spans="1:68" x14ac:dyDescent="0.3">
      <c r="A65" t="s">
        <v>53</v>
      </c>
      <c r="B65" s="12" t="s">
        <v>726</v>
      </c>
      <c r="C65" s="12"/>
      <c r="F65">
        <v>1.96</v>
      </c>
      <c r="G65" t="s">
        <v>54</v>
      </c>
      <c r="H65" s="8" t="s">
        <v>554</v>
      </c>
      <c r="I65">
        <v>-1</v>
      </c>
      <c r="L65" s="20">
        <v>1</v>
      </c>
      <c r="M65">
        <v>0</v>
      </c>
      <c r="N65">
        <v>0</v>
      </c>
      <c r="R65" t="s">
        <v>444</v>
      </c>
      <c r="T65" s="20">
        <v>5.6904349999999999</v>
      </c>
      <c r="U65" s="20">
        <v>5.6904349999999999</v>
      </c>
      <c r="V65" s="20">
        <v>4.0362910000000003</v>
      </c>
      <c r="W65">
        <v>0</v>
      </c>
      <c r="Z65">
        <v>0</v>
      </c>
      <c r="AC65" t="s">
        <v>464</v>
      </c>
      <c r="AD65">
        <v>12</v>
      </c>
      <c r="AE65" s="44">
        <f t="shared" si="0"/>
        <v>0</v>
      </c>
      <c r="AF65" s="46">
        <v>130.69934266020451</v>
      </c>
      <c r="AG65" s="44">
        <v>0</v>
      </c>
      <c r="AH65" s="44">
        <v>0</v>
      </c>
      <c r="AJ65" s="40">
        <v>9.1813774696617348E-2</v>
      </c>
      <c r="AM65" s="23">
        <v>2</v>
      </c>
      <c r="AN65" s="23">
        <v>2.6</v>
      </c>
      <c r="AO65" s="23">
        <v>1.6</v>
      </c>
      <c r="AP65" s="23">
        <v>0</v>
      </c>
      <c r="AQ65" s="23">
        <v>0.32258064516129031</v>
      </c>
      <c r="AR65" s="23">
        <v>0.41935483870967738</v>
      </c>
      <c r="AS65" s="23">
        <v>0.25806451612903231</v>
      </c>
      <c r="AT65" s="23">
        <v>0</v>
      </c>
      <c r="AU65" s="20">
        <v>0.95</v>
      </c>
      <c r="AV65" s="20">
        <v>3.44</v>
      </c>
      <c r="AW65" s="20">
        <v>2.4900000000000002</v>
      </c>
      <c r="AX65" s="20">
        <v>2.633</v>
      </c>
      <c r="AY65">
        <v>2.633</v>
      </c>
      <c r="AZ65">
        <v>5.9240260669999998</v>
      </c>
      <c r="BA65" s="64">
        <v>0</v>
      </c>
      <c r="BE65">
        <v>4.5906887348308653E-2</v>
      </c>
      <c r="BH65">
        <v>9.1813774696617348E-2</v>
      </c>
      <c r="BI65">
        <v>4.5906887348308653E-2</v>
      </c>
      <c r="BJ65">
        <v>0</v>
      </c>
    </row>
    <row r="66" spans="1:68" x14ac:dyDescent="0.3">
      <c r="A66" t="s">
        <v>44</v>
      </c>
      <c r="B66" s="12" t="s">
        <v>720</v>
      </c>
      <c r="C66" s="12"/>
      <c r="F66">
        <v>3.63</v>
      </c>
      <c r="G66" t="s">
        <v>55</v>
      </c>
      <c r="H66" s="8" t="s">
        <v>549</v>
      </c>
      <c r="I66">
        <v>-1</v>
      </c>
      <c r="L66" s="20">
        <v>1</v>
      </c>
      <c r="M66">
        <v>0</v>
      </c>
      <c r="N66">
        <v>0</v>
      </c>
      <c r="O66">
        <v>3.8769</v>
      </c>
      <c r="P66">
        <v>3.8769</v>
      </c>
      <c r="Q66">
        <v>29.824000000000002</v>
      </c>
      <c r="R66" t="s">
        <v>440</v>
      </c>
      <c r="T66" s="20">
        <v>15.28115725</v>
      </c>
      <c r="U66" s="20">
        <v>15.28115725</v>
      </c>
      <c r="V66" s="20">
        <v>15.28115725</v>
      </c>
      <c r="W66">
        <v>0</v>
      </c>
      <c r="Z66">
        <v>0</v>
      </c>
      <c r="AC66" t="s">
        <v>464</v>
      </c>
      <c r="AD66">
        <v>20</v>
      </c>
      <c r="AE66" s="44">
        <f t="shared" si="0"/>
        <v>448.26526606464006</v>
      </c>
      <c r="AF66" s="46">
        <v>229.90248606119221</v>
      </c>
      <c r="AG66" s="44">
        <v>0</v>
      </c>
      <c r="AH66" s="44">
        <v>0</v>
      </c>
      <c r="AJ66" s="40">
        <v>8.6993404650164072E-2</v>
      </c>
      <c r="AM66" s="23">
        <v>1.882352941176471</v>
      </c>
      <c r="AN66" s="23">
        <v>2.3529411764705879</v>
      </c>
      <c r="AO66" s="23">
        <v>0.47058823529411759</v>
      </c>
      <c r="AP66" s="23">
        <v>0</v>
      </c>
      <c r="AQ66" s="23">
        <v>0.4</v>
      </c>
      <c r="AR66" s="23">
        <v>0.5</v>
      </c>
      <c r="AS66" s="23">
        <v>9.9999999999999992E-2</v>
      </c>
      <c r="AT66" s="23">
        <v>0</v>
      </c>
      <c r="AU66" s="20">
        <v>0.82</v>
      </c>
      <c r="AV66" s="20">
        <v>3.44</v>
      </c>
      <c r="AW66" s="20">
        <v>2.62</v>
      </c>
      <c r="AX66" s="20">
        <v>2.5211764705882351</v>
      </c>
      <c r="AY66">
        <v>2.521176470588236</v>
      </c>
      <c r="AZ66">
        <v>5.6898745917647062</v>
      </c>
      <c r="BA66" s="64">
        <v>0.57369840599679445</v>
      </c>
      <c r="BE66">
        <v>4.3496702325082043E-2</v>
      </c>
      <c r="BH66">
        <v>8.6993404650164072E-2</v>
      </c>
      <c r="BI66">
        <v>4.3496702325082043E-2</v>
      </c>
      <c r="BJ66">
        <v>0.57369840599679445</v>
      </c>
    </row>
    <row r="67" spans="1:68" x14ac:dyDescent="0.3">
      <c r="A67" t="s">
        <v>677</v>
      </c>
      <c r="B67" s="16" t="s">
        <v>893</v>
      </c>
      <c r="C67" s="12"/>
      <c r="F67">
        <v>2.67</v>
      </c>
      <c r="G67" t="s">
        <v>55</v>
      </c>
      <c r="H67" s="8">
        <v>-1</v>
      </c>
      <c r="I67">
        <v>-1</v>
      </c>
      <c r="K67">
        <v>2</v>
      </c>
      <c r="L67" s="20">
        <v>0</v>
      </c>
      <c r="M67">
        <v>0</v>
      </c>
      <c r="N67">
        <v>0</v>
      </c>
      <c r="O67">
        <v>3.8079999999999998</v>
      </c>
      <c r="P67">
        <v>3.8079999999999998</v>
      </c>
      <c r="Q67">
        <v>28.87</v>
      </c>
      <c r="R67" t="s">
        <v>440</v>
      </c>
      <c r="T67" s="20">
        <v>0</v>
      </c>
      <c r="U67" s="20"/>
      <c r="V67" s="20"/>
      <c r="W67">
        <v>0</v>
      </c>
      <c r="Z67">
        <v>0</v>
      </c>
      <c r="AC67" t="s">
        <v>464</v>
      </c>
      <c r="AD67">
        <v>20</v>
      </c>
      <c r="AE67" s="44">
        <f t="shared" ref="AE67:AE130" si="2">O67*P67*Q67</f>
        <v>418.63994367999999</v>
      </c>
      <c r="AF67" s="46">
        <v>0</v>
      </c>
      <c r="AG67" s="44">
        <v>0</v>
      </c>
      <c r="AH67" s="44">
        <v>0</v>
      </c>
      <c r="AI67" s="41">
        <f>K67*AD67/AE67</f>
        <v>9.5547499955176765E-2</v>
      </c>
      <c r="AJ67" s="40"/>
      <c r="AM67" s="23">
        <v>1.933534743202417</v>
      </c>
      <c r="AN67" s="23">
        <v>2.4712990936555901</v>
      </c>
      <c r="AO67" s="23">
        <v>0.75528700906344426</v>
      </c>
      <c r="AP67" s="23">
        <v>0</v>
      </c>
      <c r="AQ67" s="23">
        <v>0.37470725995316168</v>
      </c>
      <c r="AR67" s="23">
        <v>0.47892271662763469</v>
      </c>
      <c r="AS67" s="23">
        <v>0.1463700234192038</v>
      </c>
      <c r="AT67" s="23">
        <v>0</v>
      </c>
      <c r="AU67" s="20">
        <v>0.82</v>
      </c>
      <c r="AV67" s="20">
        <v>3.44</v>
      </c>
      <c r="AW67" s="20">
        <v>2.62</v>
      </c>
      <c r="AX67" s="20">
        <v>2.673474320241692</v>
      </c>
      <c r="AY67">
        <v>2.673474320241692</v>
      </c>
      <c r="AZ67">
        <v>6.086490604281928</v>
      </c>
      <c r="BD67">
        <v>4.7773749977588383E-2</v>
      </c>
      <c r="BH67">
        <v>9.5547499955176765E-2</v>
      </c>
      <c r="BI67">
        <v>4.7773749977588383E-2</v>
      </c>
      <c r="BJ67">
        <v>0</v>
      </c>
    </row>
    <row r="68" spans="1:68" x14ac:dyDescent="0.3">
      <c r="A68" t="s">
        <v>44</v>
      </c>
      <c r="B68" s="16" t="s">
        <v>720</v>
      </c>
      <c r="C68" s="12"/>
      <c r="D68" t="s">
        <v>676</v>
      </c>
      <c r="E68" t="s">
        <v>1067</v>
      </c>
      <c r="F68">
        <v>3.59</v>
      </c>
      <c r="G68" t="s">
        <v>55</v>
      </c>
      <c r="H68" s="8" t="s">
        <v>549</v>
      </c>
      <c r="I68">
        <v>-1</v>
      </c>
      <c r="L68" s="20">
        <v>1</v>
      </c>
      <c r="M68">
        <v>0</v>
      </c>
      <c r="N68">
        <v>0</v>
      </c>
      <c r="O68">
        <f xml:space="preserve"> 3.857</f>
        <v>3.8570000000000002</v>
      </c>
      <c r="P68">
        <f xml:space="preserve"> 3.857</f>
        <v>3.8570000000000002</v>
      </c>
      <c r="Q68">
        <v>14.692</v>
      </c>
      <c r="R68" t="s">
        <v>439</v>
      </c>
      <c r="T68" s="20">
        <v>15.28115725</v>
      </c>
      <c r="U68" s="20">
        <v>15.28115725</v>
      </c>
      <c r="V68" s="20">
        <v>15.28115725</v>
      </c>
      <c r="W68">
        <v>0</v>
      </c>
      <c r="Z68">
        <v>0</v>
      </c>
      <c r="AC68" t="s">
        <v>464</v>
      </c>
      <c r="AD68">
        <v>20</v>
      </c>
      <c r="AE68" s="44">
        <f t="shared" si="2"/>
        <v>218.56478870800001</v>
      </c>
      <c r="AF68" s="46">
        <v>229.90248606119221</v>
      </c>
      <c r="AG68" s="44">
        <v>0</v>
      </c>
      <c r="AH68" s="44">
        <v>0</v>
      </c>
      <c r="AJ68" s="40">
        <v>8.6993404650164072E-2</v>
      </c>
      <c r="AM68" s="23">
        <v>1.882352941176471</v>
      </c>
      <c r="AN68" s="23">
        <v>2.3529411764705879</v>
      </c>
      <c r="AO68" s="23">
        <v>0.47058823529411759</v>
      </c>
      <c r="AP68" s="23">
        <v>0</v>
      </c>
      <c r="AQ68" s="23">
        <v>0.4</v>
      </c>
      <c r="AR68" s="23">
        <v>0.5</v>
      </c>
      <c r="AS68" s="23">
        <v>9.9999999999999992E-2</v>
      </c>
      <c r="AT68" s="23">
        <v>0</v>
      </c>
      <c r="AU68" s="20">
        <v>0.82</v>
      </c>
      <c r="AV68" s="20">
        <v>3.44</v>
      </c>
      <c r="AW68" s="20">
        <v>2.62</v>
      </c>
      <c r="AX68" s="20">
        <v>2.5211764705882351</v>
      </c>
      <c r="AY68">
        <v>2.521176470588236</v>
      </c>
      <c r="AZ68">
        <v>5.6898745917647062</v>
      </c>
      <c r="BA68" s="64">
        <v>0.57369840599679445</v>
      </c>
      <c r="BE68">
        <v>4.3496702325082043E-2</v>
      </c>
      <c r="BH68">
        <v>8.6993404650164072E-2</v>
      </c>
      <c r="BI68">
        <v>4.3496702325082043E-2</v>
      </c>
      <c r="BJ68">
        <v>0.57369840599679445</v>
      </c>
    </row>
    <row r="69" spans="1:68" x14ac:dyDescent="0.3">
      <c r="A69" t="s">
        <v>107</v>
      </c>
      <c r="B69" s="12" t="s">
        <v>728</v>
      </c>
      <c r="C69" s="12"/>
      <c r="F69">
        <v>2.34</v>
      </c>
      <c r="G69" t="s">
        <v>447</v>
      </c>
      <c r="H69" s="8" t="s">
        <v>555</v>
      </c>
      <c r="I69" t="s">
        <v>632</v>
      </c>
      <c r="L69" s="20">
        <v>0</v>
      </c>
      <c r="M69">
        <v>4</v>
      </c>
      <c r="N69">
        <v>0</v>
      </c>
      <c r="T69" s="20">
        <v>0</v>
      </c>
      <c r="U69" s="20"/>
      <c r="V69" s="20"/>
      <c r="W69">
        <v>32.83</v>
      </c>
      <c r="X69">
        <v>5.4109999999999996</v>
      </c>
      <c r="Y69">
        <v>5.4480000000000004</v>
      </c>
      <c r="Z69">
        <v>0</v>
      </c>
      <c r="AD69">
        <v>20</v>
      </c>
      <c r="AE69" s="44">
        <f t="shared" si="2"/>
        <v>0</v>
      </c>
      <c r="AF69" s="46">
        <v>0</v>
      </c>
      <c r="AG69" s="44">
        <v>967.79977224000004</v>
      </c>
      <c r="AH69" s="44">
        <v>0</v>
      </c>
      <c r="AJ69" s="40"/>
      <c r="AK69" s="41">
        <v>8.2661726417684239E-2</v>
      </c>
      <c r="AM69" s="23">
        <v>2</v>
      </c>
      <c r="AN69" s="23">
        <v>3.0666666666666669</v>
      </c>
      <c r="AO69" s="23">
        <v>1.7333333333333329</v>
      </c>
      <c r="AP69" s="23">
        <v>1.8666666666666669</v>
      </c>
      <c r="AQ69" s="23">
        <v>0.23076923076923081</v>
      </c>
      <c r="AR69" s="23">
        <v>0.35384615384615392</v>
      </c>
      <c r="AS69" s="23">
        <v>0.2</v>
      </c>
      <c r="AT69" s="23">
        <v>0.2153846153846154</v>
      </c>
      <c r="AU69" s="20">
        <v>1.54</v>
      </c>
      <c r="AV69" s="20">
        <v>3.44</v>
      </c>
      <c r="AW69" s="20">
        <v>1.9</v>
      </c>
      <c r="AX69" s="20">
        <v>2.8706666666666658</v>
      </c>
      <c r="AY69">
        <v>2.8706666666666671</v>
      </c>
      <c r="AZ69">
        <v>6.2652784753333339</v>
      </c>
      <c r="BA69" s="64">
        <v>0.52818907539878324</v>
      </c>
      <c r="BB69" s="64">
        <v>0.54796980145127927</v>
      </c>
      <c r="BF69">
        <v>4.133086320884212E-2</v>
      </c>
      <c r="BH69">
        <v>8.2661726417684239E-2</v>
      </c>
      <c r="BI69">
        <v>4.133086320884212E-2</v>
      </c>
      <c r="BJ69">
        <v>0.53807943842503125</v>
      </c>
    </row>
    <row r="70" spans="1:68" x14ac:dyDescent="0.3">
      <c r="A70" t="s">
        <v>107</v>
      </c>
      <c r="B70" s="16" t="s">
        <v>728</v>
      </c>
      <c r="C70" s="12"/>
      <c r="D70" t="s">
        <v>678</v>
      </c>
      <c r="E70" t="s">
        <v>1067</v>
      </c>
      <c r="F70">
        <v>1.64</v>
      </c>
      <c r="G70" t="s">
        <v>447</v>
      </c>
      <c r="H70" s="8" t="s">
        <v>555</v>
      </c>
      <c r="I70" t="s">
        <v>632</v>
      </c>
      <c r="L70" s="20">
        <v>0</v>
      </c>
      <c r="M70">
        <v>4</v>
      </c>
      <c r="N70">
        <v>0</v>
      </c>
      <c r="T70" s="20">
        <v>0</v>
      </c>
      <c r="U70" s="20"/>
      <c r="V70" s="20"/>
      <c r="W70">
        <v>32.83</v>
      </c>
      <c r="X70">
        <v>5.4109999999999996</v>
      </c>
      <c r="Y70">
        <v>5.4480000000000004</v>
      </c>
      <c r="Z70">
        <v>0</v>
      </c>
      <c r="AD70">
        <v>20</v>
      </c>
      <c r="AE70" s="44">
        <f t="shared" si="2"/>
        <v>0</v>
      </c>
      <c r="AF70" s="46">
        <v>0</v>
      </c>
      <c r="AG70" s="44">
        <v>967.79977224000004</v>
      </c>
      <c r="AH70" s="44">
        <v>0</v>
      </c>
      <c r="AJ70" s="40"/>
      <c r="AK70" s="41">
        <v>8.2661726417684239E-2</v>
      </c>
      <c r="AM70" s="23">
        <v>2</v>
      </c>
      <c r="AN70" s="23">
        <v>3.0666666666666669</v>
      </c>
      <c r="AO70" s="23">
        <v>1.7333333333333329</v>
      </c>
      <c r="AP70" s="23">
        <v>1.8666666666666669</v>
      </c>
      <c r="AQ70" s="23">
        <v>0.23076923076923081</v>
      </c>
      <c r="AR70" s="23">
        <v>0.35384615384615392</v>
      </c>
      <c r="AS70" s="23">
        <v>0.2</v>
      </c>
      <c r="AT70" s="23">
        <v>0.2153846153846154</v>
      </c>
      <c r="AU70" s="20">
        <v>1.54</v>
      </c>
      <c r="AV70" s="20">
        <v>3.44</v>
      </c>
      <c r="AW70" s="20">
        <v>1.9</v>
      </c>
      <c r="AX70" s="20">
        <v>2.8706666666666658</v>
      </c>
      <c r="AY70">
        <v>2.8706666666666671</v>
      </c>
      <c r="AZ70">
        <v>6.2652784753333339</v>
      </c>
      <c r="BA70" s="64">
        <v>0.52818907539878324</v>
      </c>
      <c r="BB70" s="64">
        <v>0.54796980145127927</v>
      </c>
      <c r="BF70">
        <v>4.133086320884212E-2</v>
      </c>
      <c r="BH70">
        <v>8.2661726417684239E-2</v>
      </c>
      <c r="BI70">
        <v>4.133086320884212E-2</v>
      </c>
      <c r="BJ70">
        <v>0.53807943842503125</v>
      </c>
    </row>
    <row r="71" spans="1:68" x14ac:dyDescent="0.3">
      <c r="A71" t="s">
        <v>185</v>
      </c>
      <c r="B71" s="12" t="s">
        <v>729</v>
      </c>
      <c r="C71" s="12"/>
      <c r="F71">
        <v>4.5999999999999996</v>
      </c>
      <c r="G71" t="s">
        <v>57</v>
      </c>
      <c r="H71" s="8" t="s">
        <v>556</v>
      </c>
      <c r="I71" t="s">
        <v>633</v>
      </c>
      <c r="L71" s="20">
        <v>2</v>
      </c>
      <c r="M71">
        <v>4</v>
      </c>
      <c r="N71">
        <v>0</v>
      </c>
      <c r="T71" s="20">
        <v>13.81974189</v>
      </c>
      <c r="U71" s="20">
        <v>13.81974189</v>
      </c>
      <c r="V71" s="20">
        <v>5.7110870199999999</v>
      </c>
      <c r="W71">
        <v>3.94</v>
      </c>
      <c r="X71">
        <v>27.15</v>
      </c>
      <c r="Y71">
        <v>5.6920000000000002</v>
      </c>
      <c r="Z71">
        <v>0</v>
      </c>
      <c r="AD71">
        <v>14</v>
      </c>
      <c r="AE71" s="44">
        <f t="shared" si="2"/>
        <v>0</v>
      </c>
      <c r="AF71" s="46">
        <v>309.44138863753989</v>
      </c>
      <c r="AG71" s="44">
        <v>608.87893199999996</v>
      </c>
      <c r="AH71" s="44">
        <v>0</v>
      </c>
      <c r="AJ71" s="40">
        <v>9.0485633235046756E-2</v>
      </c>
      <c r="AK71" s="41">
        <v>9.1972306901891634E-2</v>
      </c>
      <c r="AM71" s="23">
        <v>2</v>
      </c>
      <c r="AN71" s="23">
        <v>2.545454545454545</v>
      </c>
      <c r="AO71" s="23">
        <v>0.54545454545454541</v>
      </c>
      <c r="AP71" s="23">
        <v>2.545454545454545</v>
      </c>
      <c r="AQ71" s="23">
        <v>0.26190476190476192</v>
      </c>
      <c r="AR71" s="23">
        <v>0.33333333333333331</v>
      </c>
      <c r="AS71" s="23">
        <v>7.1428571428571425E-2</v>
      </c>
      <c r="AT71" s="23">
        <v>0.33333333333333331</v>
      </c>
      <c r="AU71" s="20">
        <v>0.95</v>
      </c>
      <c r="AV71" s="20">
        <v>3.44</v>
      </c>
      <c r="AW71" s="20">
        <v>2.4900000000000002</v>
      </c>
      <c r="AX71" s="20">
        <v>2.6345454545454539</v>
      </c>
      <c r="AY71">
        <v>2.6345454545454552</v>
      </c>
      <c r="AZ71">
        <v>6.036062318181818</v>
      </c>
      <c r="BA71" s="64">
        <v>0.52932707238284982</v>
      </c>
      <c r="BB71" s="64">
        <v>0.53802388525275069</v>
      </c>
      <c r="BE71">
        <v>4.5242816617523378E-2</v>
      </c>
      <c r="BF71">
        <v>4.5986153450945817E-2</v>
      </c>
      <c r="BH71">
        <v>9.1228970068469195E-2</v>
      </c>
      <c r="BI71">
        <v>4.5614485034234598E-2</v>
      </c>
      <c r="BJ71">
        <v>0.5336754788178002</v>
      </c>
      <c r="BP71">
        <v>0.9</v>
      </c>
    </row>
    <row r="72" spans="1:68" x14ac:dyDescent="0.3">
      <c r="A72" t="s">
        <v>49</v>
      </c>
      <c r="B72" s="12" t="s">
        <v>725</v>
      </c>
      <c r="C72" s="12"/>
      <c r="F72">
        <v>3.9</v>
      </c>
      <c r="G72" t="s">
        <v>57</v>
      </c>
      <c r="H72" s="8" t="s">
        <v>553</v>
      </c>
      <c r="I72" t="s">
        <v>631</v>
      </c>
      <c r="L72" s="20">
        <v>8</v>
      </c>
      <c r="M72">
        <v>8</v>
      </c>
      <c r="N72">
        <v>0</v>
      </c>
      <c r="T72" s="20">
        <v>5.8017180100000001</v>
      </c>
      <c r="U72" s="20">
        <v>7.9756520899999996</v>
      </c>
      <c r="V72" s="20">
        <v>27.352093400000001</v>
      </c>
      <c r="W72">
        <v>26.646989999999999</v>
      </c>
      <c r="X72">
        <v>7.9359999999999999</v>
      </c>
      <c r="Y72">
        <v>5.7050000000000001</v>
      </c>
      <c r="Z72">
        <v>0</v>
      </c>
      <c r="AD72">
        <v>14</v>
      </c>
      <c r="AE72" s="44">
        <f t="shared" si="2"/>
        <v>0</v>
      </c>
      <c r="AF72" s="46">
        <v>1265.6493143942739</v>
      </c>
      <c r="AG72" s="44">
        <v>1206.4392746112001</v>
      </c>
      <c r="AH72" s="44">
        <v>0</v>
      </c>
      <c r="AJ72" s="40">
        <v>8.8492127105210025E-2</v>
      </c>
      <c r="AK72" s="41">
        <v>9.2835174017436004E-2</v>
      </c>
      <c r="AM72" s="23">
        <v>1.8181818181818179</v>
      </c>
      <c r="AN72" s="23">
        <v>2.545454545454545</v>
      </c>
      <c r="AO72" s="23">
        <v>0.72727272727272729</v>
      </c>
      <c r="AP72" s="23">
        <v>0</v>
      </c>
      <c r="AQ72" s="23">
        <v>0.35714285714285721</v>
      </c>
      <c r="AR72" s="23">
        <v>0.5</v>
      </c>
      <c r="AS72" s="23">
        <v>0.1428571428571429</v>
      </c>
      <c r="AT72" s="23">
        <v>0</v>
      </c>
      <c r="AU72" s="20">
        <v>0.95</v>
      </c>
      <c r="AV72" s="20">
        <v>3.44</v>
      </c>
      <c r="AW72" s="20">
        <v>2.4900000000000002</v>
      </c>
      <c r="AX72" s="20">
        <v>2.6527272727272719</v>
      </c>
      <c r="AY72">
        <v>2.6527272727272728</v>
      </c>
      <c r="AZ72">
        <v>6.0182046818181814</v>
      </c>
      <c r="BA72" s="64">
        <v>0.5176653673612065</v>
      </c>
      <c r="BB72" s="64">
        <v>0.54307152550012683</v>
      </c>
      <c r="BE72">
        <v>4.4246063552605013E-2</v>
      </c>
      <c r="BF72">
        <v>4.6417587008717988E-2</v>
      </c>
      <c r="BH72">
        <v>9.0663650561323014E-2</v>
      </c>
      <c r="BI72">
        <v>4.53318252806615E-2</v>
      </c>
      <c r="BJ72">
        <v>0.53036844643066661</v>
      </c>
      <c r="BP72">
        <v>0.7</v>
      </c>
    </row>
    <row r="73" spans="1:68" x14ac:dyDescent="0.3">
      <c r="A73" t="s">
        <v>56</v>
      </c>
      <c r="B73" s="12" t="s">
        <v>730</v>
      </c>
      <c r="C73" s="12"/>
      <c r="F73">
        <v>3.6</v>
      </c>
      <c r="G73" t="s">
        <v>57</v>
      </c>
      <c r="H73" s="8" t="s">
        <v>557</v>
      </c>
      <c r="I73" t="s">
        <v>634</v>
      </c>
      <c r="L73" s="20">
        <v>1</v>
      </c>
      <c r="M73">
        <v>4</v>
      </c>
      <c r="N73">
        <v>0</v>
      </c>
      <c r="T73" s="20">
        <v>2.92483936</v>
      </c>
      <c r="U73" s="20">
        <v>2.92483936</v>
      </c>
      <c r="V73" s="20">
        <v>3.4422619999999999</v>
      </c>
      <c r="W73">
        <v>4.1684000000000001</v>
      </c>
      <c r="X73">
        <v>4.1684000000000001</v>
      </c>
      <c r="Y73">
        <v>4.1684000000000001</v>
      </c>
      <c r="Z73">
        <v>0</v>
      </c>
      <c r="AD73">
        <v>2</v>
      </c>
      <c r="AE73" s="44">
        <f t="shared" si="2"/>
        <v>0</v>
      </c>
      <c r="AF73" s="46">
        <v>25.502259160055111</v>
      </c>
      <c r="AG73" s="44">
        <v>72.428278301504008</v>
      </c>
      <c r="AH73" s="44">
        <v>0</v>
      </c>
      <c r="AJ73" s="40">
        <v>7.8424424575398208E-2</v>
      </c>
      <c r="AK73" s="41">
        <v>0.1104540959360879</v>
      </c>
      <c r="AM73" s="23">
        <v>2</v>
      </c>
      <c r="AN73" s="23">
        <v>2</v>
      </c>
      <c r="AO73" s="23">
        <v>4</v>
      </c>
      <c r="AP73" s="23">
        <v>0</v>
      </c>
      <c r="AQ73" s="23">
        <v>0.25</v>
      </c>
      <c r="AR73" s="23">
        <v>0.25</v>
      </c>
      <c r="AS73" s="23">
        <v>0.5</v>
      </c>
      <c r="AT73" s="23">
        <v>0</v>
      </c>
      <c r="AU73" s="20">
        <v>1.91</v>
      </c>
      <c r="AV73" s="20">
        <v>3.44</v>
      </c>
      <c r="AW73" s="20">
        <v>1.53</v>
      </c>
      <c r="AX73" s="20">
        <v>2.6749999999999998</v>
      </c>
      <c r="AY73">
        <v>2.6749999999999998</v>
      </c>
      <c r="AZ73">
        <v>5.9690498749999996</v>
      </c>
      <c r="BA73" s="64">
        <v>0.32856522012819489</v>
      </c>
      <c r="BB73" s="64">
        <v>0.46275601691422702</v>
      </c>
      <c r="BE73">
        <v>3.9212212287699097E-2</v>
      </c>
      <c r="BF73">
        <v>5.5227047968043973E-2</v>
      </c>
      <c r="BH73">
        <v>9.4439260255743063E-2</v>
      </c>
      <c r="BI73">
        <v>4.7219630127871531E-2</v>
      </c>
      <c r="BJ73">
        <v>0.39566061852121093</v>
      </c>
    </row>
    <row r="74" spans="1:68" x14ac:dyDescent="0.3">
      <c r="A74" t="s">
        <v>58</v>
      </c>
      <c r="B74" s="12" t="s">
        <v>731</v>
      </c>
      <c r="C74" s="12"/>
      <c r="F74">
        <v>4.2</v>
      </c>
      <c r="G74" t="s">
        <v>57</v>
      </c>
      <c r="H74" s="8">
        <v>-1</v>
      </c>
      <c r="I74">
        <v>-1</v>
      </c>
      <c r="K74">
        <v>4</v>
      </c>
      <c r="L74" s="20">
        <v>0</v>
      </c>
      <c r="M74">
        <v>0</v>
      </c>
      <c r="N74">
        <v>0</v>
      </c>
      <c r="O74">
        <v>44.2</v>
      </c>
      <c r="P74">
        <v>7.92</v>
      </c>
      <c r="Q74">
        <v>6.46</v>
      </c>
      <c r="S74" t="s">
        <v>1142</v>
      </c>
      <c r="T74" s="20">
        <v>0</v>
      </c>
      <c r="U74" s="20"/>
      <c r="V74" s="20"/>
      <c r="W74">
        <v>0</v>
      </c>
      <c r="Z74">
        <v>0</v>
      </c>
      <c r="AD74">
        <v>34</v>
      </c>
      <c r="AE74" s="44">
        <f t="shared" si="2"/>
        <v>2261.4134400000003</v>
      </c>
      <c r="AF74" s="46">
        <v>0</v>
      </c>
      <c r="AG74" s="44">
        <v>0</v>
      </c>
      <c r="AH74" s="44">
        <v>0</v>
      </c>
      <c r="AI74" s="41">
        <f>K74*AD74/AE74</f>
        <v>6.0139379024827931E-2</v>
      </c>
      <c r="AJ74" s="40"/>
      <c r="AM74" s="23">
        <v>1.8518518518518521</v>
      </c>
      <c r="AN74" s="23">
        <v>2.518518518518519</v>
      </c>
      <c r="AO74" s="23">
        <v>0.66666666666666663</v>
      </c>
      <c r="AP74" s="23">
        <v>3.1111111111111112</v>
      </c>
      <c r="AQ74" s="23">
        <v>0.22727272727272729</v>
      </c>
      <c r="AR74" s="23">
        <v>0.30909090909090908</v>
      </c>
      <c r="AS74" s="23">
        <v>8.1818181818181804E-2</v>
      </c>
      <c r="AT74" s="23">
        <v>0.38181818181818178</v>
      </c>
      <c r="AU74" s="20">
        <v>0.82</v>
      </c>
      <c r="AV74" s="20">
        <v>3.44</v>
      </c>
      <c r="AW74" s="20">
        <v>2.62</v>
      </c>
      <c r="AX74" s="20">
        <v>2.6207407407407399</v>
      </c>
      <c r="AY74">
        <v>2.6207407407407408</v>
      </c>
      <c r="AZ74">
        <v>5.9672971914814816</v>
      </c>
      <c r="BD74">
        <v>3.0069689512413969E-2</v>
      </c>
      <c r="BH74">
        <v>6.0139379024827931E-2</v>
      </c>
      <c r="BI74">
        <v>3.0069689512413969E-2</v>
      </c>
      <c r="BJ74">
        <v>0</v>
      </c>
    </row>
    <row r="75" spans="1:68" x14ac:dyDescent="0.3">
      <c r="A75" t="s">
        <v>59</v>
      </c>
      <c r="B75" s="12" t="s">
        <v>732</v>
      </c>
      <c r="C75" s="12"/>
      <c r="F75">
        <v>3.55</v>
      </c>
      <c r="G75" t="s">
        <v>57</v>
      </c>
      <c r="H75" s="8">
        <v>-1</v>
      </c>
      <c r="I75">
        <v>-1</v>
      </c>
      <c r="J75" t="s">
        <v>1153</v>
      </c>
      <c r="L75" s="20">
        <v>0</v>
      </c>
      <c r="M75">
        <v>0</v>
      </c>
      <c r="N75">
        <v>4</v>
      </c>
      <c r="T75" s="20">
        <v>0</v>
      </c>
      <c r="U75" s="20"/>
      <c r="V75" s="20"/>
      <c r="W75">
        <v>0</v>
      </c>
      <c r="Z75">
        <v>34.1</v>
      </c>
      <c r="AA75">
        <v>7.85</v>
      </c>
      <c r="AB75">
        <v>6.52</v>
      </c>
      <c r="AD75">
        <v>34</v>
      </c>
      <c r="AE75" s="44">
        <f t="shared" si="2"/>
        <v>0</v>
      </c>
      <c r="AF75" s="46">
        <v>0</v>
      </c>
      <c r="AG75" s="44">
        <v>0</v>
      </c>
      <c r="AH75" s="44">
        <v>1745.3062</v>
      </c>
      <c r="AJ75" s="40"/>
      <c r="AL75" s="41">
        <v>7.7923289334559179E-2</v>
      </c>
      <c r="AM75" s="23">
        <v>1.62962962962963</v>
      </c>
      <c r="AN75" s="23">
        <v>2.518518518518519</v>
      </c>
      <c r="AO75" s="23">
        <v>0.88888888888888884</v>
      </c>
      <c r="AP75" s="23">
        <v>0</v>
      </c>
      <c r="AQ75" s="23">
        <v>0.32352941176470579</v>
      </c>
      <c r="AR75" s="23">
        <v>0.5</v>
      </c>
      <c r="AS75" s="23">
        <v>0.1764705882352941</v>
      </c>
      <c r="AT75" s="23">
        <v>0</v>
      </c>
      <c r="AU75" s="20">
        <v>0.82</v>
      </c>
      <c r="AV75" s="20">
        <v>3.44</v>
      </c>
      <c r="AW75" s="20">
        <v>2.62</v>
      </c>
      <c r="AX75" s="20">
        <v>2.642962962962963</v>
      </c>
      <c r="AY75">
        <v>2.642962962962963</v>
      </c>
      <c r="AZ75">
        <v>5.9454711914814808</v>
      </c>
      <c r="BC75" s="64">
        <v>0.52945551775309363</v>
      </c>
      <c r="BG75">
        <v>3.8961644667279589E-2</v>
      </c>
      <c r="BH75">
        <v>7.7923289334559179E-2</v>
      </c>
      <c r="BI75">
        <v>3.8961644667279589E-2</v>
      </c>
      <c r="BJ75">
        <v>0.52945551775309363</v>
      </c>
    </row>
    <row r="76" spans="1:68" x14ac:dyDescent="0.3">
      <c r="A76" t="s">
        <v>60</v>
      </c>
      <c r="B76" s="12" t="s">
        <v>733</v>
      </c>
      <c r="C76" s="12"/>
      <c r="F76">
        <v>2.54</v>
      </c>
      <c r="G76" t="s">
        <v>62</v>
      </c>
      <c r="H76" s="8" t="s">
        <v>558</v>
      </c>
      <c r="I76" t="s">
        <v>635</v>
      </c>
      <c r="L76" s="20">
        <v>1</v>
      </c>
      <c r="M76">
        <v>2</v>
      </c>
      <c r="N76">
        <v>0</v>
      </c>
      <c r="O76">
        <v>3.8860999999999999</v>
      </c>
      <c r="P76">
        <v>3.8860999999999999</v>
      </c>
      <c r="Q76">
        <v>12.5922</v>
      </c>
      <c r="R76" t="s">
        <v>440</v>
      </c>
      <c r="T76" s="20">
        <v>3.8962357000000001</v>
      </c>
      <c r="U76" s="20">
        <v>3.8962353200000002</v>
      </c>
      <c r="V76" s="20">
        <v>6.87349342</v>
      </c>
      <c r="W76">
        <v>3.8839999999999999</v>
      </c>
      <c r="X76">
        <v>3.8839999999999999</v>
      </c>
      <c r="Y76">
        <v>12.6</v>
      </c>
      <c r="Z76">
        <v>0</v>
      </c>
      <c r="AD76">
        <v>8</v>
      </c>
      <c r="AE76" s="44">
        <f t="shared" si="2"/>
        <v>190.164548614962</v>
      </c>
      <c r="AF76" s="46">
        <v>95.595427689592043</v>
      </c>
      <c r="AG76" s="44">
        <v>190.07674560000001</v>
      </c>
      <c r="AH76" s="44">
        <v>0</v>
      </c>
      <c r="AJ76" s="40">
        <v>8.3686010862117841E-2</v>
      </c>
      <c r="AK76" s="41">
        <v>8.4176525379230829E-2</v>
      </c>
      <c r="AM76" s="23">
        <v>2</v>
      </c>
      <c r="AN76" s="23">
        <v>2.285714285714286</v>
      </c>
      <c r="AO76" s="23">
        <v>0.2857142857142857</v>
      </c>
      <c r="AP76" s="23">
        <v>0</v>
      </c>
      <c r="AQ76" s="23">
        <v>0.4375</v>
      </c>
      <c r="AR76" s="23">
        <v>0.5</v>
      </c>
      <c r="AS76" s="23">
        <v>6.25E-2</v>
      </c>
      <c r="AT76" s="23">
        <v>0</v>
      </c>
      <c r="AU76" s="20">
        <v>0.95</v>
      </c>
      <c r="AV76" s="20">
        <v>3.44</v>
      </c>
      <c r="AW76" s="20">
        <v>2.4900000000000002</v>
      </c>
      <c r="AX76" s="20">
        <v>2.4571428571428569</v>
      </c>
      <c r="AY76">
        <v>2.4571428571428569</v>
      </c>
      <c r="AZ76">
        <v>5.6224409357142857</v>
      </c>
      <c r="BA76" s="64">
        <v>0.57028696666713652</v>
      </c>
      <c r="BB76" s="64">
        <v>0.57362962851932398</v>
      </c>
      <c r="BE76">
        <v>4.184300543105892E-2</v>
      </c>
      <c r="BF76">
        <v>4.2088262689615408E-2</v>
      </c>
      <c r="BH76">
        <v>8.3931268120674335E-2</v>
      </c>
      <c r="BI76">
        <v>4.1965634060337167E-2</v>
      </c>
      <c r="BJ76">
        <v>0.57195829759323025</v>
      </c>
      <c r="BP76">
        <v>0.4</v>
      </c>
    </row>
    <row r="77" spans="1:68" x14ac:dyDescent="0.3">
      <c r="A77" t="s">
        <v>61</v>
      </c>
      <c r="B77" s="16" t="s">
        <v>894</v>
      </c>
      <c r="C77" s="12"/>
      <c r="F77">
        <v>2.3199999999999998</v>
      </c>
      <c r="G77" t="s">
        <v>62</v>
      </c>
      <c r="H77" s="25" t="s">
        <v>558</v>
      </c>
      <c r="I77" s="1" t="s">
        <v>635</v>
      </c>
      <c r="L77" s="20">
        <v>0</v>
      </c>
      <c r="M77">
        <v>2</v>
      </c>
      <c r="N77">
        <v>0</v>
      </c>
      <c r="O77">
        <v>3.8915000000000002</v>
      </c>
      <c r="P77">
        <v>3.8915000000000002</v>
      </c>
      <c r="Q77">
        <v>12.589499999999999</v>
      </c>
      <c r="R77" t="s">
        <v>440</v>
      </c>
      <c r="T77" s="20">
        <v>0</v>
      </c>
      <c r="U77" s="20"/>
      <c r="V77" s="20"/>
      <c r="W77">
        <v>3.8839999999999999</v>
      </c>
      <c r="X77">
        <v>3.8839999999999999</v>
      </c>
      <c r="Y77">
        <v>12.6</v>
      </c>
      <c r="Z77">
        <v>0</v>
      </c>
      <c r="AD77">
        <v>8</v>
      </c>
      <c r="AE77" s="44">
        <f t="shared" si="2"/>
        <v>190.65252074137501</v>
      </c>
      <c r="AF77" s="46">
        <v>0</v>
      </c>
      <c r="AG77" s="44">
        <v>190.07674560000001</v>
      </c>
      <c r="AH77" s="44">
        <v>0</v>
      </c>
      <c r="AJ77" s="40"/>
      <c r="AK77" s="41">
        <v>8.4176525379230829E-2</v>
      </c>
      <c r="AM77" s="23">
        <v>2</v>
      </c>
      <c r="AN77" s="23">
        <v>2.285714285714286</v>
      </c>
      <c r="AO77" s="23">
        <v>0.3</v>
      </c>
      <c r="AP77" s="23">
        <v>0</v>
      </c>
      <c r="AQ77" s="23">
        <v>0.43613707165109028</v>
      </c>
      <c r="AR77" s="23">
        <v>0.49844236760124599</v>
      </c>
      <c r="AS77" s="23">
        <v>6.5420560747663545E-2</v>
      </c>
      <c r="AT77" s="23">
        <v>0</v>
      </c>
      <c r="AU77" s="20">
        <v>0.95</v>
      </c>
      <c r="AV77" s="20">
        <v>3.44</v>
      </c>
      <c r="AW77" s="20">
        <v>2.4900000000000002</v>
      </c>
      <c r="AX77" s="20">
        <v>2.4592857142857141</v>
      </c>
      <c r="AY77">
        <v>2.459285714285715</v>
      </c>
      <c r="AZ77">
        <v>5.625208883928571</v>
      </c>
      <c r="BA77" s="64">
        <v>0.57028696666713652</v>
      </c>
      <c r="BB77" s="64">
        <v>0.57362962851932398</v>
      </c>
      <c r="BF77">
        <v>4.2088262689615408E-2</v>
      </c>
      <c r="BH77">
        <v>8.4176525379230829E-2</v>
      </c>
      <c r="BI77">
        <v>4.2088262689615408E-2</v>
      </c>
      <c r="BJ77">
        <v>0.57195829759323025</v>
      </c>
      <c r="BP77">
        <v>1.3</v>
      </c>
    </row>
    <row r="78" spans="1:68" x14ac:dyDescent="0.3">
      <c r="A78" t="s">
        <v>883</v>
      </c>
      <c r="B78" s="16" t="s">
        <v>895</v>
      </c>
      <c r="C78" s="12"/>
      <c r="F78">
        <v>2.2200000000000002</v>
      </c>
      <c r="G78" t="s">
        <v>62</v>
      </c>
      <c r="H78" s="25" t="s">
        <v>558</v>
      </c>
      <c r="I78" s="1" t="s">
        <v>635</v>
      </c>
      <c r="L78" s="20">
        <v>0</v>
      </c>
      <c r="M78">
        <v>2</v>
      </c>
      <c r="N78">
        <v>0</v>
      </c>
      <c r="O78">
        <v>3.8965000000000001</v>
      </c>
      <c r="P78">
        <v>3.8965000000000001</v>
      </c>
      <c r="Q78">
        <v>12.6137</v>
      </c>
      <c r="R78" t="s">
        <v>440</v>
      </c>
      <c r="T78" s="20">
        <v>0</v>
      </c>
      <c r="U78" s="20"/>
      <c r="V78" s="20"/>
      <c r="W78">
        <v>3.8839999999999999</v>
      </c>
      <c r="X78">
        <v>3.8839999999999999</v>
      </c>
      <c r="Y78">
        <v>12.6</v>
      </c>
      <c r="Z78">
        <v>0</v>
      </c>
      <c r="AD78">
        <v>8</v>
      </c>
      <c r="AE78" s="44">
        <f t="shared" si="2"/>
        <v>191.51017750782501</v>
      </c>
      <c r="AF78" s="46">
        <v>0</v>
      </c>
      <c r="AG78" s="44">
        <v>190.07674560000001</v>
      </c>
      <c r="AH78" s="44">
        <v>0</v>
      </c>
      <c r="AJ78" s="40"/>
      <c r="AK78" s="41">
        <v>8.4176525379230829E-2</v>
      </c>
      <c r="AM78" s="23">
        <v>2</v>
      </c>
      <c r="AN78" s="23">
        <v>2.285714285714286</v>
      </c>
      <c r="AO78" s="23">
        <v>0.31428571428571428</v>
      </c>
      <c r="AP78" s="23">
        <v>0</v>
      </c>
      <c r="AQ78" s="23">
        <v>0.43478260869565211</v>
      </c>
      <c r="AR78" s="23">
        <v>0.49689440993788808</v>
      </c>
      <c r="AS78" s="23">
        <v>6.8322981366459631E-2</v>
      </c>
      <c r="AT78" s="23">
        <v>0</v>
      </c>
      <c r="AU78" s="20">
        <v>0.95</v>
      </c>
      <c r="AV78" s="20">
        <v>3.44</v>
      </c>
      <c r="AW78" s="20">
        <v>2.4900000000000002</v>
      </c>
      <c r="AX78" s="20">
        <v>2.4614285714285709</v>
      </c>
      <c r="AY78">
        <v>2.4614285714285709</v>
      </c>
      <c r="AZ78">
        <v>5.627976832142858</v>
      </c>
      <c r="BA78" s="64">
        <v>0.57028696666713652</v>
      </c>
      <c r="BB78" s="64">
        <v>0.57362962851932398</v>
      </c>
      <c r="BF78">
        <v>4.2088262689615408E-2</v>
      </c>
      <c r="BH78">
        <v>8.4176525379230829E-2</v>
      </c>
      <c r="BI78">
        <v>4.2088262689615408E-2</v>
      </c>
      <c r="BJ78">
        <v>0.57195829759323025</v>
      </c>
      <c r="BP78">
        <v>3.2</v>
      </c>
    </row>
    <row r="79" spans="1:68" x14ac:dyDescent="0.3">
      <c r="A79" t="s">
        <v>884</v>
      </c>
      <c r="B79" s="16" t="s">
        <v>896</v>
      </c>
      <c r="C79" s="12"/>
      <c r="F79">
        <v>2.16</v>
      </c>
      <c r="G79" t="s">
        <v>62</v>
      </c>
      <c r="H79" s="25" t="s">
        <v>558</v>
      </c>
      <c r="I79" s="1" t="s">
        <v>635</v>
      </c>
      <c r="L79" s="20">
        <v>0</v>
      </c>
      <c r="M79">
        <v>2</v>
      </c>
      <c r="N79">
        <v>0</v>
      </c>
      <c r="O79">
        <v>3.9016999999999999</v>
      </c>
      <c r="P79">
        <v>3.9016999999999999</v>
      </c>
      <c r="Q79">
        <v>12.593500000000001</v>
      </c>
      <c r="R79" t="s">
        <v>440</v>
      </c>
      <c r="T79" s="20">
        <v>0</v>
      </c>
      <c r="U79" s="20"/>
      <c r="V79" s="20"/>
      <c r="W79">
        <v>3.8839999999999999</v>
      </c>
      <c r="X79">
        <v>3.8839999999999999</v>
      </c>
      <c r="Y79">
        <v>12.6</v>
      </c>
      <c r="Z79">
        <v>0</v>
      </c>
      <c r="AD79">
        <v>8</v>
      </c>
      <c r="AE79" s="44">
        <f t="shared" si="2"/>
        <v>191.71416120521499</v>
      </c>
      <c r="AF79" s="46">
        <v>0</v>
      </c>
      <c r="AG79" s="44">
        <v>190.07674560000001</v>
      </c>
      <c r="AH79" s="44">
        <v>0</v>
      </c>
      <c r="AJ79" s="40"/>
      <c r="AK79" s="41">
        <v>8.4176525379230829E-2</v>
      </c>
      <c r="AM79" s="23">
        <v>2</v>
      </c>
      <c r="AN79" s="23">
        <v>2.285714285714286</v>
      </c>
      <c r="AO79" s="23">
        <v>0.32857142857142863</v>
      </c>
      <c r="AP79" s="23">
        <v>0</v>
      </c>
      <c r="AQ79" s="23">
        <v>0.43343653250774</v>
      </c>
      <c r="AR79" s="23">
        <v>0.49535603715170279</v>
      </c>
      <c r="AS79" s="23">
        <v>7.1207430340557279E-2</v>
      </c>
      <c r="AT79" s="23">
        <v>0</v>
      </c>
      <c r="AU79" s="20">
        <v>0.95</v>
      </c>
      <c r="AV79" s="20">
        <v>3.44</v>
      </c>
      <c r="AW79" s="20">
        <v>2.4900000000000002</v>
      </c>
      <c r="AX79" s="20">
        <v>2.463571428571429</v>
      </c>
      <c r="AY79">
        <v>2.463571428571429</v>
      </c>
      <c r="AZ79">
        <v>5.6307447803571433</v>
      </c>
      <c r="BA79" s="64">
        <v>0.57028696666713652</v>
      </c>
      <c r="BB79" s="64">
        <v>0.57362962851932398</v>
      </c>
      <c r="BF79">
        <v>4.2088262689615408E-2</v>
      </c>
      <c r="BH79">
        <v>8.4176525379230829E-2</v>
      </c>
      <c r="BI79">
        <v>4.2088262689615408E-2</v>
      </c>
      <c r="BJ79">
        <v>0.57195829759323025</v>
      </c>
      <c r="BP79">
        <v>3.4</v>
      </c>
    </row>
    <row r="80" spans="1:68" x14ac:dyDescent="0.3">
      <c r="A80" t="s">
        <v>885</v>
      </c>
      <c r="B80" s="16" t="s">
        <v>897</v>
      </c>
      <c r="C80" s="12"/>
      <c r="F80">
        <v>2.1</v>
      </c>
      <c r="G80" t="s">
        <v>62</v>
      </c>
      <c r="H80" s="25" t="s">
        <v>558</v>
      </c>
      <c r="I80" s="1" t="s">
        <v>635</v>
      </c>
      <c r="L80" s="20">
        <v>0</v>
      </c>
      <c r="M80">
        <v>2</v>
      </c>
      <c r="N80">
        <v>0</v>
      </c>
      <c r="O80">
        <v>3.9022000000000001</v>
      </c>
      <c r="P80">
        <v>3.9022000000000001</v>
      </c>
      <c r="Q80">
        <v>12.6189</v>
      </c>
      <c r="R80" t="s">
        <v>440</v>
      </c>
      <c r="T80" s="20">
        <v>0</v>
      </c>
      <c r="U80" s="20"/>
      <c r="V80" s="20"/>
      <c r="W80">
        <v>3.8839999999999999</v>
      </c>
      <c r="X80">
        <v>3.8839999999999999</v>
      </c>
      <c r="Y80">
        <v>12.6</v>
      </c>
      <c r="Z80">
        <v>0</v>
      </c>
      <c r="AD80">
        <v>8</v>
      </c>
      <c r="AE80" s="44">
        <f t="shared" si="2"/>
        <v>192.15007039947599</v>
      </c>
      <c r="AF80" s="46">
        <v>0</v>
      </c>
      <c r="AG80" s="44">
        <v>190.07674560000001</v>
      </c>
      <c r="AH80" s="44">
        <v>0</v>
      </c>
      <c r="AJ80" s="40"/>
      <c r="AK80" s="41">
        <v>8.4176525379230829E-2</v>
      </c>
      <c r="AM80" s="23">
        <v>2</v>
      </c>
      <c r="AN80" s="23">
        <v>2.285714285714286</v>
      </c>
      <c r="AO80" s="23">
        <v>0.34285714285714292</v>
      </c>
      <c r="AP80" s="23">
        <v>0</v>
      </c>
      <c r="AQ80" s="23">
        <v>0.4320987654320988</v>
      </c>
      <c r="AR80" s="23">
        <v>0.49382716049382719</v>
      </c>
      <c r="AS80" s="23">
        <v>7.4074074074074084E-2</v>
      </c>
      <c r="AT80" s="23">
        <v>0</v>
      </c>
      <c r="AU80" s="20">
        <v>0.95</v>
      </c>
      <c r="AV80" s="20">
        <v>3.44</v>
      </c>
      <c r="AW80" s="20">
        <v>2.4900000000000002</v>
      </c>
      <c r="AX80" s="20">
        <v>2.4657142857142849</v>
      </c>
      <c r="AY80">
        <v>2.4657142857142862</v>
      </c>
      <c r="AZ80">
        <v>5.6335127285714286</v>
      </c>
      <c r="BA80" s="64">
        <v>0.57028696666713652</v>
      </c>
      <c r="BB80" s="64">
        <v>0.57362962851932398</v>
      </c>
      <c r="BF80">
        <v>4.2088262689615408E-2</v>
      </c>
      <c r="BH80">
        <v>8.4176525379230829E-2</v>
      </c>
      <c r="BI80">
        <v>4.2088262689615408E-2</v>
      </c>
      <c r="BJ80">
        <v>0.57195829759323025</v>
      </c>
      <c r="BP80">
        <v>3.8</v>
      </c>
    </row>
    <row r="81" spans="1:68" x14ac:dyDescent="0.3">
      <c r="A81" t="s">
        <v>886</v>
      </c>
      <c r="B81" s="16" t="s">
        <v>898</v>
      </c>
      <c r="C81" s="12"/>
      <c r="F81">
        <v>2.08</v>
      </c>
      <c r="G81" t="s">
        <v>62</v>
      </c>
      <c r="H81" s="25" t="s">
        <v>558</v>
      </c>
      <c r="I81" s="1" t="s">
        <v>635</v>
      </c>
      <c r="L81" s="20">
        <v>0</v>
      </c>
      <c r="M81">
        <v>2</v>
      </c>
      <c r="N81">
        <v>0</v>
      </c>
      <c r="O81">
        <v>3.9043999999999999</v>
      </c>
      <c r="P81">
        <v>3.9043999999999999</v>
      </c>
      <c r="Q81">
        <v>12.6092</v>
      </c>
      <c r="R81" t="s">
        <v>440</v>
      </c>
      <c r="T81" s="20">
        <v>0</v>
      </c>
      <c r="U81" s="20"/>
      <c r="V81" s="20"/>
      <c r="W81">
        <v>3.8839999999999999</v>
      </c>
      <c r="X81">
        <v>3.8839999999999999</v>
      </c>
      <c r="Y81">
        <v>12.6</v>
      </c>
      <c r="Z81">
        <v>0</v>
      </c>
      <c r="AD81">
        <v>8</v>
      </c>
      <c r="AE81" s="44">
        <f t="shared" si="2"/>
        <v>192.21892385811199</v>
      </c>
      <c r="AF81" s="46">
        <v>0</v>
      </c>
      <c r="AG81" s="44">
        <v>190.07674560000001</v>
      </c>
      <c r="AH81" s="44">
        <v>0</v>
      </c>
      <c r="AJ81" s="40"/>
      <c r="AK81" s="41">
        <v>8.4176525379230829E-2</v>
      </c>
      <c r="AM81" s="23">
        <v>2</v>
      </c>
      <c r="AN81" s="23">
        <v>2.285714285714286</v>
      </c>
      <c r="AO81" s="23">
        <v>0.35714285714285721</v>
      </c>
      <c r="AP81" s="23">
        <v>0</v>
      </c>
      <c r="AQ81" s="23">
        <v>0.43076923076923068</v>
      </c>
      <c r="AR81" s="23">
        <v>0.49230769230769222</v>
      </c>
      <c r="AS81" s="23">
        <v>7.6923076923076913E-2</v>
      </c>
      <c r="AT81" s="23">
        <v>0</v>
      </c>
      <c r="AU81" s="20">
        <v>0.95</v>
      </c>
      <c r="AV81" s="20">
        <v>3.44</v>
      </c>
      <c r="AW81" s="20">
        <v>2.4900000000000002</v>
      </c>
      <c r="AX81" s="20">
        <v>2.467857142857143</v>
      </c>
      <c r="AY81">
        <v>2.467857142857143</v>
      </c>
      <c r="AZ81">
        <v>5.6362806767857148</v>
      </c>
      <c r="BA81" s="64">
        <v>0.57028696666713652</v>
      </c>
      <c r="BB81" s="64">
        <v>0.57362962851932398</v>
      </c>
      <c r="BF81">
        <v>4.2088262689615408E-2</v>
      </c>
      <c r="BH81">
        <v>8.4176525379230829E-2</v>
      </c>
      <c r="BI81">
        <v>4.2088262689615408E-2</v>
      </c>
      <c r="BJ81">
        <v>0.57195829759323025</v>
      </c>
      <c r="BP81">
        <v>4.2</v>
      </c>
    </row>
    <row r="82" spans="1:68" x14ac:dyDescent="0.3">
      <c r="A82" t="s">
        <v>215</v>
      </c>
      <c r="B82" s="16" t="s">
        <v>734</v>
      </c>
      <c r="C82" s="12"/>
      <c r="F82">
        <v>4.0999999999999996</v>
      </c>
      <c r="G82" t="s">
        <v>64</v>
      </c>
      <c r="H82" s="8" t="s">
        <v>587</v>
      </c>
      <c r="I82" t="s">
        <v>636</v>
      </c>
      <c r="L82" s="20">
        <v>1</v>
      </c>
      <c r="M82">
        <v>1</v>
      </c>
      <c r="N82">
        <v>0</v>
      </c>
      <c r="O82">
        <v>3.87</v>
      </c>
      <c r="P82">
        <v>3.87</v>
      </c>
      <c r="Q82">
        <v>15.1</v>
      </c>
      <c r="R82" t="s">
        <v>439</v>
      </c>
      <c r="T82" s="20">
        <v>3.950634</v>
      </c>
      <c r="U82" s="20">
        <v>3.950634</v>
      </c>
      <c r="V82" s="20">
        <v>15.513552000000001</v>
      </c>
      <c r="W82">
        <v>3.8658999999999999</v>
      </c>
      <c r="X82">
        <v>3.8658999999999999</v>
      </c>
      <c r="Y82">
        <v>15.2538</v>
      </c>
      <c r="Z82">
        <v>0</v>
      </c>
      <c r="AD82">
        <v>20</v>
      </c>
      <c r="AE82" s="44">
        <f t="shared" si="2"/>
        <v>226.15119000000001</v>
      </c>
      <c r="AF82" s="46">
        <v>242.1279024923125</v>
      </c>
      <c r="AG82" s="44">
        <v>227.970829547178</v>
      </c>
      <c r="AH82" s="44">
        <v>0</v>
      </c>
      <c r="AJ82" s="40">
        <v>8.2600971611006269E-2</v>
      </c>
      <c r="AK82" s="41">
        <v>8.7730522539775438E-2</v>
      </c>
      <c r="AM82" s="23">
        <v>1.9375</v>
      </c>
      <c r="AN82" s="23">
        <v>2.5</v>
      </c>
      <c r="AO82" s="23">
        <v>0.5625</v>
      </c>
      <c r="AP82" s="23">
        <v>2.625</v>
      </c>
      <c r="AQ82" s="23">
        <v>0.25409836065573771</v>
      </c>
      <c r="AR82" s="23">
        <v>0.32786885245901642</v>
      </c>
      <c r="AS82" s="23">
        <v>7.3770491803278687E-2</v>
      </c>
      <c r="AT82" s="23">
        <v>0.34426229508196721</v>
      </c>
      <c r="AU82" s="20">
        <v>0.79</v>
      </c>
      <c r="AV82" s="20">
        <v>3.44</v>
      </c>
      <c r="AW82" s="20">
        <v>2.65</v>
      </c>
      <c r="AX82" s="20">
        <v>2.6056249999999999</v>
      </c>
      <c r="AY82">
        <v>2.6056249999999999</v>
      </c>
      <c r="AZ82">
        <v>5.9703320286696879</v>
      </c>
      <c r="BA82" s="64">
        <v>0.52453741991489755</v>
      </c>
      <c r="BB82" s="64">
        <v>0.55711138795694093</v>
      </c>
      <c r="BE82">
        <v>4.1300485805503127E-2</v>
      </c>
      <c r="BF82">
        <v>4.3865261269887712E-2</v>
      </c>
      <c r="BH82">
        <v>8.5165747075390846E-2</v>
      </c>
      <c r="BI82">
        <v>4.2582873537695423E-2</v>
      </c>
      <c r="BJ82">
        <v>0.54082440393591924</v>
      </c>
    </row>
    <row r="83" spans="1:68" x14ac:dyDescent="0.3">
      <c r="A83" t="s">
        <v>679</v>
      </c>
      <c r="B83" s="16" t="s">
        <v>899</v>
      </c>
      <c r="C83" t="s">
        <v>681</v>
      </c>
      <c r="F83">
        <v>4.3</v>
      </c>
      <c r="G83" t="s">
        <v>64</v>
      </c>
      <c r="H83" s="11" t="s">
        <v>683</v>
      </c>
      <c r="I83">
        <v>7221084</v>
      </c>
      <c r="L83" s="20">
        <v>0</v>
      </c>
      <c r="M83">
        <v>2</v>
      </c>
      <c r="N83">
        <v>0</v>
      </c>
      <c r="O83" s="1">
        <v>3.87</v>
      </c>
      <c r="P83" s="1">
        <v>3.87</v>
      </c>
      <c r="Q83">
        <v>17.2</v>
      </c>
      <c r="R83" t="s">
        <v>439</v>
      </c>
      <c r="T83" s="20">
        <v>0</v>
      </c>
      <c r="U83" s="20"/>
      <c r="V83" s="20"/>
      <c r="W83">
        <v>3.8607</v>
      </c>
      <c r="X83">
        <v>3.8607</v>
      </c>
      <c r="Y83">
        <v>29.216000000000001</v>
      </c>
      <c r="Z83">
        <v>0</v>
      </c>
      <c r="AD83">
        <v>20</v>
      </c>
      <c r="AE83" s="44">
        <f t="shared" si="2"/>
        <v>257.60268000000002</v>
      </c>
      <c r="AF83" s="46">
        <v>0</v>
      </c>
      <c r="AG83" s="44">
        <v>435.46461117984001</v>
      </c>
      <c r="AH83" s="44">
        <v>0</v>
      </c>
      <c r="AJ83" s="40"/>
      <c r="AK83" s="41">
        <v>9.1855914288016927E-2</v>
      </c>
      <c r="AM83" s="23">
        <v>1.940917661847894</v>
      </c>
      <c r="AN83" s="23">
        <v>2.5141420490257702</v>
      </c>
      <c r="AO83" s="23">
        <v>0.56568196103079826</v>
      </c>
      <c r="AP83" s="23">
        <v>2.6398491514770579</v>
      </c>
      <c r="AQ83" s="23">
        <v>0.2533639645553003</v>
      </c>
      <c r="AR83" s="23">
        <v>0.32819166393173621</v>
      </c>
      <c r="AS83" s="23">
        <v>7.3843124384640635E-2</v>
      </c>
      <c r="AT83" s="23">
        <v>0.34460124712832302</v>
      </c>
      <c r="AU83" s="20">
        <v>0.79</v>
      </c>
      <c r="AV83" s="20">
        <v>3.44</v>
      </c>
      <c r="AW83" s="20">
        <v>2.65</v>
      </c>
      <c r="AX83" s="20">
        <v>2.62350722815839</v>
      </c>
      <c r="AY83">
        <v>2.6235072281583909</v>
      </c>
      <c r="AZ83">
        <v>6.0278785903935539</v>
      </c>
      <c r="BB83" s="64">
        <v>0</v>
      </c>
      <c r="BF83">
        <v>4.5927957144008463E-2</v>
      </c>
      <c r="BH83">
        <v>9.1855914288016927E-2</v>
      </c>
      <c r="BI83">
        <v>4.5927957144008463E-2</v>
      </c>
      <c r="BJ83">
        <v>0</v>
      </c>
    </row>
    <row r="84" spans="1:68" x14ac:dyDescent="0.3">
      <c r="A84" t="s">
        <v>680</v>
      </c>
      <c r="B84" s="16" t="s">
        <v>900</v>
      </c>
      <c r="C84" t="s">
        <v>682</v>
      </c>
      <c r="F84">
        <v>4.2</v>
      </c>
      <c r="G84" t="s">
        <v>64</v>
      </c>
      <c r="H84" s="8">
        <v>-1</v>
      </c>
      <c r="I84">
        <v>-1</v>
      </c>
      <c r="K84">
        <v>1</v>
      </c>
      <c r="L84" s="20">
        <v>0</v>
      </c>
      <c r="M84">
        <v>0</v>
      </c>
      <c r="N84">
        <v>0</v>
      </c>
      <c r="O84" s="1">
        <v>3.87</v>
      </c>
      <c r="P84" s="1">
        <v>3.87</v>
      </c>
      <c r="Q84">
        <v>14.4</v>
      </c>
      <c r="R84" t="s">
        <v>439</v>
      </c>
      <c r="T84" s="20">
        <v>0</v>
      </c>
      <c r="U84" s="20"/>
      <c r="V84" s="20"/>
      <c r="W84">
        <v>0</v>
      </c>
      <c r="Z84">
        <v>0</v>
      </c>
      <c r="AD84">
        <v>20</v>
      </c>
      <c r="AE84" s="44">
        <f t="shared" si="2"/>
        <v>215.66736</v>
      </c>
      <c r="AF84" s="46">
        <v>0</v>
      </c>
      <c r="AG84" s="44">
        <v>0</v>
      </c>
      <c r="AH84" s="44">
        <v>0</v>
      </c>
      <c r="AI84" s="41">
        <f>K84*AD84/AE84</f>
        <v>9.2735405116471964E-2</v>
      </c>
      <c r="AJ84" s="40"/>
      <c r="AM84" s="23">
        <v>1.937926753569212</v>
      </c>
      <c r="AN84" s="23">
        <v>2.4829298572315328</v>
      </c>
      <c r="AO84" s="23">
        <v>0.55865921787709494</v>
      </c>
      <c r="AP84" s="23">
        <v>2.6070763500931098</v>
      </c>
      <c r="AQ84" s="23">
        <v>0.25544100801832759</v>
      </c>
      <c r="AR84" s="23">
        <v>0.32727867779414171</v>
      </c>
      <c r="AS84" s="23">
        <v>7.3637702503681887E-2</v>
      </c>
      <c r="AT84" s="23">
        <v>0.3436426116838488</v>
      </c>
      <c r="AU84" s="20">
        <v>0.79</v>
      </c>
      <c r="AV84" s="20">
        <v>3.44</v>
      </c>
      <c r="AW84" s="20">
        <v>2.65</v>
      </c>
      <c r="AX84" s="20">
        <v>2.671675977653631</v>
      </c>
      <c r="AY84">
        <v>2.671675977653631</v>
      </c>
      <c r="AZ84">
        <v>6.2243029613210306</v>
      </c>
      <c r="BD84">
        <v>4.6367702558235982E-2</v>
      </c>
      <c r="BH84">
        <v>9.2735405116471964E-2</v>
      </c>
      <c r="BI84">
        <v>4.6367702558235982E-2</v>
      </c>
      <c r="BJ84">
        <v>0</v>
      </c>
    </row>
    <row r="85" spans="1:68" x14ac:dyDescent="0.3">
      <c r="A85" t="s">
        <v>855</v>
      </c>
      <c r="B85" s="16" t="s">
        <v>901</v>
      </c>
      <c r="C85" t="s">
        <v>854</v>
      </c>
      <c r="F85">
        <v>4</v>
      </c>
      <c r="G85" t="s">
        <v>64</v>
      </c>
      <c r="H85" s="8">
        <v>-1</v>
      </c>
      <c r="I85">
        <v>-1</v>
      </c>
      <c r="K85">
        <v>2</v>
      </c>
      <c r="L85" s="20">
        <v>0</v>
      </c>
      <c r="M85">
        <v>0</v>
      </c>
      <c r="N85">
        <v>0</v>
      </c>
      <c r="O85" s="1">
        <v>3.87</v>
      </c>
      <c r="P85" s="1">
        <v>3.87</v>
      </c>
      <c r="Q85">
        <v>28.5</v>
      </c>
      <c r="R85" t="s">
        <v>439</v>
      </c>
      <c r="T85" s="20">
        <v>0</v>
      </c>
      <c r="U85" s="20"/>
      <c r="V85" s="20"/>
      <c r="W85">
        <v>0</v>
      </c>
      <c r="Z85">
        <v>0</v>
      </c>
      <c r="AD85">
        <v>20</v>
      </c>
      <c r="AE85" s="44">
        <f t="shared" si="2"/>
        <v>426.84165000000002</v>
      </c>
      <c r="AF85" s="46">
        <v>0</v>
      </c>
      <c r="AG85" s="44">
        <v>0</v>
      </c>
      <c r="AH85" s="44">
        <v>0</v>
      </c>
      <c r="AI85" s="41">
        <f>K85*AD85/AE85</f>
        <v>9.3711567275592711E-2</v>
      </c>
      <c r="AJ85" s="40"/>
      <c r="AM85" s="23">
        <v>1.9375</v>
      </c>
      <c r="AN85" s="23">
        <v>2.5</v>
      </c>
      <c r="AO85" s="23">
        <v>0.5625</v>
      </c>
      <c r="AP85" s="23">
        <v>2.625</v>
      </c>
      <c r="AQ85" s="23">
        <v>0.25409836065573771</v>
      </c>
      <c r="AR85" s="23">
        <v>0.32786885245901642</v>
      </c>
      <c r="AS85" s="23">
        <v>7.3770491803278687E-2</v>
      </c>
      <c r="AT85" s="23">
        <v>0.34426229508196721</v>
      </c>
      <c r="AU85" s="20">
        <v>1</v>
      </c>
      <c r="AV85" s="20">
        <v>3.44</v>
      </c>
      <c r="AW85" s="20">
        <v>2.44</v>
      </c>
      <c r="AX85" s="20">
        <v>2.6937500000000001</v>
      </c>
      <c r="AY85">
        <v>2.6937500000000001</v>
      </c>
      <c r="AZ85">
        <v>6.2824412981156881</v>
      </c>
      <c r="BD85">
        <v>4.6855783637796362E-2</v>
      </c>
      <c r="BH85">
        <v>9.3711567275592711E-2</v>
      </c>
      <c r="BI85">
        <v>4.6855783637796362E-2</v>
      </c>
      <c r="BJ85">
        <v>0</v>
      </c>
    </row>
    <row r="86" spans="1:68" x14ac:dyDescent="0.3">
      <c r="A86" t="s">
        <v>65</v>
      </c>
      <c r="B86" s="12" t="s">
        <v>735</v>
      </c>
      <c r="C86" s="12"/>
      <c r="F86">
        <v>2.62</v>
      </c>
      <c r="G86" t="s">
        <v>66</v>
      </c>
      <c r="H86" s="8" t="s">
        <v>559</v>
      </c>
      <c r="I86" t="s">
        <v>637</v>
      </c>
      <c r="L86" s="20">
        <v>2</v>
      </c>
      <c r="M86">
        <v>4</v>
      </c>
      <c r="N86">
        <v>0</v>
      </c>
      <c r="O86">
        <v>5.4580000000000002</v>
      </c>
      <c r="P86">
        <v>5.4210000000000003</v>
      </c>
      <c r="Q86">
        <v>41.02</v>
      </c>
      <c r="R86" t="s">
        <v>450</v>
      </c>
      <c r="T86" s="20">
        <v>5.5344280000000001</v>
      </c>
      <c r="U86" s="20">
        <v>5.4860709999999999</v>
      </c>
      <c r="V86" s="20">
        <v>20.96113527</v>
      </c>
      <c r="W86">
        <v>5.4676999999999998</v>
      </c>
      <c r="X86">
        <v>5.4396000000000004</v>
      </c>
      <c r="Y86">
        <v>41.247500000000002</v>
      </c>
      <c r="Z86">
        <v>0</v>
      </c>
      <c r="AD86">
        <v>30</v>
      </c>
      <c r="AE86" s="44">
        <f t="shared" si="2"/>
        <v>1213.6922943600002</v>
      </c>
      <c r="AF86" s="46">
        <v>630.95473618941708</v>
      </c>
      <c r="AG86" s="44">
        <v>1226.7873076977</v>
      </c>
      <c r="AH86" s="44">
        <v>0</v>
      </c>
      <c r="AJ86" s="40">
        <v>9.5093984653104466E-2</v>
      </c>
      <c r="AK86" s="41">
        <v>9.781646683743643E-2</v>
      </c>
      <c r="AM86" s="23">
        <v>2</v>
      </c>
      <c r="AN86" s="23">
        <v>3.125</v>
      </c>
      <c r="AO86" s="23">
        <v>2.583333333333333</v>
      </c>
      <c r="AP86" s="23">
        <v>2.916666666666667</v>
      </c>
      <c r="AQ86" s="23">
        <v>0.18823529411764711</v>
      </c>
      <c r="AR86" s="23">
        <v>0.29411764705882348</v>
      </c>
      <c r="AS86" s="23">
        <v>0.24313725490196081</v>
      </c>
      <c r="AT86" s="23">
        <v>0.2745098039215686</v>
      </c>
      <c r="AU86" s="20">
        <v>1.54</v>
      </c>
      <c r="AV86" s="20">
        <v>3.44</v>
      </c>
      <c r="AW86" s="20">
        <v>1.9</v>
      </c>
      <c r="AX86" s="20">
        <v>2.839583333333334</v>
      </c>
      <c r="AY86">
        <v>2.8395833333333331</v>
      </c>
      <c r="AZ86">
        <v>6.168614470625001</v>
      </c>
      <c r="BA86" s="64">
        <v>0.52762523515344584</v>
      </c>
      <c r="BB86" s="64">
        <v>0</v>
      </c>
      <c r="BE86">
        <v>4.7546992326552233E-2</v>
      </c>
      <c r="BF86">
        <v>4.8908233418718222E-2</v>
      </c>
      <c r="BH86">
        <v>9.6455225745270448E-2</v>
      </c>
      <c r="BI86">
        <v>4.8227612872635231E-2</v>
      </c>
      <c r="BJ86">
        <v>0.26381261757672292</v>
      </c>
    </row>
    <row r="87" spans="1:68" x14ac:dyDescent="0.3">
      <c r="A87" t="s">
        <v>67</v>
      </c>
      <c r="B87" s="12" t="s">
        <v>736</v>
      </c>
      <c r="C87" s="12"/>
      <c r="F87">
        <v>2.67</v>
      </c>
      <c r="G87" t="s">
        <v>66</v>
      </c>
      <c r="H87" s="8">
        <v>-1</v>
      </c>
      <c r="I87">
        <v>-1</v>
      </c>
      <c r="K87">
        <v>4</v>
      </c>
      <c r="L87" s="20">
        <v>0</v>
      </c>
      <c r="M87">
        <v>0</v>
      </c>
      <c r="N87">
        <v>0</v>
      </c>
      <c r="O87">
        <v>5.4359999999999999</v>
      </c>
      <c r="P87">
        <v>5.42</v>
      </c>
      <c r="Q87">
        <v>41.19</v>
      </c>
      <c r="R87" t="s">
        <v>450</v>
      </c>
      <c r="T87" s="20">
        <v>0</v>
      </c>
      <c r="U87" s="20"/>
      <c r="V87" s="20"/>
      <c r="W87">
        <v>0</v>
      </c>
      <c r="Z87">
        <v>0</v>
      </c>
      <c r="AD87">
        <v>30</v>
      </c>
      <c r="AE87" s="44">
        <f t="shared" si="2"/>
        <v>1213.5859128</v>
      </c>
      <c r="AF87" s="46">
        <v>0</v>
      </c>
      <c r="AG87" s="44">
        <v>0</v>
      </c>
      <c r="AH87" s="44">
        <v>0</v>
      </c>
      <c r="AI87" s="41">
        <f>K87*AD87/AE87</f>
        <v>9.8880514955166685E-2</v>
      </c>
      <c r="AJ87" s="40"/>
      <c r="AM87" s="23">
        <v>2</v>
      </c>
      <c r="AN87" s="23">
        <v>3</v>
      </c>
      <c r="AO87" s="23">
        <v>2.208333333333333</v>
      </c>
      <c r="AP87" s="23">
        <v>2.333333333333333</v>
      </c>
      <c r="AQ87" s="23">
        <v>0.20960698689956331</v>
      </c>
      <c r="AR87" s="23">
        <v>0.31441048034934499</v>
      </c>
      <c r="AS87" s="23">
        <v>0.23144104803493451</v>
      </c>
      <c r="AT87" s="23">
        <v>0.24454148471615719</v>
      </c>
      <c r="AU87" s="20">
        <v>1.1000000000000001</v>
      </c>
      <c r="AV87" s="20">
        <v>3.44</v>
      </c>
      <c r="AW87" s="20">
        <v>2.34</v>
      </c>
      <c r="AX87" s="20">
        <v>2.80125</v>
      </c>
      <c r="AY87">
        <v>2.80125</v>
      </c>
      <c r="AZ87">
        <v>6.1250013054166672</v>
      </c>
      <c r="BD87">
        <v>4.9440257477583342E-2</v>
      </c>
      <c r="BH87">
        <v>9.8880514955166685E-2</v>
      </c>
      <c r="BI87">
        <v>4.9440257477583342E-2</v>
      </c>
      <c r="BJ87">
        <v>0</v>
      </c>
    </row>
    <row r="88" spans="1:68" x14ac:dyDescent="0.3">
      <c r="A88" t="s">
        <v>68</v>
      </c>
      <c r="B88" s="12" t="s">
        <v>737</v>
      </c>
      <c r="C88" s="12"/>
      <c r="F88">
        <v>2.71</v>
      </c>
      <c r="G88" t="s">
        <v>66</v>
      </c>
      <c r="H88" s="8">
        <v>-1</v>
      </c>
      <c r="I88">
        <v>-1</v>
      </c>
      <c r="K88">
        <v>4</v>
      </c>
      <c r="L88" s="20">
        <v>0</v>
      </c>
      <c r="M88">
        <v>0</v>
      </c>
      <c r="N88">
        <v>0</v>
      </c>
      <c r="O88">
        <v>5.4370000000000003</v>
      </c>
      <c r="P88">
        <v>5.4359999999999999</v>
      </c>
      <c r="Q88">
        <v>41.29</v>
      </c>
      <c r="R88" t="s">
        <v>450</v>
      </c>
      <c r="T88" s="20">
        <v>0</v>
      </c>
      <c r="U88" s="20"/>
      <c r="V88" s="20"/>
      <c r="W88">
        <v>0</v>
      </c>
      <c r="Z88">
        <v>0</v>
      </c>
      <c r="AD88">
        <v>30</v>
      </c>
      <c r="AE88" s="44">
        <f t="shared" si="2"/>
        <v>1220.3479162799999</v>
      </c>
      <c r="AF88" s="46">
        <v>0</v>
      </c>
      <c r="AG88" s="44">
        <v>0</v>
      </c>
      <c r="AH88" s="44">
        <v>0</v>
      </c>
      <c r="AI88" s="41">
        <f>K88*AD88/AE88</f>
        <v>9.8332613510577649E-2</v>
      </c>
      <c r="AJ88" s="40"/>
      <c r="AM88" s="23">
        <v>2</v>
      </c>
      <c r="AN88" s="23">
        <v>2.875</v>
      </c>
      <c r="AO88" s="23">
        <v>1.833333333333333</v>
      </c>
      <c r="AP88" s="23">
        <v>1.75</v>
      </c>
      <c r="AQ88" s="23">
        <v>0.23645320197044331</v>
      </c>
      <c r="AR88" s="23">
        <v>0.33990147783251229</v>
      </c>
      <c r="AS88" s="23">
        <v>0.21674876847290639</v>
      </c>
      <c r="AT88" s="23">
        <v>0.2068965517241379</v>
      </c>
      <c r="AU88" s="20">
        <v>1.1000000000000001</v>
      </c>
      <c r="AV88" s="20">
        <v>3.44</v>
      </c>
      <c r="AW88" s="20">
        <v>2.34</v>
      </c>
      <c r="AX88" s="20">
        <v>2.7629166666666669</v>
      </c>
      <c r="AY88">
        <v>2.762916666666666</v>
      </c>
      <c r="AZ88">
        <v>6.0813881402083334</v>
      </c>
      <c r="BD88">
        <v>4.9166306755288817E-2</v>
      </c>
      <c r="BH88">
        <v>9.8332613510577649E-2</v>
      </c>
      <c r="BI88">
        <v>4.9166306755288817E-2</v>
      </c>
      <c r="BJ88">
        <v>0</v>
      </c>
    </row>
    <row r="89" spans="1:68" x14ac:dyDescent="0.3">
      <c r="A89" t="s">
        <v>69</v>
      </c>
      <c r="B89" s="12" t="s">
        <v>738</v>
      </c>
      <c r="C89" s="12"/>
      <c r="F89">
        <v>2.75</v>
      </c>
      <c r="G89" t="s">
        <v>70</v>
      </c>
      <c r="H89" s="8" t="s">
        <v>560</v>
      </c>
      <c r="I89" t="s">
        <v>638</v>
      </c>
      <c r="L89" s="20">
        <v>2</v>
      </c>
      <c r="M89">
        <v>4</v>
      </c>
      <c r="N89">
        <v>0</v>
      </c>
      <c r="T89" s="20">
        <v>8.3195821399999996</v>
      </c>
      <c r="U89" s="20">
        <v>8.3195821399999996</v>
      </c>
      <c r="V89" s="20">
        <v>8.2425581700000006</v>
      </c>
      <c r="W89">
        <v>5.5339970000000003</v>
      </c>
      <c r="X89">
        <v>5.4998300000000002</v>
      </c>
      <c r="Y89">
        <v>16.550709999999999</v>
      </c>
      <c r="Z89">
        <v>0</v>
      </c>
      <c r="AD89">
        <v>12</v>
      </c>
      <c r="AE89" s="44">
        <f t="shared" si="2"/>
        <v>0</v>
      </c>
      <c r="AF89" s="46">
        <v>248.80917443900231</v>
      </c>
      <c r="AG89" s="44">
        <v>503.73811661477208</v>
      </c>
      <c r="AH89" s="44">
        <v>0</v>
      </c>
      <c r="AJ89" s="40">
        <v>9.6459465588893734E-2</v>
      </c>
      <c r="AK89" s="41">
        <v>9.5287607621536111E-2</v>
      </c>
      <c r="AM89" s="23">
        <v>2</v>
      </c>
      <c r="AN89" s="23">
        <v>3.333333333333333</v>
      </c>
      <c r="AO89" s="23">
        <v>2.666666666666667</v>
      </c>
      <c r="AP89" s="23">
        <v>4.666666666666667</v>
      </c>
      <c r="AQ89" s="23">
        <v>0.15789473684210531</v>
      </c>
      <c r="AR89" s="23">
        <v>0.26315789473684209</v>
      </c>
      <c r="AS89" s="23">
        <v>0.2105263157894737</v>
      </c>
      <c r="AT89" s="23">
        <v>0.36842105263157898</v>
      </c>
      <c r="AU89" s="20">
        <v>2.02</v>
      </c>
      <c r="AV89" s="20">
        <v>3.44</v>
      </c>
      <c r="AW89" s="20">
        <v>1.42</v>
      </c>
      <c r="AX89" s="20">
        <v>3.0044444444444438</v>
      </c>
      <c r="AY89">
        <v>3.0044444444444438</v>
      </c>
      <c r="AZ89">
        <v>6.4228342255555546</v>
      </c>
      <c r="BA89" s="64">
        <v>0.52562348257484404</v>
      </c>
      <c r="BB89" s="64">
        <v>0.51923783589802341</v>
      </c>
      <c r="BE89">
        <v>4.8229732794446867E-2</v>
      </c>
      <c r="BF89">
        <v>4.7643803810768062E-2</v>
      </c>
      <c r="BH89">
        <v>9.5873536605214915E-2</v>
      </c>
      <c r="BI89">
        <v>4.7936768302607458E-2</v>
      </c>
      <c r="BJ89">
        <v>0.52243065923643373</v>
      </c>
    </row>
    <row r="90" spans="1:68" x14ac:dyDescent="0.3">
      <c r="A90" t="s">
        <v>71</v>
      </c>
      <c r="B90" s="12" t="s">
        <v>739</v>
      </c>
      <c r="C90" s="12"/>
      <c r="F90">
        <v>3.59</v>
      </c>
      <c r="G90" t="s">
        <v>77</v>
      </c>
      <c r="H90" s="8" t="s">
        <v>561</v>
      </c>
      <c r="I90" t="s">
        <v>639</v>
      </c>
      <c r="L90" s="20">
        <v>2</v>
      </c>
      <c r="M90">
        <v>2</v>
      </c>
      <c r="N90">
        <v>0</v>
      </c>
      <c r="T90" s="20">
        <v>3.8703880000000002</v>
      </c>
      <c r="U90" s="20">
        <v>3.8703880000000002</v>
      </c>
      <c r="V90" s="20">
        <v>13.604850000000001</v>
      </c>
      <c r="W90">
        <v>3.8415499999999998</v>
      </c>
      <c r="X90">
        <v>3.8415499999999998</v>
      </c>
      <c r="Y90">
        <v>13.4695</v>
      </c>
      <c r="Z90">
        <v>0</v>
      </c>
      <c r="AD90">
        <v>8</v>
      </c>
      <c r="AE90" s="44">
        <f t="shared" si="2"/>
        <v>0</v>
      </c>
      <c r="AF90" s="46">
        <v>203.79933701026059</v>
      </c>
      <c r="AG90" s="44">
        <v>198.77623248847371</v>
      </c>
      <c r="AH90" s="44">
        <v>0</v>
      </c>
      <c r="AJ90" s="40">
        <v>7.8508596910668346E-2</v>
      </c>
      <c r="AK90" s="41">
        <v>8.0492520658513728E-2</v>
      </c>
      <c r="AM90" s="23">
        <v>1.857142857142857</v>
      </c>
      <c r="AN90" s="23">
        <v>2.285714285714286</v>
      </c>
      <c r="AO90" s="23">
        <v>0.42857142857142849</v>
      </c>
      <c r="AP90" s="23">
        <v>0</v>
      </c>
      <c r="AQ90" s="23">
        <v>0.40625000000000011</v>
      </c>
      <c r="AR90" s="23">
        <v>0.5</v>
      </c>
      <c r="AS90" s="23">
        <v>9.375E-2</v>
      </c>
      <c r="AT90" s="23">
        <v>0</v>
      </c>
      <c r="AU90" s="20">
        <v>0.82</v>
      </c>
      <c r="AV90" s="20">
        <v>3.44</v>
      </c>
      <c r="AW90" s="20">
        <v>2.62</v>
      </c>
      <c r="AX90" s="20">
        <v>2.46</v>
      </c>
      <c r="AY90">
        <v>2.46</v>
      </c>
      <c r="AZ90">
        <v>5.5854910899999997</v>
      </c>
      <c r="BA90" s="64">
        <v>0.55645098073491572</v>
      </c>
      <c r="BB90" s="64">
        <v>0.57051257855519</v>
      </c>
      <c r="BE90">
        <v>3.9254298455334173E-2</v>
      </c>
      <c r="BF90">
        <v>4.0246260329256871E-2</v>
      </c>
      <c r="BH90">
        <v>7.950055878459103E-2</v>
      </c>
      <c r="BI90">
        <v>3.9750279392295522E-2</v>
      </c>
      <c r="BJ90">
        <v>0.56348177964505286</v>
      </c>
      <c r="BP90">
        <v>3.59</v>
      </c>
    </row>
    <row r="91" spans="1:68" x14ac:dyDescent="0.3">
      <c r="A91" t="s">
        <v>72</v>
      </c>
      <c r="B91" s="16" t="s">
        <v>902</v>
      </c>
      <c r="C91" s="12"/>
      <c r="F91">
        <v>3.74</v>
      </c>
      <c r="G91" t="s">
        <v>77</v>
      </c>
      <c r="H91" s="25" t="s">
        <v>561</v>
      </c>
      <c r="I91" s="1" t="s">
        <v>639</v>
      </c>
      <c r="L91" s="20">
        <v>0</v>
      </c>
      <c r="M91">
        <v>2</v>
      </c>
      <c r="N91">
        <v>0</v>
      </c>
      <c r="T91" s="20">
        <v>0</v>
      </c>
      <c r="U91" s="20"/>
      <c r="V91" s="20"/>
      <c r="W91">
        <v>3.8415499999999998</v>
      </c>
      <c r="X91">
        <v>3.8415499999999998</v>
      </c>
      <c r="Y91">
        <v>13.4695</v>
      </c>
      <c r="Z91">
        <v>0</v>
      </c>
      <c r="AD91">
        <v>8</v>
      </c>
      <c r="AE91" s="44">
        <f t="shared" si="2"/>
        <v>0</v>
      </c>
      <c r="AF91" s="46">
        <v>0</v>
      </c>
      <c r="AG91" s="44">
        <v>198.77623248847371</v>
      </c>
      <c r="AH91" s="44">
        <v>0</v>
      </c>
      <c r="AJ91" s="40"/>
      <c r="AK91" s="41">
        <v>8.0492520658513728E-2</v>
      </c>
      <c r="AM91" s="23">
        <v>1.857142857142857</v>
      </c>
      <c r="AN91" s="23">
        <v>2.285714285714286</v>
      </c>
      <c r="AO91" s="23">
        <v>0.42857142857142849</v>
      </c>
      <c r="AP91" s="23">
        <v>0</v>
      </c>
      <c r="AQ91" s="23">
        <v>0.40625000000000011</v>
      </c>
      <c r="AR91" s="23">
        <v>0.5</v>
      </c>
      <c r="AS91" s="23">
        <v>9.375E-2</v>
      </c>
      <c r="AT91" s="23">
        <v>0</v>
      </c>
      <c r="AU91" s="20">
        <v>0.82</v>
      </c>
      <c r="AV91" s="20">
        <v>3.44</v>
      </c>
      <c r="AW91" s="20">
        <v>2.62</v>
      </c>
      <c r="AX91" s="20">
        <v>2.4569999999999999</v>
      </c>
      <c r="AY91">
        <v>2.4569999999999999</v>
      </c>
      <c r="AZ91">
        <v>5.5866607328571423</v>
      </c>
      <c r="BA91" s="64">
        <v>0.55645098073491572</v>
      </c>
      <c r="BB91" s="64">
        <v>0.57051257855519</v>
      </c>
      <c r="BF91">
        <v>4.0246260329256871E-2</v>
      </c>
      <c r="BH91">
        <v>8.0492520658513728E-2</v>
      </c>
      <c r="BI91">
        <v>4.0246260329256871E-2</v>
      </c>
      <c r="BJ91">
        <v>0.56348177964505286</v>
      </c>
      <c r="BP91">
        <v>3.74</v>
      </c>
    </row>
    <row r="92" spans="1:68" x14ac:dyDescent="0.3">
      <c r="A92" t="s">
        <v>76</v>
      </c>
      <c r="B92" s="16" t="s">
        <v>903</v>
      </c>
      <c r="C92" s="12"/>
      <c r="F92">
        <v>3.82</v>
      </c>
      <c r="G92" t="s">
        <v>77</v>
      </c>
      <c r="H92" s="25" t="s">
        <v>1154</v>
      </c>
      <c r="I92" s="1" t="s">
        <v>1155</v>
      </c>
      <c r="L92" s="20">
        <v>0</v>
      </c>
      <c r="M92">
        <v>1</v>
      </c>
      <c r="N92">
        <v>0</v>
      </c>
      <c r="T92" s="20">
        <v>0</v>
      </c>
      <c r="U92" s="20"/>
      <c r="V92" s="20"/>
      <c r="W92">
        <v>6.7352999999999987</v>
      </c>
      <c r="X92">
        <v>8.0756999999999994</v>
      </c>
      <c r="Y92">
        <v>15.016999999999999</v>
      </c>
      <c r="Z92">
        <v>0</v>
      </c>
      <c r="AD92">
        <v>8</v>
      </c>
      <c r="AE92" s="44">
        <f t="shared" si="2"/>
        <v>0</v>
      </c>
      <c r="AF92" s="46">
        <v>0</v>
      </c>
      <c r="AG92" s="44">
        <v>801.31327174450405</v>
      </c>
      <c r="AH92" s="44">
        <v>0</v>
      </c>
      <c r="AJ92" s="40"/>
      <c r="AK92" s="41">
        <v>9.9836110071951645E-3</v>
      </c>
      <c r="AM92" s="23">
        <v>1.857142857142857</v>
      </c>
      <c r="AN92" s="23">
        <v>2.285714285714286</v>
      </c>
      <c r="AO92" s="23">
        <v>0.42857142857142849</v>
      </c>
      <c r="AP92" s="23">
        <v>0</v>
      </c>
      <c r="AQ92" s="23">
        <v>0.40625000000000011</v>
      </c>
      <c r="AR92" s="23">
        <v>0.5</v>
      </c>
      <c r="AS92" s="23">
        <v>9.375E-2</v>
      </c>
      <c r="AT92" s="23">
        <v>0</v>
      </c>
      <c r="AU92" s="20">
        <v>0.82</v>
      </c>
      <c r="AV92" s="20">
        <v>3.44</v>
      </c>
      <c r="AW92" s="20">
        <v>2.62</v>
      </c>
      <c r="AX92" s="20">
        <v>2.4510000000000001</v>
      </c>
      <c r="AY92">
        <v>2.4510000000000001</v>
      </c>
      <c r="AZ92">
        <v>5.5890000185714284</v>
      </c>
      <c r="BB92" s="64">
        <v>0.26693366029414328</v>
      </c>
      <c r="BF92">
        <v>4.9918055035975822E-3</v>
      </c>
      <c r="BH92">
        <v>9.9836110071951645E-3</v>
      </c>
      <c r="BI92">
        <v>4.9918055035975822E-3</v>
      </c>
      <c r="BJ92">
        <v>0.26693366029414328</v>
      </c>
      <c r="BP92">
        <v>3.82</v>
      </c>
    </row>
    <row r="93" spans="1:68" x14ac:dyDescent="0.3">
      <c r="A93" t="s">
        <v>75</v>
      </c>
      <c r="B93" s="16" t="s">
        <v>904</v>
      </c>
      <c r="C93" s="12"/>
      <c r="F93">
        <v>4.16</v>
      </c>
      <c r="G93" t="s">
        <v>77</v>
      </c>
      <c r="H93" s="25" t="s">
        <v>1156</v>
      </c>
      <c r="I93" s="1" t="s">
        <v>1157</v>
      </c>
      <c r="L93" s="20">
        <v>0</v>
      </c>
      <c r="M93">
        <v>4</v>
      </c>
      <c r="N93">
        <v>0</v>
      </c>
      <c r="T93" s="20">
        <v>0</v>
      </c>
      <c r="U93" s="20"/>
      <c r="V93" s="20"/>
      <c r="W93">
        <v>18.184000000000001</v>
      </c>
      <c r="X93">
        <v>13.009</v>
      </c>
      <c r="Y93">
        <v>13.112</v>
      </c>
      <c r="Z93">
        <v>0</v>
      </c>
      <c r="AD93">
        <v>8</v>
      </c>
      <c r="AE93" s="44">
        <f t="shared" si="2"/>
        <v>0</v>
      </c>
      <c r="AF93" s="46">
        <v>0</v>
      </c>
      <c r="AG93" s="44">
        <v>2626.6697286954709</v>
      </c>
      <c r="AH93" s="44">
        <v>0</v>
      </c>
      <c r="AJ93" s="40"/>
      <c r="AK93" s="41">
        <v>1.2182726914773829E-2</v>
      </c>
      <c r="AM93" s="23">
        <v>1.857142857142857</v>
      </c>
      <c r="AN93" s="23">
        <v>2.285714285714286</v>
      </c>
      <c r="AO93" s="23">
        <v>0.42857142857142849</v>
      </c>
      <c r="AP93" s="23">
        <v>0</v>
      </c>
      <c r="AQ93" s="23">
        <v>0.40625000000000011</v>
      </c>
      <c r="AR93" s="23">
        <v>0.5</v>
      </c>
      <c r="AS93" s="23">
        <v>9.375E-2</v>
      </c>
      <c r="AT93" s="23">
        <v>0</v>
      </c>
      <c r="AU93" s="20">
        <v>0.82</v>
      </c>
      <c r="AV93" s="20">
        <v>3.44</v>
      </c>
      <c r="AW93" s="20">
        <v>2.62</v>
      </c>
      <c r="AX93" s="20">
        <v>2.4449999999999998</v>
      </c>
      <c r="AY93">
        <v>2.4449999999999998</v>
      </c>
      <c r="AZ93">
        <v>5.5913393042857136</v>
      </c>
      <c r="BF93">
        <v>6.0913634573869172E-3</v>
      </c>
      <c r="BH93">
        <v>1.2182726914773829E-2</v>
      </c>
      <c r="BI93">
        <v>6.0913634573869172E-3</v>
      </c>
      <c r="BJ93">
        <v>0</v>
      </c>
      <c r="BP93">
        <v>4.16</v>
      </c>
    </row>
    <row r="94" spans="1:68" x14ac:dyDescent="0.3">
      <c r="A94" t="s">
        <v>74</v>
      </c>
      <c r="B94" s="16" t="s">
        <v>905</v>
      </c>
      <c r="C94" s="12"/>
      <c r="F94">
        <v>3.52</v>
      </c>
      <c r="G94" t="s">
        <v>77</v>
      </c>
      <c r="H94" s="25" t="s">
        <v>1158</v>
      </c>
      <c r="I94" s="1" t="s">
        <v>1159</v>
      </c>
      <c r="L94" s="20">
        <v>0</v>
      </c>
      <c r="M94">
        <v>4</v>
      </c>
      <c r="N94">
        <v>0</v>
      </c>
      <c r="T94" s="20">
        <v>0</v>
      </c>
      <c r="U94" s="20"/>
      <c r="V94" s="20"/>
      <c r="W94">
        <v>10.103899999999999</v>
      </c>
      <c r="X94">
        <v>13.944800000000001</v>
      </c>
      <c r="Y94">
        <v>16.4237</v>
      </c>
      <c r="Z94">
        <v>0</v>
      </c>
      <c r="AD94">
        <v>8</v>
      </c>
      <c r="AE94" s="44">
        <f t="shared" si="2"/>
        <v>0</v>
      </c>
      <c r="AF94" s="46">
        <v>0</v>
      </c>
      <c r="AG94" s="44">
        <v>2303.3090882103638</v>
      </c>
      <c r="AH94" s="44">
        <v>0</v>
      </c>
      <c r="AJ94" s="40"/>
      <c r="AK94" s="41">
        <v>1.3893055067508771E-2</v>
      </c>
      <c r="AM94" s="23">
        <v>1.857142857142857</v>
      </c>
      <c r="AN94" s="23">
        <v>2.285714285714286</v>
      </c>
      <c r="AO94" s="23">
        <v>0.42857142857142849</v>
      </c>
      <c r="AP94" s="23">
        <v>0</v>
      </c>
      <c r="AQ94" s="23">
        <v>0.40625000000000011</v>
      </c>
      <c r="AR94" s="23">
        <v>0.5</v>
      </c>
      <c r="AS94" s="23">
        <v>9.375E-2</v>
      </c>
      <c r="AT94" s="23">
        <v>0</v>
      </c>
      <c r="AU94" s="20">
        <v>0.82</v>
      </c>
      <c r="AV94" s="20">
        <v>3.44</v>
      </c>
      <c r="AW94" s="20">
        <v>2.62</v>
      </c>
      <c r="AX94" s="20">
        <v>2.4390000000000001</v>
      </c>
      <c r="AY94">
        <v>2.4390000000000001</v>
      </c>
      <c r="AZ94">
        <v>5.5936785899999997</v>
      </c>
      <c r="BF94">
        <v>6.9465275337543854E-3</v>
      </c>
      <c r="BH94">
        <v>1.3893055067508771E-2</v>
      </c>
      <c r="BI94">
        <v>6.9465275337543854E-3</v>
      </c>
      <c r="BJ94">
        <v>0</v>
      </c>
      <c r="BP94">
        <v>3.52</v>
      </c>
    </row>
    <row r="95" spans="1:68" x14ac:dyDescent="0.3">
      <c r="A95" t="s">
        <v>73</v>
      </c>
      <c r="B95" s="12" t="s">
        <v>740</v>
      </c>
      <c r="C95" s="12"/>
      <c r="F95">
        <v>3.43</v>
      </c>
      <c r="G95" t="s">
        <v>77</v>
      </c>
      <c r="H95" s="25" t="s">
        <v>1160</v>
      </c>
      <c r="I95" s="1" t="s">
        <v>1161</v>
      </c>
      <c r="L95" s="20">
        <v>0</v>
      </c>
      <c r="M95">
        <v>2</v>
      </c>
      <c r="N95">
        <v>0</v>
      </c>
      <c r="T95" s="20">
        <v>0</v>
      </c>
      <c r="U95" s="20"/>
      <c r="V95" s="20"/>
      <c r="W95">
        <v>5.4507000000000003</v>
      </c>
      <c r="X95">
        <v>9.7352000000000007</v>
      </c>
      <c r="Y95">
        <v>31.373799999999999</v>
      </c>
      <c r="Z95">
        <v>0</v>
      </c>
      <c r="AD95">
        <v>8</v>
      </c>
      <c r="AE95" s="44">
        <f t="shared" si="2"/>
        <v>0</v>
      </c>
      <c r="AF95" s="46">
        <v>0</v>
      </c>
      <c r="AG95" s="44">
        <v>1647.0185271674609</v>
      </c>
      <c r="AH95" s="44">
        <v>0</v>
      </c>
      <c r="AJ95" s="40"/>
      <c r="AK95" s="41">
        <v>9.714523386398553E-3</v>
      </c>
      <c r="AM95" s="23">
        <v>1.857142857142857</v>
      </c>
      <c r="AN95" s="23">
        <v>2.285714285714286</v>
      </c>
      <c r="AO95" s="23">
        <v>0.42857142857142849</v>
      </c>
      <c r="AP95" s="23">
        <v>0</v>
      </c>
      <c r="AQ95" s="23">
        <v>0.40625000000000011</v>
      </c>
      <c r="AR95" s="23">
        <v>0.5</v>
      </c>
      <c r="AS95" s="23">
        <v>9.375E-2</v>
      </c>
      <c r="AT95" s="23">
        <v>0</v>
      </c>
      <c r="AU95" s="20">
        <v>0.82</v>
      </c>
      <c r="AV95" s="20">
        <v>3.44</v>
      </c>
      <c r="AW95" s="20">
        <v>2.62</v>
      </c>
      <c r="AX95" s="20">
        <v>2.4300000000000002</v>
      </c>
      <c r="AY95">
        <v>2.4300000000000002</v>
      </c>
      <c r="AZ95">
        <v>5.5971875185714284</v>
      </c>
      <c r="BF95">
        <v>4.8572616931992756E-3</v>
      </c>
      <c r="BH95">
        <v>9.714523386398553E-3</v>
      </c>
      <c r="BI95">
        <v>4.8572616931992756E-3</v>
      </c>
      <c r="BJ95">
        <v>0</v>
      </c>
      <c r="BP95">
        <v>3.43</v>
      </c>
    </row>
    <row r="96" spans="1:68" x14ac:dyDescent="0.3">
      <c r="A96" t="s">
        <v>44</v>
      </c>
      <c r="B96" s="16" t="s">
        <v>720</v>
      </c>
      <c r="C96" s="12"/>
      <c r="D96" t="s">
        <v>676</v>
      </c>
      <c r="E96" t="s">
        <v>1067</v>
      </c>
      <c r="F96">
        <v>3.44</v>
      </c>
      <c r="G96" t="s">
        <v>78</v>
      </c>
      <c r="H96" s="8" t="s">
        <v>549</v>
      </c>
      <c r="I96">
        <v>-1</v>
      </c>
      <c r="L96" s="20">
        <v>1</v>
      </c>
      <c r="M96">
        <v>0</v>
      </c>
      <c r="N96">
        <v>0</v>
      </c>
      <c r="T96" s="20">
        <v>15.28115725</v>
      </c>
      <c r="U96" s="20">
        <v>15.28115725</v>
      </c>
      <c r="V96" s="20">
        <v>15.28115725</v>
      </c>
      <c r="W96">
        <v>0</v>
      </c>
      <c r="Z96">
        <v>0</v>
      </c>
      <c r="AD96">
        <v>20</v>
      </c>
      <c r="AE96" s="44">
        <f t="shared" si="2"/>
        <v>0</v>
      </c>
      <c r="AF96" s="46">
        <v>229.90248606119221</v>
      </c>
      <c r="AG96" s="44">
        <v>0</v>
      </c>
      <c r="AH96" s="44">
        <v>0</v>
      </c>
      <c r="AJ96" s="40">
        <v>8.6993404650164072E-2</v>
      </c>
      <c r="AM96" s="23">
        <v>1.882352941176471</v>
      </c>
      <c r="AN96" s="23">
        <v>2.3529411764705879</v>
      </c>
      <c r="AO96" s="23">
        <v>0.47058823529411759</v>
      </c>
      <c r="AP96" s="23">
        <v>0</v>
      </c>
      <c r="AQ96" s="23">
        <v>0.4</v>
      </c>
      <c r="AR96" s="23">
        <v>0.5</v>
      </c>
      <c r="AS96" s="23">
        <v>9.9999999999999992E-2</v>
      </c>
      <c r="AT96" s="23">
        <v>0</v>
      </c>
      <c r="AU96" s="20">
        <v>0.82</v>
      </c>
      <c r="AV96" s="20">
        <v>3.44</v>
      </c>
      <c r="AW96" s="20">
        <v>2.62</v>
      </c>
      <c r="AX96" s="20">
        <v>2.5211764705882351</v>
      </c>
      <c r="AY96">
        <v>2.521176470588236</v>
      </c>
      <c r="AZ96">
        <v>5.6898745917647062</v>
      </c>
      <c r="BA96" s="64">
        <v>0.57369840599679445</v>
      </c>
      <c r="BE96">
        <v>4.3496702325082043E-2</v>
      </c>
      <c r="BH96">
        <v>8.6993404650164072E-2</v>
      </c>
      <c r="BI96">
        <v>4.3496702325082043E-2</v>
      </c>
      <c r="BJ96">
        <v>0.57369840599679445</v>
      </c>
      <c r="BP96">
        <v>4.0999999999999996</v>
      </c>
    </row>
    <row r="97" spans="1:68" x14ac:dyDescent="0.3">
      <c r="A97" t="s">
        <v>44</v>
      </c>
      <c r="B97" s="12" t="s">
        <v>720</v>
      </c>
      <c r="C97" s="12"/>
      <c r="F97">
        <v>3.69</v>
      </c>
      <c r="G97" t="s">
        <v>78</v>
      </c>
      <c r="H97" s="8" t="s">
        <v>549</v>
      </c>
      <c r="I97">
        <v>-1</v>
      </c>
      <c r="L97" s="20">
        <v>1</v>
      </c>
      <c r="M97">
        <v>0</v>
      </c>
      <c r="N97">
        <v>0</v>
      </c>
      <c r="O97">
        <v>3.87</v>
      </c>
      <c r="P97">
        <v>3.87</v>
      </c>
      <c r="Q97">
        <v>29.8</v>
      </c>
      <c r="R97" t="s">
        <v>440</v>
      </c>
      <c r="T97" s="20">
        <v>15.28115725</v>
      </c>
      <c r="U97" s="20">
        <v>15.28115725</v>
      </c>
      <c r="V97" s="20">
        <v>15.28115725</v>
      </c>
      <c r="W97">
        <v>0</v>
      </c>
      <c r="Z97">
        <v>0</v>
      </c>
      <c r="AC97">
        <v>3</v>
      </c>
      <c r="AD97">
        <v>20</v>
      </c>
      <c r="AE97" s="44">
        <f t="shared" si="2"/>
        <v>446.31162</v>
      </c>
      <c r="AF97" s="46">
        <v>229.90248606119221</v>
      </c>
      <c r="AG97" s="44">
        <v>0</v>
      </c>
      <c r="AH97" s="44">
        <v>0</v>
      </c>
      <c r="AJ97" s="40">
        <v>8.6993404650164072E-2</v>
      </c>
      <c r="AM97" s="23">
        <v>1.882352941176471</v>
      </c>
      <c r="AN97" s="23">
        <v>2.3529411764705879</v>
      </c>
      <c r="AO97" s="23">
        <v>0.47058823529411759</v>
      </c>
      <c r="AP97" s="23">
        <v>0</v>
      </c>
      <c r="AQ97" s="23">
        <v>0.4</v>
      </c>
      <c r="AR97" s="23">
        <v>0.5</v>
      </c>
      <c r="AS97" s="23">
        <v>9.9999999999999992E-2</v>
      </c>
      <c r="AT97" s="23">
        <v>0</v>
      </c>
      <c r="AU97" s="20">
        <v>0.82</v>
      </c>
      <c r="AV97" s="20">
        <v>3.44</v>
      </c>
      <c r="AW97" s="20">
        <v>2.62</v>
      </c>
      <c r="AX97" s="20">
        <v>2.5211764705882351</v>
      </c>
      <c r="AY97">
        <v>2.521176470588236</v>
      </c>
      <c r="AZ97">
        <v>5.6898745917647062</v>
      </c>
      <c r="BA97" s="64">
        <v>0.57369840599679445</v>
      </c>
      <c r="BE97">
        <v>4.3496702325082043E-2</v>
      </c>
      <c r="BH97">
        <v>8.6993404650164072E-2</v>
      </c>
      <c r="BI97">
        <v>4.3496702325082043E-2</v>
      </c>
      <c r="BJ97">
        <v>0.57369840599679445</v>
      </c>
      <c r="BP97">
        <v>5.7</v>
      </c>
    </row>
    <row r="98" spans="1:68" x14ac:dyDescent="0.3">
      <c r="A98" t="s">
        <v>44</v>
      </c>
      <c r="B98" s="12" t="s">
        <v>720</v>
      </c>
      <c r="C98" s="12"/>
      <c r="F98">
        <v>3.78</v>
      </c>
      <c r="G98" t="s">
        <v>80</v>
      </c>
      <c r="H98" s="8" t="s">
        <v>549</v>
      </c>
      <c r="I98">
        <v>-1</v>
      </c>
      <c r="L98" s="20">
        <v>1</v>
      </c>
      <c r="M98">
        <v>0</v>
      </c>
      <c r="N98">
        <v>0</v>
      </c>
      <c r="O98">
        <v>3.859</v>
      </c>
      <c r="P98">
        <v>3.859</v>
      </c>
      <c r="Q98">
        <v>29.047999999999998</v>
      </c>
      <c r="R98" t="s">
        <v>440</v>
      </c>
      <c r="T98" s="20">
        <v>15.28115725</v>
      </c>
      <c r="U98" s="20">
        <v>15.28115725</v>
      </c>
      <c r="V98" s="20">
        <v>15.28115725</v>
      </c>
      <c r="W98">
        <v>0</v>
      </c>
      <c r="Z98">
        <v>0</v>
      </c>
      <c r="AC98">
        <v>3</v>
      </c>
      <c r="AD98">
        <v>20</v>
      </c>
      <c r="AE98" s="44">
        <f t="shared" si="2"/>
        <v>432.57935928799998</v>
      </c>
      <c r="AF98" s="46">
        <v>229.90248606119221</v>
      </c>
      <c r="AG98" s="44">
        <v>0</v>
      </c>
      <c r="AH98" s="44">
        <v>0</v>
      </c>
      <c r="AJ98" s="40">
        <v>8.6993404650164072E-2</v>
      </c>
      <c r="AM98" s="23">
        <v>1.882352941176471</v>
      </c>
      <c r="AN98" s="23">
        <v>2.3529411764705879</v>
      </c>
      <c r="AO98" s="23">
        <v>0.47058823529411759</v>
      </c>
      <c r="AP98" s="23">
        <v>0</v>
      </c>
      <c r="AQ98" s="23">
        <v>0.4</v>
      </c>
      <c r="AR98" s="23">
        <v>0.5</v>
      </c>
      <c r="AS98" s="23">
        <v>9.9999999999999992E-2</v>
      </c>
      <c r="AT98" s="23">
        <v>0</v>
      </c>
      <c r="AU98" s="20">
        <v>0.82</v>
      </c>
      <c r="AV98" s="20">
        <v>3.44</v>
      </c>
      <c r="AW98" s="20">
        <v>2.62</v>
      </c>
      <c r="AX98" s="20">
        <v>2.5211764705882351</v>
      </c>
      <c r="AY98">
        <v>2.521176470588236</v>
      </c>
      <c r="AZ98">
        <v>5.6898745917647062</v>
      </c>
      <c r="BA98" s="64">
        <v>0.57369840599679445</v>
      </c>
      <c r="BE98">
        <v>4.3496702325082043E-2</v>
      </c>
      <c r="BH98">
        <v>8.6993404650164072E-2</v>
      </c>
      <c r="BI98">
        <v>4.3496702325082043E-2</v>
      </c>
      <c r="BJ98">
        <v>0.57369840599679445</v>
      </c>
    </row>
    <row r="99" spans="1:68" x14ac:dyDescent="0.3">
      <c r="A99" t="s">
        <v>79</v>
      </c>
      <c r="B99" s="16" t="s">
        <v>906</v>
      </c>
      <c r="C99" s="12"/>
      <c r="F99">
        <v>3.2</v>
      </c>
      <c r="G99" t="s">
        <v>80</v>
      </c>
      <c r="H99" s="8">
        <v>-1</v>
      </c>
      <c r="I99">
        <v>-1</v>
      </c>
      <c r="K99">
        <v>2</v>
      </c>
      <c r="L99" s="20">
        <v>0</v>
      </c>
      <c r="M99">
        <v>0</v>
      </c>
      <c r="N99">
        <v>0</v>
      </c>
      <c r="O99">
        <v>3.8650000000000002</v>
      </c>
      <c r="P99">
        <v>3.8650000000000002</v>
      </c>
      <c r="Q99">
        <v>29.241</v>
      </c>
      <c r="T99" s="20">
        <v>0</v>
      </c>
      <c r="U99" s="20"/>
      <c r="V99" s="20"/>
      <c r="W99">
        <v>0</v>
      </c>
      <c r="Z99">
        <v>0</v>
      </c>
      <c r="AC99">
        <v>3</v>
      </c>
      <c r="AD99">
        <v>20</v>
      </c>
      <c r="AE99" s="44">
        <f t="shared" si="2"/>
        <v>436.80863722500004</v>
      </c>
      <c r="AF99" s="46">
        <v>0</v>
      </c>
      <c r="AG99" s="44">
        <v>0</v>
      </c>
      <c r="AH99" s="44">
        <v>0</v>
      </c>
      <c r="AI99" s="41">
        <f>K99*AD99/AE99</f>
        <v>9.1573280817238076E-2</v>
      </c>
      <c r="AJ99" s="40"/>
      <c r="AM99" s="23">
        <v>1.882352941176471</v>
      </c>
      <c r="AN99" s="23">
        <v>2.3529411764705879</v>
      </c>
      <c r="AO99" s="23">
        <v>0.49411764705882361</v>
      </c>
      <c r="AP99" s="23">
        <v>0</v>
      </c>
      <c r="AQ99" s="23">
        <v>0.39800995024875629</v>
      </c>
      <c r="AR99" s="23">
        <v>0.4975124378109454</v>
      </c>
      <c r="AS99" s="23">
        <v>0.1044776119402985</v>
      </c>
      <c r="AT99" s="23">
        <v>0</v>
      </c>
      <c r="AU99" s="20">
        <v>0.82</v>
      </c>
      <c r="AV99" s="20">
        <v>3.44</v>
      </c>
      <c r="AW99" s="20">
        <v>2.62</v>
      </c>
      <c r="AX99" s="20">
        <v>2.5228823529411768</v>
      </c>
      <c r="AY99">
        <v>2.5228823529411768</v>
      </c>
      <c r="AZ99">
        <v>5.6932629430588237</v>
      </c>
      <c r="BD99">
        <v>4.5786640408619038E-2</v>
      </c>
      <c r="BH99">
        <v>9.1573280817238076E-2</v>
      </c>
      <c r="BI99">
        <v>4.5786640408619038E-2</v>
      </c>
      <c r="BJ99">
        <v>0</v>
      </c>
    </row>
    <row r="100" spans="1:68" x14ac:dyDescent="0.3">
      <c r="A100" t="s">
        <v>81</v>
      </c>
      <c r="B100" s="16" t="s">
        <v>907</v>
      </c>
      <c r="C100" s="12"/>
      <c r="F100">
        <v>2.93</v>
      </c>
      <c r="G100" t="s">
        <v>80</v>
      </c>
      <c r="H100" s="8">
        <v>-1</v>
      </c>
      <c r="I100">
        <v>-1</v>
      </c>
      <c r="K100">
        <v>2</v>
      </c>
      <c r="L100" s="20">
        <v>0</v>
      </c>
      <c r="M100">
        <v>0</v>
      </c>
      <c r="N100">
        <v>0</v>
      </c>
      <c r="O100">
        <v>3.8660000000000001</v>
      </c>
      <c r="P100">
        <v>3.8660000000000001</v>
      </c>
      <c r="Q100">
        <v>29.145</v>
      </c>
      <c r="T100" s="20">
        <v>0</v>
      </c>
      <c r="U100" s="20"/>
      <c r="V100" s="20"/>
      <c r="W100">
        <v>0</v>
      </c>
      <c r="Z100">
        <v>0</v>
      </c>
      <c r="AC100">
        <v>3</v>
      </c>
      <c r="AD100">
        <v>20</v>
      </c>
      <c r="AE100" s="44">
        <f t="shared" si="2"/>
        <v>435.59988762</v>
      </c>
      <c r="AF100" s="46">
        <v>0</v>
      </c>
      <c r="AG100" s="44">
        <v>0</v>
      </c>
      <c r="AH100" s="44">
        <v>0</v>
      </c>
      <c r="AI100" s="41">
        <f t="shared" ref="AI100:AI105" si="3">K100*AD100/AE100</f>
        <v>9.1827388245091582E-2</v>
      </c>
      <c r="AJ100" s="40"/>
      <c r="AM100" s="23">
        <v>1.882352941176471</v>
      </c>
      <c r="AN100" s="23">
        <v>2.3529411764705879</v>
      </c>
      <c r="AO100" s="23">
        <v>0.51764705882352946</v>
      </c>
      <c r="AP100" s="23">
        <v>0</v>
      </c>
      <c r="AQ100" s="23">
        <v>0.39603960396039611</v>
      </c>
      <c r="AR100" s="23">
        <v>0.49504950495049499</v>
      </c>
      <c r="AS100" s="23">
        <v>0.1089108910891089</v>
      </c>
      <c r="AT100" s="23">
        <v>0</v>
      </c>
      <c r="AU100" s="20">
        <v>0.82</v>
      </c>
      <c r="AV100" s="20">
        <v>3.44</v>
      </c>
      <c r="AW100" s="20">
        <v>2.62</v>
      </c>
      <c r="AX100" s="20">
        <v>2.5245882352941171</v>
      </c>
      <c r="AY100">
        <v>2.524588235294118</v>
      </c>
      <c r="AZ100">
        <v>5.6966512943529413</v>
      </c>
      <c r="BD100">
        <v>4.5913694122545791E-2</v>
      </c>
      <c r="BH100">
        <v>9.1827388245091582E-2</v>
      </c>
      <c r="BI100">
        <v>4.5913694122545791E-2</v>
      </c>
      <c r="BJ100">
        <v>0</v>
      </c>
    </row>
    <row r="101" spans="1:68" x14ac:dyDescent="0.3">
      <c r="A101" t="s">
        <v>82</v>
      </c>
      <c r="B101" s="16" t="s">
        <v>908</v>
      </c>
      <c r="C101" s="12"/>
      <c r="F101">
        <v>2.69</v>
      </c>
      <c r="G101" t="s">
        <v>80</v>
      </c>
      <c r="H101" s="8">
        <v>-1</v>
      </c>
      <c r="I101">
        <v>-1</v>
      </c>
      <c r="K101">
        <v>2</v>
      </c>
      <c r="L101" s="20">
        <v>0</v>
      </c>
      <c r="M101">
        <v>0</v>
      </c>
      <c r="N101">
        <v>0</v>
      </c>
      <c r="O101">
        <v>3.871</v>
      </c>
      <c r="P101">
        <v>3.871</v>
      </c>
      <c r="Q101">
        <v>29.241</v>
      </c>
      <c r="T101" s="20">
        <v>0</v>
      </c>
      <c r="U101" s="20"/>
      <c r="V101" s="20"/>
      <c r="W101">
        <v>0</v>
      </c>
      <c r="Z101">
        <v>0</v>
      </c>
      <c r="AC101">
        <v>3</v>
      </c>
      <c r="AD101">
        <v>20</v>
      </c>
      <c r="AE101" s="44">
        <f t="shared" si="2"/>
        <v>438.16588748099997</v>
      </c>
      <c r="AF101" s="46">
        <v>0</v>
      </c>
      <c r="AG101" s="44">
        <v>0</v>
      </c>
      <c r="AH101" s="44">
        <v>0</v>
      </c>
      <c r="AI101" s="41">
        <f t="shared" si="3"/>
        <v>9.1289626013468489E-2</v>
      </c>
      <c r="AJ101" s="40"/>
      <c r="AM101" s="23">
        <v>1.882352941176471</v>
      </c>
      <c r="AN101" s="23">
        <v>2.3529411764705879</v>
      </c>
      <c r="AO101" s="23">
        <v>0.54117647058823526</v>
      </c>
      <c r="AP101" s="23">
        <v>0</v>
      </c>
      <c r="AQ101" s="23">
        <v>0.39408866995073888</v>
      </c>
      <c r="AR101" s="23">
        <v>0.49261083743842371</v>
      </c>
      <c r="AS101" s="23">
        <v>0.1133004926108374</v>
      </c>
      <c r="AT101" s="23">
        <v>0</v>
      </c>
      <c r="AU101" s="20">
        <v>0.82</v>
      </c>
      <c r="AV101" s="20">
        <v>3.44</v>
      </c>
      <c r="AW101" s="20">
        <v>2.62</v>
      </c>
      <c r="AX101" s="20">
        <v>2.5262941176470588</v>
      </c>
      <c r="AY101">
        <v>2.5262941176470588</v>
      </c>
      <c r="AZ101">
        <v>5.7000396456470588</v>
      </c>
      <c r="BD101">
        <v>4.5644813006734238E-2</v>
      </c>
      <c r="BH101">
        <v>9.1289626013468489E-2</v>
      </c>
      <c r="BI101">
        <v>4.5644813006734238E-2</v>
      </c>
      <c r="BJ101">
        <v>0</v>
      </c>
    </row>
    <row r="102" spans="1:68" x14ac:dyDescent="0.3">
      <c r="A102" t="s">
        <v>83</v>
      </c>
      <c r="B102" s="16" t="s">
        <v>909</v>
      </c>
      <c r="C102" s="12"/>
      <c r="F102">
        <v>2.4300000000000002</v>
      </c>
      <c r="G102" t="s">
        <v>80</v>
      </c>
      <c r="H102" s="8">
        <v>-1</v>
      </c>
      <c r="I102">
        <v>-1</v>
      </c>
      <c r="K102">
        <v>2</v>
      </c>
      <c r="L102" s="20">
        <v>0</v>
      </c>
      <c r="M102">
        <v>0</v>
      </c>
      <c r="N102">
        <v>0</v>
      </c>
      <c r="O102">
        <v>3.8740000000000001</v>
      </c>
      <c r="P102">
        <v>3.8740000000000001</v>
      </c>
      <c r="Q102">
        <v>32.945999999999998</v>
      </c>
      <c r="T102" s="20">
        <v>0</v>
      </c>
      <c r="U102" s="20"/>
      <c r="V102" s="20"/>
      <c r="W102">
        <v>0</v>
      </c>
      <c r="Z102">
        <v>0</v>
      </c>
      <c r="AC102">
        <v>3</v>
      </c>
      <c r="AD102">
        <v>20</v>
      </c>
      <c r="AE102" s="44">
        <f t="shared" si="2"/>
        <v>494.44948269600002</v>
      </c>
      <c r="AF102" s="46">
        <v>0</v>
      </c>
      <c r="AG102" s="44">
        <v>0</v>
      </c>
      <c r="AH102" s="44">
        <v>0</v>
      </c>
      <c r="AI102" s="41">
        <f t="shared" si="3"/>
        <v>8.0898052075813381E-2</v>
      </c>
      <c r="AJ102" s="40"/>
      <c r="AM102" s="23">
        <v>1.882352941176471</v>
      </c>
      <c r="AN102" s="23">
        <v>2.3529411764705879</v>
      </c>
      <c r="AO102" s="23">
        <v>0.56470588235294128</v>
      </c>
      <c r="AP102" s="23">
        <v>0</v>
      </c>
      <c r="AQ102" s="23">
        <v>0.39215686274509798</v>
      </c>
      <c r="AR102" s="23">
        <v>0.49019607843137247</v>
      </c>
      <c r="AS102" s="23">
        <v>0.1176470588235294</v>
      </c>
      <c r="AT102" s="23">
        <v>0</v>
      </c>
      <c r="AU102" s="20">
        <v>0.82</v>
      </c>
      <c r="AV102" s="20">
        <v>3.44</v>
      </c>
      <c r="AW102" s="20">
        <v>2.62</v>
      </c>
      <c r="AX102" s="20">
        <v>2.528</v>
      </c>
      <c r="AY102">
        <v>2.528</v>
      </c>
      <c r="AZ102">
        <v>5.7034279969411772</v>
      </c>
      <c r="BD102">
        <v>4.0449026037906691E-2</v>
      </c>
      <c r="BH102">
        <v>8.0898052075813381E-2</v>
      </c>
      <c r="BI102">
        <v>4.0449026037906691E-2</v>
      </c>
      <c r="BJ102">
        <v>0</v>
      </c>
    </row>
    <row r="103" spans="1:68" x14ac:dyDescent="0.3">
      <c r="A103" s="4" t="s">
        <v>84</v>
      </c>
      <c r="B103" s="16" t="s">
        <v>910</v>
      </c>
      <c r="C103" s="12"/>
      <c r="F103">
        <v>2.41</v>
      </c>
      <c r="G103" t="s">
        <v>80</v>
      </c>
      <c r="H103" s="8">
        <v>-1</v>
      </c>
      <c r="I103">
        <v>-1</v>
      </c>
      <c r="K103">
        <v>2</v>
      </c>
      <c r="L103" s="20">
        <v>0</v>
      </c>
      <c r="M103">
        <v>0</v>
      </c>
      <c r="N103">
        <v>0</v>
      </c>
      <c r="O103">
        <v>3.8759999999999999</v>
      </c>
      <c r="P103">
        <v>3.8759999999999999</v>
      </c>
      <c r="Q103">
        <f>AVERAGE(Q99:Q102)</f>
        <v>30.143249999999998</v>
      </c>
      <c r="T103" s="20">
        <v>0</v>
      </c>
      <c r="U103" s="20"/>
      <c r="V103" s="20"/>
      <c r="W103">
        <v>0</v>
      </c>
      <c r="Z103">
        <v>0</v>
      </c>
      <c r="AC103">
        <v>3</v>
      </c>
      <c r="AD103">
        <v>20</v>
      </c>
      <c r="AE103" s="44">
        <f t="shared" si="2"/>
        <v>452.85337861199991</v>
      </c>
      <c r="AF103" s="46">
        <v>0</v>
      </c>
      <c r="AG103" s="44">
        <v>0</v>
      </c>
      <c r="AH103" s="44">
        <v>0</v>
      </c>
      <c r="AI103" s="41">
        <f t="shared" si="3"/>
        <v>8.8328809917683285E-2</v>
      </c>
      <c r="AJ103" s="40"/>
      <c r="AM103" s="23">
        <v>1.882352941176471</v>
      </c>
      <c r="AN103" s="23">
        <v>2.3529411764705879</v>
      </c>
      <c r="AO103" s="23">
        <v>0.58823529411764708</v>
      </c>
      <c r="AP103" s="23">
        <v>0</v>
      </c>
      <c r="AQ103" s="23">
        <v>0.3902439024390244</v>
      </c>
      <c r="AR103" s="23">
        <v>0.48780487804878048</v>
      </c>
      <c r="AS103" s="23">
        <v>0.12195121951219511</v>
      </c>
      <c r="AT103" s="23">
        <v>0</v>
      </c>
      <c r="AU103" s="20">
        <v>0.82</v>
      </c>
      <c r="AV103" s="20">
        <v>3.44</v>
      </c>
      <c r="AW103" s="20">
        <v>2.62</v>
      </c>
      <c r="AX103" s="20">
        <v>2.5297058823529408</v>
      </c>
      <c r="AY103">
        <v>2.5297058823529408</v>
      </c>
      <c r="AZ103">
        <v>5.7068163482352947</v>
      </c>
      <c r="BD103">
        <v>4.4164404958841642E-2</v>
      </c>
      <c r="BH103">
        <v>8.8328809917683285E-2</v>
      </c>
      <c r="BI103">
        <v>4.4164404958841642E-2</v>
      </c>
      <c r="BJ103">
        <v>0</v>
      </c>
    </row>
    <row r="104" spans="1:68" x14ac:dyDescent="0.3">
      <c r="A104" t="s">
        <v>85</v>
      </c>
      <c r="B104" s="16" t="s">
        <v>911</v>
      </c>
      <c r="C104" s="12"/>
      <c r="F104">
        <v>3.06</v>
      </c>
      <c r="G104" t="s">
        <v>80</v>
      </c>
      <c r="H104" s="8">
        <v>-1</v>
      </c>
      <c r="I104">
        <v>-1</v>
      </c>
      <c r="K104">
        <v>2</v>
      </c>
      <c r="L104" s="20">
        <v>0</v>
      </c>
      <c r="M104">
        <v>0</v>
      </c>
      <c r="N104">
        <v>0</v>
      </c>
      <c r="O104">
        <v>3.8660000000000001</v>
      </c>
      <c r="P104">
        <v>3.8660000000000001</v>
      </c>
      <c r="Q104">
        <v>29.114000000000001</v>
      </c>
      <c r="T104" s="20">
        <v>0</v>
      </c>
      <c r="U104" s="20"/>
      <c r="V104" s="20"/>
      <c r="W104">
        <v>0</v>
      </c>
      <c r="Z104">
        <v>0</v>
      </c>
      <c r="AC104">
        <v>3</v>
      </c>
      <c r="AD104">
        <v>20</v>
      </c>
      <c r="AE104" s="44">
        <f t="shared" si="2"/>
        <v>435.13656298400002</v>
      </c>
      <c r="AF104" s="46">
        <v>0</v>
      </c>
      <c r="AG104" s="44">
        <v>0</v>
      </c>
      <c r="AH104" s="44">
        <v>0</v>
      </c>
      <c r="AI104" s="41">
        <f t="shared" si="3"/>
        <v>9.1925164196029197E-2</v>
      </c>
      <c r="AJ104" s="40"/>
      <c r="AM104" s="23">
        <v>1.882352941176471</v>
      </c>
      <c r="AN104" s="23">
        <v>2.3529411764705879</v>
      </c>
      <c r="AO104" s="23">
        <v>0.49411764705882361</v>
      </c>
      <c r="AP104" s="23">
        <v>0.1647058823529412</v>
      </c>
      <c r="AQ104" s="23">
        <v>0.38461538461538458</v>
      </c>
      <c r="AR104" s="23">
        <v>0.48076923076923073</v>
      </c>
      <c r="AS104" s="23">
        <v>0.10096153846153851</v>
      </c>
      <c r="AT104" s="23">
        <v>3.3653846153846159E-2</v>
      </c>
      <c r="AU104" s="20">
        <v>0.82</v>
      </c>
      <c r="AV104" s="20">
        <v>3.44</v>
      </c>
      <c r="AW104" s="20">
        <v>2.62</v>
      </c>
      <c r="AX104" s="20">
        <v>2.530823529411764</v>
      </c>
      <c r="AY104">
        <v>2.5308235294117649</v>
      </c>
      <c r="AZ104">
        <v>5.7003253741176483</v>
      </c>
      <c r="BD104">
        <v>4.5962582098014598E-2</v>
      </c>
      <c r="BH104">
        <v>9.1925164196029197E-2</v>
      </c>
      <c r="BI104">
        <v>4.5962582098014598E-2</v>
      </c>
      <c r="BJ104">
        <v>0</v>
      </c>
    </row>
    <row r="105" spans="1:68" x14ac:dyDescent="0.3">
      <c r="A105" t="s">
        <v>86</v>
      </c>
      <c r="B105" s="16" t="s">
        <v>912</v>
      </c>
      <c r="C105" s="12"/>
      <c r="F105">
        <v>2.12</v>
      </c>
      <c r="G105" t="s">
        <v>80</v>
      </c>
      <c r="H105" s="8">
        <v>-1</v>
      </c>
      <c r="I105">
        <v>-1</v>
      </c>
      <c r="K105">
        <v>2</v>
      </c>
      <c r="L105" s="20">
        <v>0</v>
      </c>
      <c r="M105">
        <v>0</v>
      </c>
      <c r="N105">
        <v>0</v>
      </c>
      <c r="O105">
        <v>3.8570000000000002</v>
      </c>
      <c r="P105">
        <v>3.8570000000000002</v>
      </c>
      <c r="Q105">
        <v>29.533999999999999</v>
      </c>
      <c r="T105" s="20">
        <v>0</v>
      </c>
      <c r="U105" s="20"/>
      <c r="V105" s="20"/>
      <c r="W105">
        <v>0</v>
      </c>
      <c r="Z105">
        <v>0</v>
      </c>
      <c r="AC105">
        <v>3</v>
      </c>
      <c r="AD105">
        <v>20</v>
      </c>
      <c r="AE105" s="44">
        <f t="shared" si="2"/>
        <v>439.36104476600002</v>
      </c>
      <c r="AF105" s="46">
        <v>0</v>
      </c>
      <c r="AG105" s="44">
        <v>0</v>
      </c>
      <c r="AH105" s="44">
        <v>0</v>
      </c>
      <c r="AI105" s="41">
        <f t="shared" si="3"/>
        <v>9.1041298441248156E-2</v>
      </c>
      <c r="AJ105" s="40"/>
      <c r="AM105" s="23">
        <v>1.882352941176471</v>
      </c>
      <c r="AN105" s="23">
        <v>2.3529411764705879</v>
      </c>
      <c r="AO105" s="23">
        <v>0.54117647058823526</v>
      </c>
      <c r="AP105" s="23">
        <v>0</v>
      </c>
      <c r="AQ105" s="23">
        <v>0.39408866995073888</v>
      </c>
      <c r="AR105" s="23">
        <v>0.49261083743842371</v>
      </c>
      <c r="AS105" s="23">
        <v>0.1133004926108374</v>
      </c>
      <c r="AT105" s="23">
        <v>0</v>
      </c>
      <c r="AU105" s="20">
        <v>0.82</v>
      </c>
      <c r="AV105" s="20">
        <v>3.44</v>
      </c>
      <c r="AW105" s="20">
        <v>2.62</v>
      </c>
      <c r="AX105" s="20">
        <v>2.525529411764706</v>
      </c>
      <c r="AY105">
        <v>2.525529411764706</v>
      </c>
      <c r="AZ105">
        <v>5.7010120870588246</v>
      </c>
      <c r="BD105">
        <v>4.5520649220624078E-2</v>
      </c>
      <c r="BH105">
        <v>9.1041298441248156E-2</v>
      </c>
      <c r="BI105">
        <v>4.5520649220624078E-2</v>
      </c>
      <c r="BJ105">
        <v>0</v>
      </c>
    </row>
    <row r="106" spans="1:68" x14ac:dyDescent="0.3">
      <c r="A106" t="s">
        <v>87</v>
      </c>
      <c r="B106" s="16" t="s">
        <v>743</v>
      </c>
      <c r="C106" s="12"/>
      <c r="F106">
        <v>3.9</v>
      </c>
      <c r="G106" t="s">
        <v>89</v>
      </c>
      <c r="H106" s="8">
        <v>-1</v>
      </c>
      <c r="I106">
        <v>-1</v>
      </c>
      <c r="J106" t="s">
        <v>1162</v>
      </c>
      <c r="L106" s="20">
        <v>0</v>
      </c>
      <c r="M106">
        <v>0</v>
      </c>
      <c r="N106">
        <v>2</v>
      </c>
      <c r="O106">
        <v>3.9037999999999999</v>
      </c>
      <c r="P106">
        <v>3.9037999999999999</v>
      </c>
      <c r="Q106">
        <v>9.7742000000000004</v>
      </c>
      <c r="R106" t="s">
        <v>439</v>
      </c>
      <c r="T106" s="20">
        <v>0</v>
      </c>
      <c r="U106" s="20"/>
      <c r="V106" s="20"/>
      <c r="W106">
        <v>0</v>
      </c>
      <c r="Z106">
        <v>3.93</v>
      </c>
      <c r="AA106">
        <v>3.93</v>
      </c>
      <c r="AB106">
        <v>18.515000000000001</v>
      </c>
      <c r="AC106">
        <v>3</v>
      </c>
      <c r="AD106">
        <v>14</v>
      </c>
      <c r="AE106" s="44">
        <f t="shared" si="2"/>
        <v>148.95543042744799</v>
      </c>
      <c r="AF106" s="46">
        <v>0</v>
      </c>
      <c r="AG106" s="44">
        <v>0</v>
      </c>
      <c r="AH106" s="44">
        <v>285.96232350000002</v>
      </c>
      <c r="AJ106" s="40"/>
      <c r="AL106" s="41">
        <v>9.7914996833490184E-2</v>
      </c>
      <c r="AM106" s="23">
        <v>1.833333333333333</v>
      </c>
      <c r="AN106" s="23">
        <v>2.333333333333333</v>
      </c>
      <c r="AO106" s="23">
        <v>0.5</v>
      </c>
      <c r="AP106" s="23">
        <v>2.333333333333333</v>
      </c>
      <c r="AQ106" s="23">
        <v>0.26190476190476192</v>
      </c>
      <c r="AR106" s="23">
        <v>0.33333333333333343</v>
      </c>
      <c r="AS106" s="23">
        <v>7.1428571428571425E-2</v>
      </c>
      <c r="AT106" s="23">
        <v>0.33333333333333343</v>
      </c>
      <c r="AU106" s="20">
        <v>0.95</v>
      </c>
      <c r="AV106" s="20">
        <v>3.44</v>
      </c>
      <c r="AW106" s="20">
        <v>2.4900000000000002</v>
      </c>
      <c r="AX106" s="20">
        <v>2.7024999999999988</v>
      </c>
      <c r="AY106">
        <v>2.7025000000000001</v>
      </c>
      <c r="AZ106">
        <v>6.4896876145585001</v>
      </c>
      <c r="BC106" s="64">
        <v>0.392702013826212</v>
      </c>
      <c r="BG106">
        <v>4.8957498416745092E-2</v>
      </c>
      <c r="BH106">
        <v>9.7914996833490184E-2</v>
      </c>
      <c r="BI106">
        <v>4.8957498416745092E-2</v>
      </c>
      <c r="BJ106">
        <v>0.392702013826212</v>
      </c>
      <c r="BP106">
        <v>4</v>
      </c>
    </row>
    <row r="107" spans="1:68" x14ac:dyDescent="0.3">
      <c r="A107" t="s">
        <v>88</v>
      </c>
      <c r="B107" s="12" t="s">
        <v>741</v>
      </c>
      <c r="C107" s="12"/>
      <c r="F107">
        <v>3.9</v>
      </c>
      <c r="G107" t="s">
        <v>89</v>
      </c>
      <c r="H107" s="8" t="s">
        <v>562</v>
      </c>
      <c r="I107" t="s">
        <v>640</v>
      </c>
      <c r="L107" s="20">
        <v>1</v>
      </c>
      <c r="M107">
        <v>2</v>
      </c>
      <c r="N107">
        <v>0</v>
      </c>
      <c r="O107" s="1">
        <v>3.847</v>
      </c>
      <c r="P107" s="1">
        <v>3.847</v>
      </c>
      <c r="Q107" s="1">
        <v>18.109400000000001</v>
      </c>
      <c r="R107" s="1" t="s">
        <v>440</v>
      </c>
      <c r="S107" s="1"/>
      <c r="T107" s="20">
        <v>3.9407006600000001</v>
      </c>
      <c r="U107" s="20">
        <v>3.94070016</v>
      </c>
      <c r="V107" s="20">
        <v>9.4498532300000004</v>
      </c>
      <c r="W107">
        <v>3.9499</v>
      </c>
      <c r="X107">
        <v>3.9499</v>
      </c>
      <c r="Y107">
        <v>18.2</v>
      </c>
      <c r="Z107">
        <v>0</v>
      </c>
      <c r="AC107">
        <v>3</v>
      </c>
      <c r="AD107">
        <v>14</v>
      </c>
      <c r="AE107" s="44">
        <f t="shared" si="2"/>
        <v>268.00841734459999</v>
      </c>
      <c r="AF107" s="46">
        <v>140.22301532111419</v>
      </c>
      <c r="AG107" s="44">
        <v>283.95112218200001</v>
      </c>
      <c r="AH107" s="44">
        <v>0</v>
      </c>
      <c r="AJ107" s="40">
        <v>9.984095669273442E-2</v>
      </c>
      <c r="AK107" s="41">
        <v>9.8608520314468942E-2</v>
      </c>
      <c r="AM107" s="23">
        <v>1.833333333333333</v>
      </c>
      <c r="AN107" s="23">
        <v>2.333333333333333</v>
      </c>
      <c r="AO107" s="23">
        <v>0.5</v>
      </c>
      <c r="AP107" s="23">
        <v>2.333333333333333</v>
      </c>
      <c r="AQ107" s="23">
        <v>0.26190476190476192</v>
      </c>
      <c r="AR107" s="23">
        <v>0.33333333333333343</v>
      </c>
      <c r="AS107" s="23">
        <v>7.1428571428571425E-2</v>
      </c>
      <c r="AT107" s="23">
        <v>0.33333333333333343</v>
      </c>
      <c r="AU107" s="20">
        <v>0.95</v>
      </c>
      <c r="AV107" s="20">
        <v>3.44</v>
      </c>
      <c r="AW107" s="20">
        <v>2.4900000000000002</v>
      </c>
      <c r="AX107" s="20">
        <v>2.499166666666667</v>
      </c>
      <c r="AY107">
        <v>2.499166666666667</v>
      </c>
      <c r="AZ107">
        <v>5.7944152492500001</v>
      </c>
      <c r="BA107" s="64">
        <v>0.55890272128424257</v>
      </c>
      <c r="BB107" s="64">
        <v>0.55200362828233795</v>
      </c>
      <c r="BE107">
        <v>4.9920478346367217E-2</v>
      </c>
      <c r="BF107">
        <v>4.9304260157234471E-2</v>
      </c>
      <c r="BH107">
        <v>9.9224738503601681E-2</v>
      </c>
      <c r="BI107">
        <v>4.9612369251800847E-2</v>
      </c>
      <c r="BJ107">
        <v>0.55545317478329026</v>
      </c>
      <c r="BP107">
        <v>0.2</v>
      </c>
    </row>
    <row r="108" spans="1:68" x14ac:dyDescent="0.3">
      <c r="A108" t="s">
        <v>856</v>
      </c>
      <c r="B108" s="16" t="s">
        <v>913</v>
      </c>
      <c r="C108" s="12"/>
      <c r="F108">
        <v>3.9</v>
      </c>
      <c r="G108" t="s">
        <v>89</v>
      </c>
      <c r="H108" s="8">
        <v>-1</v>
      </c>
      <c r="I108">
        <v>-1</v>
      </c>
      <c r="K108">
        <v>1</v>
      </c>
      <c r="L108" s="20">
        <v>0</v>
      </c>
      <c r="M108">
        <v>0</v>
      </c>
      <c r="N108">
        <v>0</v>
      </c>
      <c r="O108">
        <v>3.9973999999999998</v>
      </c>
      <c r="P108">
        <v>3.9973999999999998</v>
      </c>
      <c r="Q108">
        <v>12.132999999999999</v>
      </c>
      <c r="R108" t="s">
        <v>439</v>
      </c>
      <c r="T108" s="20">
        <v>0</v>
      </c>
      <c r="U108" s="20"/>
      <c r="V108" s="20"/>
      <c r="W108">
        <v>0</v>
      </c>
      <c r="Z108">
        <v>0</v>
      </c>
      <c r="AC108">
        <v>3</v>
      </c>
      <c r="AD108">
        <v>14</v>
      </c>
      <c r="AE108" s="44">
        <f t="shared" si="2"/>
        <v>193.87571561907995</v>
      </c>
      <c r="AF108" s="46">
        <v>0</v>
      </c>
      <c r="AG108" s="44">
        <v>0</v>
      </c>
      <c r="AH108" s="44">
        <v>0</v>
      </c>
      <c r="AI108" s="41">
        <f t="shared" ref="AI108:AI112" si="4">K108*AD108/AE108</f>
        <v>7.2211209925366296E-2</v>
      </c>
      <c r="AJ108" s="40"/>
      <c r="AM108" s="23">
        <v>1.833333333333333</v>
      </c>
      <c r="AN108" s="23">
        <v>2.333333333333333</v>
      </c>
      <c r="AO108" s="23">
        <v>0.5</v>
      </c>
      <c r="AP108" s="23">
        <v>2.333333333333333</v>
      </c>
      <c r="AQ108" s="23">
        <v>0.26190476190476192</v>
      </c>
      <c r="AR108" s="23">
        <v>0.33333333333333343</v>
      </c>
      <c r="AS108" s="23">
        <v>7.1428571428571425E-2</v>
      </c>
      <c r="AT108" s="23">
        <v>0.33333333333333343</v>
      </c>
      <c r="AU108" s="20">
        <v>0.82</v>
      </c>
      <c r="AV108" s="20">
        <v>3.44</v>
      </c>
      <c r="AW108" s="20">
        <v>2.62</v>
      </c>
      <c r="AX108" s="20">
        <v>2.4725000000000001</v>
      </c>
      <c r="AY108">
        <v>2.4725000000000001</v>
      </c>
      <c r="AZ108">
        <v>5.697111802916667</v>
      </c>
      <c r="BD108">
        <v>3.6105604962683148E-2</v>
      </c>
      <c r="BH108">
        <v>7.2211209925366296E-2</v>
      </c>
      <c r="BI108">
        <v>3.6105604962683148E-2</v>
      </c>
      <c r="BJ108">
        <v>0</v>
      </c>
      <c r="BP108">
        <v>1.1000000000000001</v>
      </c>
    </row>
    <row r="109" spans="1:68" x14ac:dyDescent="0.3">
      <c r="A109" t="s">
        <v>857</v>
      </c>
      <c r="B109" s="16" t="s">
        <v>914</v>
      </c>
      <c r="C109" s="12"/>
      <c r="F109">
        <v>3.9</v>
      </c>
      <c r="G109" t="s">
        <v>89</v>
      </c>
      <c r="H109" s="8">
        <v>-1</v>
      </c>
      <c r="I109">
        <v>-1</v>
      </c>
      <c r="K109">
        <v>1</v>
      </c>
      <c r="L109" s="20">
        <v>0</v>
      </c>
      <c r="M109">
        <v>0</v>
      </c>
      <c r="N109">
        <v>0</v>
      </c>
      <c r="O109">
        <v>3.9727000000000001</v>
      </c>
      <c r="P109">
        <v>3.9727000000000001</v>
      </c>
      <c r="Q109">
        <v>12.763199999999999</v>
      </c>
      <c r="R109" t="s">
        <v>439</v>
      </c>
      <c r="T109" s="20">
        <v>0</v>
      </c>
      <c r="U109" s="20"/>
      <c r="V109" s="20"/>
      <c r="W109">
        <v>0</v>
      </c>
      <c r="Z109">
        <v>0</v>
      </c>
      <c r="AC109">
        <v>3</v>
      </c>
      <c r="AD109">
        <v>14</v>
      </c>
      <c r="AE109" s="44">
        <f t="shared" si="2"/>
        <v>201.43322940532801</v>
      </c>
      <c r="AF109" s="46">
        <v>0</v>
      </c>
      <c r="AG109" s="44">
        <v>0</v>
      </c>
      <c r="AH109" s="44">
        <v>0</v>
      </c>
      <c r="AI109" s="41">
        <f t="shared" si="4"/>
        <v>6.9501938887297082E-2</v>
      </c>
      <c r="AJ109" s="40"/>
      <c r="AM109" s="23">
        <v>1.833333333333333</v>
      </c>
      <c r="AN109" s="23">
        <v>2.333333333333333</v>
      </c>
      <c r="AO109" s="23">
        <v>0.5</v>
      </c>
      <c r="AP109" s="23">
        <v>2.333333333333333</v>
      </c>
      <c r="AQ109" s="23">
        <v>0.26190476190476192</v>
      </c>
      <c r="AR109" s="23">
        <v>0.33333333333333343</v>
      </c>
      <c r="AS109" s="23">
        <v>7.1428571428571425E-2</v>
      </c>
      <c r="AT109" s="23">
        <v>0.33333333333333343</v>
      </c>
      <c r="AU109" s="20">
        <v>0.82</v>
      </c>
      <c r="AV109" s="20">
        <v>3.44</v>
      </c>
      <c r="AW109" s="20">
        <v>2.62</v>
      </c>
      <c r="AX109" s="20">
        <v>2.4725000000000001</v>
      </c>
      <c r="AY109">
        <v>2.4725000000000001</v>
      </c>
      <c r="AZ109">
        <v>5.6821885904166667</v>
      </c>
      <c r="BD109">
        <v>3.4750969443648541E-2</v>
      </c>
      <c r="BH109">
        <v>6.9501938887297082E-2</v>
      </c>
      <c r="BI109">
        <v>3.4750969443648541E-2</v>
      </c>
      <c r="BJ109">
        <v>0</v>
      </c>
      <c r="BP109">
        <v>1.6</v>
      </c>
    </row>
    <row r="110" spans="1:68" x14ac:dyDescent="0.3">
      <c r="A110" t="s">
        <v>27</v>
      </c>
      <c r="B110" s="12" t="s">
        <v>742</v>
      </c>
      <c r="C110" s="12"/>
      <c r="F110">
        <v>3.6</v>
      </c>
      <c r="G110" t="s">
        <v>89</v>
      </c>
      <c r="H110" s="8" t="s">
        <v>563</v>
      </c>
      <c r="I110" t="s">
        <v>641</v>
      </c>
      <c r="L110" s="20">
        <v>1</v>
      </c>
      <c r="M110">
        <v>1</v>
      </c>
      <c r="N110">
        <v>0</v>
      </c>
      <c r="T110" s="20">
        <v>3.9948813699999999</v>
      </c>
      <c r="U110" s="20">
        <v>3.9948813699999999</v>
      </c>
      <c r="V110" s="20">
        <v>3.9948813699999999</v>
      </c>
      <c r="W110">
        <v>3.9883000000000002</v>
      </c>
      <c r="X110">
        <v>3.9883000000000002</v>
      </c>
      <c r="Y110">
        <v>3.9883000000000002</v>
      </c>
      <c r="Z110">
        <v>0</v>
      </c>
      <c r="AD110">
        <v>6</v>
      </c>
      <c r="AE110" s="44">
        <f t="shared" si="2"/>
        <v>0</v>
      </c>
      <c r="AF110" s="46">
        <v>63.754620030366901</v>
      </c>
      <c r="AG110" s="44">
        <v>63.440041078387011</v>
      </c>
      <c r="AH110" s="44">
        <v>0</v>
      </c>
      <c r="AJ110" s="40">
        <v>9.4110826747020773E-2</v>
      </c>
      <c r="AK110" s="41">
        <v>9.4577492353549286E-2</v>
      </c>
      <c r="AM110" s="23">
        <v>1.8</v>
      </c>
      <c r="AN110" s="23">
        <v>2.4</v>
      </c>
      <c r="AO110" s="23">
        <v>0.6</v>
      </c>
      <c r="AP110" s="23">
        <v>2.8</v>
      </c>
      <c r="AQ110" s="23">
        <v>0.23684210526315791</v>
      </c>
      <c r="AR110" s="23">
        <v>0.31578947368421051</v>
      </c>
      <c r="AS110" s="23">
        <v>7.8947368421052627E-2</v>
      </c>
      <c r="AT110" s="23">
        <v>0.36842105263157893</v>
      </c>
      <c r="AU110" s="20">
        <v>0.82</v>
      </c>
      <c r="AV110" s="20">
        <v>3.44</v>
      </c>
      <c r="AW110" s="20">
        <v>2.62</v>
      </c>
      <c r="AX110" s="20">
        <v>2.528</v>
      </c>
      <c r="AY110">
        <v>2.528</v>
      </c>
      <c r="AZ110">
        <v>5.7952294759999994</v>
      </c>
      <c r="BA110" s="64">
        <v>0.65619545508850963</v>
      </c>
      <c r="BB110" s="64">
        <v>0.65944931928920669</v>
      </c>
      <c r="BE110">
        <v>4.7055413373510387E-2</v>
      </c>
      <c r="BF110">
        <v>4.7288746176774643E-2</v>
      </c>
      <c r="BH110">
        <v>9.4344159550285023E-2</v>
      </c>
      <c r="BI110">
        <v>4.7172079775142511E-2</v>
      </c>
      <c r="BJ110">
        <v>0.65782238718885822</v>
      </c>
      <c r="BP110">
        <v>1.5</v>
      </c>
    </row>
    <row r="111" spans="1:68" x14ac:dyDescent="0.3">
      <c r="A111" t="s">
        <v>864</v>
      </c>
      <c r="B111" s="12" t="s">
        <v>861</v>
      </c>
      <c r="C111" s="12"/>
      <c r="F111">
        <v>4</v>
      </c>
      <c r="G111" t="s">
        <v>91</v>
      </c>
      <c r="H111" s="8">
        <v>-1</v>
      </c>
      <c r="I111">
        <v>-1</v>
      </c>
      <c r="J111" t="s">
        <v>1212</v>
      </c>
      <c r="K111">
        <v>0.66666666699999999</v>
      </c>
      <c r="L111" s="20">
        <v>0</v>
      </c>
      <c r="M111">
        <v>0</v>
      </c>
      <c r="N111">
        <f>2/3</f>
        <v>0.66666666666666663</v>
      </c>
      <c r="O111">
        <v>3.9607999999999999</v>
      </c>
      <c r="P111">
        <v>3.9607999999999999</v>
      </c>
      <c r="Q111">
        <v>21.8126</v>
      </c>
      <c r="R111" t="s">
        <v>440</v>
      </c>
      <c r="T111" s="20">
        <v>0</v>
      </c>
      <c r="U111" s="20"/>
      <c r="V111" s="20"/>
      <c r="W111">
        <v>0</v>
      </c>
      <c r="Z111">
        <v>0</v>
      </c>
      <c r="AD111">
        <v>42</v>
      </c>
      <c r="AE111" s="44">
        <f t="shared" si="2"/>
        <v>342.19468675366397</v>
      </c>
      <c r="AF111" s="46">
        <v>0</v>
      </c>
      <c r="AG111" s="44">
        <v>0</v>
      </c>
      <c r="AH111" s="44">
        <v>347.6</v>
      </c>
      <c r="AI111" s="41">
        <f t="shared" si="4"/>
        <v>8.1824765543938416E-2</v>
      </c>
      <c r="AJ111" s="40"/>
      <c r="AL111" s="41">
        <f>N111*AD111/AH111</f>
        <v>8.0552359033371684E-2</v>
      </c>
      <c r="AM111" s="23">
        <v>1.828571428571429</v>
      </c>
      <c r="AN111" s="23">
        <v>2.4</v>
      </c>
      <c r="AO111" s="23">
        <v>0.5714285714285714</v>
      </c>
      <c r="AP111" s="23">
        <v>2.4</v>
      </c>
      <c r="AQ111" s="23">
        <v>0.25396825396825401</v>
      </c>
      <c r="AR111" s="23">
        <v>0.33333333333333331</v>
      </c>
      <c r="AS111" s="23">
        <v>7.9365079365079361E-2</v>
      </c>
      <c r="AT111" s="23">
        <v>0.33333333333333331</v>
      </c>
      <c r="AU111" s="20">
        <v>0.82</v>
      </c>
      <c r="AV111" s="20">
        <v>3.44</v>
      </c>
      <c r="AW111" s="20">
        <v>2.62</v>
      </c>
      <c r="AX111" s="20">
        <v>2.524571428571428</v>
      </c>
      <c r="AY111">
        <v>2.524571428571428</v>
      </c>
      <c r="AZ111">
        <v>5.7888591694285711</v>
      </c>
      <c r="BD111">
        <v>4.0912382771969208E-2</v>
      </c>
      <c r="BG111">
        <v>4.0276179516685842E-2</v>
      </c>
      <c r="BH111">
        <v>8.118856228865505E-2</v>
      </c>
      <c r="BI111">
        <v>4.0594281144327532E-2</v>
      </c>
      <c r="BJ111">
        <v>0</v>
      </c>
      <c r="BP111">
        <v>3.7</v>
      </c>
    </row>
    <row r="112" spans="1:68" x14ac:dyDescent="0.3">
      <c r="A112" t="s">
        <v>865</v>
      </c>
      <c r="B112" s="12" t="s">
        <v>862</v>
      </c>
      <c r="C112" s="12"/>
      <c r="F112">
        <v>4</v>
      </c>
      <c r="G112" t="s">
        <v>91</v>
      </c>
      <c r="H112" s="8">
        <v>-1</v>
      </c>
      <c r="I112">
        <v>-1</v>
      </c>
      <c r="K112">
        <f>0.666666667/2</f>
        <v>0.3333333335</v>
      </c>
      <c r="L112" s="20">
        <v>0</v>
      </c>
      <c r="M112">
        <v>0</v>
      </c>
      <c r="N112">
        <v>2</v>
      </c>
      <c r="O112">
        <v>3.9483999999999999</v>
      </c>
      <c r="P112">
        <v>3.9483999999999999</v>
      </c>
      <c r="Q112">
        <v>9.7742000000000004</v>
      </c>
      <c r="R112" t="s">
        <v>439</v>
      </c>
      <c r="T112" s="20">
        <v>0</v>
      </c>
      <c r="U112" s="20"/>
      <c r="V112" s="20"/>
      <c r="W112">
        <v>0</v>
      </c>
      <c r="Z112">
        <v>0</v>
      </c>
      <c r="AD112">
        <v>42</v>
      </c>
      <c r="AE112" s="44">
        <f t="shared" si="2"/>
        <v>152.378434633952</v>
      </c>
      <c r="AF112" s="46">
        <v>0</v>
      </c>
      <c r="AG112" s="44">
        <v>0</v>
      </c>
      <c r="AH112" s="44">
        <v>0</v>
      </c>
      <c r="AI112" s="41">
        <f t="shared" si="4"/>
        <v>9.1876518095432708E-2</v>
      </c>
      <c r="AJ112" s="40"/>
      <c r="AM112" s="23">
        <v>1.828571428571429</v>
      </c>
      <c r="AN112" s="23">
        <v>2.4</v>
      </c>
      <c r="AO112" s="23">
        <v>0.5714285714285714</v>
      </c>
      <c r="AP112" s="23">
        <v>2.4</v>
      </c>
      <c r="AQ112" s="23">
        <v>0.25396825396825401</v>
      </c>
      <c r="AR112" s="23">
        <v>0.33333333333333331</v>
      </c>
      <c r="AS112" s="23">
        <v>7.9365079365079361E-2</v>
      </c>
      <c r="AT112" s="23">
        <v>0.33333333333333331</v>
      </c>
      <c r="AU112" s="20">
        <v>1.1000000000000001</v>
      </c>
      <c r="AV112" s="20">
        <v>3.44</v>
      </c>
      <c r="AW112" s="20">
        <v>2.34</v>
      </c>
      <c r="AX112" s="20">
        <v>2.7611428571428571</v>
      </c>
      <c r="AY112">
        <v>2.7611428571428571</v>
      </c>
      <c r="AZ112">
        <v>6.6040800042601706</v>
      </c>
      <c r="BD112">
        <v>4.5938259047716347E-2</v>
      </c>
      <c r="BG112" t="s">
        <v>459</v>
      </c>
      <c r="BH112">
        <v>9.1876518095432708E-2</v>
      </c>
      <c r="BI112" t="s">
        <v>459</v>
      </c>
      <c r="BJ112">
        <v>0</v>
      </c>
      <c r="BP112">
        <v>7.8</v>
      </c>
    </row>
    <row r="113" spans="1:68" x14ac:dyDescent="0.3">
      <c r="A113" t="s">
        <v>858</v>
      </c>
      <c r="B113" s="12" t="s">
        <v>859</v>
      </c>
      <c r="C113" s="12"/>
      <c r="F113">
        <v>4</v>
      </c>
      <c r="G113" t="s">
        <v>91</v>
      </c>
      <c r="H113" s="8" t="s">
        <v>860</v>
      </c>
      <c r="I113">
        <v>1540895</v>
      </c>
      <c r="L113" s="20">
        <v>0</v>
      </c>
      <c r="M113">
        <v>4</v>
      </c>
      <c r="N113">
        <v>0</v>
      </c>
      <c r="T113" s="20">
        <v>0</v>
      </c>
      <c r="U113" s="20"/>
      <c r="V113" s="20"/>
      <c r="W113">
        <v>6.5429000000000004</v>
      </c>
      <c r="X113">
        <v>7.6490999999999998</v>
      </c>
      <c r="Y113">
        <v>12.583</v>
      </c>
      <c r="Z113">
        <v>0</v>
      </c>
      <c r="AD113">
        <v>18</v>
      </c>
      <c r="AE113" s="44">
        <f t="shared" si="2"/>
        <v>0</v>
      </c>
      <c r="AF113" s="46">
        <v>0</v>
      </c>
      <c r="AG113" s="44">
        <v>629.74513047537005</v>
      </c>
      <c r="AH113" s="44">
        <v>0</v>
      </c>
      <c r="AJ113" s="40"/>
      <c r="AK113" s="41">
        <v>0.1143319678322086</v>
      </c>
      <c r="AM113" s="23">
        <v>2</v>
      </c>
      <c r="AN113" s="23">
        <v>2.7692307692307692</v>
      </c>
      <c r="AO113" s="23">
        <v>0.76923076923076927</v>
      </c>
      <c r="AP113" s="23">
        <v>3.2307692307692308</v>
      </c>
      <c r="AQ113" s="23">
        <v>0.22807017543859651</v>
      </c>
      <c r="AR113" s="23">
        <v>0.31578947368421051</v>
      </c>
      <c r="AS113" s="23">
        <v>8.771929824561403E-2</v>
      </c>
      <c r="AT113" s="23">
        <v>0.36842105263157893</v>
      </c>
      <c r="AU113" s="20">
        <v>1.1000000000000001</v>
      </c>
      <c r="AV113" s="20">
        <v>3.44</v>
      </c>
      <c r="AW113" s="20">
        <v>2.34</v>
      </c>
      <c r="AX113" s="20">
        <v>2.8123076923076931</v>
      </c>
      <c r="AY113">
        <v>2.8123076923076931</v>
      </c>
      <c r="AZ113">
        <v>6.3640369961538461</v>
      </c>
      <c r="BB113" s="64">
        <v>0.55971264878746807</v>
      </c>
      <c r="BF113">
        <v>5.7165983916104293E-2</v>
      </c>
      <c r="BH113">
        <v>0.1143319678322086</v>
      </c>
      <c r="BI113">
        <v>5.7165983916104293E-2</v>
      </c>
      <c r="BJ113">
        <v>0.55971264878746807</v>
      </c>
      <c r="BP113">
        <v>3.3</v>
      </c>
    </row>
    <row r="114" spans="1:68" x14ac:dyDescent="0.3">
      <c r="A114" t="s">
        <v>87</v>
      </c>
      <c r="B114" s="12" t="s">
        <v>743</v>
      </c>
      <c r="C114" s="12"/>
      <c r="F114">
        <v>3.9</v>
      </c>
      <c r="G114" t="s">
        <v>91</v>
      </c>
      <c r="H114" s="8" t="s">
        <v>564</v>
      </c>
      <c r="I114">
        <v>-1</v>
      </c>
      <c r="L114" s="20">
        <v>1</v>
      </c>
      <c r="M114">
        <v>0</v>
      </c>
      <c r="N114">
        <v>0</v>
      </c>
      <c r="T114" s="20">
        <v>9.9051542599999998</v>
      </c>
      <c r="U114" s="20">
        <v>9.9051542599999998</v>
      </c>
      <c r="V114" s="20">
        <v>9.9051542599999998</v>
      </c>
      <c r="W114">
        <v>0</v>
      </c>
      <c r="Z114">
        <v>0</v>
      </c>
      <c r="AD114">
        <v>14</v>
      </c>
      <c r="AE114" s="44">
        <f t="shared" si="2"/>
        <v>0</v>
      </c>
      <c r="AF114" s="46">
        <v>150.75696951344321</v>
      </c>
      <c r="AG114" s="44">
        <v>0</v>
      </c>
      <c r="AH114" s="44">
        <v>0</v>
      </c>
      <c r="AJ114" s="40">
        <v>9.2864695046497372E-2</v>
      </c>
      <c r="AM114" s="23">
        <v>1.833333333333333</v>
      </c>
      <c r="AN114" s="23">
        <v>2.333333333333333</v>
      </c>
      <c r="AO114" s="23">
        <v>0.5</v>
      </c>
      <c r="AP114" s="23">
        <v>2.333333333333333</v>
      </c>
      <c r="AQ114" s="23">
        <v>0.26190476190476192</v>
      </c>
      <c r="AR114" s="23">
        <v>0.33333333333333343</v>
      </c>
      <c r="AS114" s="23">
        <v>7.1428571428571425E-2</v>
      </c>
      <c r="AT114" s="23">
        <v>0.33333333333333343</v>
      </c>
      <c r="AU114" s="20">
        <v>0.95</v>
      </c>
      <c r="AV114" s="20">
        <v>3.44</v>
      </c>
      <c r="AW114" s="20">
        <v>2.4900000000000002</v>
      </c>
      <c r="AX114" s="20">
        <v>2.7024999999999988</v>
      </c>
      <c r="AY114">
        <v>2.7025000000000001</v>
      </c>
      <c r="AZ114">
        <v>6.4896876145585001</v>
      </c>
      <c r="BA114" s="64">
        <v>0.47933948900870132</v>
      </c>
      <c r="BE114">
        <v>4.6432347523248672E-2</v>
      </c>
      <c r="BH114">
        <v>9.2864695046497372E-2</v>
      </c>
      <c r="BI114">
        <v>4.6432347523248672E-2</v>
      </c>
      <c r="BJ114">
        <v>0.47933948900870132</v>
      </c>
      <c r="BP114">
        <v>4</v>
      </c>
    </row>
    <row r="115" spans="1:68" x14ac:dyDescent="0.3">
      <c r="A115" t="s">
        <v>92</v>
      </c>
      <c r="B115" s="16" t="s">
        <v>915</v>
      </c>
      <c r="C115" s="12"/>
      <c r="F115">
        <v>4.0999999999999996</v>
      </c>
      <c r="G115" t="s">
        <v>93</v>
      </c>
      <c r="H115" s="8">
        <v>-1</v>
      </c>
      <c r="I115">
        <v>-1</v>
      </c>
      <c r="L115" s="20">
        <v>0</v>
      </c>
      <c r="M115">
        <v>0</v>
      </c>
      <c r="N115">
        <v>0</v>
      </c>
      <c r="O115">
        <v>3.9499</v>
      </c>
      <c r="P115">
        <v>3.9499</v>
      </c>
      <c r="Q115">
        <v>17.030999999999999</v>
      </c>
      <c r="R115" t="s">
        <v>439</v>
      </c>
      <c r="T115" s="20">
        <v>0</v>
      </c>
      <c r="U115" s="20"/>
      <c r="V115" s="20"/>
      <c r="W115">
        <v>0</v>
      </c>
      <c r="Z115">
        <v>0</v>
      </c>
      <c r="AD115">
        <v>20</v>
      </c>
      <c r="AE115" s="44">
        <f t="shared" si="2"/>
        <v>265.71272318030998</v>
      </c>
      <c r="AF115" s="46">
        <v>0</v>
      </c>
      <c r="AG115" s="44">
        <v>0</v>
      </c>
      <c r="AH115" s="44">
        <v>0</v>
      </c>
      <c r="AJ115" s="40"/>
      <c r="AM115" s="23">
        <v>1.8787878787878789</v>
      </c>
      <c r="AN115" s="23">
        <v>2.4242424242424239</v>
      </c>
      <c r="AO115" s="23">
        <v>0.54545454545454541</v>
      </c>
      <c r="AP115" s="23">
        <v>2.545454545454545</v>
      </c>
      <c r="AQ115" s="23">
        <v>0.25409836065573771</v>
      </c>
      <c r="AR115" s="23">
        <v>0.32786885245901642</v>
      </c>
      <c r="AS115" s="23">
        <v>7.3770491803278687E-2</v>
      </c>
      <c r="AT115" s="23">
        <v>0.34426229508196721</v>
      </c>
      <c r="AU115" s="20">
        <v>0.82</v>
      </c>
      <c r="AV115" s="20">
        <v>3.44</v>
      </c>
      <c r="AW115" s="20">
        <v>2.62</v>
      </c>
      <c r="AX115" s="20">
        <v>2.543333333333333</v>
      </c>
      <c r="AY115">
        <v>2.5433333333333339</v>
      </c>
      <c r="AZ115">
        <v>5.8398279362121217</v>
      </c>
      <c r="BH115">
        <v>0</v>
      </c>
      <c r="BI115">
        <v>0</v>
      </c>
      <c r="BJ115">
        <v>0</v>
      </c>
    </row>
    <row r="116" spans="1:68" x14ac:dyDescent="0.3">
      <c r="A116" t="s">
        <v>34</v>
      </c>
      <c r="B116" s="12" t="s">
        <v>711</v>
      </c>
      <c r="C116" s="12"/>
      <c r="F116">
        <v>3.2</v>
      </c>
      <c r="G116" t="s">
        <v>94</v>
      </c>
      <c r="H116" s="8" t="s">
        <v>542</v>
      </c>
      <c r="I116" t="s">
        <v>623</v>
      </c>
      <c r="L116" s="20">
        <v>1</v>
      </c>
      <c r="M116">
        <v>2</v>
      </c>
      <c r="N116">
        <v>0</v>
      </c>
      <c r="T116" s="20">
        <v>3.9086759899999999</v>
      </c>
      <c r="U116" s="20">
        <v>3.908676100000001</v>
      </c>
      <c r="V116" s="20">
        <v>10.552604730000001</v>
      </c>
      <c r="W116">
        <v>3.899</v>
      </c>
      <c r="X116">
        <v>3.899</v>
      </c>
      <c r="Y116">
        <v>20.399989999999999</v>
      </c>
      <c r="Z116">
        <v>0</v>
      </c>
      <c r="AD116">
        <v>14</v>
      </c>
      <c r="AE116" s="44">
        <f t="shared" si="2"/>
        <v>0</v>
      </c>
      <c r="AF116" s="46">
        <v>155.59136328639269</v>
      </c>
      <c r="AG116" s="44">
        <v>310.12474837798999</v>
      </c>
      <c r="AH116" s="44">
        <v>0</v>
      </c>
      <c r="AJ116" s="40">
        <v>8.9979287437893268E-2</v>
      </c>
      <c r="AK116" s="41">
        <v>9.0286248183820222E-2</v>
      </c>
      <c r="AM116" s="23">
        <v>2</v>
      </c>
      <c r="AN116" s="23">
        <v>2.333333333333333</v>
      </c>
      <c r="AO116" s="23">
        <v>0.33333333333333331</v>
      </c>
      <c r="AP116" s="23">
        <v>0</v>
      </c>
      <c r="AQ116" s="23">
        <v>0.42857142857142849</v>
      </c>
      <c r="AR116" s="23">
        <v>0.5</v>
      </c>
      <c r="AS116" s="23">
        <v>7.1428571428571425E-2</v>
      </c>
      <c r="AT116" s="23">
        <v>0</v>
      </c>
      <c r="AU116" s="20">
        <v>0.95</v>
      </c>
      <c r="AV116" s="20">
        <v>3.44</v>
      </c>
      <c r="AW116" s="20">
        <v>2.4900000000000002</v>
      </c>
      <c r="AX116" s="20">
        <v>2.500833333333333</v>
      </c>
      <c r="AY116">
        <v>2.500833333333333</v>
      </c>
      <c r="AZ116">
        <v>5.6917605187500007</v>
      </c>
      <c r="BA116" s="64">
        <v>0.58499657192886345</v>
      </c>
      <c r="BB116" s="64">
        <v>0.58699226437317098</v>
      </c>
      <c r="BE116">
        <v>4.4989643718946627E-2</v>
      </c>
      <c r="BF116">
        <v>4.5143124091910111E-2</v>
      </c>
      <c r="BH116">
        <v>9.0132767810856745E-2</v>
      </c>
      <c r="BI116">
        <v>4.5066383905428373E-2</v>
      </c>
      <c r="BJ116">
        <v>0.58599441815101727</v>
      </c>
      <c r="BP116">
        <v>3.49</v>
      </c>
    </row>
    <row r="117" spans="1:68" x14ac:dyDescent="0.3">
      <c r="A117" t="s">
        <v>95</v>
      </c>
      <c r="B117" s="12" t="s">
        <v>744</v>
      </c>
      <c r="C117" s="12"/>
      <c r="F117">
        <v>3.3</v>
      </c>
      <c r="G117" t="s">
        <v>96</v>
      </c>
      <c r="H117" s="8">
        <v>-1</v>
      </c>
      <c r="I117" t="s">
        <v>642</v>
      </c>
      <c r="L117" s="20">
        <v>0</v>
      </c>
      <c r="M117">
        <v>1</v>
      </c>
      <c r="N117">
        <v>0</v>
      </c>
      <c r="O117">
        <v>3.8917999999999999</v>
      </c>
      <c r="P117">
        <v>3.8820000000000001</v>
      </c>
      <c r="Q117">
        <v>36.127000000000002</v>
      </c>
      <c r="R117" s="1" t="s">
        <v>484</v>
      </c>
      <c r="S117" s="1"/>
      <c r="T117" s="20">
        <v>0</v>
      </c>
      <c r="U117" s="20"/>
      <c r="V117" s="20"/>
      <c r="W117">
        <v>3.8715999999999999</v>
      </c>
      <c r="X117">
        <v>3.8715999999999999</v>
      </c>
      <c r="Y117">
        <v>36.936999999999998</v>
      </c>
      <c r="Z117">
        <v>0</v>
      </c>
      <c r="AC117">
        <v>4</v>
      </c>
      <c r="AD117">
        <v>26</v>
      </c>
      <c r="AE117" s="44">
        <f t="shared" si="2"/>
        <v>545.80554548520001</v>
      </c>
      <c r="AF117" s="46">
        <v>0</v>
      </c>
      <c r="AG117" s="44">
        <v>553.65927766671996</v>
      </c>
      <c r="AH117" s="44">
        <v>0</v>
      </c>
      <c r="AJ117" s="40"/>
      <c r="AK117" s="41">
        <v>4.696028956576237E-2</v>
      </c>
      <c r="AM117" s="23">
        <v>1.714285714285714</v>
      </c>
      <c r="AN117" s="23">
        <v>2.4761904761904758</v>
      </c>
      <c r="AO117" s="23">
        <v>0.76190476190476186</v>
      </c>
      <c r="AP117" s="23">
        <v>0</v>
      </c>
      <c r="AQ117" s="23">
        <v>0.34615384615384609</v>
      </c>
      <c r="AR117" s="23">
        <v>0.5</v>
      </c>
      <c r="AS117" s="23">
        <v>0.1538461538461538</v>
      </c>
      <c r="AT117" s="23">
        <v>0</v>
      </c>
      <c r="AU117" s="20">
        <v>0.93</v>
      </c>
      <c r="AV117" s="20">
        <v>3.44</v>
      </c>
      <c r="AW117" s="20">
        <v>2.5099999999999998</v>
      </c>
      <c r="AX117" s="20">
        <v>2.618095238095238</v>
      </c>
      <c r="AY117">
        <v>2.618095238095238</v>
      </c>
      <c r="AZ117">
        <v>5.9615126490476191</v>
      </c>
      <c r="BF117">
        <v>2.3480144782881181E-2</v>
      </c>
      <c r="BH117">
        <v>4.696028956576237E-2</v>
      </c>
      <c r="BI117">
        <v>2.3480144782881181E-2</v>
      </c>
      <c r="BJ117">
        <v>0</v>
      </c>
      <c r="BP117" s="1">
        <v>4.5999999999999996</v>
      </c>
    </row>
    <row r="118" spans="1:68" x14ac:dyDescent="0.3">
      <c r="A118" t="s">
        <v>97</v>
      </c>
      <c r="B118" s="12" t="s">
        <v>745</v>
      </c>
      <c r="C118" s="12"/>
      <c r="F118">
        <v>2.0099999999999998</v>
      </c>
      <c r="G118" t="s">
        <v>100</v>
      </c>
      <c r="H118" s="8" t="s">
        <v>565</v>
      </c>
      <c r="I118" t="s">
        <v>643</v>
      </c>
      <c r="L118" s="20">
        <v>4</v>
      </c>
      <c r="M118">
        <v>2</v>
      </c>
      <c r="N118">
        <v>0</v>
      </c>
      <c r="O118">
        <v>5.63</v>
      </c>
      <c r="P118">
        <v>5.63</v>
      </c>
      <c r="Q118">
        <v>7.9509999999999996</v>
      </c>
      <c r="R118" t="s">
        <v>485</v>
      </c>
      <c r="T118" s="20">
        <v>5.6671750000000003</v>
      </c>
      <c r="U118" s="20">
        <v>9.8157737100000002</v>
      </c>
      <c r="V118" s="20">
        <v>9.8153266899999991</v>
      </c>
      <c r="W118">
        <v>5.6200999999999999</v>
      </c>
      <c r="X118">
        <v>5.6342999999999996</v>
      </c>
      <c r="Y118">
        <v>7.9375</v>
      </c>
      <c r="Z118">
        <v>0</v>
      </c>
      <c r="AD118">
        <v>12</v>
      </c>
      <c r="AE118" s="44">
        <f t="shared" si="2"/>
        <v>252.02205189999998</v>
      </c>
      <c r="AF118" s="46">
        <v>515.32350958904738</v>
      </c>
      <c r="AG118" s="44">
        <v>251.3435485224438</v>
      </c>
      <c r="AH118" s="44">
        <v>0</v>
      </c>
      <c r="AJ118" s="40">
        <v>9.3145371998025736E-2</v>
      </c>
      <c r="AK118" s="41">
        <v>9.5486835214538698E-2</v>
      </c>
      <c r="AM118" s="23">
        <v>2</v>
      </c>
      <c r="AN118" s="23">
        <v>2.4</v>
      </c>
      <c r="AO118" s="23">
        <v>0.9</v>
      </c>
      <c r="AP118" s="23">
        <v>1.4</v>
      </c>
      <c r="AQ118" s="23">
        <v>0.29850746268656708</v>
      </c>
      <c r="AR118" s="23">
        <v>0.35820895522388058</v>
      </c>
      <c r="AS118" s="23">
        <v>0.1343283582089552</v>
      </c>
      <c r="AT118" s="23">
        <v>0.20895522388059701</v>
      </c>
      <c r="AU118" s="20">
        <v>0.95</v>
      </c>
      <c r="AV118" s="20">
        <v>3.44</v>
      </c>
      <c r="AW118" s="20">
        <v>2.4900000000000002</v>
      </c>
      <c r="AX118" s="20">
        <v>2.5870000000000002</v>
      </c>
      <c r="AY118">
        <v>2.5870000000000002</v>
      </c>
      <c r="AZ118">
        <v>5.8948612069999999</v>
      </c>
      <c r="BA118" s="64">
        <v>0.57095915761344151</v>
      </c>
      <c r="BB118" s="64">
        <v>0.58531177478599872</v>
      </c>
      <c r="BE118">
        <v>4.6572685999012868E-2</v>
      </c>
      <c r="BF118">
        <v>4.7743417607269342E-2</v>
      </c>
      <c r="BH118">
        <v>9.4316103606282217E-2</v>
      </c>
      <c r="BI118">
        <v>4.7158051803141102E-2</v>
      </c>
      <c r="BJ118">
        <v>0.57813546619972012</v>
      </c>
      <c r="BP118" t="s">
        <v>459</v>
      </c>
    </row>
    <row r="119" spans="1:68" x14ac:dyDescent="0.3">
      <c r="A119" t="s">
        <v>1213</v>
      </c>
      <c r="B119" s="57" t="s">
        <v>1215</v>
      </c>
      <c r="C119" s="12"/>
      <c r="F119">
        <v>2.21</v>
      </c>
      <c r="G119" t="s">
        <v>101</v>
      </c>
      <c r="H119" s="8">
        <v>-1</v>
      </c>
      <c r="I119">
        <v>-1</v>
      </c>
      <c r="K119">
        <v>2</v>
      </c>
      <c r="L119" s="20">
        <v>0</v>
      </c>
      <c r="M119">
        <v>0</v>
      </c>
      <c r="N119">
        <v>0</v>
      </c>
      <c r="O119">
        <v>3.9668000000000001</v>
      </c>
      <c r="P119">
        <v>3.9668000000000001</v>
      </c>
      <c r="Q119">
        <v>20.597999999999999</v>
      </c>
      <c r="R119" t="s">
        <v>440</v>
      </c>
      <c r="T119" s="20">
        <v>0</v>
      </c>
      <c r="U119" s="20"/>
      <c r="V119" s="20"/>
      <c r="W119">
        <v>0</v>
      </c>
      <c r="Z119">
        <v>0</v>
      </c>
      <c r="AD119">
        <v>14</v>
      </c>
      <c r="AE119" s="44">
        <f t="shared" si="2"/>
        <v>324.11987513951999</v>
      </c>
      <c r="AF119" s="46">
        <v>0</v>
      </c>
      <c r="AG119" s="44">
        <v>0</v>
      </c>
      <c r="AH119" s="44">
        <v>0</v>
      </c>
      <c r="AI119" s="41">
        <f t="shared" ref="AI119:AI120" si="5">K119*AD119/AE119</f>
        <v>8.6387790899731698E-2</v>
      </c>
      <c r="AJ119" s="40"/>
      <c r="AM119" s="23">
        <v>2</v>
      </c>
      <c r="AN119" s="23">
        <v>2.4615384615384621</v>
      </c>
      <c r="AO119" s="23">
        <v>0.69230769230769229</v>
      </c>
      <c r="AP119" s="23">
        <v>1.0769230769230771</v>
      </c>
      <c r="AQ119" s="23">
        <v>0.32098765432098758</v>
      </c>
      <c r="AR119" s="23">
        <v>0.39506172839506182</v>
      </c>
      <c r="AS119" s="23">
        <v>0.1111111111111111</v>
      </c>
      <c r="AT119" s="23">
        <v>0.1728395061728395</v>
      </c>
      <c r="AU119" s="20">
        <v>0.95</v>
      </c>
      <c r="AV119" s="20">
        <v>3.44</v>
      </c>
      <c r="AW119" s="20">
        <v>2.4900000000000002</v>
      </c>
      <c r="AX119" s="20">
        <v>2.592307692307692</v>
      </c>
      <c r="AY119">
        <v>2.5923076923076929</v>
      </c>
      <c r="AZ119">
        <v>5.9154799303846159</v>
      </c>
      <c r="BD119">
        <v>4.3193895449865849E-2</v>
      </c>
      <c r="BH119">
        <v>8.6387790899731698E-2</v>
      </c>
      <c r="BI119">
        <v>4.3193895449865849E-2</v>
      </c>
      <c r="BJ119">
        <v>0</v>
      </c>
      <c r="BP119" s="1">
        <v>2</v>
      </c>
    </row>
    <row r="120" spans="1:68" x14ac:dyDescent="0.3">
      <c r="A120" t="s">
        <v>1214</v>
      </c>
      <c r="B120" s="57" t="s">
        <v>1216</v>
      </c>
      <c r="C120" s="12"/>
      <c r="F120">
        <v>2.27</v>
      </c>
      <c r="G120" t="s">
        <v>102</v>
      </c>
      <c r="H120" s="8">
        <v>-1</v>
      </c>
      <c r="I120">
        <v>-1</v>
      </c>
      <c r="K120">
        <v>1</v>
      </c>
      <c r="L120" s="20">
        <v>0</v>
      </c>
      <c r="M120">
        <v>0</v>
      </c>
      <c r="N120">
        <v>0</v>
      </c>
      <c r="O120">
        <v>3.9493</v>
      </c>
      <c r="P120">
        <v>3.9493</v>
      </c>
      <c r="Q120">
        <v>12.727</v>
      </c>
      <c r="R120" t="s">
        <v>440</v>
      </c>
      <c r="T120" s="20">
        <v>0</v>
      </c>
      <c r="U120" s="20"/>
      <c r="V120" s="20"/>
      <c r="W120">
        <v>0</v>
      </c>
      <c r="Z120">
        <v>0</v>
      </c>
      <c r="AD120">
        <v>16</v>
      </c>
      <c r="AE120" s="44">
        <f t="shared" si="2"/>
        <v>198.50264342623001</v>
      </c>
      <c r="AF120" s="46">
        <v>0</v>
      </c>
      <c r="AG120" s="44">
        <v>0</v>
      </c>
      <c r="AH120" s="44">
        <v>0</v>
      </c>
      <c r="AI120" s="41">
        <f t="shared" si="5"/>
        <v>8.0603460608050376E-2</v>
      </c>
      <c r="AJ120" s="40"/>
      <c r="AM120" s="23">
        <v>2</v>
      </c>
      <c r="AN120" s="23">
        <v>2.4</v>
      </c>
      <c r="AO120" s="23">
        <v>0.6</v>
      </c>
      <c r="AP120" s="23">
        <v>0.93333333333333335</v>
      </c>
      <c r="AQ120" s="23">
        <v>0.33707865168539319</v>
      </c>
      <c r="AR120" s="23">
        <v>0.4044943820224719</v>
      </c>
      <c r="AS120" s="23">
        <v>0.101123595505618</v>
      </c>
      <c r="AT120" s="23">
        <v>0.15730337078651679</v>
      </c>
      <c r="AU120" s="20">
        <v>0.95</v>
      </c>
      <c r="AV120" s="20">
        <v>3.44</v>
      </c>
      <c r="AW120" s="20">
        <v>2.4900000000000002</v>
      </c>
      <c r="AX120" s="20">
        <v>2.539333333333333</v>
      </c>
      <c r="AY120">
        <v>2.539333333333333</v>
      </c>
      <c r="AZ120">
        <v>5.8209523980000002</v>
      </c>
      <c r="BD120">
        <v>4.0301730304025188E-2</v>
      </c>
      <c r="BH120">
        <v>8.0603460608050376E-2</v>
      </c>
      <c r="BI120">
        <v>4.0301730304025188E-2</v>
      </c>
      <c r="BJ120">
        <v>0</v>
      </c>
      <c r="BP120" s="1">
        <v>1</v>
      </c>
    </row>
    <row r="121" spans="1:68" x14ac:dyDescent="0.3">
      <c r="A121" t="s">
        <v>916</v>
      </c>
      <c r="B121" s="16" t="s">
        <v>918</v>
      </c>
      <c r="C121" s="12"/>
      <c r="F121">
        <v>3.157</v>
      </c>
      <c r="G121" t="s">
        <v>103</v>
      </c>
      <c r="H121" s="8">
        <v>-1</v>
      </c>
      <c r="I121">
        <v>-1</v>
      </c>
      <c r="J121" t="s">
        <v>1217</v>
      </c>
      <c r="K121">
        <v>4</v>
      </c>
      <c r="L121" s="20">
        <v>0</v>
      </c>
      <c r="M121">
        <v>0</v>
      </c>
      <c r="N121">
        <v>2</v>
      </c>
      <c r="O121">
        <v>12.449</v>
      </c>
      <c r="P121">
        <v>12.449</v>
      </c>
      <c r="Q121" s="4">
        <v>9.1999999999999993</v>
      </c>
      <c r="R121" t="s">
        <v>486</v>
      </c>
      <c r="T121" s="20">
        <v>0</v>
      </c>
      <c r="U121" s="20"/>
      <c r="V121" s="20"/>
      <c r="W121">
        <v>0</v>
      </c>
      <c r="Z121">
        <v>0</v>
      </c>
      <c r="AC121" s="20">
        <v>3</v>
      </c>
      <c r="AD121">
        <v>28.67</v>
      </c>
      <c r="AE121" s="44">
        <f>O121*P121*Q121</f>
        <v>1425.7939291999999</v>
      </c>
      <c r="AF121" s="46">
        <v>0</v>
      </c>
      <c r="AG121" s="44">
        <v>0</v>
      </c>
      <c r="AH121" s="44">
        <v>603.79999999999995</v>
      </c>
      <c r="AI121" s="41">
        <f>K121*AD121/AE121</f>
        <v>8.0432380620631433E-2</v>
      </c>
      <c r="AJ121" s="40"/>
      <c r="AL121" s="56">
        <f>N121*AD121/AH121</f>
        <v>9.4965220271613124E-2</v>
      </c>
      <c r="AM121" s="23">
        <v>1.6718155361540179</v>
      </c>
      <c r="AN121" s="23">
        <v>2.567271099171704</v>
      </c>
      <c r="AO121" s="23">
        <v>0.89545556301768525</v>
      </c>
      <c r="AP121" s="23">
        <v>0</v>
      </c>
      <c r="AQ121" s="23">
        <v>0.32560167422392738</v>
      </c>
      <c r="AR121" s="23">
        <v>0.5</v>
      </c>
      <c r="AS121" s="23">
        <v>0.17439832577607259</v>
      </c>
      <c r="AT121" s="23">
        <v>0</v>
      </c>
      <c r="AU121" s="20">
        <v>0.82</v>
      </c>
      <c r="AV121" s="20">
        <v>3.44</v>
      </c>
      <c r="AW121" s="20">
        <v>2.62</v>
      </c>
      <c r="AX121" s="20">
        <v>2.680076113722857</v>
      </c>
      <c r="AY121">
        <v>2.6800761137228561</v>
      </c>
      <c r="AZ121">
        <v>6.0370190189344077</v>
      </c>
      <c r="BD121">
        <v>4.0216190310315723E-2</v>
      </c>
      <c r="BG121">
        <v>4.7482610135806562E-2</v>
      </c>
      <c r="BH121">
        <v>8.7698800446122271E-2</v>
      </c>
      <c r="BI121">
        <v>4.3849400223061143E-2</v>
      </c>
      <c r="BJ121">
        <v>0</v>
      </c>
      <c r="BP121">
        <v>11.6</v>
      </c>
    </row>
    <row r="122" spans="1:68" x14ac:dyDescent="0.3">
      <c r="A122" t="s">
        <v>917</v>
      </c>
      <c r="B122" s="16" t="s">
        <v>919</v>
      </c>
      <c r="C122" s="12"/>
      <c r="F122">
        <v>3.1880000000000002</v>
      </c>
      <c r="G122" t="s">
        <v>103</v>
      </c>
      <c r="H122" s="8">
        <v>-1</v>
      </c>
      <c r="I122">
        <v>-1</v>
      </c>
      <c r="K122">
        <v>4</v>
      </c>
      <c r="L122" s="20">
        <v>0</v>
      </c>
      <c r="M122">
        <v>0</v>
      </c>
      <c r="N122">
        <v>0</v>
      </c>
      <c r="O122">
        <v>12.449</v>
      </c>
      <c r="P122">
        <v>12.449</v>
      </c>
      <c r="Q122">
        <v>8.11</v>
      </c>
      <c r="T122" s="20">
        <v>0</v>
      </c>
      <c r="U122" s="20"/>
      <c r="V122" s="20"/>
      <c r="W122">
        <v>0</v>
      </c>
      <c r="Z122">
        <v>0</v>
      </c>
      <c r="AC122">
        <v>3</v>
      </c>
      <c r="AD122">
        <v>28.67</v>
      </c>
      <c r="AE122" s="44">
        <f t="shared" si="2"/>
        <v>1256.86834411</v>
      </c>
      <c r="AF122" s="46">
        <v>0</v>
      </c>
      <c r="AG122" s="44">
        <v>0</v>
      </c>
      <c r="AH122" s="44">
        <v>0</v>
      </c>
      <c r="AI122" s="41">
        <f>K122*AD122/AE122</f>
        <v>9.1242651258916035E-2</v>
      </c>
      <c r="AJ122" s="40"/>
      <c r="AM122" s="23">
        <v>1.6718155361540179</v>
      </c>
      <c r="AN122" s="23">
        <v>2.567271099171704</v>
      </c>
      <c r="AO122" s="23">
        <v>0.89545556301768525</v>
      </c>
      <c r="AP122" s="23">
        <v>0</v>
      </c>
      <c r="AQ122" s="23">
        <v>0.32560167422392738</v>
      </c>
      <c r="AR122" s="23">
        <v>0.5</v>
      </c>
      <c r="AS122" s="23">
        <v>0.17439832577607259</v>
      </c>
      <c r="AT122" s="23">
        <v>0</v>
      </c>
      <c r="AU122" s="20">
        <v>0.95</v>
      </c>
      <c r="AV122" s="20">
        <v>3.44</v>
      </c>
      <c r="AW122" s="20">
        <v>2.4900000000000002</v>
      </c>
      <c r="AX122" s="20">
        <v>2.8240385045892098</v>
      </c>
      <c r="AY122">
        <v>2.8240385045892089</v>
      </c>
      <c r="AZ122">
        <v>6.533110796268315</v>
      </c>
      <c r="BD122">
        <v>4.5621325629458018E-2</v>
      </c>
      <c r="BH122">
        <v>9.1242651258916035E-2</v>
      </c>
      <c r="BI122">
        <v>4.5621325629458018E-2</v>
      </c>
      <c r="BJ122">
        <v>0</v>
      </c>
      <c r="BP122">
        <v>11.72</v>
      </c>
    </row>
    <row r="123" spans="1:68" x14ac:dyDescent="0.3">
      <c r="A123" t="s">
        <v>917</v>
      </c>
      <c r="B123" s="16" t="s">
        <v>919</v>
      </c>
      <c r="C123" s="12"/>
      <c r="D123" t="s">
        <v>863</v>
      </c>
      <c r="E123">
        <v>1.1200000000000001</v>
      </c>
      <c r="F123">
        <v>3.2040000000000002</v>
      </c>
      <c r="G123" t="s">
        <v>103</v>
      </c>
      <c r="H123" s="8">
        <v>-1</v>
      </c>
      <c r="I123">
        <v>-1</v>
      </c>
      <c r="K123">
        <v>4</v>
      </c>
      <c r="L123" s="20">
        <v>0</v>
      </c>
      <c r="M123">
        <v>0</v>
      </c>
      <c r="N123">
        <v>0</v>
      </c>
      <c r="O123">
        <v>12.449</v>
      </c>
      <c r="P123">
        <v>12.449</v>
      </c>
      <c r="Q123">
        <v>8.0399999999999991</v>
      </c>
      <c r="T123" s="20">
        <v>0</v>
      </c>
      <c r="U123" s="20"/>
      <c r="V123" s="20"/>
      <c r="W123">
        <v>0</v>
      </c>
      <c r="Z123">
        <v>0</v>
      </c>
      <c r="AC123">
        <v>3</v>
      </c>
      <c r="AD123">
        <v>28.67</v>
      </c>
      <c r="AE123" s="44">
        <f t="shared" si="2"/>
        <v>1246.0199120399998</v>
      </c>
      <c r="AF123" s="46">
        <v>0</v>
      </c>
      <c r="AG123" s="44">
        <v>0</v>
      </c>
      <c r="AH123" s="44">
        <v>0</v>
      </c>
      <c r="AI123" s="41">
        <f>K123*AD123/AE123</f>
        <v>9.2037052451468801E-2</v>
      </c>
      <c r="AJ123" s="40"/>
      <c r="AM123" s="23">
        <v>1.6718155361540179</v>
      </c>
      <c r="AN123" s="23">
        <v>2.567271099171704</v>
      </c>
      <c r="AO123" s="23">
        <v>0.89545556301768525</v>
      </c>
      <c r="AP123" s="23">
        <v>0</v>
      </c>
      <c r="AQ123" s="23">
        <v>0.32560167422392738</v>
      </c>
      <c r="AR123" s="23">
        <v>0.5</v>
      </c>
      <c r="AS123" s="23">
        <v>0.17439832577607259</v>
      </c>
      <c r="AT123" s="23">
        <v>0</v>
      </c>
      <c r="AU123" s="20">
        <v>0.95</v>
      </c>
      <c r="AV123" s="20">
        <v>3.44</v>
      </c>
      <c r="AW123" s="20">
        <v>2.4900000000000002</v>
      </c>
      <c r="AX123" s="20">
        <v>2.8240385045892098</v>
      </c>
      <c r="AY123">
        <v>2.8240385045892089</v>
      </c>
      <c r="AZ123">
        <v>6.533110796268315</v>
      </c>
      <c r="BD123">
        <v>4.60185262257344E-2</v>
      </c>
      <c r="BH123">
        <v>9.2037052451468801E-2</v>
      </c>
      <c r="BI123">
        <v>4.60185262257344E-2</v>
      </c>
      <c r="BJ123">
        <v>0</v>
      </c>
      <c r="BP123">
        <v>11.64</v>
      </c>
    </row>
    <row r="124" spans="1:68" x14ac:dyDescent="0.3">
      <c r="A124" t="s">
        <v>104</v>
      </c>
      <c r="B124" s="12" t="s">
        <v>748</v>
      </c>
      <c r="C124" s="12"/>
      <c r="F124">
        <v>3</v>
      </c>
      <c r="G124" t="s">
        <v>111</v>
      </c>
      <c r="H124" s="8" t="s">
        <v>566</v>
      </c>
      <c r="I124" t="s">
        <v>644</v>
      </c>
      <c r="L124" s="20">
        <v>4</v>
      </c>
      <c r="M124">
        <v>4</v>
      </c>
      <c r="N124">
        <v>0</v>
      </c>
      <c r="T124" s="20">
        <v>5.452661</v>
      </c>
      <c r="U124" s="20">
        <v>5.4531499999999999</v>
      </c>
      <c r="V124" s="20">
        <v>24.558717999999999</v>
      </c>
      <c r="W124">
        <v>5.44</v>
      </c>
      <c r="X124">
        <v>5.4130000000000003</v>
      </c>
      <c r="Y124">
        <v>23.74</v>
      </c>
      <c r="Z124">
        <v>0</v>
      </c>
      <c r="AD124">
        <v>18</v>
      </c>
      <c r="AE124" s="44">
        <f t="shared" si="2"/>
        <v>0</v>
      </c>
      <c r="AF124" s="46">
        <v>730.23330062098216</v>
      </c>
      <c r="AG124" s="44">
        <v>699.06513280000001</v>
      </c>
      <c r="AH124" s="44">
        <v>0</v>
      </c>
      <c r="AJ124" s="40">
        <v>9.8598625862134762E-2</v>
      </c>
      <c r="AK124" s="41">
        <v>0.1029946948027788</v>
      </c>
      <c r="AM124" s="23">
        <v>2</v>
      </c>
      <c r="AN124" s="23">
        <v>3.2307692307692308</v>
      </c>
      <c r="AO124" s="23">
        <v>2.1538461538461542</v>
      </c>
      <c r="AP124" s="23">
        <v>4.3076923076923066</v>
      </c>
      <c r="AQ124" s="23">
        <v>0.1710526315789474</v>
      </c>
      <c r="AR124" s="23">
        <v>0.27631578947368418</v>
      </c>
      <c r="AS124" s="23">
        <v>0.18421052631578949</v>
      </c>
      <c r="AT124" s="23">
        <v>0.36842105263157893</v>
      </c>
      <c r="AU124" s="20">
        <v>2.02</v>
      </c>
      <c r="AV124" s="20">
        <v>3.44</v>
      </c>
      <c r="AW124" s="20">
        <v>1.42</v>
      </c>
      <c r="AX124" s="20">
        <v>3.0553846153846149</v>
      </c>
      <c r="AY124">
        <v>3.0553846153846149</v>
      </c>
      <c r="AZ124">
        <v>6.5203382676923072</v>
      </c>
      <c r="BA124" s="64">
        <v>0.50518012153204694</v>
      </c>
      <c r="BB124" s="64">
        <v>0.52770382936549109</v>
      </c>
      <c r="BE124">
        <v>4.9299312931067381E-2</v>
      </c>
      <c r="BF124">
        <v>5.1497347401389379E-2</v>
      </c>
      <c r="BH124">
        <v>0.10079666033245679</v>
      </c>
      <c r="BI124">
        <v>5.0398330166228383E-2</v>
      </c>
      <c r="BJ124">
        <v>0.51644197544876902</v>
      </c>
    </row>
    <row r="125" spans="1:68" x14ac:dyDescent="0.3">
      <c r="A125" t="s">
        <v>69</v>
      </c>
      <c r="B125" s="12" t="s">
        <v>738</v>
      </c>
      <c r="C125" s="12"/>
      <c r="F125">
        <v>2.8</v>
      </c>
      <c r="G125" t="s">
        <v>111</v>
      </c>
      <c r="H125" s="8" t="s">
        <v>560</v>
      </c>
      <c r="I125" t="s">
        <v>638</v>
      </c>
      <c r="L125" s="20">
        <v>2</v>
      </c>
      <c r="M125">
        <v>4</v>
      </c>
      <c r="N125">
        <v>0</v>
      </c>
      <c r="T125" s="20">
        <v>8.3195821399999996</v>
      </c>
      <c r="U125" s="20">
        <v>8.3195821399999996</v>
      </c>
      <c r="V125" s="20">
        <v>8.2425581700000006</v>
      </c>
      <c r="W125">
        <v>5.5339970000000003</v>
      </c>
      <c r="X125">
        <v>5.4998300000000002</v>
      </c>
      <c r="Y125">
        <v>16.550709999999999</v>
      </c>
      <c r="Z125">
        <v>0</v>
      </c>
      <c r="AC125" s="20">
        <v>1</v>
      </c>
      <c r="AD125">
        <v>12</v>
      </c>
      <c r="AE125" s="44">
        <f t="shared" si="2"/>
        <v>0</v>
      </c>
      <c r="AF125" s="46">
        <v>248.80917443900231</v>
      </c>
      <c r="AG125" s="44">
        <v>503.73811661477208</v>
      </c>
      <c r="AH125" s="44">
        <v>0</v>
      </c>
      <c r="AJ125" s="40">
        <v>9.6459465588893734E-2</v>
      </c>
      <c r="AK125" s="41">
        <v>9.5287607621536111E-2</v>
      </c>
      <c r="AM125" s="23">
        <v>2</v>
      </c>
      <c r="AN125" s="23">
        <v>3.333333333333333</v>
      </c>
      <c r="AO125" s="23">
        <v>2.666666666666667</v>
      </c>
      <c r="AP125" s="23">
        <v>4.666666666666667</v>
      </c>
      <c r="AQ125" s="23">
        <v>0.15789473684210531</v>
      </c>
      <c r="AR125" s="23">
        <v>0.26315789473684209</v>
      </c>
      <c r="AS125" s="23">
        <v>0.2105263157894737</v>
      </c>
      <c r="AT125" s="23">
        <v>0.36842105263157898</v>
      </c>
      <c r="AU125" s="20">
        <v>2.02</v>
      </c>
      <c r="AV125" s="20">
        <v>3.44</v>
      </c>
      <c r="AW125" s="20">
        <v>1.42</v>
      </c>
      <c r="AX125" s="20">
        <v>3.0044444444444438</v>
      </c>
      <c r="AY125">
        <v>3.0044444444444438</v>
      </c>
      <c r="AZ125">
        <v>6.4228342255555546</v>
      </c>
      <c r="BA125" s="64">
        <v>0.52562348257484404</v>
      </c>
      <c r="BB125" s="64">
        <v>0.51923783589802341</v>
      </c>
      <c r="BE125">
        <v>4.8229732794446867E-2</v>
      </c>
      <c r="BF125">
        <v>4.7643803810768062E-2</v>
      </c>
      <c r="BH125">
        <v>9.5873536605214915E-2</v>
      </c>
      <c r="BI125">
        <v>4.7936768302607458E-2</v>
      </c>
      <c r="BJ125">
        <v>0.52243065923643373</v>
      </c>
    </row>
    <row r="126" spans="1:68" x14ac:dyDescent="0.3">
      <c r="A126" t="s">
        <v>105</v>
      </c>
      <c r="B126" s="12" t="s">
        <v>749</v>
      </c>
      <c r="C126" s="12"/>
      <c r="F126">
        <v>2.8</v>
      </c>
      <c r="G126" t="s">
        <v>111</v>
      </c>
      <c r="H126" s="8">
        <v>-1</v>
      </c>
      <c r="I126">
        <v>-1</v>
      </c>
      <c r="J126" t="s">
        <v>1163</v>
      </c>
      <c r="L126" s="20">
        <v>0</v>
      </c>
      <c r="M126">
        <v>0</v>
      </c>
      <c r="N126" s="4">
        <v>2.5</v>
      </c>
      <c r="T126" s="20">
        <v>0</v>
      </c>
      <c r="U126" s="20"/>
      <c r="V126" s="20"/>
      <c r="W126">
        <v>0</v>
      </c>
      <c r="Z126">
        <v>12.495799999999999</v>
      </c>
      <c r="AA126">
        <v>12.495799999999999</v>
      </c>
      <c r="AB126">
        <v>11.2464</v>
      </c>
      <c r="AD126">
        <v>54</v>
      </c>
      <c r="AE126" s="44">
        <f t="shared" si="2"/>
        <v>0</v>
      </c>
      <c r="AF126" s="46">
        <v>0</v>
      </c>
      <c r="AG126" s="44">
        <v>0</v>
      </c>
      <c r="AH126" s="44">
        <v>1756.1</v>
      </c>
      <c r="AJ126" s="40"/>
      <c r="AL126" s="56">
        <f>N126*AD126/AH126</f>
        <v>7.6874893229314969E-2</v>
      </c>
      <c r="AM126" s="23">
        <v>2</v>
      </c>
      <c r="AN126" s="23">
        <v>3.4883720930232558</v>
      </c>
      <c r="AO126" s="23">
        <v>3.441860465116279</v>
      </c>
      <c r="AP126" s="23">
        <v>5.2093023255813957</v>
      </c>
      <c r="AQ126" s="23">
        <v>0.1414473684210526</v>
      </c>
      <c r="AR126" s="23">
        <v>0.24671052631578949</v>
      </c>
      <c r="AS126" s="23">
        <v>0.2434210526315789</v>
      </c>
      <c r="AT126" s="23">
        <v>0.36842105263157898</v>
      </c>
      <c r="AU126" s="20">
        <v>2.02</v>
      </c>
      <c r="AV126" s="20">
        <v>3.44</v>
      </c>
      <c r="AW126" s="20">
        <v>1.42</v>
      </c>
      <c r="AX126" s="20">
        <v>2.927441860465116</v>
      </c>
      <c r="AY126">
        <v>2.9274418604651169</v>
      </c>
      <c r="AZ126">
        <v>6.2754443944186056</v>
      </c>
      <c r="BC126" s="64">
        <v>0</v>
      </c>
      <c r="BG126">
        <v>3.8437446614657478E-2</v>
      </c>
      <c r="BH126">
        <v>7.6874893229314969E-2</v>
      </c>
      <c r="BI126">
        <v>3.8437446614657478E-2</v>
      </c>
      <c r="BJ126">
        <v>0</v>
      </c>
    </row>
    <row r="127" spans="1:68" x14ac:dyDescent="0.3">
      <c r="A127" t="s">
        <v>106</v>
      </c>
      <c r="B127" s="12" t="s">
        <v>750</v>
      </c>
      <c r="C127" s="12"/>
      <c r="F127">
        <v>2.9</v>
      </c>
      <c r="G127" t="s">
        <v>111</v>
      </c>
      <c r="H127" s="8" t="s">
        <v>567</v>
      </c>
      <c r="I127" t="s">
        <v>645</v>
      </c>
      <c r="L127" s="20">
        <v>2</v>
      </c>
      <c r="M127">
        <v>1</v>
      </c>
      <c r="N127">
        <v>0</v>
      </c>
      <c r="T127" s="20">
        <v>7.3631707899999999</v>
      </c>
      <c r="U127" s="20">
        <v>7.363170789999999</v>
      </c>
      <c r="V127" s="20">
        <v>7.3631707899999999</v>
      </c>
      <c r="W127">
        <v>10.359069999999999</v>
      </c>
      <c r="X127">
        <v>10.359069999999999</v>
      </c>
      <c r="Y127">
        <v>10.359069999999999</v>
      </c>
      <c r="Z127">
        <v>0</v>
      </c>
      <c r="AD127">
        <v>14</v>
      </c>
      <c r="AE127" s="44">
        <f t="shared" si="2"/>
        <v>0</v>
      </c>
      <c r="AF127" s="46">
        <v>282.27968527629582</v>
      </c>
      <c r="AG127" s="44">
        <v>1111.635233296287</v>
      </c>
      <c r="AH127" s="44">
        <v>0</v>
      </c>
      <c r="AJ127" s="40">
        <v>9.9192401934958777E-2</v>
      </c>
      <c r="AK127" s="41">
        <v>1.2594059256727909E-2</v>
      </c>
      <c r="AM127" s="23">
        <v>2</v>
      </c>
      <c r="AN127" s="23">
        <v>3.0909090909090908</v>
      </c>
      <c r="AO127" s="23">
        <v>2.1818181818181821</v>
      </c>
      <c r="AP127" s="23">
        <v>2.545454545454545</v>
      </c>
      <c r="AQ127" s="23">
        <v>0.20370370370370369</v>
      </c>
      <c r="AR127" s="23">
        <v>0.31481481481481483</v>
      </c>
      <c r="AS127" s="23">
        <v>0.22222222222222221</v>
      </c>
      <c r="AT127" s="23">
        <v>0.25925925925925919</v>
      </c>
      <c r="AU127" s="20">
        <v>1.54</v>
      </c>
      <c r="AV127" s="20">
        <v>3.44</v>
      </c>
      <c r="AW127" s="20">
        <v>1.9</v>
      </c>
      <c r="AX127" s="20">
        <v>2.836363636363636</v>
      </c>
      <c r="AY127">
        <v>2.836363636363636</v>
      </c>
      <c r="AZ127">
        <v>6.1735094709090914</v>
      </c>
      <c r="BA127" s="64">
        <v>0.53518414174009155</v>
      </c>
      <c r="BE127">
        <v>4.9596200967479388E-2</v>
      </c>
      <c r="BF127">
        <v>6.2970296283639581E-3</v>
      </c>
      <c r="BH127">
        <v>5.5893230595843342E-2</v>
      </c>
      <c r="BI127">
        <v>2.7946615297921671E-2</v>
      </c>
      <c r="BJ127">
        <v>0.53518414174009155</v>
      </c>
    </row>
    <row r="128" spans="1:68" x14ac:dyDescent="0.3">
      <c r="A128" t="s">
        <v>107</v>
      </c>
      <c r="B128" s="12" t="s">
        <v>727</v>
      </c>
      <c r="C128" s="12"/>
      <c r="F128">
        <v>3.1</v>
      </c>
      <c r="G128" t="s">
        <v>111</v>
      </c>
      <c r="H128" s="8" t="s">
        <v>555</v>
      </c>
      <c r="I128" t="s">
        <v>632</v>
      </c>
      <c r="L128" s="20">
        <v>1</v>
      </c>
      <c r="M128">
        <v>4</v>
      </c>
      <c r="N128">
        <v>0</v>
      </c>
      <c r="T128" s="20">
        <v>3.86469438</v>
      </c>
      <c r="U128" s="20">
        <v>3.86469438</v>
      </c>
      <c r="V128" s="20">
        <v>16.978874730000001</v>
      </c>
      <c r="W128">
        <v>32.83</v>
      </c>
      <c r="X128">
        <v>5.4109999999999996</v>
      </c>
      <c r="Y128">
        <v>5.4480000000000004</v>
      </c>
      <c r="Z128">
        <v>0</v>
      </c>
      <c r="AD128">
        <v>24</v>
      </c>
      <c r="AE128" s="44">
        <f t="shared" si="2"/>
        <v>0</v>
      </c>
      <c r="AF128" s="46">
        <v>251.01098912285789</v>
      </c>
      <c r="AG128" s="44">
        <v>967.79977224000004</v>
      </c>
      <c r="AH128" s="44">
        <v>0</v>
      </c>
      <c r="AJ128" s="40">
        <v>9.5613343797681868E-2</v>
      </c>
      <c r="AK128" s="41">
        <v>9.919407170122109E-2</v>
      </c>
      <c r="AM128" s="23">
        <v>2</v>
      </c>
      <c r="AN128" s="23">
        <v>3.1578947368421049</v>
      </c>
      <c r="AO128" s="23">
        <v>2.4210526315789469</v>
      </c>
      <c r="AP128" s="23">
        <v>2.947368421052631</v>
      </c>
      <c r="AQ128" s="23">
        <v>0.19</v>
      </c>
      <c r="AR128" s="23">
        <v>0.3</v>
      </c>
      <c r="AS128" s="23">
        <v>0.23</v>
      </c>
      <c r="AT128" s="23">
        <v>0.28000000000000003</v>
      </c>
      <c r="AU128" s="20">
        <v>1.54</v>
      </c>
      <c r="AV128" s="20">
        <v>3.44</v>
      </c>
      <c r="AW128" s="20">
        <v>1.9</v>
      </c>
      <c r="AX128" s="20">
        <v>2.8410526315789468</v>
      </c>
      <c r="AY128">
        <v>2.8410526315789468</v>
      </c>
      <c r="AZ128">
        <v>6.1729587136842099</v>
      </c>
      <c r="BA128" s="64">
        <v>0.52818907539878324</v>
      </c>
      <c r="BB128" s="64">
        <v>0.54796980145127927</v>
      </c>
      <c r="BE128">
        <v>4.7806671898840941E-2</v>
      </c>
      <c r="BF128">
        <v>4.9597035850610538E-2</v>
      </c>
      <c r="BH128">
        <v>9.7403707749451479E-2</v>
      </c>
      <c r="BI128">
        <v>4.870185387472574E-2</v>
      </c>
      <c r="BJ128">
        <v>0.53807943842503125</v>
      </c>
    </row>
    <row r="129" spans="1:68" x14ac:dyDescent="0.3">
      <c r="A129" t="s">
        <v>108</v>
      </c>
      <c r="B129" s="12" t="s">
        <v>751</v>
      </c>
      <c r="C129" s="12"/>
      <c r="F129">
        <v>3.1</v>
      </c>
      <c r="G129" t="s">
        <v>111</v>
      </c>
      <c r="H129" s="8" t="s">
        <v>568</v>
      </c>
      <c r="I129" t="s">
        <v>646</v>
      </c>
      <c r="L129" s="20">
        <v>1</v>
      </c>
      <c r="M129">
        <v>4</v>
      </c>
      <c r="N129">
        <v>0</v>
      </c>
      <c r="T129" s="20">
        <v>12.951407789999999</v>
      </c>
      <c r="U129" s="20">
        <v>12.951407789999999</v>
      </c>
      <c r="V129" s="20">
        <v>12.951407789999999</v>
      </c>
      <c r="W129">
        <v>5.431</v>
      </c>
      <c r="X129">
        <v>5.3890000000000002</v>
      </c>
      <c r="Y129">
        <v>25.049990000000001</v>
      </c>
      <c r="Z129">
        <v>0</v>
      </c>
      <c r="AD129">
        <v>18</v>
      </c>
      <c r="AE129" s="44">
        <f t="shared" si="2"/>
        <v>0</v>
      </c>
      <c r="AF129" s="46">
        <v>189.23096942123021</v>
      </c>
      <c r="AG129" s="44">
        <v>733.15456527341007</v>
      </c>
      <c r="AH129" s="44">
        <v>0</v>
      </c>
      <c r="AJ129" s="40">
        <v>9.5121850588482687E-2</v>
      </c>
      <c r="AK129" s="41">
        <v>9.820575825392229E-2</v>
      </c>
      <c r="AM129" s="23">
        <v>1.928571428571429</v>
      </c>
      <c r="AN129" s="23">
        <v>3.214285714285714</v>
      </c>
      <c r="AO129" s="23">
        <v>2.5714285714285721</v>
      </c>
      <c r="AP129" s="23">
        <v>3</v>
      </c>
      <c r="AQ129" s="23">
        <v>0.18</v>
      </c>
      <c r="AR129" s="23">
        <v>0.3</v>
      </c>
      <c r="AS129" s="23">
        <v>0.24</v>
      </c>
      <c r="AT129" s="23">
        <v>0.28000000000000003</v>
      </c>
      <c r="AU129" s="20">
        <v>1.54</v>
      </c>
      <c r="AV129" s="20">
        <v>3.44</v>
      </c>
      <c r="AW129" s="20">
        <v>1.9</v>
      </c>
      <c r="AX129" s="20">
        <v>2.8685714285714292</v>
      </c>
      <c r="AY129">
        <v>2.8685714285714292</v>
      </c>
      <c r="AZ129">
        <v>6.249142824642858</v>
      </c>
      <c r="BA129" s="64">
        <v>0.5245372795477049</v>
      </c>
      <c r="BB129" s="64">
        <v>0</v>
      </c>
      <c r="BE129">
        <v>4.756092529424135E-2</v>
      </c>
      <c r="BF129">
        <v>4.9102879126961152E-2</v>
      </c>
      <c r="BH129">
        <v>9.6663804421202482E-2</v>
      </c>
      <c r="BI129">
        <v>4.8331902210601248E-2</v>
      </c>
      <c r="BJ129">
        <v>0.26226863977385251</v>
      </c>
    </row>
    <row r="130" spans="1:68" x14ac:dyDescent="0.3">
      <c r="A130" t="s">
        <v>109</v>
      </c>
      <c r="B130" s="12" t="s">
        <v>752</v>
      </c>
      <c r="C130" s="12"/>
      <c r="F130">
        <v>3</v>
      </c>
      <c r="G130" t="s">
        <v>111</v>
      </c>
      <c r="H130" s="8" t="s">
        <v>569</v>
      </c>
      <c r="I130" t="s">
        <v>647</v>
      </c>
      <c r="L130" s="20">
        <v>16</v>
      </c>
      <c r="M130">
        <v>16</v>
      </c>
      <c r="N130">
        <v>0</v>
      </c>
      <c r="T130" s="20">
        <v>22.855297</v>
      </c>
      <c r="U130" s="20">
        <v>5.6559619999999997</v>
      </c>
      <c r="V130" s="20">
        <v>17.48922452</v>
      </c>
      <c r="W130">
        <v>17.24399</v>
      </c>
      <c r="X130">
        <v>22.428989999999999</v>
      </c>
      <c r="Y130">
        <v>5.5860000000000003</v>
      </c>
      <c r="Z130">
        <v>0</v>
      </c>
      <c r="AD130">
        <v>12</v>
      </c>
      <c r="AE130" s="44">
        <f t="shared" si="2"/>
        <v>0</v>
      </c>
      <c r="AF130" s="46">
        <v>2260.7115007974689</v>
      </c>
      <c r="AG130" s="44">
        <v>2160.393128160722</v>
      </c>
      <c r="AH130" s="44">
        <v>0</v>
      </c>
      <c r="AJ130" s="40">
        <v>8.4929014574514128E-2</v>
      </c>
      <c r="AK130" s="41">
        <v>8.8872713719220939E-2</v>
      </c>
      <c r="AM130" s="23">
        <v>1.8888888888888891</v>
      </c>
      <c r="AN130" s="23">
        <v>3.333333333333333</v>
      </c>
      <c r="AO130" s="23">
        <v>2.7777777777777781</v>
      </c>
      <c r="AP130" s="23">
        <v>3.1111111111111112</v>
      </c>
      <c r="AQ130" s="23">
        <v>0.17</v>
      </c>
      <c r="AR130" s="23">
        <v>0.3</v>
      </c>
      <c r="AS130" s="23">
        <v>0.25</v>
      </c>
      <c r="AT130" s="23">
        <v>0.28000000000000003</v>
      </c>
      <c r="AU130" s="20">
        <v>2.02</v>
      </c>
      <c r="AV130" s="20">
        <v>3.44</v>
      </c>
      <c r="AW130" s="20">
        <v>1.42</v>
      </c>
      <c r="AX130" s="20">
        <v>2.9822222222222221</v>
      </c>
      <c r="AY130">
        <v>2.9822222222222221</v>
      </c>
      <c r="AZ130">
        <v>6.3761376700000003</v>
      </c>
      <c r="BA130" s="64">
        <v>0.46231169000880379</v>
      </c>
      <c r="BB130" s="64">
        <v>0.48377924412573098</v>
      </c>
      <c r="BE130">
        <v>4.2464507287257078E-2</v>
      </c>
      <c r="BF130">
        <v>4.4436356859610462E-2</v>
      </c>
      <c r="BH130">
        <v>8.690086414686754E-2</v>
      </c>
      <c r="BI130">
        <v>4.345043207343377E-2</v>
      </c>
      <c r="BJ130">
        <v>0.47304546706726741</v>
      </c>
    </row>
    <row r="131" spans="1:68" x14ac:dyDescent="0.3">
      <c r="A131" t="s">
        <v>110</v>
      </c>
      <c r="B131" s="12" t="s">
        <v>753</v>
      </c>
      <c r="C131" s="12"/>
      <c r="F131">
        <v>3.3</v>
      </c>
      <c r="G131" t="s">
        <v>111</v>
      </c>
      <c r="H131" s="8" t="s">
        <v>570</v>
      </c>
      <c r="I131" t="s">
        <v>648</v>
      </c>
      <c r="L131" s="20">
        <v>1</v>
      </c>
      <c r="M131">
        <v>1</v>
      </c>
      <c r="N131">
        <v>0</v>
      </c>
      <c r="T131" s="20">
        <v>20.551678089999999</v>
      </c>
      <c r="U131" s="20">
        <v>20.551678089999999</v>
      </c>
      <c r="V131" s="20">
        <v>20.551678089999999</v>
      </c>
      <c r="W131">
        <v>41.856999999999999</v>
      </c>
      <c r="X131">
        <v>5.4550999999999998</v>
      </c>
      <c r="Y131">
        <v>5.468</v>
      </c>
      <c r="Z131">
        <v>0</v>
      </c>
      <c r="AD131">
        <v>30</v>
      </c>
      <c r="AE131" s="44">
        <f t="shared" ref="AE131:AE194" si="6">O131*P131*Q131</f>
        <v>0</v>
      </c>
      <c r="AF131" s="46">
        <v>309.59189648929049</v>
      </c>
      <c r="AG131" s="44">
        <v>1248.5309719876</v>
      </c>
      <c r="AH131" s="44">
        <v>0</v>
      </c>
      <c r="AJ131" s="40">
        <v>9.6901761125513727E-2</v>
      </c>
      <c r="AK131" s="41">
        <v>2.4028238524384762E-2</v>
      </c>
      <c r="AM131" s="23">
        <v>2</v>
      </c>
      <c r="AN131" s="23">
        <v>3</v>
      </c>
      <c r="AO131" s="23">
        <v>2</v>
      </c>
      <c r="AP131" s="23">
        <v>2.333333333333333</v>
      </c>
      <c r="AQ131" s="23">
        <v>0.2142857142857143</v>
      </c>
      <c r="AR131" s="23">
        <v>0.3214285714285714</v>
      </c>
      <c r="AS131" s="23">
        <v>0.2142857142857143</v>
      </c>
      <c r="AT131" s="23">
        <v>0.25</v>
      </c>
      <c r="AU131" s="20">
        <v>0.89</v>
      </c>
      <c r="AV131" s="20">
        <v>3.44</v>
      </c>
      <c r="AW131" s="20">
        <v>2.5499999999999998</v>
      </c>
      <c r="AX131" s="20">
        <v>2.780416666666667</v>
      </c>
      <c r="AY131">
        <v>2.780416666666667</v>
      </c>
      <c r="AZ131">
        <v>6.0847889087500002</v>
      </c>
      <c r="BA131" s="64">
        <v>0.55979201272496915</v>
      </c>
      <c r="BE131">
        <v>4.8450880562756857E-2</v>
      </c>
      <c r="BF131">
        <v>1.2014119262192381E-2</v>
      </c>
      <c r="BH131">
        <v>6.0464999824949253E-2</v>
      </c>
      <c r="BI131">
        <v>3.023249991247462E-2</v>
      </c>
      <c r="BJ131">
        <v>0.55979201272496915</v>
      </c>
    </row>
    <row r="132" spans="1:68" x14ac:dyDescent="0.3">
      <c r="A132" t="s">
        <v>109</v>
      </c>
      <c r="B132" s="12" t="s">
        <v>752</v>
      </c>
      <c r="C132" s="12"/>
      <c r="F132">
        <v>2.64</v>
      </c>
      <c r="G132" t="s">
        <v>114</v>
      </c>
      <c r="H132" s="8" t="s">
        <v>569</v>
      </c>
      <c r="I132" t="s">
        <v>647</v>
      </c>
      <c r="L132" s="20">
        <v>16</v>
      </c>
      <c r="M132">
        <v>16</v>
      </c>
      <c r="N132">
        <v>0</v>
      </c>
      <c r="T132" s="20">
        <v>22.855297</v>
      </c>
      <c r="U132" s="20">
        <v>5.6559619999999997</v>
      </c>
      <c r="V132" s="20">
        <v>17.48922452</v>
      </c>
      <c r="W132">
        <v>17.24399</v>
      </c>
      <c r="X132">
        <v>22.428989999999999</v>
      </c>
      <c r="Y132">
        <v>5.5860000000000003</v>
      </c>
      <c r="Z132">
        <v>0</v>
      </c>
      <c r="AD132">
        <v>12</v>
      </c>
      <c r="AE132" s="44">
        <f t="shared" si="6"/>
        <v>0</v>
      </c>
      <c r="AF132" s="46">
        <v>2260.7115007974689</v>
      </c>
      <c r="AG132" s="44">
        <v>2160.393128160722</v>
      </c>
      <c r="AH132" s="44">
        <v>0</v>
      </c>
      <c r="AJ132" s="40">
        <v>8.4929014574514128E-2</v>
      </c>
      <c r="AK132" s="41">
        <v>8.8872713719220939E-2</v>
      </c>
      <c r="AM132" s="23">
        <v>1.8888888888888891</v>
      </c>
      <c r="AN132" s="23">
        <v>3.333333333333333</v>
      </c>
      <c r="AO132" s="23">
        <v>2.7777777777777781</v>
      </c>
      <c r="AP132" s="23">
        <v>3.1111111111111112</v>
      </c>
      <c r="AQ132" s="23">
        <v>0.17</v>
      </c>
      <c r="AR132" s="23">
        <v>0.3</v>
      </c>
      <c r="AS132" s="23">
        <v>0.25</v>
      </c>
      <c r="AT132" s="23">
        <v>0.28000000000000003</v>
      </c>
      <c r="AU132" s="20">
        <v>2.02</v>
      </c>
      <c r="AV132" s="20">
        <v>3.44</v>
      </c>
      <c r="AW132" s="20">
        <v>1.42</v>
      </c>
      <c r="AX132" s="20">
        <v>2.9822222222222221</v>
      </c>
      <c r="AY132">
        <v>2.9822222222222221</v>
      </c>
      <c r="AZ132">
        <v>6.3761376700000003</v>
      </c>
      <c r="BA132" s="64">
        <v>0.46231169000880379</v>
      </c>
      <c r="BB132" s="64">
        <v>0.48377924412573098</v>
      </c>
      <c r="BE132">
        <v>4.2464507287257078E-2</v>
      </c>
      <c r="BF132">
        <v>4.4436356859610462E-2</v>
      </c>
      <c r="BH132">
        <v>8.690086414686754E-2</v>
      </c>
      <c r="BI132">
        <v>4.345043207343377E-2</v>
      </c>
      <c r="BJ132">
        <v>0.47304546706726741</v>
      </c>
      <c r="BP132">
        <v>2.2999999999999998</v>
      </c>
    </row>
    <row r="133" spans="1:68" x14ac:dyDescent="0.3">
      <c r="A133" t="s">
        <v>25</v>
      </c>
      <c r="B133" s="12" t="s">
        <v>708</v>
      </c>
      <c r="C133" s="12"/>
      <c r="F133">
        <v>2.88</v>
      </c>
      <c r="G133" t="s">
        <v>115</v>
      </c>
      <c r="H133" s="8" t="s">
        <v>541</v>
      </c>
      <c r="I133" t="s">
        <v>621</v>
      </c>
      <c r="L133" s="20">
        <v>1</v>
      </c>
      <c r="M133">
        <v>4</v>
      </c>
      <c r="N133">
        <v>0</v>
      </c>
      <c r="O133">
        <v>5.4960000000000004</v>
      </c>
      <c r="P133">
        <v>5.4960000000000004</v>
      </c>
      <c r="Q133">
        <v>25.55</v>
      </c>
      <c r="R133" t="s">
        <v>450</v>
      </c>
      <c r="T133" s="20">
        <v>12.868820120000001</v>
      </c>
      <c r="U133" s="20">
        <v>12.868820120000001</v>
      </c>
      <c r="V133" s="20">
        <v>12.868820120000001</v>
      </c>
      <c r="W133">
        <v>5.5453000000000001</v>
      </c>
      <c r="X133">
        <v>5.5453000000000001</v>
      </c>
      <c r="Y133">
        <v>25.686699999999998</v>
      </c>
      <c r="Z133">
        <v>0</v>
      </c>
      <c r="AD133">
        <v>18</v>
      </c>
      <c r="AE133" s="44">
        <f t="shared" si="6"/>
        <v>771.76370880000013</v>
      </c>
      <c r="AF133" s="46">
        <v>197.4403766939285</v>
      </c>
      <c r="AG133" s="44">
        <v>789.87506903020289</v>
      </c>
      <c r="AH133" s="44">
        <v>0</v>
      </c>
      <c r="AJ133" s="40">
        <v>9.1166762854710051E-2</v>
      </c>
      <c r="AK133" s="41">
        <v>9.1153655588092616E-2</v>
      </c>
      <c r="AM133" s="23">
        <v>1.857142857142857</v>
      </c>
      <c r="AN133" s="23">
        <v>3.1428571428571428</v>
      </c>
      <c r="AO133" s="23">
        <v>2.714285714285714</v>
      </c>
      <c r="AP133" s="23">
        <v>3</v>
      </c>
      <c r="AQ133" s="23">
        <v>0.17333333333333331</v>
      </c>
      <c r="AR133" s="23">
        <v>0.29333333333333328</v>
      </c>
      <c r="AS133" s="23">
        <v>0.25333333333333341</v>
      </c>
      <c r="AT133" s="23">
        <v>0.28000000000000003</v>
      </c>
      <c r="AU133" s="20">
        <v>1.6</v>
      </c>
      <c r="AV133" s="20">
        <v>3.44</v>
      </c>
      <c r="AW133" s="20">
        <v>1.84</v>
      </c>
      <c r="AX133" s="20">
        <v>2.895</v>
      </c>
      <c r="AY133">
        <v>2.895</v>
      </c>
      <c r="AZ133">
        <v>6.260504073571429</v>
      </c>
      <c r="BA133" s="64">
        <v>0.51995616258071919</v>
      </c>
      <c r="BB133" s="64">
        <v>0.51988140722208986</v>
      </c>
      <c r="BE133">
        <v>4.5583381427355033E-2</v>
      </c>
      <c r="BF133">
        <v>4.5576827794046308E-2</v>
      </c>
      <c r="BH133">
        <v>9.1160209221401334E-2</v>
      </c>
      <c r="BI133">
        <v>4.5580104610700667E-2</v>
      </c>
      <c r="BJ133">
        <v>0.51991878490140453</v>
      </c>
    </row>
    <row r="134" spans="1:68" x14ac:dyDescent="0.3">
      <c r="A134" t="s">
        <v>8</v>
      </c>
      <c r="B134" s="12" t="s">
        <v>694</v>
      </c>
      <c r="C134" s="12"/>
      <c r="D134" t="s">
        <v>676</v>
      </c>
      <c r="E134" t="s">
        <v>1067</v>
      </c>
      <c r="F134">
        <v>2.73</v>
      </c>
      <c r="G134" t="s">
        <v>115</v>
      </c>
      <c r="H134" s="8" t="s">
        <v>530</v>
      </c>
      <c r="I134" t="s">
        <v>612</v>
      </c>
      <c r="L134" s="20">
        <v>30</v>
      </c>
      <c r="M134">
        <v>4</v>
      </c>
      <c r="N134">
        <v>0</v>
      </c>
      <c r="T134" s="20">
        <v>10.59112378</v>
      </c>
      <c r="U134" s="20">
        <v>10.784736629999999</v>
      </c>
      <c r="V134" s="20">
        <v>10.486176179999999</v>
      </c>
      <c r="W134">
        <v>3.73</v>
      </c>
      <c r="X134">
        <v>3.73</v>
      </c>
      <c r="Y134">
        <v>9.3699999999999992</v>
      </c>
      <c r="Z134">
        <v>0</v>
      </c>
      <c r="AD134">
        <v>4</v>
      </c>
      <c r="AE134" s="44">
        <f t="shared" si="6"/>
        <v>0</v>
      </c>
      <c r="AF134" s="46">
        <v>1182.741260108548</v>
      </c>
      <c r="AG134" s="44">
        <v>130.36387300000001</v>
      </c>
      <c r="AH134" s="44">
        <v>0</v>
      </c>
      <c r="AJ134" s="40">
        <v>0.1014592151701775</v>
      </c>
      <c r="AK134" s="41">
        <v>0.1227333894874388</v>
      </c>
      <c r="AM134" s="23">
        <v>2</v>
      </c>
      <c r="AN134" s="23">
        <v>2.666666666666667</v>
      </c>
      <c r="AO134" s="23">
        <v>0.66666666666666663</v>
      </c>
      <c r="AP134" s="23">
        <v>0</v>
      </c>
      <c r="AQ134" s="23">
        <v>0.375</v>
      </c>
      <c r="AR134" s="23">
        <v>0.5</v>
      </c>
      <c r="AS134" s="23">
        <v>0.125</v>
      </c>
      <c r="AT134" s="23">
        <v>0</v>
      </c>
      <c r="AU134" s="20">
        <v>1.54</v>
      </c>
      <c r="AV134" s="20">
        <v>3.44</v>
      </c>
      <c r="AW134" s="20">
        <v>1.9</v>
      </c>
      <c r="AX134" s="20">
        <v>2.8066666666666671</v>
      </c>
      <c r="AY134">
        <v>2.8066666666666662</v>
      </c>
      <c r="AZ134">
        <v>6.1769976</v>
      </c>
      <c r="BA134" s="64">
        <v>0.46900407026869628</v>
      </c>
      <c r="BB134" s="64">
        <v>0.56734579634715776</v>
      </c>
      <c r="BE134">
        <v>5.072960758508873E-2</v>
      </c>
      <c r="BF134">
        <v>6.136669474371937E-2</v>
      </c>
      <c r="BH134">
        <v>0.1120963023288082</v>
      </c>
      <c r="BI134">
        <v>5.604815116440405E-2</v>
      </c>
      <c r="BJ134">
        <v>0.51817493330792708</v>
      </c>
    </row>
    <row r="135" spans="1:68" x14ac:dyDescent="0.3">
      <c r="A135" t="s">
        <v>19</v>
      </c>
      <c r="B135" s="12" t="s">
        <v>705</v>
      </c>
      <c r="C135" s="12"/>
      <c r="F135">
        <v>3.46</v>
      </c>
      <c r="G135" t="s">
        <v>116</v>
      </c>
      <c r="H135" s="8" t="s">
        <v>538</v>
      </c>
      <c r="I135">
        <v>-1</v>
      </c>
      <c r="L135" s="20">
        <v>1</v>
      </c>
      <c r="M135">
        <v>0</v>
      </c>
      <c r="N135">
        <v>0</v>
      </c>
      <c r="R135" t="s">
        <v>450</v>
      </c>
      <c r="T135" s="20">
        <v>13.83861243</v>
      </c>
      <c r="U135" s="20">
        <v>13.83861243</v>
      </c>
      <c r="V135" s="20">
        <v>13.83861243</v>
      </c>
      <c r="W135">
        <v>0</v>
      </c>
      <c r="Z135">
        <v>0</v>
      </c>
      <c r="AD135">
        <v>18</v>
      </c>
      <c r="AE135" s="44">
        <f t="shared" si="6"/>
        <v>0</v>
      </c>
      <c r="AF135" s="46">
        <v>208.2630581553295</v>
      </c>
      <c r="AG135" s="44">
        <v>0</v>
      </c>
      <c r="AH135" s="44">
        <v>0</v>
      </c>
      <c r="AJ135" s="40">
        <v>8.6429154356194082E-2</v>
      </c>
      <c r="AM135" s="23">
        <v>1.857142857142857</v>
      </c>
      <c r="AN135" s="23">
        <v>3</v>
      </c>
      <c r="AO135" s="23">
        <v>2</v>
      </c>
      <c r="AP135" s="23">
        <v>2</v>
      </c>
      <c r="AQ135" s="23">
        <v>0.20967741935483869</v>
      </c>
      <c r="AR135" s="23">
        <v>0.33870967741935482</v>
      </c>
      <c r="AS135" s="23">
        <v>0.22580645161290319</v>
      </c>
      <c r="AT135" s="23">
        <v>0.22580645161290319</v>
      </c>
      <c r="AU135" s="20">
        <v>1</v>
      </c>
      <c r="AV135" s="20">
        <v>3.44</v>
      </c>
      <c r="AW135" s="20">
        <v>2.44</v>
      </c>
      <c r="AX135" s="20">
        <v>2.8</v>
      </c>
      <c r="AY135">
        <v>2.8</v>
      </c>
      <c r="AZ135">
        <v>6.2020864082142868</v>
      </c>
      <c r="BA135" s="64">
        <v>0.47541563854575991</v>
      </c>
      <c r="BE135">
        <v>4.3214577178097048E-2</v>
      </c>
      <c r="BH135">
        <v>8.6429154356194082E-2</v>
      </c>
      <c r="BI135">
        <v>4.3214577178097048E-2</v>
      </c>
      <c r="BJ135">
        <v>0.47541563854575991</v>
      </c>
    </row>
    <row r="136" spans="1:68" x14ac:dyDescent="0.3">
      <c r="A136" t="s">
        <v>20</v>
      </c>
      <c r="B136" s="12" t="s">
        <v>706</v>
      </c>
      <c r="C136" s="12"/>
      <c r="F136">
        <v>3.43</v>
      </c>
      <c r="G136" t="s">
        <v>116</v>
      </c>
      <c r="H136" s="8" t="s">
        <v>539</v>
      </c>
      <c r="I136" t="s">
        <v>619</v>
      </c>
      <c r="L136" s="20">
        <v>2</v>
      </c>
      <c r="M136">
        <v>4</v>
      </c>
      <c r="N136">
        <v>0</v>
      </c>
      <c r="R136" t="s">
        <v>450</v>
      </c>
      <c r="T136" s="20">
        <v>13.01244535</v>
      </c>
      <c r="U136" s="20">
        <v>13.01244535</v>
      </c>
      <c r="V136" s="20">
        <v>5.6884839999999999</v>
      </c>
      <c r="W136">
        <v>5.5060000000000002</v>
      </c>
      <c r="X136">
        <v>5.5060000000000002</v>
      </c>
      <c r="Y136">
        <v>25</v>
      </c>
      <c r="Z136">
        <v>0</v>
      </c>
      <c r="AD136">
        <v>18</v>
      </c>
      <c r="AE136" s="44">
        <f t="shared" si="6"/>
        <v>0</v>
      </c>
      <c r="AF136" s="46">
        <v>408.08048566890238</v>
      </c>
      <c r="AG136" s="44">
        <v>757.90090000000009</v>
      </c>
      <c r="AH136" s="44">
        <v>0</v>
      </c>
      <c r="AJ136" s="40">
        <v>8.8217891480379992E-2</v>
      </c>
      <c r="AK136" s="41">
        <v>9.4999227471559922E-2</v>
      </c>
      <c r="AM136" s="23">
        <v>1.857142857142857</v>
      </c>
      <c r="AN136" s="23">
        <v>3</v>
      </c>
      <c r="AO136" s="23">
        <v>2</v>
      </c>
      <c r="AP136" s="23">
        <v>2</v>
      </c>
      <c r="AQ136" s="23">
        <v>0.20967741935483869</v>
      </c>
      <c r="AR136" s="23">
        <v>0.33870967741935482</v>
      </c>
      <c r="AS136" s="23">
        <v>0.22580645161290319</v>
      </c>
      <c r="AT136" s="23">
        <v>0.22580645161290319</v>
      </c>
      <c r="AU136" s="20">
        <v>0.95</v>
      </c>
      <c r="AV136" s="20">
        <v>3.44</v>
      </c>
      <c r="AW136" s="20">
        <v>2.4900000000000002</v>
      </c>
      <c r="AX136" s="20">
        <v>2.7964285714285722</v>
      </c>
      <c r="AY136">
        <v>2.7964285714285722</v>
      </c>
      <c r="AZ136">
        <v>6.1881302289285713</v>
      </c>
      <c r="BA136" s="64">
        <v>0.50205645606923555</v>
      </c>
      <c r="BB136" s="64">
        <v>0.54064968764634491</v>
      </c>
      <c r="BE136">
        <v>4.4108945740190003E-2</v>
      </c>
      <c r="BF136">
        <v>4.7499613735779961E-2</v>
      </c>
      <c r="BH136">
        <v>9.1608559475969964E-2</v>
      </c>
      <c r="BI136">
        <v>4.5804279737984982E-2</v>
      </c>
      <c r="BJ136">
        <v>0.52135307185779023</v>
      </c>
    </row>
    <row r="137" spans="1:68" x14ac:dyDescent="0.3">
      <c r="A137" t="s">
        <v>21</v>
      </c>
      <c r="B137" s="12" t="s">
        <v>707</v>
      </c>
      <c r="C137" s="12"/>
      <c r="F137">
        <v>3.3</v>
      </c>
      <c r="G137" t="s">
        <v>116</v>
      </c>
      <c r="H137" s="8" t="s">
        <v>540</v>
      </c>
      <c r="I137" t="s">
        <v>620</v>
      </c>
      <c r="L137" s="20">
        <v>2</v>
      </c>
      <c r="M137">
        <v>2</v>
      </c>
      <c r="N137">
        <v>0</v>
      </c>
      <c r="R137" t="s">
        <v>440</v>
      </c>
      <c r="T137" s="20">
        <v>13.052871550000001</v>
      </c>
      <c r="U137" s="20">
        <v>13.052871550000001</v>
      </c>
      <c r="V137" s="20">
        <v>5.7602650000000004</v>
      </c>
      <c r="W137">
        <v>3.9390000000000001</v>
      </c>
      <c r="X137">
        <v>3.9390000000000001</v>
      </c>
      <c r="Y137">
        <v>25.636399999999998</v>
      </c>
      <c r="Z137">
        <v>0</v>
      </c>
      <c r="AD137">
        <v>18</v>
      </c>
      <c r="AE137" s="44">
        <f t="shared" si="6"/>
        <v>0</v>
      </c>
      <c r="AF137" s="46">
        <v>419.87909289623292</v>
      </c>
      <c r="AG137" s="44">
        <v>397.76722984439999</v>
      </c>
      <c r="AH137" s="44">
        <v>0</v>
      </c>
      <c r="AJ137" s="40">
        <v>8.5738967738736363E-2</v>
      </c>
      <c r="AK137" s="41">
        <v>9.0505193235960166E-2</v>
      </c>
      <c r="AM137" s="23">
        <v>1.857142857142857</v>
      </c>
      <c r="AN137" s="23">
        <v>3</v>
      </c>
      <c r="AO137" s="23">
        <v>2</v>
      </c>
      <c r="AP137" s="23">
        <v>2</v>
      </c>
      <c r="AQ137" s="23">
        <v>0.20967741935483869</v>
      </c>
      <c r="AR137" s="23">
        <v>0.33870967741935482</v>
      </c>
      <c r="AS137" s="23">
        <v>0.22580645161290319</v>
      </c>
      <c r="AT137" s="23">
        <v>0.22580645161290319</v>
      </c>
      <c r="AU137" s="20">
        <v>0.89</v>
      </c>
      <c r="AV137" s="20">
        <v>3.44</v>
      </c>
      <c r="AW137" s="20">
        <v>2.5499999999999998</v>
      </c>
      <c r="AX137" s="20">
        <v>2.7921428571428568</v>
      </c>
      <c r="AY137">
        <v>2.7921428571428568</v>
      </c>
      <c r="AZ137">
        <v>6.1741786985714304</v>
      </c>
      <c r="BA137" s="64">
        <v>0.50806026761966716</v>
      </c>
      <c r="BB137" s="64">
        <v>0</v>
      </c>
      <c r="BE137">
        <v>4.2869483869368182E-2</v>
      </c>
      <c r="BF137">
        <v>4.5252596617980083E-2</v>
      </c>
      <c r="BH137">
        <v>8.8122080487348264E-2</v>
      </c>
      <c r="BI137">
        <v>4.4061040243674132E-2</v>
      </c>
      <c r="BJ137">
        <v>0.25403013380983358</v>
      </c>
    </row>
    <row r="138" spans="1:68" x14ac:dyDescent="0.3">
      <c r="A138" t="s">
        <v>17</v>
      </c>
      <c r="B138" s="12" t="s">
        <v>702</v>
      </c>
      <c r="C138" s="12"/>
      <c r="F138">
        <v>3.67</v>
      </c>
      <c r="G138" t="s">
        <v>117</v>
      </c>
      <c r="H138" s="8" t="s">
        <v>535</v>
      </c>
      <c r="I138" t="s">
        <v>616</v>
      </c>
      <c r="L138" s="20">
        <v>1</v>
      </c>
      <c r="M138">
        <v>4</v>
      </c>
      <c r="N138">
        <v>0</v>
      </c>
      <c r="O138">
        <v>5.4669999999999996</v>
      </c>
      <c r="P138">
        <v>5.4269999999999996</v>
      </c>
      <c r="Q138">
        <v>24.931000000000001</v>
      </c>
      <c r="R138" t="s">
        <v>450</v>
      </c>
      <c r="T138" s="20">
        <v>13.46934785</v>
      </c>
      <c r="U138" s="20">
        <v>13.46934785</v>
      </c>
      <c r="V138" s="20">
        <v>13.46934785</v>
      </c>
      <c r="W138">
        <v>5.4659000000000004</v>
      </c>
      <c r="X138">
        <v>5.4318</v>
      </c>
      <c r="Y138">
        <v>24.9619</v>
      </c>
      <c r="Z138">
        <v>0</v>
      </c>
      <c r="AD138">
        <v>18</v>
      </c>
      <c r="AE138" s="44">
        <f t="shared" si="6"/>
        <v>739.68803577899985</v>
      </c>
      <c r="AF138" s="46">
        <v>189.22149105491849</v>
      </c>
      <c r="AG138" s="44">
        <v>741.11071385887806</v>
      </c>
      <c r="AH138" s="44">
        <v>0</v>
      </c>
      <c r="AJ138" s="40">
        <v>9.5126615373598261E-2</v>
      </c>
      <c r="AK138" s="41">
        <v>9.7151476363233638E-2</v>
      </c>
      <c r="AM138" s="23">
        <v>2</v>
      </c>
      <c r="AN138" s="23">
        <v>3</v>
      </c>
      <c r="AO138" s="23">
        <v>1.857142857142857</v>
      </c>
      <c r="AP138" s="23">
        <v>4</v>
      </c>
      <c r="AQ138" s="23">
        <v>0.18421052631578949</v>
      </c>
      <c r="AR138" s="23">
        <v>0.27631578947368418</v>
      </c>
      <c r="AS138" s="23">
        <v>0.1710526315789474</v>
      </c>
      <c r="AT138" s="23">
        <v>0.36842105263157893</v>
      </c>
      <c r="AU138" s="20">
        <v>1</v>
      </c>
      <c r="AV138" s="20">
        <v>3.44</v>
      </c>
      <c r="AW138" s="20">
        <v>2.44</v>
      </c>
      <c r="AX138" s="20">
        <v>2.785714285714286</v>
      </c>
      <c r="AY138">
        <v>2.785714285714286</v>
      </c>
      <c r="AZ138">
        <v>6.216117408214286</v>
      </c>
      <c r="BA138" s="64">
        <v>0.52325723799350143</v>
      </c>
      <c r="BE138">
        <v>4.7563307686799138E-2</v>
      </c>
      <c r="BF138">
        <v>4.8575738181616819E-2</v>
      </c>
      <c r="BH138">
        <v>9.6139045868415957E-2</v>
      </c>
      <c r="BI138">
        <v>4.8069522934207978E-2</v>
      </c>
      <c r="BJ138">
        <v>0.52325723799350143</v>
      </c>
      <c r="BP138">
        <v>1.96</v>
      </c>
    </row>
    <row r="139" spans="1:68" x14ac:dyDescent="0.3">
      <c r="A139" t="s">
        <v>51</v>
      </c>
      <c r="B139" s="12" t="s">
        <v>703</v>
      </c>
      <c r="C139" s="12"/>
      <c r="F139">
        <v>3.64</v>
      </c>
      <c r="G139" t="s">
        <v>117</v>
      </c>
      <c r="H139" s="8" t="s">
        <v>536</v>
      </c>
      <c r="I139" t="s">
        <v>617</v>
      </c>
      <c r="L139" s="20">
        <v>1</v>
      </c>
      <c r="M139">
        <v>4</v>
      </c>
      <c r="N139">
        <v>0</v>
      </c>
      <c r="O139">
        <v>5.4729999999999999</v>
      </c>
      <c r="P139">
        <v>5.5270000000000001</v>
      </c>
      <c r="Q139">
        <v>25.030999999999999</v>
      </c>
      <c r="R139" t="s">
        <v>450</v>
      </c>
      <c r="T139" s="20">
        <v>12.88926011</v>
      </c>
      <c r="U139" s="20">
        <v>12.88926011</v>
      </c>
      <c r="V139" s="20">
        <v>12.88926011</v>
      </c>
      <c r="W139">
        <v>5.5223699999999996</v>
      </c>
      <c r="X139">
        <v>5.5240799999999997</v>
      </c>
      <c r="Y139">
        <v>25.026399999999999</v>
      </c>
      <c r="Z139">
        <v>0</v>
      </c>
      <c r="AD139">
        <v>18</v>
      </c>
      <c r="AE139" s="44">
        <f t="shared" si="6"/>
        <v>757.16950240099993</v>
      </c>
      <c r="AF139" s="46">
        <v>195.03203980213701</v>
      </c>
      <c r="AG139" s="44">
        <v>763.45570050087724</v>
      </c>
      <c r="AH139" s="44">
        <v>0</v>
      </c>
      <c r="AJ139" s="40">
        <v>9.2292528029042184E-2</v>
      </c>
      <c r="AK139" s="41">
        <v>9.4308025930991482E-2</v>
      </c>
      <c r="AM139" s="23">
        <v>2</v>
      </c>
      <c r="AN139" s="23">
        <v>3</v>
      </c>
      <c r="AO139" s="23">
        <v>1.857142857142857</v>
      </c>
      <c r="AP139" s="23">
        <v>4</v>
      </c>
      <c r="AQ139" s="23">
        <v>0.18421052631578949</v>
      </c>
      <c r="AR139" s="23">
        <v>0.27631578947368418</v>
      </c>
      <c r="AS139" s="23">
        <v>0.1710526315789474</v>
      </c>
      <c r="AT139" s="23">
        <v>0.36842105263157893</v>
      </c>
      <c r="AU139" s="20">
        <v>0.95</v>
      </c>
      <c r="AV139" s="20">
        <v>3.44</v>
      </c>
      <c r="AW139" s="20">
        <v>2.4900000000000002</v>
      </c>
      <c r="AX139" s="20">
        <v>2.782142857142857</v>
      </c>
      <c r="AY139">
        <v>2.7821428571428579</v>
      </c>
      <c r="AZ139">
        <v>6.2021612289285706</v>
      </c>
      <c r="BA139" s="64">
        <v>0.52524560229640982</v>
      </c>
      <c r="BB139" s="64">
        <v>0.53671599358424449</v>
      </c>
      <c r="BE139">
        <v>4.6146264014521092E-2</v>
      </c>
      <c r="BF139">
        <v>4.7154012965495741E-2</v>
      </c>
      <c r="BH139">
        <v>9.3300276980016833E-2</v>
      </c>
      <c r="BI139">
        <v>4.6650138490008423E-2</v>
      </c>
      <c r="BJ139">
        <v>0.53098079794032715</v>
      </c>
      <c r="BP139">
        <v>2.36</v>
      </c>
    </row>
    <row r="140" spans="1:68" x14ac:dyDescent="0.3">
      <c r="A140" t="s">
        <v>18</v>
      </c>
      <c r="B140" s="12" t="s">
        <v>704</v>
      </c>
      <c r="C140" s="12"/>
      <c r="F140">
        <v>3.52</v>
      </c>
      <c r="G140" t="s">
        <v>117</v>
      </c>
      <c r="H140" s="8" t="s">
        <v>537</v>
      </c>
      <c r="I140" t="s">
        <v>618</v>
      </c>
      <c r="L140" s="20">
        <v>1</v>
      </c>
      <c r="M140">
        <v>1</v>
      </c>
      <c r="N140">
        <v>0</v>
      </c>
      <c r="O140">
        <v>3.9540000000000002</v>
      </c>
      <c r="P140">
        <v>3.9540000000000002</v>
      </c>
      <c r="Q140">
        <v>25.486999999999998</v>
      </c>
      <c r="R140" t="s">
        <v>440</v>
      </c>
      <c r="T140" s="20">
        <v>12.939761450000001</v>
      </c>
      <c r="U140" s="20">
        <v>12.939761450000001</v>
      </c>
      <c r="V140" s="20">
        <v>12.939761450000001</v>
      </c>
      <c r="W140">
        <v>3.9355000000000002</v>
      </c>
      <c r="X140">
        <v>3.9355000000000002</v>
      </c>
      <c r="Y140">
        <v>25.5686</v>
      </c>
      <c r="Z140">
        <v>0</v>
      </c>
      <c r="AD140">
        <v>18</v>
      </c>
      <c r="AE140" s="44">
        <f t="shared" si="6"/>
        <v>398.46671449199999</v>
      </c>
      <c r="AF140" s="46">
        <v>198.96095988642259</v>
      </c>
      <c r="AG140" s="44">
        <v>396.01057416815007</v>
      </c>
      <c r="AH140" s="44">
        <v>0</v>
      </c>
      <c r="AJ140" s="40">
        <v>9.047000984653146E-2</v>
      </c>
      <c r="AK140" s="41">
        <v>4.5453331739462637E-2</v>
      </c>
      <c r="AM140" s="23">
        <v>2</v>
      </c>
      <c r="AN140" s="23">
        <v>3</v>
      </c>
      <c r="AO140" s="23">
        <v>1.857142857142857</v>
      </c>
      <c r="AP140" s="23">
        <v>4</v>
      </c>
      <c r="AQ140" s="23">
        <v>0.18421052631578949</v>
      </c>
      <c r="AR140" s="23">
        <v>0.27631578947368418</v>
      </c>
      <c r="AS140" s="23">
        <v>0.1710526315789474</v>
      </c>
      <c r="AT140" s="23">
        <v>0.36842105263157893</v>
      </c>
      <c r="AU140" s="20">
        <v>0.89</v>
      </c>
      <c r="AV140" s="20">
        <v>3.44</v>
      </c>
      <c r="AW140" s="20">
        <v>2.5499999999999998</v>
      </c>
      <c r="AX140" s="20">
        <v>2.777857142857143</v>
      </c>
      <c r="AY140">
        <v>2.777857142857143</v>
      </c>
      <c r="AZ140">
        <v>6.1882096985714297</v>
      </c>
      <c r="BA140" s="64">
        <v>0.53609483093200738</v>
      </c>
      <c r="BE140">
        <v>4.5235004923265723E-2</v>
      </c>
      <c r="BF140">
        <v>2.2726665869731318E-2</v>
      </c>
      <c r="BH140">
        <v>6.7961670792997045E-2</v>
      </c>
      <c r="BI140">
        <v>3.3980835396498522E-2</v>
      </c>
      <c r="BJ140">
        <v>0.53609483093200738</v>
      </c>
      <c r="BP140">
        <v>2.1800000000000002</v>
      </c>
    </row>
    <row r="141" spans="1:68" x14ac:dyDescent="0.3">
      <c r="A141" t="s">
        <v>118</v>
      </c>
      <c r="B141" s="16" t="s">
        <v>920</v>
      </c>
      <c r="C141" s="12"/>
      <c r="F141">
        <v>3.44</v>
      </c>
      <c r="G141" t="s">
        <v>122</v>
      </c>
      <c r="H141" s="8">
        <v>-1</v>
      </c>
      <c r="I141">
        <v>-1</v>
      </c>
      <c r="J141" t="s">
        <v>1218</v>
      </c>
      <c r="K141">
        <v>4</v>
      </c>
      <c r="L141" s="20">
        <v>0</v>
      </c>
      <c r="M141">
        <v>0</v>
      </c>
      <c r="N141">
        <v>4</v>
      </c>
      <c r="O141">
        <v>5.492</v>
      </c>
      <c r="P141">
        <v>5.5650000000000004</v>
      </c>
      <c r="Q141">
        <v>24.88</v>
      </c>
      <c r="R141" t="s">
        <v>1219</v>
      </c>
      <c r="S141" s="1"/>
      <c r="T141" s="20">
        <v>0</v>
      </c>
      <c r="U141" s="20"/>
      <c r="V141" s="20"/>
      <c r="W141">
        <v>0</v>
      </c>
      <c r="Z141">
        <v>0</v>
      </c>
      <c r="AD141">
        <v>18</v>
      </c>
      <c r="AE141" s="44">
        <f t="shared" si="6"/>
        <v>760.40694240000005</v>
      </c>
      <c r="AF141" s="46">
        <v>0</v>
      </c>
      <c r="AG141" s="44">
        <v>0</v>
      </c>
      <c r="AH141" s="44">
        <v>760.6</v>
      </c>
      <c r="AI141" s="41">
        <f>K141*AD141/AE141</f>
        <v>9.4686142360501407E-2</v>
      </c>
      <c r="AJ141" s="40"/>
      <c r="AL141" s="56">
        <f>N141*AD141/AH141</f>
        <v>9.466210886142519E-2</v>
      </c>
      <c r="AM141" s="23">
        <v>1.964285714285714</v>
      </c>
      <c r="AN141" s="23">
        <v>3</v>
      </c>
      <c r="AO141" s="23">
        <v>1.892857142857143</v>
      </c>
      <c r="AP141" s="23">
        <v>4</v>
      </c>
      <c r="AQ141" s="23">
        <v>0.1809210526315789</v>
      </c>
      <c r="AR141" s="23">
        <v>0.27631578947368418</v>
      </c>
      <c r="AS141" s="23">
        <v>0.17434210526315791</v>
      </c>
      <c r="AT141" s="23">
        <v>0.36842105263157893</v>
      </c>
      <c r="AU141" s="20">
        <v>0.82</v>
      </c>
      <c r="AV141" s="20">
        <v>3.44</v>
      </c>
      <c r="AW141" s="20">
        <v>2.62</v>
      </c>
      <c r="AX141" s="20">
        <v>2.7828571428571429</v>
      </c>
      <c r="AY141">
        <v>2.7828571428571429</v>
      </c>
      <c r="AZ141">
        <v>6.1929237675000008</v>
      </c>
      <c r="BC141" s="64">
        <v>0</v>
      </c>
      <c r="BD141">
        <v>4.7343071180250697E-2</v>
      </c>
      <c r="BG141">
        <v>4.7331054430712588E-2</v>
      </c>
      <c r="BH141">
        <v>9.4674125610963306E-2</v>
      </c>
      <c r="BI141">
        <v>4.7337062805481639E-2</v>
      </c>
      <c r="BJ141">
        <v>0</v>
      </c>
      <c r="BP141">
        <v>1.3</v>
      </c>
    </row>
    <row r="142" spans="1:68" x14ac:dyDescent="0.3">
      <c r="A142" t="s">
        <v>119</v>
      </c>
      <c r="B142" s="16" t="s">
        <v>921</v>
      </c>
      <c r="C142" s="12"/>
      <c r="F142">
        <v>3.22</v>
      </c>
      <c r="G142" t="s">
        <v>122</v>
      </c>
      <c r="H142" s="8">
        <v>-1</v>
      </c>
      <c r="I142">
        <v>-1</v>
      </c>
      <c r="K142">
        <v>4</v>
      </c>
      <c r="L142" s="20">
        <v>0</v>
      </c>
      <c r="M142">
        <v>0</v>
      </c>
      <c r="N142">
        <v>4</v>
      </c>
      <c r="O142">
        <v>5.5019999999999998</v>
      </c>
      <c r="P142">
        <v>5.5069999999999997</v>
      </c>
      <c r="Q142">
        <v>25.09</v>
      </c>
      <c r="R142" t="s">
        <v>1219</v>
      </c>
      <c r="S142" s="1"/>
      <c r="T142" s="20">
        <v>0</v>
      </c>
      <c r="U142" s="20"/>
      <c r="V142" s="20"/>
      <c r="W142">
        <v>0</v>
      </c>
      <c r="Z142">
        <v>0</v>
      </c>
      <c r="AD142">
        <v>18</v>
      </c>
      <c r="AE142" s="44">
        <f t="shared" si="6"/>
        <v>760.21480625999993</v>
      </c>
      <c r="AF142" s="46">
        <v>0</v>
      </c>
      <c r="AG142" s="44">
        <v>0</v>
      </c>
      <c r="AH142" s="44">
        <v>0</v>
      </c>
      <c r="AI142" s="41">
        <f>K142*AD142/AE142</f>
        <v>9.4710073267601405E-2</v>
      </c>
      <c r="AJ142" s="40"/>
      <c r="AM142" s="23">
        <v>1.821428571428571</v>
      </c>
      <c r="AN142" s="23">
        <v>3</v>
      </c>
      <c r="AO142" s="23">
        <v>2.035714285714286</v>
      </c>
      <c r="AP142" s="23">
        <v>2</v>
      </c>
      <c r="AQ142" s="23">
        <v>0.20564516129032259</v>
      </c>
      <c r="AR142" s="23">
        <v>0.33870967741935482</v>
      </c>
      <c r="AS142" s="23">
        <v>0.22983870967741929</v>
      </c>
      <c r="AT142" s="23">
        <v>0.22580645161290319</v>
      </c>
      <c r="AU142" s="20">
        <v>0.82</v>
      </c>
      <c r="AV142" s="20">
        <v>3.44</v>
      </c>
      <c r="AW142" s="20">
        <v>2.62</v>
      </c>
      <c r="AX142" s="20">
        <v>2.7971428571428572</v>
      </c>
      <c r="AY142">
        <v>2.7971428571428572</v>
      </c>
      <c r="AZ142">
        <v>6.1788927675000007</v>
      </c>
      <c r="BD142">
        <v>4.7355036633800703E-2</v>
      </c>
      <c r="BG142" t="s">
        <v>459</v>
      </c>
      <c r="BH142">
        <v>9.4710073267601405E-2</v>
      </c>
      <c r="BI142" t="s">
        <v>459</v>
      </c>
      <c r="BJ142">
        <v>0</v>
      </c>
      <c r="BP142">
        <v>3.2</v>
      </c>
    </row>
    <row r="143" spans="1:68" x14ac:dyDescent="0.3">
      <c r="A143" t="s">
        <v>120</v>
      </c>
      <c r="B143" s="16" t="s">
        <v>922</v>
      </c>
      <c r="C143" s="12"/>
      <c r="F143">
        <v>4</v>
      </c>
      <c r="G143" t="s">
        <v>122</v>
      </c>
      <c r="H143" s="8">
        <v>-1</v>
      </c>
      <c r="I143">
        <v>-1</v>
      </c>
      <c r="K143">
        <v>1</v>
      </c>
      <c r="L143" s="20">
        <v>0</v>
      </c>
      <c r="M143">
        <v>0</v>
      </c>
      <c r="N143">
        <v>0</v>
      </c>
      <c r="O143">
        <v>3.9060000000000001</v>
      </c>
      <c r="P143">
        <v>3.9060000000000001</v>
      </c>
      <c r="Q143">
        <v>9.8840000000000003</v>
      </c>
      <c r="T143" s="20">
        <v>0</v>
      </c>
      <c r="U143" s="20"/>
      <c r="V143" s="20"/>
      <c r="W143">
        <v>0</v>
      </c>
      <c r="Z143">
        <v>0</v>
      </c>
      <c r="AD143">
        <v>14</v>
      </c>
      <c r="AE143" s="44">
        <f t="shared" si="6"/>
        <v>150.79856702400002</v>
      </c>
      <c r="AF143" s="46">
        <v>0</v>
      </c>
      <c r="AG143" s="44">
        <v>0</v>
      </c>
      <c r="AH143" s="44">
        <v>0</v>
      </c>
      <c r="AI143" s="41">
        <f>K143*AD143/AE143</f>
        <v>9.2839078489199839E-2</v>
      </c>
      <c r="AJ143" s="40"/>
      <c r="AM143" s="23">
        <v>1.8135593220338979</v>
      </c>
      <c r="AN143" s="23">
        <v>2.398305084745763</v>
      </c>
      <c r="AO143" s="23">
        <v>0.63559322033898302</v>
      </c>
      <c r="AP143" s="23">
        <v>2.4915254237288131</v>
      </c>
      <c r="AQ143" s="23">
        <v>0.24711316397228639</v>
      </c>
      <c r="AR143" s="23">
        <v>0.32678983833718239</v>
      </c>
      <c r="AS143" s="23">
        <v>8.6605080831408776E-2</v>
      </c>
      <c r="AT143" s="23">
        <v>0.33949191685912239</v>
      </c>
      <c r="AU143" s="20">
        <v>0.82</v>
      </c>
      <c r="AV143" s="20">
        <v>3.44</v>
      </c>
      <c r="AW143" s="20">
        <v>2.62</v>
      </c>
      <c r="AX143" s="20">
        <v>2.733728813559321</v>
      </c>
      <c r="AY143">
        <v>2.7337288135593218</v>
      </c>
      <c r="AZ143">
        <v>6.5217336360353304</v>
      </c>
      <c r="BD143">
        <v>4.6419539244599919E-2</v>
      </c>
      <c r="BH143">
        <v>9.2839078489199839E-2</v>
      </c>
      <c r="BI143">
        <v>4.6419539244599919E-2</v>
      </c>
      <c r="BJ143">
        <v>0</v>
      </c>
      <c r="BP143">
        <v>3.5</v>
      </c>
    </row>
    <row r="144" spans="1:68" x14ac:dyDescent="0.3">
      <c r="A144" t="s">
        <v>121</v>
      </c>
      <c r="B144" s="16" t="s">
        <v>923</v>
      </c>
      <c r="C144" s="12"/>
      <c r="F144">
        <v>3.49</v>
      </c>
      <c r="G144" t="s">
        <v>122</v>
      </c>
      <c r="H144" s="8">
        <v>-1</v>
      </c>
      <c r="I144">
        <v>-1</v>
      </c>
      <c r="K144">
        <v>1</v>
      </c>
      <c r="L144" s="20">
        <v>0</v>
      </c>
      <c r="M144">
        <v>0</v>
      </c>
      <c r="N144">
        <v>0</v>
      </c>
      <c r="O144">
        <v>3.903</v>
      </c>
      <c r="P144">
        <v>3.903</v>
      </c>
      <c r="Q144">
        <v>10.050000000000001</v>
      </c>
      <c r="T144" s="20">
        <v>0</v>
      </c>
      <c r="U144" s="20"/>
      <c r="V144" s="20"/>
      <c r="W144">
        <v>0</v>
      </c>
      <c r="Z144">
        <v>0</v>
      </c>
      <c r="AD144">
        <v>13</v>
      </c>
      <c r="AE144" s="44">
        <f t="shared" si="6"/>
        <v>153.09576045</v>
      </c>
      <c r="AF144" s="46">
        <v>0</v>
      </c>
      <c r="AG144" s="44">
        <v>0</v>
      </c>
      <c r="AH144" s="44">
        <v>0</v>
      </c>
      <c r="AI144" s="41">
        <f>K144*AD144/AE144</f>
        <v>8.4914173728838874E-2</v>
      </c>
      <c r="AJ144" s="40"/>
      <c r="AM144" s="23">
        <v>1.6448598130841121</v>
      </c>
      <c r="AN144" s="23">
        <v>2.457943925233645</v>
      </c>
      <c r="AO144" s="23">
        <v>0.86915887850467299</v>
      </c>
      <c r="AP144" s="23">
        <v>0.13084112149532709</v>
      </c>
      <c r="AQ144" s="23">
        <v>0.32234432234432231</v>
      </c>
      <c r="AR144" s="23">
        <v>0.48168498168498158</v>
      </c>
      <c r="AS144" s="23">
        <v>0.17032967032967031</v>
      </c>
      <c r="AT144" s="23">
        <v>2.564102564102564E-2</v>
      </c>
      <c r="AU144" s="20">
        <v>0.82</v>
      </c>
      <c r="AV144" s="20">
        <v>3.44</v>
      </c>
      <c r="AW144" s="20">
        <v>2.62</v>
      </c>
      <c r="AX144" s="20">
        <v>2.7828037383177571</v>
      </c>
      <c r="AY144">
        <v>2.782803738317758</v>
      </c>
      <c r="AZ144">
        <v>6.5403483343235136</v>
      </c>
      <c r="BD144">
        <v>4.2457086864419437E-2</v>
      </c>
      <c r="BH144">
        <v>8.4914173728838874E-2</v>
      </c>
      <c r="BI144">
        <v>4.2457086864419437E-2</v>
      </c>
      <c r="BJ144">
        <v>0</v>
      </c>
      <c r="BP144">
        <v>7.3</v>
      </c>
    </row>
    <row r="145" spans="1:68" x14ac:dyDescent="0.3">
      <c r="A145" t="s">
        <v>1185</v>
      </c>
      <c r="B145" s="37" t="s">
        <v>1186</v>
      </c>
      <c r="C145" s="12"/>
      <c r="F145">
        <v>4</v>
      </c>
      <c r="G145" t="s">
        <v>122</v>
      </c>
      <c r="H145" s="8" t="s">
        <v>1188</v>
      </c>
      <c r="I145">
        <v>-1</v>
      </c>
      <c r="J145" t="s">
        <v>1187</v>
      </c>
      <c r="L145" s="20">
        <v>0</v>
      </c>
      <c r="M145">
        <v>0</v>
      </c>
      <c r="N145">
        <v>2</v>
      </c>
      <c r="T145" s="20">
        <v>0</v>
      </c>
      <c r="U145" s="20"/>
      <c r="V145" s="20"/>
      <c r="W145">
        <v>0</v>
      </c>
      <c r="Z145">
        <v>12.5602</v>
      </c>
      <c r="AA145">
        <v>12.5602</v>
      </c>
      <c r="AB145">
        <v>3.9214000000000002</v>
      </c>
      <c r="AD145">
        <v>34</v>
      </c>
      <c r="AE145" s="44">
        <f t="shared" si="6"/>
        <v>0</v>
      </c>
      <c r="AF145" s="46">
        <v>0</v>
      </c>
      <c r="AG145" s="44">
        <v>0</v>
      </c>
      <c r="AH145" s="44">
        <v>618.63466831045605</v>
      </c>
      <c r="AJ145" s="40"/>
      <c r="AL145" s="41">
        <v>0.10991947830165059</v>
      </c>
      <c r="AM145" s="23">
        <v>1.92</v>
      </c>
      <c r="AN145" s="23">
        <v>2.72</v>
      </c>
      <c r="AO145" s="23">
        <v>0.64</v>
      </c>
      <c r="AP145" s="23">
        <v>2.8</v>
      </c>
      <c r="AQ145" s="23">
        <v>0.23762376237623761</v>
      </c>
      <c r="AR145" s="23">
        <v>0.33663366336633671</v>
      </c>
      <c r="AS145" s="23">
        <v>7.9207920792079209E-2</v>
      </c>
      <c r="AT145" s="23">
        <v>0.34653465346534651</v>
      </c>
      <c r="AU145" s="20">
        <v>0.82</v>
      </c>
      <c r="AV145" s="20">
        <v>3.44</v>
      </c>
      <c r="AW145" s="20">
        <v>2.62</v>
      </c>
      <c r="AX145" s="20">
        <v>2.7488000000000001</v>
      </c>
      <c r="AY145">
        <v>2.7488000000000001</v>
      </c>
      <c r="AZ145">
        <v>6.2305574404000001</v>
      </c>
      <c r="BC145" s="64">
        <v>0.5553845310307659</v>
      </c>
      <c r="BG145">
        <v>4.8493887486022333E-2</v>
      </c>
      <c r="BH145">
        <v>0.10991947830165059</v>
      </c>
      <c r="BI145">
        <v>4.8493887486022333E-2</v>
      </c>
      <c r="BJ145">
        <v>0.5553845310307659</v>
      </c>
      <c r="BP145">
        <v>2.1</v>
      </c>
    </row>
    <row r="146" spans="1:68" x14ac:dyDescent="0.3">
      <c r="A146" s="4" t="s">
        <v>123</v>
      </c>
      <c r="B146" s="16" t="s">
        <v>924</v>
      </c>
      <c r="C146" s="12"/>
      <c r="D146" s="4"/>
      <c r="E146" s="4"/>
      <c r="F146" s="4">
        <v>3.7</v>
      </c>
      <c r="G146" s="4" t="s">
        <v>122</v>
      </c>
      <c r="H146" s="30">
        <v>-2</v>
      </c>
      <c r="I146">
        <v>-1</v>
      </c>
      <c r="K146" s="4"/>
      <c r="L146" s="20">
        <v>0</v>
      </c>
      <c r="M146">
        <v>0</v>
      </c>
      <c r="N146">
        <v>0</v>
      </c>
      <c r="T146" s="20">
        <v>0</v>
      </c>
      <c r="U146" s="20"/>
      <c r="V146" s="20"/>
      <c r="W146">
        <v>0</v>
      </c>
      <c r="Z146">
        <v>0</v>
      </c>
      <c r="AD146">
        <v>14</v>
      </c>
      <c r="AE146" s="44">
        <f t="shared" si="6"/>
        <v>0</v>
      </c>
      <c r="AF146" s="46">
        <v>0</v>
      </c>
      <c r="AG146" s="44">
        <v>0</v>
      </c>
      <c r="AH146" s="44">
        <v>0</v>
      </c>
      <c r="AJ146" s="40"/>
      <c r="AM146" s="23">
        <v>1.847457627118644</v>
      </c>
      <c r="AN146" s="23">
        <v>2.4237288135593218</v>
      </c>
      <c r="AO146" s="23">
        <v>0.67796610169491522</v>
      </c>
      <c r="AP146" s="23">
        <v>2.610169491525423</v>
      </c>
      <c r="AQ146" s="23">
        <v>0.2443946188340807</v>
      </c>
      <c r="AR146" s="23">
        <v>0.32062780269058289</v>
      </c>
      <c r="AS146" s="23">
        <v>8.9686098654708529E-2</v>
      </c>
      <c r="AT146" s="23">
        <v>0.3452914798206278</v>
      </c>
      <c r="AU146" s="20">
        <v>1</v>
      </c>
      <c r="AV146" s="20">
        <v>3.44</v>
      </c>
      <c r="AW146" s="20">
        <v>2.44</v>
      </c>
      <c r="AX146" s="20">
        <v>2.732542372881356</v>
      </c>
      <c r="AY146">
        <v>2.732542372881356</v>
      </c>
      <c r="AZ146">
        <v>6.5123179483671016</v>
      </c>
      <c r="BH146">
        <v>0</v>
      </c>
      <c r="BI146">
        <v>0</v>
      </c>
      <c r="BJ146">
        <v>0</v>
      </c>
    </row>
    <row r="147" spans="1:68" x14ac:dyDescent="0.3">
      <c r="A147" s="4" t="s">
        <v>124</v>
      </c>
      <c r="B147" s="16" t="s">
        <v>925</v>
      </c>
      <c r="C147" s="12"/>
      <c r="D147" s="4"/>
      <c r="E147" s="4"/>
      <c r="F147" s="4">
        <v>3.9</v>
      </c>
      <c r="G147" s="4" t="s">
        <v>122</v>
      </c>
      <c r="H147" s="30">
        <v>-2</v>
      </c>
      <c r="I147">
        <v>-1</v>
      </c>
      <c r="K147" s="4"/>
      <c r="L147" s="20">
        <v>0</v>
      </c>
      <c r="M147">
        <v>0</v>
      </c>
      <c r="N147">
        <v>0</v>
      </c>
      <c r="T147" s="20">
        <v>0</v>
      </c>
      <c r="U147" s="20"/>
      <c r="V147" s="20"/>
      <c r="W147">
        <v>0</v>
      </c>
      <c r="Z147">
        <v>0</v>
      </c>
      <c r="AD147">
        <v>14</v>
      </c>
      <c r="AE147" s="44">
        <f t="shared" si="6"/>
        <v>0</v>
      </c>
      <c r="AF147" s="46">
        <v>0</v>
      </c>
      <c r="AG147" s="44">
        <v>0</v>
      </c>
      <c r="AH147" s="44">
        <v>0</v>
      </c>
      <c r="AJ147" s="40"/>
      <c r="AM147" s="23">
        <v>1.85</v>
      </c>
      <c r="AN147" s="23">
        <v>2.3833333333333329</v>
      </c>
      <c r="AO147" s="23">
        <v>0.66666666666666663</v>
      </c>
      <c r="AP147" s="23">
        <v>2.5666666666666669</v>
      </c>
      <c r="AQ147" s="23">
        <v>0.24776785714285721</v>
      </c>
      <c r="AR147" s="23">
        <v>0.3191964285714286</v>
      </c>
      <c r="AS147" s="23">
        <v>8.9285714285714288E-2</v>
      </c>
      <c r="AT147" s="23">
        <v>0.34375000000000011</v>
      </c>
      <c r="AU147" s="20">
        <v>0.95</v>
      </c>
      <c r="AV147" s="20">
        <v>3.44</v>
      </c>
      <c r="AW147" s="20">
        <v>2.4900000000000002</v>
      </c>
      <c r="AX147" s="20">
        <v>2.6995</v>
      </c>
      <c r="AY147">
        <v>2.6995</v>
      </c>
      <c r="AZ147">
        <v>6.4386446606443171</v>
      </c>
      <c r="BH147">
        <v>0</v>
      </c>
      <c r="BI147">
        <v>0</v>
      </c>
      <c r="BJ147">
        <v>0</v>
      </c>
    </row>
    <row r="148" spans="1:68" x14ac:dyDescent="0.3">
      <c r="A148" s="4" t="s">
        <v>125</v>
      </c>
      <c r="B148" s="16" t="s">
        <v>926</v>
      </c>
      <c r="C148" s="12"/>
      <c r="D148" s="4"/>
      <c r="E148" s="4"/>
      <c r="F148" s="4">
        <v>4</v>
      </c>
      <c r="G148" s="4" t="s">
        <v>122</v>
      </c>
      <c r="H148" s="30">
        <v>-2</v>
      </c>
      <c r="I148">
        <v>-1</v>
      </c>
      <c r="K148" s="4"/>
      <c r="L148" s="20">
        <v>0</v>
      </c>
      <c r="M148">
        <v>0</v>
      </c>
      <c r="N148">
        <v>0</v>
      </c>
      <c r="T148" s="20">
        <v>0</v>
      </c>
      <c r="U148" s="20"/>
      <c r="V148" s="20"/>
      <c r="W148">
        <v>0</v>
      </c>
      <c r="Z148">
        <v>0</v>
      </c>
      <c r="AD148">
        <v>14</v>
      </c>
      <c r="AE148" s="44">
        <f t="shared" si="6"/>
        <v>0</v>
      </c>
      <c r="AF148" s="46">
        <v>0</v>
      </c>
      <c r="AG148" s="44">
        <v>0</v>
      </c>
      <c r="AH148" s="44">
        <v>0</v>
      </c>
      <c r="AJ148" s="40"/>
      <c r="AM148" s="23">
        <v>1.8389830508474569</v>
      </c>
      <c r="AN148" s="23">
        <v>2.398305084745763</v>
      </c>
      <c r="AO148" s="23">
        <v>0.59322033898305082</v>
      </c>
      <c r="AP148" s="23">
        <v>2.4915254237288131</v>
      </c>
      <c r="AQ148" s="23">
        <v>0.25115740740740738</v>
      </c>
      <c r="AR148" s="23">
        <v>0.32754629629629628</v>
      </c>
      <c r="AS148" s="23">
        <v>8.1018518518518517E-2</v>
      </c>
      <c r="AT148" s="23">
        <v>0.34027777777777768</v>
      </c>
      <c r="AU148" s="20">
        <v>0.89</v>
      </c>
      <c r="AV148" s="20">
        <v>3.44</v>
      </c>
      <c r="AW148" s="20">
        <v>2.5499999999999998</v>
      </c>
      <c r="AX148" s="20">
        <v>2.7266101694915248</v>
      </c>
      <c r="AY148">
        <v>2.7266101694915261</v>
      </c>
      <c r="AZ148">
        <v>6.5117833191709238</v>
      </c>
      <c r="BH148">
        <v>0</v>
      </c>
      <c r="BI148">
        <v>0</v>
      </c>
      <c r="BJ148">
        <v>0</v>
      </c>
    </row>
    <row r="149" spans="1:68" x14ac:dyDescent="0.3">
      <c r="A149" s="4" t="s">
        <v>120</v>
      </c>
      <c r="B149" s="16" t="s">
        <v>927</v>
      </c>
      <c r="C149" s="12"/>
      <c r="D149" s="4"/>
      <c r="E149" s="4"/>
      <c r="F149" s="4">
        <v>4.3</v>
      </c>
      <c r="G149" s="4" t="s">
        <v>122</v>
      </c>
      <c r="H149" s="30">
        <v>-2</v>
      </c>
      <c r="I149">
        <v>-1</v>
      </c>
      <c r="K149" s="4"/>
      <c r="L149" s="20">
        <v>0</v>
      </c>
      <c r="M149">
        <v>0</v>
      </c>
      <c r="N149">
        <v>0</v>
      </c>
      <c r="T149" s="20">
        <v>0</v>
      </c>
      <c r="U149" s="20"/>
      <c r="V149" s="20"/>
      <c r="W149">
        <v>0</v>
      </c>
      <c r="Z149">
        <v>0</v>
      </c>
      <c r="AD149">
        <v>14</v>
      </c>
      <c r="AE149" s="44">
        <f t="shared" si="6"/>
        <v>0</v>
      </c>
      <c r="AF149" s="46">
        <v>0</v>
      </c>
      <c r="AG149" s="44">
        <v>0</v>
      </c>
      <c r="AH149" s="44">
        <v>0</v>
      </c>
      <c r="AJ149" s="40"/>
      <c r="AM149" s="23">
        <v>1.8135593220338979</v>
      </c>
      <c r="AN149" s="23">
        <v>2.398305084745763</v>
      </c>
      <c r="AO149" s="23">
        <v>0.63559322033898302</v>
      </c>
      <c r="AP149" s="23">
        <v>2.4915254237288131</v>
      </c>
      <c r="AQ149" s="23">
        <v>0.24711316397228639</v>
      </c>
      <c r="AR149" s="23">
        <v>0.32678983833718239</v>
      </c>
      <c r="AS149" s="23">
        <v>8.6605080831408776E-2</v>
      </c>
      <c r="AT149" s="23">
        <v>0.33949191685912239</v>
      </c>
      <c r="AU149" s="20">
        <v>0.82</v>
      </c>
      <c r="AV149" s="20">
        <v>3.44</v>
      </c>
      <c r="AW149" s="20">
        <v>2.62</v>
      </c>
      <c r="AX149" s="20">
        <v>2.733728813559321</v>
      </c>
      <c r="AY149">
        <v>2.7337288135593218</v>
      </c>
      <c r="AZ149">
        <v>6.5217336360353304</v>
      </c>
      <c r="BH149">
        <v>0</v>
      </c>
      <c r="BI149">
        <v>0</v>
      </c>
      <c r="BJ149">
        <v>0</v>
      </c>
    </row>
    <row r="150" spans="1:68" x14ac:dyDescent="0.3">
      <c r="A150" t="s">
        <v>127</v>
      </c>
      <c r="B150" s="12" t="s">
        <v>754</v>
      </c>
      <c r="C150" s="12"/>
      <c r="F150">
        <v>2.39</v>
      </c>
      <c r="G150" t="s">
        <v>126</v>
      </c>
      <c r="H150" s="8">
        <v>-1</v>
      </c>
      <c r="I150">
        <v>-1</v>
      </c>
      <c r="L150" s="20">
        <v>0</v>
      </c>
      <c r="M150">
        <v>0</v>
      </c>
      <c r="N150">
        <v>0</v>
      </c>
      <c r="O150">
        <v>5.4930000000000003</v>
      </c>
      <c r="P150">
        <v>5.4930000000000003</v>
      </c>
      <c r="Q150">
        <v>28.75</v>
      </c>
      <c r="S150">
        <f>Q150/2</f>
        <v>14.375</v>
      </c>
      <c r="T150" s="20">
        <v>0</v>
      </c>
      <c r="U150" s="20"/>
      <c r="V150" s="20"/>
      <c r="W150">
        <v>0</v>
      </c>
      <c r="Z150">
        <v>0</v>
      </c>
      <c r="AD150">
        <v>2</v>
      </c>
      <c r="AE150" s="44">
        <f t="shared" si="6"/>
        <v>867.47515875000011</v>
      </c>
      <c r="AF150" s="46">
        <v>0</v>
      </c>
      <c r="AG150" s="44">
        <v>0</v>
      </c>
      <c r="AH150" s="44">
        <v>0</v>
      </c>
      <c r="AJ150" s="40"/>
      <c r="AM150" s="23">
        <v>1.428571428571429</v>
      </c>
      <c r="AN150" s="23">
        <v>1.5</v>
      </c>
      <c r="AO150" s="23">
        <v>5.1428571428571432</v>
      </c>
      <c r="AP150" s="23">
        <v>4</v>
      </c>
      <c r="AQ150" s="23">
        <v>0.1183431952662722</v>
      </c>
      <c r="AR150" s="23">
        <v>0.1242603550295858</v>
      </c>
      <c r="AS150" s="23">
        <v>0.42603550295857989</v>
      </c>
      <c r="AT150" s="23">
        <v>0.33136094674556221</v>
      </c>
      <c r="AU150" s="20">
        <v>1.6</v>
      </c>
      <c r="AV150" s="20">
        <v>3.44</v>
      </c>
      <c r="AW150" s="20">
        <v>1.84</v>
      </c>
      <c r="AX150" s="20">
        <v>1.9628571428571431</v>
      </c>
      <c r="AY150">
        <v>1.9628571428571431</v>
      </c>
      <c r="AZ150">
        <v>4.4993245392857144</v>
      </c>
      <c r="BH150">
        <v>0</v>
      </c>
      <c r="BI150">
        <v>0</v>
      </c>
      <c r="BJ150">
        <v>0</v>
      </c>
    </row>
    <row r="151" spans="1:68" x14ac:dyDescent="0.3">
      <c r="A151" t="s">
        <v>128</v>
      </c>
      <c r="B151" s="12" t="s">
        <v>755</v>
      </c>
      <c r="C151" s="12"/>
      <c r="F151">
        <v>3.42</v>
      </c>
      <c r="G151" t="s">
        <v>126</v>
      </c>
      <c r="H151" s="8" t="s">
        <v>571</v>
      </c>
      <c r="I151" t="s">
        <v>649</v>
      </c>
      <c r="L151" s="20">
        <v>2</v>
      </c>
      <c r="M151">
        <v>2</v>
      </c>
      <c r="N151">
        <v>0</v>
      </c>
      <c r="T151" s="20">
        <v>3.8933966999999998</v>
      </c>
      <c r="U151" s="20">
        <v>3.8933966999999998</v>
      </c>
      <c r="V151" s="20">
        <v>7.4931887499999998</v>
      </c>
      <c r="W151">
        <v>3.89</v>
      </c>
      <c r="X151">
        <v>3.89</v>
      </c>
      <c r="Y151">
        <v>7.37</v>
      </c>
      <c r="Z151">
        <v>0</v>
      </c>
      <c r="AD151">
        <v>2</v>
      </c>
      <c r="AE151" s="44">
        <f t="shared" si="6"/>
        <v>0</v>
      </c>
      <c r="AF151" s="46">
        <v>113.5857853857584</v>
      </c>
      <c r="AG151" s="44">
        <v>111.523577</v>
      </c>
      <c r="AH151" s="44">
        <v>0</v>
      </c>
      <c r="AJ151" s="40">
        <v>3.5215674095268677E-2</v>
      </c>
      <c r="AK151" s="41">
        <v>3.5866855310783291E-2</v>
      </c>
      <c r="AM151" s="23">
        <v>2</v>
      </c>
      <c r="AN151" s="23">
        <v>4</v>
      </c>
      <c r="AO151" s="23">
        <v>3.333333333333333</v>
      </c>
      <c r="AP151" s="23">
        <v>4.666666666666667</v>
      </c>
      <c r="AQ151" s="23">
        <v>0.14285714285714279</v>
      </c>
      <c r="AR151" s="23">
        <v>0.2857142857142857</v>
      </c>
      <c r="AS151" s="23">
        <v>0.23809523809523811</v>
      </c>
      <c r="AT151" s="23">
        <v>0.33333333333333343</v>
      </c>
      <c r="AU151" s="20">
        <v>2.02</v>
      </c>
      <c r="AV151" s="20">
        <v>3.44</v>
      </c>
      <c r="AW151" s="20">
        <v>1.42</v>
      </c>
      <c r="AX151" s="20">
        <v>2.8733333333333331</v>
      </c>
      <c r="AY151">
        <v>2.8733333333333331</v>
      </c>
      <c r="AZ151">
        <v>6.6478994516666674</v>
      </c>
      <c r="BA151" s="64">
        <v>0.60918030397914924</v>
      </c>
      <c r="BB151" s="64">
        <v>0.6204447985828746</v>
      </c>
      <c r="BE151">
        <v>1.7607837047634339E-2</v>
      </c>
      <c r="BF151">
        <v>1.7933427655391649E-2</v>
      </c>
      <c r="BH151">
        <v>3.5541264703025988E-2</v>
      </c>
      <c r="BI151">
        <v>1.777063235151299E-2</v>
      </c>
      <c r="BJ151">
        <v>0.61481255128101187</v>
      </c>
    </row>
    <row r="152" spans="1:68" x14ac:dyDescent="0.3">
      <c r="A152" t="s">
        <v>129</v>
      </c>
      <c r="B152" s="12" t="s">
        <v>756</v>
      </c>
      <c r="C152" s="12"/>
      <c r="F152">
        <v>2.39</v>
      </c>
      <c r="G152" t="s">
        <v>133</v>
      </c>
      <c r="H152" s="8" t="s">
        <v>572</v>
      </c>
      <c r="I152" t="s">
        <v>650</v>
      </c>
      <c r="L152" s="20">
        <v>4</v>
      </c>
      <c r="M152">
        <v>4</v>
      </c>
      <c r="N152">
        <v>0</v>
      </c>
      <c r="T152" s="20">
        <v>5.5026178200000002</v>
      </c>
      <c r="U152" s="20">
        <v>5.5582516699999998</v>
      </c>
      <c r="V152" s="20">
        <v>28.882220520000001</v>
      </c>
      <c r="W152">
        <v>5.4930000000000003</v>
      </c>
      <c r="X152">
        <v>5.4960000000000004</v>
      </c>
      <c r="Y152">
        <v>28.75</v>
      </c>
      <c r="Z152">
        <v>0</v>
      </c>
      <c r="AD152">
        <v>16</v>
      </c>
      <c r="AE152" s="44">
        <f t="shared" si="6"/>
        <v>0</v>
      </c>
      <c r="AF152" s="46">
        <v>883.36082823090169</v>
      </c>
      <c r="AG152" s="44">
        <v>867.94893000000013</v>
      </c>
      <c r="AH152" s="44">
        <v>0</v>
      </c>
      <c r="AJ152" s="40">
        <v>7.2450575070407169E-2</v>
      </c>
      <c r="AK152" s="41">
        <v>7.3737057317416116E-2</v>
      </c>
      <c r="AM152" s="23">
        <v>1.928571428571429</v>
      </c>
      <c r="AN152" s="23">
        <v>3.5</v>
      </c>
      <c r="AO152" s="23">
        <v>3.1428571428571428</v>
      </c>
      <c r="AP152" s="23">
        <v>4</v>
      </c>
      <c r="AQ152" s="23">
        <v>0.15340909090909091</v>
      </c>
      <c r="AR152" s="23">
        <v>0.27840909090909088</v>
      </c>
      <c r="AS152" s="23">
        <v>0.25</v>
      </c>
      <c r="AT152" s="23">
        <v>0.31818181818181818</v>
      </c>
      <c r="AU152" s="20">
        <v>1.6</v>
      </c>
      <c r="AV152" s="20">
        <v>3.44</v>
      </c>
      <c r="AW152" s="20">
        <v>1.84</v>
      </c>
      <c r="AX152" s="20">
        <v>2.882857142857143</v>
      </c>
      <c r="AY152">
        <v>2.882857142857143</v>
      </c>
      <c r="AZ152">
        <v>6.350050364285714</v>
      </c>
      <c r="BA152" s="64">
        <v>0.52239337321040458</v>
      </c>
      <c r="BB152" s="64">
        <v>0.53166934928012111</v>
      </c>
      <c r="BE152">
        <v>3.6225287535203578E-2</v>
      </c>
      <c r="BF152">
        <v>3.6868528658708058E-2</v>
      </c>
      <c r="BH152">
        <v>7.3093816193911643E-2</v>
      </c>
      <c r="BI152">
        <v>3.6546908096955821E-2</v>
      </c>
      <c r="BJ152">
        <v>0.52703136124526284</v>
      </c>
    </row>
    <row r="153" spans="1:68" x14ac:dyDescent="0.3">
      <c r="A153" t="s">
        <v>130</v>
      </c>
      <c r="B153" s="12" t="s">
        <v>757</v>
      </c>
      <c r="C153" s="12"/>
      <c r="F153">
        <v>2.2200000000000002</v>
      </c>
      <c r="G153" t="s">
        <v>133</v>
      </c>
      <c r="H153" s="8" t="s">
        <v>573</v>
      </c>
      <c r="I153">
        <v>-1</v>
      </c>
      <c r="L153" s="20">
        <v>4</v>
      </c>
      <c r="M153">
        <v>0</v>
      </c>
      <c r="N153">
        <v>0</v>
      </c>
      <c r="T153" s="20">
        <v>5.5809040000000003</v>
      </c>
      <c r="U153" s="20">
        <v>5.6539380000000001</v>
      </c>
      <c r="V153" s="20">
        <v>29.812771999999999</v>
      </c>
      <c r="W153">
        <v>0</v>
      </c>
      <c r="Z153">
        <v>0</v>
      </c>
      <c r="AD153">
        <v>16</v>
      </c>
      <c r="AE153" s="44">
        <f t="shared" si="6"/>
        <v>0</v>
      </c>
      <c r="AF153" s="46">
        <v>940.71474773474347</v>
      </c>
      <c r="AG153" s="44">
        <v>0</v>
      </c>
      <c r="AH153" s="44">
        <v>0</v>
      </c>
      <c r="AJ153" s="40">
        <v>6.8033375849706881E-2</v>
      </c>
      <c r="AM153" s="23">
        <v>1.928571428571429</v>
      </c>
      <c r="AN153" s="23">
        <v>3.5</v>
      </c>
      <c r="AO153" s="23">
        <v>3.8571428571428572</v>
      </c>
      <c r="AP153" s="23">
        <v>4</v>
      </c>
      <c r="AQ153" s="23">
        <v>0.1451612903225806</v>
      </c>
      <c r="AR153" s="23">
        <v>0.26344086021505381</v>
      </c>
      <c r="AS153" s="23">
        <v>0.29032258064516131</v>
      </c>
      <c r="AT153" s="23">
        <v>0.30107526881720431</v>
      </c>
      <c r="AU153" s="20">
        <v>1.6</v>
      </c>
      <c r="AV153" s="20">
        <v>3.44</v>
      </c>
      <c r="AW153" s="20">
        <v>1.84</v>
      </c>
      <c r="AX153" s="20">
        <v>2.8685714285714279</v>
      </c>
      <c r="AY153">
        <v>2.8685714285714279</v>
      </c>
      <c r="AZ153">
        <v>6.299944650714286</v>
      </c>
      <c r="BA153" s="64">
        <v>0.51496474224831645</v>
      </c>
      <c r="BE153">
        <v>3.4016687924853441E-2</v>
      </c>
      <c r="BH153">
        <v>6.8033375849706881E-2</v>
      </c>
      <c r="BI153">
        <v>3.4016687924853441E-2</v>
      </c>
      <c r="BJ153">
        <v>0.51496474224831645</v>
      </c>
    </row>
    <row r="154" spans="1:68" x14ac:dyDescent="0.3">
      <c r="A154" t="s">
        <v>131</v>
      </c>
      <c r="B154" s="12" t="s">
        <v>758</v>
      </c>
      <c r="C154" s="12"/>
      <c r="F154">
        <v>2.29</v>
      </c>
      <c r="G154" t="s">
        <v>133</v>
      </c>
      <c r="H154" s="8" t="s">
        <v>574</v>
      </c>
      <c r="I154" t="s">
        <v>651</v>
      </c>
      <c r="L154" s="20">
        <v>1</v>
      </c>
      <c r="M154">
        <v>4</v>
      </c>
      <c r="N154">
        <v>0</v>
      </c>
      <c r="T154" s="20">
        <v>3.9070640000000001</v>
      </c>
      <c r="U154" s="20">
        <v>3.9070640000000001</v>
      </c>
      <c r="V154" s="20">
        <v>14.317354999999999</v>
      </c>
      <c r="W154">
        <v>5.4588999999999999</v>
      </c>
      <c r="X154">
        <v>5.5044000000000004</v>
      </c>
      <c r="Y154">
        <v>28.6998</v>
      </c>
      <c r="Z154">
        <v>0</v>
      </c>
      <c r="AD154">
        <v>16</v>
      </c>
      <c r="AE154" s="44">
        <f t="shared" si="6"/>
        <v>0</v>
      </c>
      <c r="AF154" s="46">
        <v>218.55655879400501</v>
      </c>
      <c r="AG154" s="44">
        <v>862.37070529816799</v>
      </c>
      <c r="AH154" s="44">
        <v>0</v>
      </c>
      <c r="AJ154" s="40">
        <v>7.320759481338833E-2</v>
      </c>
      <c r="AK154" s="41">
        <v>7.4214023745010863E-2</v>
      </c>
      <c r="AM154" s="23">
        <v>2</v>
      </c>
      <c r="AN154" s="23">
        <v>3.5</v>
      </c>
      <c r="AO154" s="23">
        <v>3.0714285714285721</v>
      </c>
      <c r="AP154" s="23">
        <v>5</v>
      </c>
      <c r="AQ154" s="23">
        <v>0.14736842105263159</v>
      </c>
      <c r="AR154" s="23">
        <v>0.25789473684210529</v>
      </c>
      <c r="AS154" s="23">
        <v>0.22631578947368419</v>
      </c>
      <c r="AT154" s="23">
        <v>0.36842105263157893</v>
      </c>
      <c r="AU154" s="20">
        <v>1.5</v>
      </c>
      <c r="AV154" s="20">
        <v>3.44</v>
      </c>
      <c r="AW154" s="20">
        <v>1.94</v>
      </c>
      <c r="AX154" s="20">
        <v>2.875714285714285</v>
      </c>
      <c r="AY154">
        <v>2.875714285714285</v>
      </c>
      <c r="AZ154">
        <v>6.3570658642857136</v>
      </c>
      <c r="BA154" s="64">
        <v>0.52785174392365897</v>
      </c>
      <c r="BB154" s="64">
        <v>0.53510844000890001</v>
      </c>
      <c r="BE154">
        <v>3.6603797406694158E-2</v>
      </c>
      <c r="BF154">
        <v>3.7107011872505431E-2</v>
      </c>
      <c r="BH154">
        <v>7.3710809279199596E-2</v>
      </c>
      <c r="BI154">
        <v>3.6855404639599798E-2</v>
      </c>
      <c r="BJ154">
        <v>0.53148009196627943</v>
      </c>
    </row>
    <row r="155" spans="1:68" x14ac:dyDescent="0.3">
      <c r="A155" t="s">
        <v>132</v>
      </c>
      <c r="B155" s="12" t="s">
        <v>759</v>
      </c>
      <c r="C155" s="12"/>
      <c r="F155">
        <v>2.27</v>
      </c>
      <c r="G155" t="s">
        <v>133</v>
      </c>
      <c r="H155" s="8" t="s">
        <v>575</v>
      </c>
      <c r="I155">
        <v>-1</v>
      </c>
      <c r="L155" s="20">
        <v>4</v>
      </c>
      <c r="M155">
        <v>0</v>
      </c>
      <c r="N155">
        <v>0</v>
      </c>
      <c r="T155" s="20">
        <v>5.4952131800000004</v>
      </c>
      <c r="U155" s="20">
        <v>5.5421627200000003</v>
      </c>
      <c r="V155" s="20">
        <v>29.451395720000001</v>
      </c>
      <c r="W155">
        <v>0</v>
      </c>
      <c r="Z155">
        <v>0</v>
      </c>
      <c r="AD155">
        <v>16</v>
      </c>
      <c r="AE155" s="44">
        <f t="shared" si="6"/>
        <v>0</v>
      </c>
      <c r="AF155" s="46">
        <v>896.95302480881253</v>
      </c>
      <c r="AG155" s="44">
        <v>0</v>
      </c>
      <c r="AH155" s="44">
        <v>0</v>
      </c>
      <c r="AJ155" s="40">
        <v>7.1352677598296457E-2</v>
      </c>
      <c r="AM155" s="23">
        <v>2</v>
      </c>
      <c r="AN155" s="23">
        <v>3.5</v>
      </c>
      <c r="AO155" s="23">
        <v>3.785714285714286</v>
      </c>
      <c r="AP155" s="23">
        <v>5</v>
      </c>
      <c r="AQ155" s="23">
        <v>0.14000000000000001</v>
      </c>
      <c r="AR155" s="23">
        <v>0.245</v>
      </c>
      <c r="AS155" s="23">
        <v>0.26500000000000001</v>
      </c>
      <c r="AT155" s="23">
        <v>0.35</v>
      </c>
      <c r="AU155" s="20">
        <v>1.5</v>
      </c>
      <c r="AV155" s="20">
        <v>3.44</v>
      </c>
      <c r="AW155" s="20">
        <v>1.94</v>
      </c>
      <c r="AX155" s="20">
        <v>2.8614285714285721</v>
      </c>
      <c r="AY155">
        <v>2.8614285714285712</v>
      </c>
      <c r="AZ155">
        <v>6.3069601507142856</v>
      </c>
      <c r="BA155" s="64">
        <v>0.54008951884595136</v>
      </c>
      <c r="BE155">
        <v>3.5676338799148229E-2</v>
      </c>
      <c r="BH155">
        <v>7.1352677598296457E-2</v>
      </c>
      <c r="BI155">
        <v>3.5676338799148229E-2</v>
      </c>
      <c r="BJ155">
        <v>0.54008951884595136</v>
      </c>
    </row>
    <row r="156" spans="1:68" x14ac:dyDescent="0.3">
      <c r="A156" t="s">
        <v>136</v>
      </c>
      <c r="B156" s="12" t="s">
        <v>760</v>
      </c>
      <c r="C156" s="12"/>
      <c r="F156">
        <v>3.8</v>
      </c>
      <c r="G156" t="s">
        <v>135</v>
      </c>
      <c r="H156" s="8">
        <v>-1</v>
      </c>
      <c r="I156">
        <v>-1</v>
      </c>
      <c r="J156" t="s">
        <v>1164</v>
      </c>
      <c r="L156" s="20">
        <v>0</v>
      </c>
      <c r="M156">
        <v>0</v>
      </c>
      <c r="N156">
        <v>1</v>
      </c>
      <c r="O156">
        <v>3.89</v>
      </c>
      <c r="P156">
        <v>3.89</v>
      </c>
      <c r="Q156">
        <v>10.34</v>
      </c>
      <c r="R156" t="s">
        <v>440</v>
      </c>
      <c r="T156" s="20">
        <v>0</v>
      </c>
      <c r="U156" s="20"/>
      <c r="V156" s="20"/>
      <c r="W156">
        <v>0</v>
      </c>
      <c r="Z156">
        <v>3.88</v>
      </c>
      <c r="AA156">
        <v>3.88</v>
      </c>
      <c r="AB156">
        <v>10.66</v>
      </c>
      <c r="AC156">
        <v>2</v>
      </c>
      <c r="AD156">
        <v>14</v>
      </c>
      <c r="AE156" s="44">
        <f t="shared" si="6"/>
        <v>156.465914</v>
      </c>
      <c r="AF156" s="46">
        <v>0</v>
      </c>
      <c r="AG156" s="44">
        <v>0</v>
      </c>
      <c r="AH156" s="44">
        <v>160.479904</v>
      </c>
      <c r="AJ156" s="40"/>
      <c r="AL156" s="41">
        <v>8.7238337331009372E-2</v>
      </c>
      <c r="AM156" s="23">
        <v>1.9090909090909089</v>
      </c>
      <c r="AN156" s="23">
        <v>2.545454545454545</v>
      </c>
      <c r="AO156" s="23">
        <v>0.63636363636363635</v>
      </c>
      <c r="AP156" s="23">
        <v>2.545454545454545</v>
      </c>
      <c r="AQ156" s="23">
        <v>0.25</v>
      </c>
      <c r="AR156" s="23">
        <v>0.33333333333333331</v>
      </c>
      <c r="AS156" s="23">
        <v>8.3333333333333329E-2</v>
      </c>
      <c r="AT156" s="23">
        <v>0.33333333333333331</v>
      </c>
      <c r="AU156" s="20">
        <v>1.1000000000000001</v>
      </c>
      <c r="AV156" s="20">
        <v>3.44</v>
      </c>
      <c r="AW156" s="20">
        <v>2.34</v>
      </c>
      <c r="AX156" s="20">
        <v>2.7618181818181822</v>
      </c>
      <c r="AY156">
        <v>2.7618181818181822</v>
      </c>
      <c r="AZ156">
        <v>6.4448628590773636</v>
      </c>
      <c r="BC156" s="64">
        <v>0</v>
      </c>
      <c r="BG156">
        <v>4.3619168665504693E-2</v>
      </c>
      <c r="BH156">
        <v>8.7238337331009372E-2</v>
      </c>
      <c r="BI156">
        <v>4.3619168665504693E-2</v>
      </c>
      <c r="BJ156">
        <v>0</v>
      </c>
    </row>
    <row r="157" spans="1:68" x14ac:dyDescent="0.3">
      <c r="A157" t="s">
        <v>137</v>
      </c>
      <c r="B157" s="12" t="s">
        <v>761</v>
      </c>
      <c r="C157" s="12"/>
      <c r="F157">
        <v>3.85</v>
      </c>
      <c r="G157" t="s">
        <v>135</v>
      </c>
      <c r="H157" s="8" t="s">
        <v>576</v>
      </c>
      <c r="I157" t="s">
        <v>652</v>
      </c>
      <c r="L157" s="20">
        <v>1</v>
      </c>
      <c r="M157">
        <v>2</v>
      </c>
      <c r="N157">
        <v>0</v>
      </c>
      <c r="O157">
        <v>3.85</v>
      </c>
      <c r="P157">
        <v>3.85</v>
      </c>
      <c r="Q157">
        <v>12.77</v>
      </c>
      <c r="R157" t="s">
        <v>440</v>
      </c>
      <c r="T157" s="20">
        <v>11.210029909999999</v>
      </c>
      <c r="U157" s="20">
        <v>11.210029909999999</v>
      </c>
      <c r="V157" s="20">
        <v>11.210029909999999</v>
      </c>
      <c r="W157">
        <v>3.8955000000000002</v>
      </c>
      <c r="X157">
        <v>3.8955000000000002</v>
      </c>
      <c r="Y157">
        <v>21.436</v>
      </c>
      <c r="Z157">
        <v>0</v>
      </c>
      <c r="AC157">
        <v>2</v>
      </c>
      <c r="AD157">
        <v>14</v>
      </c>
      <c r="AE157" s="44">
        <f t="shared" si="6"/>
        <v>189.28332500000002</v>
      </c>
      <c r="AF157" s="46">
        <v>167.3639996655379</v>
      </c>
      <c r="AG157" s="44">
        <v>325.28959047900003</v>
      </c>
      <c r="AH157" s="44">
        <v>0</v>
      </c>
      <c r="AJ157" s="40">
        <v>8.365000853216796E-2</v>
      </c>
      <c r="AK157" s="41">
        <v>8.607714731593176E-2</v>
      </c>
      <c r="AM157" s="23">
        <v>1.9090909090909089</v>
      </c>
      <c r="AN157" s="23">
        <v>2.545454545454545</v>
      </c>
      <c r="AO157" s="23">
        <v>0.63636363636363635</v>
      </c>
      <c r="AP157" s="23">
        <v>2.545454545454545</v>
      </c>
      <c r="AQ157" s="23">
        <v>0.25</v>
      </c>
      <c r="AR157" s="23">
        <v>0.33333333333333331</v>
      </c>
      <c r="AS157" s="23">
        <v>8.3333333333333329E-2</v>
      </c>
      <c r="AT157" s="23">
        <v>0.33333333333333331</v>
      </c>
      <c r="AU157" s="20">
        <v>0.93</v>
      </c>
      <c r="AV157" s="20">
        <v>3.44</v>
      </c>
      <c r="AW157" s="20">
        <v>2.5099999999999998</v>
      </c>
      <c r="AX157" s="20">
        <v>2.646363636363636</v>
      </c>
      <c r="AY157">
        <v>2.646363636363636</v>
      </c>
      <c r="AZ157">
        <v>6.0509524322727266</v>
      </c>
      <c r="BA157" s="64">
        <v>0.45356967584663088</v>
      </c>
      <c r="BB157" s="64">
        <v>0</v>
      </c>
      <c r="BE157">
        <v>4.1825004266083973E-2</v>
      </c>
      <c r="BF157">
        <v>4.303857365796588E-2</v>
      </c>
      <c r="BH157">
        <v>8.486357792404986E-2</v>
      </c>
      <c r="BI157">
        <v>4.243178896202493E-2</v>
      </c>
      <c r="BJ157">
        <v>0.22678483792331541</v>
      </c>
    </row>
    <row r="158" spans="1:68" x14ac:dyDescent="0.3">
      <c r="A158" t="s">
        <v>10</v>
      </c>
      <c r="B158" s="12" t="s">
        <v>695</v>
      </c>
      <c r="C158" s="12"/>
      <c r="F158">
        <v>3.9</v>
      </c>
      <c r="G158" t="s">
        <v>135</v>
      </c>
      <c r="H158" s="8" t="s">
        <v>531</v>
      </c>
      <c r="I158">
        <v>-1</v>
      </c>
      <c r="L158" s="20">
        <v>1</v>
      </c>
      <c r="M158">
        <v>0</v>
      </c>
      <c r="N158">
        <v>0</v>
      </c>
      <c r="O158">
        <v>3.88</v>
      </c>
      <c r="P158">
        <v>3.88</v>
      </c>
      <c r="Q158">
        <v>11.07</v>
      </c>
      <c r="R158" t="s">
        <v>439</v>
      </c>
      <c r="T158" s="20">
        <v>3.9103940000000001</v>
      </c>
      <c r="U158" s="20">
        <v>3.9103940000000001</v>
      </c>
      <c r="V158" s="20">
        <v>11.314458</v>
      </c>
      <c r="W158">
        <v>0</v>
      </c>
      <c r="Z158">
        <v>0</v>
      </c>
      <c r="AC158">
        <v>2</v>
      </c>
      <c r="AD158">
        <v>14</v>
      </c>
      <c r="AE158" s="44">
        <f t="shared" si="6"/>
        <v>166.652208</v>
      </c>
      <c r="AF158" s="46">
        <v>173.0114278564659</v>
      </c>
      <c r="AG158" s="44">
        <v>0</v>
      </c>
      <c r="AH158" s="44">
        <v>0</v>
      </c>
      <c r="AJ158" s="40">
        <v>8.0919510193365449E-2</v>
      </c>
      <c r="AM158" s="23">
        <v>1.9090909090909089</v>
      </c>
      <c r="AN158" s="23">
        <v>2.545454545454545</v>
      </c>
      <c r="AO158" s="23">
        <v>0.63636363636363635</v>
      </c>
      <c r="AP158" s="23">
        <v>2.545454545454545</v>
      </c>
      <c r="AQ158" s="23">
        <v>0.25</v>
      </c>
      <c r="AR158" s="23">
        <v>0.33333333333333331</v>
      </c>
      <c r="AS158" s="23">
        <v>8.3333333333333329E-2</v>
      </c>
      <c r="AT158" s="23">
        <v>0.33333333333333331</v>
      </c>
      <c r="AU158" s="20">
        <v>0.82</v>
      </c>
      <c r="AV158" s="20">
        <v>3.44</v>
      </c>
      <c r="AW158" s="20">
        <v>2.62</v>
      </c>
      <c r="AX158" s="20">
        <v>2.6363636363636358</v>
      </c>
      <c r="AY158">
        <v>2.6363636363636371</v>
      </c>
      <c r="AZ158">
        <v>6.0044088459090901</v>
      </c>
      <c r="BA158" s="64">
        <v>0.5117218936152963</v>
      </c>
      <c r="BE158">
        <v>4.0459755096682717E-2</v>
      </c>
      <c r="BH158">
        <v>8.0919510193365449E-2</v>
      </c>
      <c r="BI158">
        <v>4.0459755096682717E-2</v>
      </c>
      <c r="BJ158">
        <v>0.5117218936152963</v>
      </c>
    </row>
    <row r="159" spans="1:68" x14ac:dyDescent="0.3">
      <c r="A159" t="s">
        <v>138</v>
      </c>
      <c r="B159" s="12" t="s">
        <v>762</v>
      </c>
      <c r="C159" s="12"/>
      <c r="F159">
        <v>3.95</v>
      </c>
      <c r="G159" t="s">
        <v>135</v>
      </c>
      <c r="H159" s="8">
        <v>-1</v>
      </c>
      <c r="I159">
        <v>-1</v>
      </c>
      <c r="J159" t="s">
        <v>1165</v>
      </c>
      <c r="L159" s="20">
        <v>0</v>
      </c>
      <c r="M159">
        <v>0</v>
      </c>
      <c r="N159">
        <v>1</v>
      </c>
      <c r="O159">
        <v>3.88</v>
      </c>
      <c r="P159">
        <v>3.88</v>
      </c>
      <c r="Q159">
        <v>11.07</v>
      </c>
      <c r="R159" t="s">
        <v>439</v>
      </c>
      <c r="T159" s="20">
        <v>0</v>
      </c>
      <c r="U159" s="20"/>
      <c r="V159" s="20"/>
      <c r="W159">
        <v>0</v>
      </c>
      <c r="Z159">
        <v>3.899</v>
      </c>
      <c r="AA159">
        <v>3.899</v>
      </c>
      <c r="AB159">
        <v>11.292</v>
      </c>
      <c r="AC159">
        <v>2</v>
      </c>
      <c r="AD159">
        <v>14</v>
      </c>
      <c r="AE159" s="44">
        <f t="shared" si="6"/>
        <v>166.652208</v>
      </c>
      <c r="AF159" s="46">
        <v>0</v>
      </c>
      <c r="AG159" s="44">
        <v>0</v>
      </c>
      <c r="AH159" s="44">
        <v>171.66325369200001</v>
      </c>
      <c r="AJ159" s="40"/>
      <c r="AL159" s="41">
        <v>8.1555019486691915E-2</v>
      </c>
      <c r="AM159" s="23">
        <v>1.9090909090909089</v>
      </c>
      <c r="AN159" s="23">
        <v>2.545454545454545</v>
      </c>
      <c r="AO159" s="23">
        <v>0.63636363636363635</v>
      </c>
      <c r="AP159" s="23">
        <v>2.545454545454545</v>
      </c>
      <c r="AQ159" s="23">
        <v>0.25</v>
      </c>
      <c r="AR159" s="23">
        <v>0.33333333333333331</v>
      </c>
      <c r="AS159" s="23">
        <v>8.3333333333333329E-2</v>
      </c>
      <c r="AT159" s="23">
        <v>0.33333333333333331</v>
      </c>
      <c r="AU159" s="20">
        <v>0.79</v>
      </c>
      <c r="AV159" s="20">
        <v>3.44</v>
      </c>
      <c r="AW159" s="20">
        <v>2.65</v>
      </c>
      <c r="AX159" s="20">
        <v>2.6336363636363629</v>
      </c>
      <c r="AY159">
        <v>2.6336363636363642</v>
      </c>
      <c r="AZ159">
        <v>5.9908857398831818</v>
      </c>
      <c r="BC159" s="64">
        <v>0.54881524259093173</v>
      </c>
      <c r="BG159">
        <v>4.0777509743345958E-2</v>
      </c>
      <c r="BH159">
        <v>8.1555019486691915E-2</v>
      </c>
      <c r="BI159">
        <v>4.0777509743345958E-2</v>
      </c>
      <c r="BJ159">
        <v>0.54881524259093173</v>
      </c>
    </row>
    <row r="160" spans="1:68" x14ac:dyDescent="0.3">
      <c r="A160" t="s">
        <v>139</v>
      </c>
      <c r="B160" s="12" t="s">
        <v>763</v>
      </c>
      <c r="C160" s="12"/>
      <c r="F160">
        <v>3.55</v>
      </c>
      <c r="G160" t="s">
        <v>135</v>
      </c>
      <c r="H160" s="8">
        <v>-1</v>
      </c>
      <c r="I160">
        <v>-1</v>
      </c>
      <c r="K160">
        <v>1</v>
      </c>
      <c r="L160" s="20">
        <v>0</v>
      </c>
      <c r="M160">
        <v>0</v>
      </c>
      <c r="N160">
        <v>0</v>
      </c>
      <c r="O160">
        <v>3.9</v>
      </c>
      <c r="P160">
        <v>3.9</v>
      </c>
      <c r="Q160">
        <v>11.07</v>
      </c>
      <c r="R160" t="s">
        <v>519</v>
      </c>
      <c r="T160" s="20">
        <v>0</v>
      </c>
      <c r="U160" s="20"/>
      <c r="V160" s="20"/>
      <c r="W160">
        <v>0</v>
      </c>
      <c r="Z160">
        <v>0</v>
      </c>
      <c r="AC160">
        <v>2</v>
      </c>
      <c r="AD160">
        <v>14</v>
      </c>
      <c r="AE160" s="44">
        <f t="shared" si="6"/>
        <v>168.37469999999999</v>
      </c>
      <c r="AF160" s="46">
        <v>0</v>
      </c>
      <c r="AG160" s="44">
        <v>0</v>
      </c>
      <c r="AH160" s="44">
        <v>0</v>
      </c>
      <c r="AI160" s="41">
        <f>K160*AD160/AE160</f>
        <v>8.3147883856660179E-2</v>
      </c>
      <c r="AJ160" s="40"/>
      <c r="AM160" s="23">
        <v>1.9090909090909089</v>
      </c>
      <c r="AN160" s="23">
        <v>2.545454545454545</v>
      </c>
      <c r="AO160" s="23">
        <v>0.54545454545454541</v>
      </c>
      <c r="AP160" s="23">
        <v>2.8181818181818179</v>
      </c>
      <c r="AQ160" s="23">
        <v>0.2441860465116279</v>
      </c>
      <c r="AR160" s="23">
        <v>0.32558139534883718</v>
      </c>
      <c r="AS160" s="23">
        <v>6.9767441860465115E-2</v>
      </c>
      <c r="AT160" s="23">
        <v>0.3604651162790698</v>
      </c>
      <c r="AU160" s="20">
        <v>1.1299999999999999</v>
      </c>
      <c r="AV160" s="20">
        <v>3.44</v>
      </c>
      <c r="AW160" s="20">
        <v>2.31</v>
      </c>
      <c r="AX160" s="20">
        <v>2.7645454545454542</v>
      </c>
      <c r="AY160">
        <v>2.7645454545454551</v>
      </c>
      <c r="AZ160">
        <v>6.4196350590773639</v>
      </c>
      <c r="BD160">
        <v>4.157394192833009E-2</v>
      </c>
      <c r="BH160">
        <v>8.3147883856660179E-2</v>
      </c>
      <c r="BI160">
        <v>4.157394192833009E-2</v>
      </c>
      <c r="BJ160">
        <v>0</v>
      </c>
    </row>
    <row r="161" spans="1:68" x14ac:dyDescent="0.3">
      <c r="A161" t="s">
        <v>140</v>
      </c>
      <c r="B161" s="12" t="s">
        <v>764</v>
      </c>
      <c r="C161" s="12"/>
      <c r="F161">
        <v>3.55</v>
      </c>
      <c r="G161" t="s">
        <v>135</v>
      </c>
      <c r="H161" s="8">
        <v>-1</v>
      </c>
      <c r="I161">
        <v>-1</v>
      </c>
      <c r="K161">
        <v>1</v>
      </c>
      <c r="L161" s="20">
        <v>0</v>
      </c>
      <c r="M161">
        <v>0</v>
      </c>
      <c r="N161">
        <v>0</v>
      </c>
      <c r="O161">
        <v>3.88</v>
      </c>
      <c r="P161">
        <v>3.88</v>
      </c>
      <c r="Q161">
        <v>11.297000000000001</v>
      </c>
      <c r="R161" t="s">
        <v>439</v>
      </c>
      <c r="T161" s="20">
        <v>0</v>
      </c>
      <c r="U161" s="20"/>
      <c r="V161" s="20"/>
      <c r="W161">
        <v>0</v>
      </c>
      <c r="Z161">
        <v>0</v>
      </c>
      <c r="AC161">
        <v>2</v>
      </c>
      <c r="AD161">
        <v>14</v>
      </c>
      <c r="AE161" s="44">
        <f t="shared" si="6"/>
        <v>170.06955680000002</v>
      </c>
      <c r="AF161" s="46">
        <v>0</v>
      </c>
      <c r="AG161" s="44">
        <v>0</v>
      </c>
      <c r="AH161" s="44">
        <v>0</v>
      </c>
      <c r="AI161" s="41">
        <f>K161*AD161/AE161</f>
        <v>8.2319259621896068E-2</v>
      </c>
      <c r="AJ161" s="40"/>
      <c r="AM161" s="23">
        <v>1.9090909090909089</v>
      </c>
      <c r="AN161" s="23">
        <v>2.545454545454545</v>
      </c>
      <c r="AO161" s="23">
        <v>0.54545454545454541</v>
      </c>
      <c r="AP161" s="23">
        <v>2.8181818181818179</v>
      </c>
      <c r="AQ161" s="23">
        <v>0.2441860465116279</v>
      </c>
      <c r="AR161" s="23">
        <v>0.32558139534883718</v>
      </c>
      <c r="AS161" s="23">
        <v>6.9767441860465115E-2</v>
      </c>
      <c r="AT161" s="23">
        <v>0.3604651162790698</v>
      </c>
      <c r="AU161" s="20">
        <v>0.93</v>
      </c>
      <c r="AV161" s="20">
        <v>3.44</v>
      </c>
      <c r="AW161" s="20">
        <v>2.5099999999999998</v>
      </c>
      <c r="AX161" s="20">
        <v>2.6490909090909089</v>
      </c>
      <c r="AY161">
        <v>2.6490909090909081</v>
      </c>
      <c r="AZ161">
        <v>6.0257246322727269</v>
      </c>
      <c r="BD161">
        <v>4.1159629810948027E-2</v>
      </c>
      <c r="BH161">
        <v>8.2319259621896068E-2</v>
      </c>
      <c r="BI161">
        <v>4.1159629810948027E-2</v>
      </c>
      <c r="BJ161">
        <v>0</v>
      </c>
    </row>
    <row r="162" spans="1:68" x14ac:dyDescent="0.3">
      <c r="A162" t="s">
        <v>11</v>
      </c>
      <c r="B162" s="12" t="s">
        <v>696</v>
      </c>
      <c r="C162" s="12"/>
      <c r="F162">
        <v>3.55</v>
      </c>
      <c r="G162" t="s">
        <v>135</v>
      </c>
      <c r="H162" s="8">
        <v>-1</v>
      </c>
      <c r="I162">
        <v>-1</v>
      </c>
      <c r="J162" t="s">
        <v>1144</v>
      </c>
      <c r="K162">
        <v>1</v>
      </c>
      <c r="L162" s="20">
        <v>0</v>
      </c>
      <c r="M162">
        <v>0</v>
      </c>
      <c r="N162">
        <v>1</v>
      </c>
      <c r="O162">
        <v>3.88</v>
      </c>
      <c r="P162">
        <v>3.88</v>
      </c>
      <c r="Q162">
        <v>10.647</v>
      </c>
      <c r="R162" t="s">
        <v>439</v>
      </c>
      <c r="T162" s="20">
        <v>0</v>
      </c>
      <c r="U162" s="20"/>
      <c r="V162" s="20"/>
      <c r="W162">
        <v>0</v>
      </c>
      <c r="Z162">
        <v>3.8653</v>
      </c>
      <c r="AA162">
        <v>3.8653</v>
      </c>
      <c r="AB162">
        <v>11.0131</v>
      </c>
      <c r="AC162">
        <v>2</v>
      </c>
      <c r="AD162">
        <v>14</v>
      </c>
      <c r="AE162" s="44">
        <f t="shared" si="6"/>
        <v>160.28419679999999</v>
      </c>
      <c r="AF162" s="46">
        <v>0</v>
      </c>
      <c r="AG162" s="44">
        <v>0</v>
      </c>
      <c r="AH162" s="44">
        <v>164.541706117579</v>
      </c>
      <c r="AI162" s="41">
        <f>K162*AD162/AE162</f>
        <v>8.7344855447408651E-2</v>
      </c>
      <c r="AJ162" s="40"/>
      <c r="AL162" s="41">
        <v>8.5084811202795069E-2</v>
      </c>
      <c r="AM162" s="23">
        <v>1.9090909090909089</v>
      </c>
      <c r="AN162" s="23">
        <v>2.545454545454545</v>
      </c>
      <c r="AO162" s="23">
        <v>0.54545454545454541</v>
      </c>
      <c r="AP162" s="23">
        <v>2.8181818181818179</v>
      </c>
      <c r="AQ162" s="23">
        <v>0.2441860465116279</v>
      </c>
      <c r="AR162" s="23">
        <v>0.32558139534883718</v>
      </c>
      <c r="AS162" s="23">
        <v>6.9767441860465115E-2</v>
      </c>
      <c r="AT162" s="23">
        <v>0.3604651162790698</v>
      </c>
      <c r="AU162" s="20">
        <v>0.82</v>
      </c>
      <c r="AV162" s="20">
        <v>3.44</v>
      </c>
      <c r="AW162" s="20">
        <v>2.62</v>
      </c>
      <c r="AX162" s="20">
        <v>2.6390909090909092</v>
      </c>
      <c r="AY162">
        <v>2.6390909090909092</v>
      </c>
      <c r="AZ162">
        <v>5.9791810459090904</v>
      </c>
      <c r="BC162" s="64">
        <v>0.53381265134868672</v>
      </c>
      <c r="BD162">
        <v>4.3672427723704332E-2</v>
      </c>
      <c r="BG162">
        <v>4.2542405601397527E-2</v>
      </c>
      <c r="BH162">
        <v>8.6214833325101853E-2</v>
      </c>
      <c r="BI162">
        <v>4.3107416662550933E-2</v>
      </c>
      <c r="BJ162">
        <v>0.53381265134868672</v>
      </c>
    </row>
    <row r="163" spans="1:68" x14ac:dyDescent="0.3">
      <c r="A163" t="s">
        <v>141</v>
      </c>
      <c r="B163" s="12" t="s">
        <v>765</v>
      </c>
      <c r="C163" s="12"/>
      <c r="F163">
        <v>3.55</v>
      </c>
      <c r="G163" t="s">
        <v>135</v>
      </c>
      <c r="H163" s="8">
        <v>-1</v>
      </c>
      <c r="I163">
        <v>-1</v>
      </c>
      <c r="K163">
        <v>1</v>
      </c>
      <c r="L163" s="20">
        <v>0</v>
      </c>
      <c r="M163">
        <v>0</v>
      </c>
      <c r="N163">
        <v>0</v>
      </c>
      <c r="O163">
        <v>3.88</v>
      </c>
      <c r="P163">
        <v>3.88</v>
      </c>
      <c r="Q163">
        <v>11.066000000000001</v>
      </c>
      <c r="R163" t="s">
        <v>439</v>
      </c>
      <c r="T163" s="20">
        <v>0</v>
      </c>
      <c r="U163" s="20"/>
      <c r="V163" s="20"/>
      <c r="W163">
        <v>0</v>
      </c>
      <c r="Z163">
        <v>0</v>
      </c>
      <c r="AC163">
        <v>2</v>
      </c>
      <c r="AD163">
        <v>14</v>
      </c>
      <c r="AE163" s="44">
        <f t="shared" si="6"/>
        <v>166.59199040000001</v>
      </c>
      <c r="AF163" s="46">
        <v>0</v>
      </c>
      <c r="AG163" s="44">
        <v>0</v>
      </c>
      <c r="AH163" s="44">
        <v>0</v>
      </c>
      <c r="AI163" s="41">
        <f>K163*AD163/AE163</f>
        <v>8.4037653709430671E-2</v>
      </c>
      <c r="AJ163" s="40"/>
      <c r="AM163" s="23">
        <v>1.9090909090909089</v>
      </c>
      <c r="AN163" s="23">
        <v>2.545454545454545</v>
      </c>
      <c r="AO163" s="23">
        <v>0.54545454545454541</v>
      </c>
      <c r="AP163" s="23">
        <v>2.8181818181818179</v>
      </c>
      <c r="AQ163" s="23">
        <v>0.2441860465116279</v>
      </c>
      <c r="AR163" s="23">
        <v>0.32558139534883718</v>
      </c>
      <c r="AS163" s="23">
        <v>6.9767441860465115E-2</v>
      </c>
      <c r="AT163" s="23">
        <v>0.3604651162790698</v>
      </c>
      <c r="AU163" s="20">
        <v>0.79</v>
      </c>
      <c r="AV163" s="20">
        <v>3.44</v>
      </c>
      <c r="AW163" s="20">
        <v>2.65</v>
      </c>
      <c r="AX163" s="20">
        <v>2.6363636363636358</v>
      </c>
      <c r="AY163">
        <v>2.6363636363636358</v>
      </c>
      <c r="AZ163">
        <v>5.9656579398831813</v>
      </c>
      <c r="BD163">
        <v>4.2018826854715342E-2</v>
      </c>
      <c r="BH163">
        <v>8.4037653709430671E-2</v>
      </c>
      <c r="BI163">
        <v>4.2018826854715342E-2</v>
      </c>
      <c r="BJ163">
        <v>0</v>
      </c>
    </row>
    <row r="164" spans="1:68" x14ac:dyDescent="0.3">
      <c r="A164" t="s">
        <v>142</v>
      </c>
      <c r="B164" s="12" t="s">
        <v>766</v>
      </c>
      <c r="C164" s="12"/>
      <c r="F164">
        <v>4.2</v>
      </c>
      <c r="G164" t="s">
        <v>135</v>
      </c>
      <c r="H164" s="8">
        <v>-1</v>
      </c>
      <c r="I164">
        <v>-1</v>
      </c>
      <c r="K164">
        <v>1</v>
      </c>
      <c r="L164" s="20">
        <v>0</v>
      </c>
      <c r="M164">
        <v>0</v>
      </c>
      <c r="N164">
        <v>0</v>
      </c>
      <c r="O164">
        <v>3.92</v>
      </c>
      <c r="P164">
        <v>3.92</v>
      </c>
      <c r="Q164">
        <v>11.065</v>
      </c>
      <c r="R164" t="s">
        <v>439</v>
      </c>
      <c r="T164" s="20">
        <v>0</v>
      </c>
      <c r="U164" s="20"/>
      <c r="V164" s="20"/>
      <c r="W164">
        <v>0</v>
      </c>
      <c r="Z164">
        <v>0</v>
      </c>
      <c r="AC164">
        <v>2</v>
      </c>
      <c r="AD164">
        <v>14</v>
      </c>
      <c r="AE164" s="44">
        <f t="shared" si="6"/>
        <v>170.02921599999999</v>
      </c>
      <c r="AF164" s="46">
        <v>0</v>
      </c>
      <c r="AG164" s="44">
        <v>0</v>
      </c>
      <c r="AH164" s="44">
        <v>0</v>
      </c>
      <c r="AI164" s="41">
        <f t="shared" ref="AI164:AI171" si="7">K164*AD164/AE164</f>
        <v>8.2338790528799485E-2</v>
      </c>
      <c r="AJ164" s="40"/>
      <c r="AM164" s="23">
        <v>1.9090909090909089</v>
      </c>
      <c r="AN164" s="23">
        <v>2.545454545454545</v>
      </c>
      <c r="AO164" s="23">
        <v>0.54545454545454541</v>
      </c>
      <c r="AP164" s="23">
        <v>2.9090909090909092</v>
      </c>
      <c r="AQ164" s="23">
        <v>0.2413793103448276</v>
      </c>
      <c r="AR164" s="23">
        <v>0.32183908045977011</v>
      </c>
      <c r="AS164" s="23">
        <v>6.8965517241379309E-2</v>
      </c>
      <c r="AT164" s="23">
        <v>0.36781609195402298</v>
      </c>
      <c r="AU164" s="20">
        <v>1.1399999999999999</v>
      </c>
      <c r="AV164" s="20">
        <v>3.44</v>
      </c>
      <c r="AW164" s="20">
        <v>2.2999999999999998</v>
      </c>
      <c r="AX164" s="20">
        <v>2.7654545454545452</v>
      </c>
      <c r="AY164">
        <v>2.7654545454545461</v>
      </c>
      <c r="AZ164">
        <v>6.4215922727137267</v>
      </c>
      <c r="BD164">
        <v>4.1169395264399743E-2</v>
      </c>
      <c r="BH164">
        <v>8.2338790528799485E-2</v>
      </c>
      <c r="BI164">
        <v>4.1169395264399743E-2</v>
      </c>
      <c r="BJ164">
        <v>0</v>
      </c>
    </row>
    <row r="165" spans="1:68" x14ac:dyDescent="0.3">
      <c r="A165" t="s">
        <v>143</v>
      </c>
      <c r="B165" s="12" t="s">
        <v>767</v>
      </c>
      <c r="C165" s="12"/>
      <c r="F165">
        <v>4.1500000000000004</v>
      </c>
      <c r="G165" t="s">
        <v>135</v>
      </c>
      <c r="H165" s="8">
        <v>-1</v>
      </c>
      <c r="I165">
        <v>-1</v>
      </c>
      <c r="K165">
        <v>1</v>
      </c>
      <c r="L165" s="20">
        <v>0</v>
      </c>
      <c r="M165">
        <v>0</v>
      </c>
      <c r="N165">
        <v>0</v>
      </c>
      <c r="O165">
        <v>3.92</v>
      </c>
      <c r="P165">
        <v>3.92</v>
      </c>
      <c r="Q165">
        <v>11.7911</v>
      </c>
      <c r="R165" t="s">
        <v>439</v>
      </c>
      <c r="T165" s="20">
        <v>0</v>
      </c>
      <c r="U165" s="20"/>
      <c r="V165" s="20"/>
      <c r="W165">
        <v>0</v>
      </c>
      <c r="Z165">
        <v>0</v>
      </c>
      <c r="AC165">
        <v>2</v>
      </c>
      <c r="AD165">
        <v>14</v>
      </c>
      <c r="AE165" s="44">
        <f t="shared" si="6"/>
        <v>181.18675904</v>
      </c>
      <c r="AF165" s="46">
        <v>0</v>
      </c>
      <c r="AG165" s="44">
        <v>0</v>
      </c>
      <c r="AH165" s="44">
        <v>0</v>
      </c>
      <c r="AI165" s="41">
        <f t="shared" si="7"/>
        <v>7.7268339442559744E-2</v>
      </c>
      <c r="AJ165" s="40"/>
      <c r="AM165" s="23">
        <v>1.9090909090909089</v>
      </c>
      <c r="AN165" s="23">
        <v>2.545454545454545</v>
      </c>
      <c r="AO165" s="23">
        <v>0.54545454545454541</v>
      </c>
      <c r="AP165" s="23">
        <v>2.9090909090909092</v>
      </c>
      <c r="AQ165" s="23">
        <v>0.2413793103448276</v>
      </c>
      <c r="AR165" s="23">
        <v>0.32183908045977011</v>
      </c>
      <c r="AS165" s="23">
        <v>6.8965517241379309E-2</v>
      </c>
      <c r="AT165" s="23">
        <v>0.36781609195402298</v>
      </c>
      <c r="AU165" s="20">
        <v>0.93</v>
      </c>
      <c r="AV165" s="20">
        <v>3.44</v>
      </c>
      <c r="AW165" s="20">
        <v>2.5099999999999998</v>
      </c>
      <c r="AX165" s="20">
        <v>2.65</v>
      </c>
      <c r="AY165">
        <v>2.649999999999999</v>
      </c>
      <c r="AZ165">
        <v>6.0276818459090906</v>
      </c>
      <c r="BD165">
        <v>3.8634169721279872E-2</v>
      </c>
      <c r="BH165">
        <v>7.7268339442559744E-2</v>
      </c>
      <c r="BI165">
        <v>3.8634169721279872E-2</v>
      </c>
      <c r="BJ165">
        <v>0</v>
      </c>
    </row>
    <row r="166" spans="1:68" x14ac:dyDescent="0.3">
      <c r="A166" t="s">
        <v>12</v>
      </c>
      <c r="B166" s="12" t="s">
        <v>697</v>
      </c>
      <c r="C166" s="12"/>
      <c r="F166">
        <v>4.1500000000000004</v>
      </c>
      <c r="G166" t="s">
        <v>135</v>
      </c>
      <c r="H166" s="8">
        <v>-1</v>
      </c>
      <c r="I166">
        <v>-1</v>
      </c>
      <c r="K166">
        <v>1</v>
      </c>
      <c r="L166" s="20">
        <v>0</v>
      </c>
      <c r="M166">
        <v>0</v>
      </c>
      <c r="N166">
        <v>0</v>
      </c>
      <c r="O166">
        <v>3.92</v>
      </c>
      <c r="P166">
        <v>3.92</v>
      </c>
      <c r="Q166">
        <v>11.5395</v>
      </c>
      <c r="R166" t="s">
        <v>439</v>
      </c>
      <c r="T166" s="20">
        <v>0</v>
      </c>
      <c r="U166" s="20"/>
      <c r="V166" s="20"/>
      <c r="W166">
        <v>0</v>
      </c>
      <c r="Z166">
        <v>0</v>
      </c>
      <c r="AC166">
        <v>2</v>
      </c>
      <c r="AD166">
        <v>14</v>
      </c>
      <c r="AE166" s="44">
        <f t="shared" si="6"/>
        <v>177.32057279999998</v>
      </c>
      <c r="AF166" s="46">
        <v>0</v>
      </c>
      <c r="AG166" s="44">
        <v>0</v>
      </c>
      <c r="AH166" s="44">
        <v>0</v>
      </c>
      <c r="AI166" s="41">
        <f t="shared" si="7"/>
        <v>7.8953049716293272E-2</v>
      </c>
      <c r="AJ166" s="40"/>
      <c r="AM166" s="23">
        <v>1.9090909090909089</v>
      </c>
      <c r="AN166" s="23">
        <v>2.545454545454545</v>
      </c>
      <c r="AO166" s="23">
        <v>0.54545454545454541</v>
      </c>
      <c r="AP166" s="23">
        <v>2.9090909090909092</v>
      </c>
      <c r="AQ166" s="23">
        <v>0.2413793103448276</v>
      </c>
      <c r="AR166" s="23">
        <v>0.32183908045977011</v>
      </c>
      <c r="AS166" s="23">
        <v>6.8965517241379309E-2</v>
      </c>
      <c r="AT166" s="23">
        <v>0.36781609195402298</v>
      </c>
      <c r="AU166" s="20">
        <v>0.82</v>
      </c>
      <c r="AV166" s="20">
        <v>3.44</v>
      </c>
      <c r="AW166" s="20">
        <v>2.62</v>
      </c>
      <c r="AX166" s="20">
        <v>2.64</v>
      </c>
      <c r="AY166">
        <v>2.64</v>
      </c>
      <c r="AZ166">
        <v>5.9811382595454541</v>
      </c>
      <c r="BD166">
        <v>3.9476524858146643E-2</v>
      </c>
      <c r="BH166">
        <v>7.8953049716293272E-2</v>
      </c>
      <c r="BI166">
        <v>3.9476524858146643E-2</v>
      </c>
      <c r="BJ166">
        <v>0</v>
      </c>
    </row>
    <row r="167" spans="1:68" x14ac:dyDescent="0.3">
      <c r="A167" t="s">
        <v>144</v>
      </c>
      <c r="B167" s="12" t="s">
        <v>768</v>
      </c>
      <c r="C167" s="12"/>
      <c r="F167">
        <v>4.1500000000000004</v>
      </c>
      <c r="G167" t="s">
        <v>135</v>
      </c>
      <c r="H167" s="8">
        <v>-1</v>
      </c>
      <c r="I167">
        <v>-1</v>
      </c>
      <c r="K167">
        <v>1</v>
      </c>
      <c r="L167" s="20">
        <v>0</v>
      </c>
      <c r="M167">
        <v>0</v>
      </c>
      <c r="N167">
        <v>0</v>
      </c>
      <c r="O167">
        <v>3.84</v>
      </c>
      <c r="P167">
        <v>3.84</v>
      </c>
      <c r="Q167">
        <v>11.5395</v>
      </c>
      <c r="R167" t="s">
        <v>439</v>
      </c>
      <c r="T167" s="20">
        <v>0</v>
      </c>
      <c r="U167" s="20"/>
      <c r="V167" s="20"/>
      <c r="W167">
        <v>0</v>
      </c>
      <c r="Z167">
        <v>0</v>
      </c>
      <c r="AC167">
        <v>2</v>
      </c>
      <c r="AD167">
        <v>14</v>
      </c>
      <c r="AE167" s="44">
        <f t="shared" si="6"/>
        <v>170.15685120000001</v>
      </c>
      <c r="AF167" s="46">
        <v>0</v>
      </c>
      <c r="AG167" s="44">
        <v>0</v>
      </c>
      <c r="AH167" s="44">
        <v>0</v>
      </c>
      <c r="AI167" s="41">
        <f t="shared" si="7"/>
        <v>8.2277027937855962E-2</v>
      </c>
      <c r="AJ167" s="40"/>
      <c r="AM167" s="23">
        <v>1.9090909090909089</v>
      </c>
      <c r="AN167" s="23">
        <v>2.545454545454545</v>
      </c>
      <c r="AO167" s="23">
        <v>0.54545454545454541</v>
      </c>
      <c r="AP167" s="23">
        <v>2.9090909090909092</v>
      </c>
      <c r="AQ167" s="23">
        <v>0.2413793103448276</v>
      </c>
      <c r="AR167" s="23">
        <v>0.32183908045977011</v>
      </c>
      <c r="AS167" s="23">
        <v>6.8965517241379309E-2</v>
      </c>
      <c r="AT167" s="23">
        <v>0.36781609195402298</v>
      </c>
      <c r="AU167" s="20">
        <v>0.79</v>
      </c>
      <c r="AV167" s="20">
        <v>3.44</v>
      </c>
      <c r="AW167" s="20">
        <v>2.65</v>
      </c>
      <c r="AX167" s="20">
        <v>2.6372727272727272</v>
      </c>
      <c r="AY167">
        <v>2.6372727272727272</v>
      </c>
      <c r="AZ167">
        <v>5.967615153519545</v>
      </c>
      <c r="BD167">
        <v>4.1138513968927981E-2</v>
      </c>
      <c r="BH167">
        <v>8.2277027937855962E-2</v>
      </c>
      <c r="BI167">
        <v>4.1138513968927981E-2</v>
      </c>
      <c r="BJ167">
        <v>0</v>
      </c>
    </row>
    <row r="168" spans="1:68" x14ac:dyDescent="0.3">
      <c r="A168" t="s">
        <v>145</v>
      </c>
      <c r="B168" s="12" t="s">
        <v>769</v>
      </c>
      <c r="C168" s="12"/>
      <c r="F168">
        <v>4.1500000000000004</v>
      </c>
      <c r="G168" t="s">
        <v>135</v>
      </c>
      <c r="H168" s="8">
        <v>-1</v>
      </c>
      <c r="I168">
        <v>-1</v>
      </c>
      <c r="K168">
        <v>1</v>
      </c>
      <c r="L168" s="20">
        <v>0</v>
      </c>
      <c r="M168">
        <v>0</v>
      </c>
      <c r="N168">
        <v>0</v>
      </c>
      <c r="O168">
        <v>3.85</v>
      </c>
      <c r="P168">
        <v>3.85</v>
      </c>
      <c r="Q168">
        <v>10.95</v>
      </c>
      <c r="R168" t="s">
        <v>439</v>
      </c>
      <c r="T168" s="20">
        <v>0</v>
      </c>
      <c r="U168" s="20"/>
      <c r="V168" s="20"/>
      <c r="W168">
        <v>0</v>
      </c>
      <c r="Z168">
        <v>0</v>
      </c>
      <c r="AC168">
        <v>2</v>
      </c>
      <c r="AD168">
        <v>14</v>
      </c>
      <c r="AE168" s="44">
        <f t="shared" si="6"/>
        <v>162.306375</v>
      </c>
      <c r="AF168" s="46">
        <v>0</v>
      </c>
      <c r="AG168" s="44">
        <v>0</v>
      </c>
      <c r="AH168" s="44">
        <v>0</v>
      </c>
      <c r="AI168" s="41">
        <f t="shared" si="7"/>
        <v>8.6256624239189617E-2</v>
      </c>
      <c r="AJ168" s="40"/>
      <c r="AM168" s="23">
        <v>1.9090909090909089</v>
      </c>
      <c r="AN168" s="23">
        <v>2.545454545454545</v>
      </c>
      <c r="AO168" s="23">
        <v>0.54545454545454541</v>
      </c>
      <c r="AP168" s="23">
        <v>3.0909090909090908</v>
      </c>
      <c r="AQ168" s="23">
        <v>0.2359550561797753</v>
      </c>
      <c r="AR168" s="23">
        <v>0.3146067415730337</v>
      </c>
      <c r="AS168" s="23">
        <v>6.7415730337078636E-2</v>
      </c>
      <c r="AT168" s="23">
        <v>0.38202247191011229</v>
      </c>
      <c r="AU168" s="20">
        <v>1.17</v>
      </c>
      <c r="AV168" s="20">
        <v>3.44</v>
      </c>
      <c r="AW168" s="20">
        <v>2.27</v>
      </c>
      <c r="AX168" s="20">
        <v>2.7681818181818181</v>
      </c>
      <c r="AY168">
        <v>2.768181818181819</v>
      </c>
      <c r="AZ168">
        <v>6.4299203045319091</v>
      </c>
      <c r="BD168">
        <v>4.3128312119594808E-2</v>
      </c>
      <c r="BH168">
        <v>8.6256624239189617E-2</v>
      </c>
      <c r="BI168">
        <v>4.3128312119594808E-2</v>
      </c>
      <c r="BJ168">
        <v>0</v>
      </c>
    </row>
    <row r="169" spans="1:68" x14ac:dyDescent="0.3">
      <c r="A169" t="s">
        <v>146</v>
      </c>
      <c r="B169" s="12" t="s">
        <v>770</v>
      </c>
      <c r="C169" s="12"/>
      <c r="F169">
        <v>4.25</v>
      </c>
      <c r="G169" t="s">
        <v>135</v>
      </c>
      <c r="H169" s="8">
        <v>-1</v>
      </c>
      <c r="I169">
        <v>-1</v>
      </c>
      <c r="K169">
        <v>1</v>
      </c>
      <c r="L169" s="20">
        <v>0</v>
      </c>
      <c r="M169">
        <v>0</v>
      </c>
      <c r="N169">
        <v>0</v>
      </c>
      <c r="O169">
        <v>3.88</v>
      </c>
      <c r="P169">
        <v>3.88</v>
      </c>
      <c r="Q169">
        <v>11.54</v>
      </c>
      <c r="R169" t="s">
        <v>439</v>
      </c>
      <c r="T169" s="20">
        <v>0</v>
      </c>
      <c r="U169" s="20"/>
      <c r="V169" s="20"/>
      <c r="W169">
        <v>0</v>
      </c>
      <c r="Z169">
        <v>0</v>
      </c>
      <c r="AC169">
        <v>2</v>
      </c>
      <c r="AD169">
        <v>14</v>
      </c>
      <c r="AE169" s="44">
        <f t="shared" si="6"/>
        <v>173.72777599999998</v>
      </c>
      <c r="AF169" s="46">
        <v>0</v>
      </c>
      <c r="AG169" s="44">
        <v>0</v>
      </c>
      <c r="AH169" s="44">
        <v>0</v>
      </c>
      <c r="AI169" s="41">
        <f t="shared" si="7"/>
        <v>8.0585847135923747E-2</v>
      </c>
      <c r="AJ169" s="40"/>
      <c r="AM169" s="23">
        <v>1.9090909090909089</v>
      </c>
      <c r="AN169" s="23">
        <v>2.545454545454545</v>
      </c>
      <c r="AO169" s="23">
        <v>0.54545454545454541</v>
      </c>
      <c r="AP169" s="23">
        <v>3.0909090909090908</v>
      </c>
      <c r="AQ169" s="23">
        <v>0.2359550561797753</v>
      </c>
      <c r="AR169" s="23">
        <v>0.3146067415730337</v>
      </c>
      <c r="AS169" s="23">
        <v>6.7415730337078636E-2</v>
      </c>
      <c r="AT169" s="23">
        <v>0.38202247191011229</v>
      </c>
      <c r="AU169" s="20">
        <v>0.93</v>
      </c>
      <c r="AV169" s="20">
        <v>3.44</v>
      </c>
      <c r="AW169" s="20">
        <v>2.5099999999999998</v>
      </c>
      <c r="AX169" s="20">
        <v>2.6527272727272728</v>
      </c>
      <c r="AY169">
        <v>2.6527272727272719</v>
      </c>
      <c r="AZ169">
        <v>6.0360098777272722</v>
      </c>
      <c r="BD169">
        <v>4.0292923567961873E-2</v>
      </c>
      <c r="BH169">
        <v>8.0585847135923747E-2</v>
      </c>
      <c r="BI169">
        <v>4.0292923567961873E-2</v>
      </c>
      <c r="BJ169">
        <v>0</v>
      </c>
    </row>
    <row r="170" spans="1:68" x14ac:dyDescent="0.3">
      <c r="A170" t="s">
        <v>13</v>
      </c>
      <c r="B170" s="12" t="s">
        <v>698</v>
      </c>
      <c r="C170" s="12"/>
      <c r="F170">
        <v>4.25</v>
      </c>
      <c r="G170" t="s">
        <v>135</v>
      </c>
      <c r="H170" s="8">
        <v>-1</v>
      </c>
      <c r="I170">
        <v>-1</v>
      </c>
      <c r="K170">
        <v>1</v>
      </c>
      <c r="L170" s="20">
        <v>0</v>
      </c>
      <c r="M170">
        <v>0</v>
      </c>
      <c r="N170">
        <v>0</v>
      </c>
      <c r="O170">
        <v>3.85</v>
      </c>
      <c r="P170">
        <v>3.85</v>
      </c>
      <c r="Q170">
        <v>11.3</v>
      </c>
      <c r="R170" t="s">
        <v>439</v>
      </c>
      <c r="T170" s="20">
        <v>0</v>
      </c>
      <c r="U170" s="20"/>
      <c r="V170" s="20"/>
      <c r="W170">
        <v>0</v>
      </c>
      <c r="Z170">
        <v>0</v>
      </c>
      <c r="AC170">
        <v>2</v>
      </c>
      <c r="AD170">
        <v>14</v>
      </c>
      <c r="AE170" s="44">
        <f t="shared" si="6"/>
        <v>167.49425000000002</v>
      </c>
      <c r="AF170" s="46">
        <v>0</v>
      </c>
      <c r="AG170" s="44">
        <v>0</v>
      </c>
      <c r="AH170" s="44">
        <v>0</v>
      </c>
      <c r="AI170" s="41">
        <f t="shared" si="7"/>
        <v>8.3584958886648339E-2</v>
      </c>
      <c r="AJ170" s="40"/>
      <c r="AM170" s="23">
        <v>1.9090909090909089</v>
      </c>
      <c r="AN170" s="23">
        <v>2.545454545454545</v>
      </c>
      <c r="AO170" s="23">
        <v>0.54545454545454541</v>
      </c>
      <c r="AP170" s="23">
        <v>3.0909090909090908</v>
      </c>
      <c r="AQ170" s="23">
        <v>0.2359550561797753</v>
      </c>
      <c r="AR170" s="23">
        <v>0.3146067415730337</v>
      </c>
      <c r="AS170" s="23">
        <v>6.7415730337078636E-2</v>
      </c>
      <c r="AT170" s="23">
        <v>0.38202247191011229</v>
      </c>
      <c r="AU170" s="20">
        <v>0.82</v>
      </c>
      <c r="AV170" s="20">
        <v>3.44</v>
      </c>
      <c r="AW170" s="20">
        <v>2.62</v>
      </c>
      <c r="AX170" s="20">
        <v>2.642727272727273</v>
      </c>
      <c r="AY170">
        <v>2.642727272727273</v>
      </c>
      <c r="AZ170">
        <v>5.9894662913636356</v>
      </c>
      <c r="BD170">
        <v>4.1792479443324169E-2</v>
      </c>
      <c r="BH170">
        <v>8.3584958886648339E-2</v>
      </c>
      <c r="BI170">
        <v>4.1792479443324169E-2</v>
      </c>
      <c r="BJ170">
        <v>0</v>
      </c>
    </row>
    <row r="171" spans="1:68" x14ac:dyDescent="0.3">
      <c r="A171" t="s">
        <v>147</v>
      </c>
      <c r="B171" s="12" t="s">
        <v>771</v>
      </c>
      <c r="C171" s="12"/>
      <c r="F171">
        <v>4.25</v>
      </c>
      <c r="G171" t="s">
        <v>135</v>
      </c>
      <c r="H171" s="8">
        <v>-1</v>
      </c>
      <c r="I171">
        <v>-1</v>
      </c>
      <c r="K171">
        <v>1</v>
      </c>
      <c r="L171" s="20">
        <v>0</v>
      </c>
      <c r="M171">
        <v>0</v>
      </c>
      <c r="N171">
        <v>0</v>
      </c>
      <c r="O171">
        <v>3.76</v>
      </c>
      <c r="P171">
        <v>3.76</v>
      </c>
      <c r="Q171">
        <v>11.41</v>
      </c>
      <c r="R171" t="s">
        <v>439</v>
      </c>
      <c r="T171" s="20">
        <v>0</v>
      </c>
      <c r="U171" s="20"/>
      <c r="V171" s="20"/>
      <c r="W171">
        <v>0</v>
      </c>
      <c r="Z171">
        <v>0</v>
      </c>
      <c r="AC171">
        <v>2</v>
      </c>
      <c r="AD171">
        <v>14</v>
      </c>
      <c r="AE171" s="44">
        <f t="shared" si="6"/>
        <v>161.31001599999999</v>
      </c>
      <c r="AF171" s="46">
        <v>0</v>
      </c>
      <c r="AG171" s="44">
        <v>0</v>
      </c>
      <c r="AH171" s="44">
        <v>0</v>
      </c>
      <c r="AI171" s="41">
        <f t="shared" si="7"/>
        <v>8.678940308331505E-2</v>
      </c>
      <c r="AJ171" s="40"/>
      <c r="AM171" s="23">
        <v>1.9090909090909089</v>
      </c>
      <c r="AN171" s="23">
        <v>2.545454545454545</v>
      </c>
      <c r="AO171" s="23">
        <v>0.54545454545454541</v>
      </c>
      <c r="AP171" s="23">
        <v>3.0909090909090908</v>
      </c>
      <c r="AQ171" s="23">
        <v>0.2359550561797753</v>
      </c>
      <c r="AR171" s="23">
        <v>0.3146067415730337</v>
      </c>
      <c r="AS171" s="23">
        <v>6.7415730337078636E-2</v>
      </c>
      <c r="AT171" s="23">
        <v>0.38202247191011229</v>
      </c>
      <c r="AU171" s="20">
        <v>0.79</v>
      </c>
      <c r="AV171" s="20">
        <v>3.44</v>
      </c>
      <c r="AW171" s="20">
        <v>2.65</v>
      </c>
      <c r="AX171" s="20">
        <v>2.64</v>
      </c>
      <c r="AY171">
        <v>2.64</v>
      </c>
      <c r="AZ171">
        <v>5.9759431853377274</v>
      </c>
      <c r="BD171">
        <v>4.3394701541657532E-2</v>
      </c>
      <c r="BH171">
        <v>8.678940308331505E-2</v>
      </c>
      <c r="BI171">
        <v>4.3394701541657532E-2</v>
      </c>
      <c r="BJ171">
        <v>0</v>
      </c>
    </row>
    <row r="172" spans="1:68" x14ac:dyDescent="0.3">
      <c r="A172" t="s">
        <v>148</v>
      </c>
      <c r="B172" s="12" t="s">
        <v>772</v>
      </c>
      <c r="C172" s="12"/>
      <c r="F172">
        <v>3.2</v>
      </c>
      <c r="G172" t="s">
        <v>149</v>
      </c>
      <c r="H172" s="8" t="s">
        <v>577</v>
      </c>
      <c r="I172" t="s">
        <v>653</v>
      </c>
      <c r="L172" s="20">
        <v>1</v>
      </c>
      <c r="M172">
        <v>2</v>
      </c>
      <c r="N172">
        <v>0</v>
      </c>
      <c r="O172">
        <v>3.85</v>
      </c>
      <c r="P172">
        <v>3.85</v>
      </c>
      <c r="Q172">
        <v>28.361999999999998</v>
      </c>
      <c r="R172" t="s">
        <v>440</v>
      </c>
      <c r="T172" s="20">
        <v>14.183127929999999</v>
      </c>
      <c r="U172" s="20">
        <v>14.183127929999999</v>
      </c>
      <c r="V172" s="20">
        <v>14.183127929999999</v>
      </c>
      <c r="W172">
        <v>3.8515000000000001</v>
      </c>
      <c r="X172">
        <v>3.8515000000000001</v>
      </c>
      <c r="Y172">
        <v>28.338999999999999</v>
      </c>
      <c r="Z172">
        <v>0</v>
      </c>
      <c r="AD172">
        <v>20</v>
      </c>
      <c r="AE172" s="44">
        <f t="shared" si="6"/>
        <v>420.39574500000003</v>
      </c>
      <c r="AF172" s="46">
        <v>215.8165104701838</v>
      </c>
      <c r="AG172" s="44">
        <v>420.38220671275002</v>
      </c>
      <c r="AH172" s="44">
        <v>0</v>
      </c>
      <c r="AJ172" s="40">
        <v>9.2671315815585423E-2</v>
      </c>
      <c r="AK172" s="41">
        <v>9.5151505846992876E-2</v>
      </c>
      <c r="AM172" s="23">
        <v>1.9375</v>
      </c>
      <c r="AN172" s="23">
        <v>2.5</v>
      </c>
      <c r="AO172" s="23">
        <v>0.5625</v>
      </c>
      <c r="AP172" s="23">
        <v>2.625</v>
      </c>
      <c r="AQ172" s="23">
        <v>0.25409836065573771</v>
      </c>
      <c r="AR172" s="23">
        <v>0.32786885245901642</v>
      </c>
      <c r="AS172" s="23">
        <v>7.3770491803278687E-2</v>
      </c>
      <c r="AT172" s="23">
        <v>0.34426229508196721</v>
      </c>
      <c r="AU172" s="20">
        <v>0.98</v>
      </c>
      <c r="AV172" s="20">
        <v>3.44</v>
      </c>
      <c r="AW172" s="20">
        <v>2.46</v>
      </c>
      <c r="AX172" s="20">
        <v>2.6175000000000002</v>
      </c>
      <c r="AY172">
        <v>2.6175000000000002</v>
      </c>
      <c r="AZ172">
        <v>6.0217141611250007</v>
      </c>
      <c r="BA172" s="64">
        <v>0.48754533225959679</v>
      </c>
      <c r="BB172" s="64">
        <v>0</v>
      </c>
      <c r="BE172">
        <v>4.6335657907792711E-2</v>
      </c>
      <c r="BF172">
        <v>4.7575752923496438E-2</v>
      </c>
      <c r="BH172">
        <v>9.3911410831289149E-2</v>
      </c>
      <c r="BI172">
        <v>4.6955705415644568E-2</v>
      </c>
      <c r="BJ172">
        <v>0.24377266612979839</v>
      </c>
    </row>
    <row r="173" spans="1:68" x14ac:dyDescent="0.3">
      <c r="A173" t="s">
        <v>63</v>
      </c>
      <c r="B173" s="12" t="s">
        <v>773</v>
      </c>
      <c r="C173" s="12"/>
      <c r="F173">
        <v>3.5</v>
      </c>
      <c r="G173" t="s">
        <v>150</v>
      </c>
      <c r="H173" s="8">
        <v>-1</v>
      </c>
      <c r="I173">
        <v>-1</v>
      </c>
      <c r="J173" t="s">
        <v>1144</v>
      </c>
      <c r="L173" s="20">
        <v>0</v>
      </c>
      <c r="M173">
        <v>0</v>
      </c>
      <c r="N173">
        <v>1</v>
      </c>
      <c r="T173" s="20">
        <v>0</v>
      </c>
      <c r="U173" s="20"/>
      <c r="V173" s="20"/>
      <c r="W173">
        <v>0</v>
      </c>
      <c r="Z173">
        <v>3.8653</v>
      </c>
      <c r="AA173">
        <v>3.8653</v>
      </c>
      <c r="AB173">
        <v>11.0131</v>
      </c>
      <c r="AD173">
        <v>20</v>
      </c>
      <c r="AE173" s="44">
        <f t="shared" si="6"/>
        <v>0</v>
      </c>
      <c r="AF173" s="46">
        <v>0</v>
      </c>
      <c r="AG173" s="44">
        <v>0</v>
      </c>
      <c r="AH173" s="44">
        <v>164.541706117579</v>
      </c>
      <c r="AJ173" s="40"/>
      <c r="AL173" s="41">
        <v>0.12154973028970729</v>
      </c>
      <c r="AM173" s="23">
        <v>1.75</v>
      </c>
      <c r="AN173" s="23">
        <v>2.5</v>
      </c>
      <c r="AO173" s="23">
        <v>0.75</v>
      </c>
      <c r="AP173" s="23">
        <v>0</v>
      </c>
      <c r="AQ173" s="23">
        <v>0.35</v>
      </c>
      <c r="AR173" s="23">
        <v>0.5</v>
      </c>
      <c r="AS173" s="23">
        <v>0.15</v>
      </c>
      <c r="AT173" s="23">
        <v>0</v>
      </c>
      <c r="AU173" s="20">
        <v>1</v>
      </c>
      <c r="AV173" s="20">
        <v>3.44</v>
      </c>
      <c r="AW173" s="20">
        <v>2.44</v>
      </c>
      <c r="AX173" s="20">
        <v>2.7124999999999999</v>
      </c>
      <c r="AY173">
        <v>2.7124999999999999</v>
      </c>
      <c r="AZ173">
        <v>6.264025610615688</v>
      </c>
      <c r="BC173" s="64">
        <v>0.53381265134868672</v>
      </c>
      <c r="BG173">
        <v>6.0774865144853633E-2</v>
      </c>
      <c r="BH173">
        <v>0.12154973028970729</v>
      </c>
      <c r="BI173">
        <v>6.0774865144853633E-2</v>
      </c>
      <c r="BJ173">
        <v>0.53381265134868672</v>
      </c>
      <c r="BP173">
        <v>50</v>
      </c>
    </row>
    <row r="174" spans="1:68" x14ac:dyDescent="0.3">
      <c r="A174" t="s">
        <v>63</v>
      </c>
      <c r="B174" s="12" t="s">
        <v>773</v>
      </c>
      <c r="C174" s="12"/>
      <c r="F174">
        <v>3.5</v>
      </c>
      <c r="G174" t="s">
        <v>152</v>
      </c>
      <c r="H174" s="8">
        <v>-1</v>
      </c>
      <c r="I174">
        <v>-1</v>
      </c>
      <c r="J174" t="s">
        <v>1144</v>
      </c>
      <c r="L174" s="20">
        <v>0</v>
      </c>
      <c r="M174">
        <v>0</v>
      </c>
      <c r="N174">
        <v>1</v>
      </c>
      <c r="O174">
        <v>3.85</v>
      </c>
      <c r="P174">
        <v>3.85</v>
      </c>
      <c r="Q174">
        <v>29.296700000000001</v>
      </c>
      <c r="R174" t="s">
        <v>519</v>
      </c>
      <c r="T174" s="20">
        <v>0</v>
      </c>
      <c r="U174" s="20"/>
      <c r="V174" s="20"/>
      <c r="W174">
        <v>0</v>
      </c>
      <c r="Z174">
        <v>3.8653</v>
      </c>
      <c r="AA174">
        <v>3.8653</v>
      </c>
      <c r="AB174">
        <v>11.0131</v>
      </c>
      <c r="AD174">
        <v>20</v>
      </c>
      <c r="AE174" s="44">
        <f t="shared" si="6"/>
        <v>434.25033575000009</v>
      </c>
      <c r="AF174" s="46">
        <v>0</v>
      </c>
      <c r="AG174" s="44">
        <v>0</v>
      </c>
      <c r="AH174" s="44">
        <v>164.541706117579</v>
      </c>
      <c r="AJ174" s="40"/>
      <c r="AL174" s="41">
        <v>0.12154973028970729</v>
      </c>
      <c r="AM174" s="23">
        <v>1.75</v>
      </c>
      <c r="AN174" s="23">
        <v>2.5</v>
      </c>
      <c r="AO174" s="23">
        <v>0.75</v>
      </c>
      <c r="AP174" s="23">
        <v>0</v>
      </c>
      <c r="AQ174" s="23">
        <v>0.35</v>
      </c>
      <c r="AR174" s="23">
        <v>0.5</v>
      </c>
      <c r="AS174" s="23">
        <v>0.15</v>
      </c>
      <c r="AT174" s="23">
        <v>0</v>
      </c>
      <c r="AU174" s="20">
        <v>1</v>
      </c>
      <c r="AV174" s="20">
        <v>3.44</v>
      </c>
      <c r="AW174" s="20">
        <v>2.44</v>
      </c>
      <c r="AX174" s="20">
        <v>2.7124999999999999</v>
      </c>
      <c r="AY174">
        <v>2.7124999999999999</v>
      </c>
      <c r="AZ174">
        <v>6.264025610615688</v>
      </c>
      <c r="BC174" s="64">
        <v>0.53381265134868672</v>
      </c>
      <c r="BG174">
        <v>6.0774865144853633E-2</v>
      </c>
      <c r="BH174">
        <v>0.12154973028970729</v>
      </c>
      <c r="BI174">
        <v>6.0774865144853633E-2</v>
      </c>
      <c r="BJ174">
        <v>0.53381265134868672</v>
      </c>
      <c r="BP174">
        <v>50</v>
      </c>
    </row>
    <row r="175" spans="1:68" x14ac:dyDescent="0.3">
      <c r="A175" t="s">
        <v>151</v>
      </c>
      <c r="B175" s="12" t="s">
        <v>774</v>
      </c>
      <c r="C175" s="12"/>
      <c r="F175">
        <v>3.3</v>
      </c>
      <c r="G175" t="s">
        <v>152</v>
      </c>
      <c r="H175" s="8">
        <v>-1</v>
      </c>
      <c r="I175">
        <v>-1</v>
      </c>
      <c r="K175">
        <v>2</v>
      </c>
      <c r="L175" s="20">
        <v>0</v>
      </c>
      <c r="M175">
        <v>0</v>
      </c>
      <c r="N175">
        <v>0</v>
      </c>
      <c r="O175">
        <v>3.89</v>
      </c>
      <c r="P175">
        <v>3.89</v>
      </c>
      <c r="Q175">
        <v>33.299999999999997</v>
      </c>
      <c r="R175" t="s">
        <v>519</v>
      </c>
      <c r="T175" s="20">
        <v>0</v>
      </c>
      <c r="U175" s="20"/>
      <c r="V175" s="20"/>
      <c r="W175">
        <v>0</v>
      </c>
      <c r="Z175">
        <v>0</v>
      </c>
      <c r="AD175">
        <v>20</v>
      </c>
      <c r="AE175" s="44">
        <f t="shared" si="6"/>
        <v>503.89893000000001</v>
      </c>
      <c r="AF175" s="46">
        <v>0</v>
      </c>
      <c r="AG175" s="44">
        <v>0</v>
      </c>
      <c r="AH175" s="44">
        <v>0</v>
      </c>
      <c r="AI175" s="41">
        <f t="shared" ref="AI175:AI200" si="8">K175*AD175/AE175</f>
        <v>7.9380998090232108E-2</v>
      </c>
      <c r="AJ175" s="40"/>
      <c r="AM175" s="23">
        <v>1.75</v>
      </c>
      <c r="AN175" s="23">
        <v>2.5</v>
      </c>
      <c r="AO175" s="23">
        <v>0.75</v>
      </c>
      <c r="AP175" s="23">
        <v>0</v>
      </c>
      <c r="AQ175" s="23">
        <v>0.35</v>
      </c>
      <c r="AR175" s="23">
        <v>0.5</v>
      </c>
      <c r="AS175" s="23">
        <v>0.15</v>
      </c>
      <c r="AT175" s="23">
        <v>0</v>
      </c>
      <c r="AU175" s="20">
        <v>0.95</v>
      </c>
      <c r="AV175" s="20">
        <v>3.44</v>
      </c>
      <c r="AW175" s="20">
        <v>2.4900000000000002</v>
      </c>
      <c r="AX175" s="20">
        <v>2.7062499999999998</v>
      </c>
      <c r="AY175">
        <v>2.7062499999999998</v>
      </c>
      <c r="AZ175">
        <v>6.2396022968656872</v>
      </c>
      <c r="BD175">
        <v>3.9690499045116047E-2</v>
      </c>
      <c r="BH175">
        <v>7.9380998090232108E-2</v>
      </c>
      <c r="BI175">
        <v>3.9690499045116047E-2</v>
      </c>
      <c r="BJ175">
        <v>0</v>
      </c>
      <c r="BP175">
        <v>56</v>
      </c>
    </row>
    <row r="176" spans="1:68" x14ac:dyDescent="0.3">
      <c r="A176" t="s">
        <v>153</v>
      </c>
      <c r="B176" s="12" t="s">
        <v>775</v>
      </c>
      <c r="C176" s="12"/>
      <c r="F176">
        <v>3.23</v>
      </c>
      <c r="G176" t="s">
        <v>152</v>
      </c>
      <c r="H176" s="8" t="s">
        <v>578</v>
      </c>
      <c r="I176">
        <v>-1</v>
      </c>
      <c r="J176" t="s">
        <v>1166</v>
      </c>
      <c r="L176" s="20">
        <v>1</v>
      </c>
      <c r="M176">
        <v>0</v>
      </c>
      <c r="N176">
        <v>1</v>
      </c>
      <c r="O176">
        <v>3.89</v>
      </c>
      <c r="P176">
        <v>3.89</v>
      </c>
      <c r="Q176">
        <v>21.29</v>
      </c>
      <c r="R176" t="s">
        <v>519</v>
      </c>
      <c r="T176" s="20">
        <v>3.9263319999999999</v>
      </c>
      <c r="U176" s="20">
        <v>3.9263319999999999</v>
      </c>
      <c r="V176" s="20">
        <v>10.74639</v>
      </c>
      <c r="W176">
        <v>0</v>
      </c>
      <c r="Z176">
        <v>3.8913000000000002</v>
      </c>
      <c r="AA176">
        <v>3.8913000000000002</v>
      </c>
      <c r="AB176">
        <v>10.47</v>
      </c>
      <c r="AD176">
        <v>14</v>
      </c>
      <c r="AE176" s="44">
        <f t="shared" si="6"/>
        <v>322.16240900000003</v>
      </c>
      <c r="AF176" s="46">
        <v>165.66723991337099</v>
      </c>
      <c r="AG176" s="44">
        <v>0</v>
      </c>
      <c r="AH176" s="44">
        <v>158.53899827430001</v>
      </c>
      <c r="AJ176" s="40">
        <v>8.4506749839743392E-2</v>
      </c>
      <c r="AL176" s="41">
        <v>8.8306348295310685E-2</v>
      </c>
      <c r="AM176" s="23">
        <v>1.7272727272727271</v>
      </c>
      <c r="AN176" s="23">
        <v>2.545454545454545</v>
      </c>
      <c r="AO176" s="23">
        <v>0.81818181818181823</v>
      </c>
      <c r="AP176" s="23">
        <v>0</v>
      </c>
      <c r="AQ176" s="23">
        <v>0.3392857142857143</v>
      </c>
      <c r="AR176" s="23">
        <v>0.5</v>
      </c>
      <c r="AS176" s="23">
        <v>0.1607142857142857</v>
      </c>
      <c r="AT176" s="23">
        <v>0</v>
      </c>
      <c r="AU176" s="20">
        <v>1.1000000000000001</v>
      </c>
      <c r="AV176" s="20">
        <v>3.44</v>
      </c>
      <c r="AW176" s="20">
        <v>2.34</v>
      </c>
      <c r="AX176" s="20">
        <v>2.78</v>
      </c>
      <c r="AY176">
        <v>2.78</v>
      </c>
      <c r="AZ176">
        <v>6.4270052227137269</v>
      </c>
      <c r="BA176" s="64">
        <v>0.41874886813759421</v>
      </c>
      <c r="BC176" s="64">
        <v>0</v>
      </c>
      <c r="BE176">
        <v>4.2253374919871717E-2</v>
      </c>
      <c r="BG176">
        <v>4.4153174147655357E-2</v>
      </c>
      <c r="BH176">
        <v>8.6406549067527039E-2</v>
      </c>
      <c r="BI176">
        <v>4.3203274533763533E-2</v>
      </c>
      <c r="BJ176">
        <v>0.20937443406879711</v>
      </c>
      <c r="BP176">
        <v>68</v>
      </c>
    </row>
    <row r="177" spans="1:62" x14ac:dyDescent="0.3">
      <c r="A177" t="s">
        <v>7</v>
      </c>
      <c r="B177" s="12" t="s">
        <v>692</v>
      </c>
      <c r="C177" s="12"/>
      <c r="F177">
        <v>3.47</v>
      </c>
      <c r="G177" t="s">
        <v>154</v>
      </c>
      <c r="H177" s="8">
        <v>-1</v>
      </c>
      <c r="I177">
        <v>-1</v>
      </c>
      <c r="K177">
        <v>8</v>
      </c>
      <c r="L177" s="20">
        <v>0</v>
      </c>
      <c r="M177">
        <v>0</v>
      </c>
      <c r="N177">
        <v>0</v>
      </c>
      <c r="O177">
        <v>7.8209999999999997</v>
      </c>
      <c r="P177">
        <v>7.7649999999999997</v>
      </c>
      <c r="Q177">
        <v>30.08</v>
      </c>
      <c r="R177" t="s">
        <v>495</v>
      </c>
      <c r="T177" s="20">
        <v>0</v>
      </c>
      <c r="U177" s="20"/>
      <c r="V177" s="20"/>
      <c r="W177">
        <v>0</v>
      </c>
      <c r="Z177">
        <v>0</v>
      </c>
      <c r="AD177">
        <v>20</v>
      </c>
      <c r="AE177" s="44">
        <f t="shared" si="6"/>
        <v>1826.7603551999998</v>
      </c>
      <c r="AF177" s="46">
        <v>0</v>
      </c>
      <c r="AG177" s="44">
        <v>0</v>
      </c>
      <c r="AH177" s="44">
        <v>0</v>
      </c>
      <c r="AI177" s="41">
        <f t="shared" si="8"/>
        <v>8.7586748609115E-2</v>
      </c>
      <c r="AJ177" s="40"/>
      <c r="AM177" s="23">
        <v>1.75</v>
      </c>
      <c r="AN177" s="23">
        <v>2.5</v>
      </c>
      <c r="AO177" s="23">
        <v>0.75</v>
      </c>
      <c r="AP177" s="23">
        <v>0</v>
      </c>
      <c r="AQ177" s="23">
        <v>0.35</v>
      </c>
      <c r="AR177" s="23">
        <v>0.5</v>
      </c>
      <c r="AS177" s="23">
        <v>0.15</v>
      </c>
      <c r="AT177" s="23">
        <v>0</v>
      </c>
      <c r="AU177" s="20">
        <v>0.82</v>
      </c>
      <c r="AV177" s="20">
        <v>3.44</v>
      </c>
      <c r="AW177" s="20">
        <v>2.62</v>
      </c>
      <c r="AX177" s="20">
        <v>2.62</v>
      </c>
      <c r="AY177">
        <v>2.62</v>
      </c>
      <c r="AZ177">
        <v>5.9423863675000002</v>
      </c>
      <c r="BD177">
        <v>4.37933743045575E-2</v>
      </c>
      <c r="BH177">
        <v>8.7586748609115E-2</v>
      </c>
      <c r="BI177">
        <v>4.37933743045575E-2</v>
      </c>
      <c r="BJ177">
        <v>0</v>
      </c>
    </row>
    <row r="178" spans="1:62" x14ac:dyDescent="0.3">
      <c r="A178" t="s">
        <v>155</v>
      </c>
      <c r="B178" s="12" t="s">
        <v>776</v>
      </c>
      <c r="C178" s="12"/>
      <c r="F178">
        <v>3.76</v>
      </c>
      <c r="G178" t="s">
        <v>154</v>
      </c>
      <c r="H178" s="8">
        <v>-1</v>
      </c>
      <c r="I178">
        <v>-1</v>
      </c>
      <c r="K178">
        <v>8</v>
      </c>
      <c r="L178" s="20">
        <v>0</v>
      </c>
      <c r="M178">
        <v>0</v>
      </c>
      <c r="N178">
        <v>0</v>
      </c>
      <c r="O178">
        <v>7.8209999999999997</v>
      </c>
      <c r="P178">
        <v>7.7649999999999997</v>
      </c>
      <c r="Q178">
        <v>30.96</v>
      </c>
      <c r="R178" t="s">
        <v>495</v>
      </c>
      <c r="T178" s="20">
        <v>0</v>
      </c>
      <c r="U178" s="20"/>
      <c r="V178" s="20"/>
      <c r="W178">
        <v>0</v>
      </c>
      <c r="Z178">
        <v>0</v>
      </c>
      <c r="AD178">
        <v>20</v>
      </c>
      <c r="AE178" s="44">
        <f t="shared" si="6"/>
        <v>1880.2028123999999</v>
      </c>
      <c r="AF178" s="46">
        <v>0</v>
      </c>
      <c r="AG178" s="44">
        <v>0</v>
      </c>
      <c r="AH178" s="44">
        <v>0</v>
      </c>
      <c r="AI178" s="41">
        <f t="shared" si="8"/>
        <v>8.5097202783016121E-2</v>
      </c>
      <c r="AJ178" s="40"/>
      <c r="AM178" s="23">
        <v>1.8125</v>
      </c>
      <c r="AN178" s="23">
        <v>2.5</v>
      </c>
      <c r="AO178" s="23">
        <v>0.6875</v>
      </c>
      <c r="AP178" s="23">
        <v>0.875</v>
      </c>
      <c r="AQ178" s="23">
        <v>0.30851063829787229</v>
      </c>
      <c r="AR178" s="23">
        <v>0.42553191489361702</v>
      </c>
      <c r="AS178" s="23">
        <v>0.1170212765957447</v>
      </c>
      <c r="AT178" s="23">
        <v>0.14893617021276601</v>
      </c>
      <c r="AU178" s="20">
        <v>0.82</v>
      </c>
      <c r="AV178" s="20">
        <v>3.44</v>
      </c>
      <c r="AW178" s="20">
        <v>2.62</v>
      </c>
      <c r="AX178" s="20">
        <v>2.61375</v>
      </c>
      <c r="AY178">
        <v>2.61375</v>
      </c>
      <c r="AZ178">
        <v>5.9485249299999996</v>
      </c>
      <c r="BD178">
        <v>4.254860139150806E-2</v>
      </c>
      <c r="BH178">
        <v>8.5097202783016121E-2</v>
      </c>
      <c r="BI178">
        <v>4.254860139150806E-2</v>
      </c>
      <c r="BJ178">
        <v>0</v>
      </c>
    </row>
    <row r="179" spans="1:62" x14ac:dyDescent="0.3">
      <c r="A179" t="s">
        <v>156</v>
      </c>
      <c r="B179" s="12" t="s">
        <v>777</v>
      </c>
      <c r="C179" s="12"/>
      <c r="F179">
        <v>3.76</v>
      </c>
      <c r="G179" t="s">
        <v>154</v>
      </c>
      <c r="H179" s="8">
        <v>-1</v>
      </c>
      <c r="I179">
        <v>-1</v>
      </c>
      <c r="K179">
        <v>8</v>
      </c>
      <c r="L179" s="20">
        <v>0</v>
      </c>
      <c r="M179">
        <v>0</v>
      </c>
      <c r="N179">
        <v>0</v>
      </c>
      <c r="O179">
        <v>7.8209999999999997</v>
      </c>
      <c r="P179">
        <v>7.7649999999999997</v>
      </c>
      <c r="Q179">
        <v>29.84</v>
      </c>
      <c r="R179" t="s">
        <v>495</v>
      </c>
      <c r="T179" s="20">
        <v>0</v>
      </c>
      <c r="U179" s="20"/>
      <c r="V179" s="20"/>
      <c r="W179">
        <v>0</v>
      </c>
      <c r="Z179">
        <v>0</v>
      </c>
      <c r="AD179">
        <v>20</v>
      </c>
      <c r="AE179" s="44">
        <f t="shared" si="6"/>
        <v>1812.1851396</v>
      </c>
      <c r="AF179" s="46">
        <v>0</v>
      </c>
      <c r="AG179" s="44">
        <v>0</v>
      </c>
      <c r="AH179" s="44">
        <v>0</v>
      </c>
      <c r="AI179" s="41">
        <f t="shared" si="8"/>
        <v>8.8291199670314305E-2</v>
      </c>
      <c r="AJ179" s="40"/>
      <c r="AM179" s="23">
        <v>1.8666666666666669</v>
      </c>
      <c r="AN179" s="23">
        <v>2.666666666666667</v>
      </c>
      <c r="AO179" s="23">
        <v>0.46666666666666667</v>
      </c>
      <c r="AP179" s="23">
        <v>0.93333333333333335</v>
      </c>
      <c r="AQ179" s="23">
        <v>0.3146067415730337</v>
      </c>
      <c r="AR179" s="23">
        <v>0.44943820224719089</v>
      </c>
      <c r="AS179" s="23">
        <v>7.8651685393258425E-2</v>
      </c>
      <c r="AT179" s="23">
        <v>0.15730337078651679</v>
      </c>
      <c r="AU179" s="20">
        <v>0.82</v>
      </c>
      <c r="AV179" s="20">
        <v>3.44</v>
      </c>
      <c r="AW179" s="20">
        <v>2.62</v>
      </c>
      <c r="AX179" s="20">
        <v>2.6813333333333329</v>
      </c>
      <c r="AY179">
        <v>2.6813333333333329</v>
      </c>
      <c r="AZ179">
        <v>6.0892180253333326</v>
      </c>
      <c r="BD179">
        <v>4.4145599835157152E-2</v>
      </c>
      <c r="BH179">
        <v>8.8291199670314305E-2</v>
      </c>
      <c r="BI179">
        <v>4.4145599835157152E-2</v>
      </c>
      <c r="BJ179">
        <v>0</v>
      </c>
    </row>
    <row r="180" spans="1:62" x14ac:dyDescent="0.3">
      <c r="A180" t="s">
        <v>157</v>
      </c>
      <c r="B180" s="12" t="s">
        <v>778</v>
      </c>
      <c r="C180" s="12"/>
      <c r="F180">
        <v>3.91</v>
      </c>
      <c r="G180" t="s">
        <v>154</v>
      </c>
      <c r="H180" s="8">
        <v>-1</v>
      </c>
      <c r="I180">
        <v>-1</v>
      </c>
      <c r="K180">
        <v>8</v>
      </c>
      <c r="L180" s="20">
        <v>0</v>
      </c>
      <c r="M180">
        <v>0</v>
      </c>
      <c r="N180">
        <v>0</v>
      </c>
      <c r="O180">
        <v>7.8209999999999997</v>
      </c>
      <c r="P180">
        <v>7.7649999999999997</v>
      </c>
      <c r="Q180">
        <v>30.08</v>
      </c>
      <c r="R180" t="s">
        <v>495</v>
      </c>
      <c r="T180" s="20">
        <v>0</v>
      </c>
      <c r="U180" s="20"/>
      <c r="V180" s="20"/>
      <c r="W180">
        <v>0</v>
      </c>
      <c r="Z180">
        <v>0</v>
      </c>
      <c r="AD180">
        <v>20</v>
      </c>
      <c r="AE180" s="44">
        <f t="shared" si="6"/>
        <v>1826.7603551999998</v>
      </c>
      <c r="AF180" s="46">
        <v>0</v>
      </c>
      <c r="AG180" s="44">
        <v>0</v>
      </c>
      <c r="AH180" s="44">
        <v>0</v>
      </c>
      <c r="AI180" s="41">
        <f t="shared" si="8"/>
        <v>8.7586748609115E-2</v>
      </c>
      <c r="AJ180" s="40"/>
      <c r="AM180" s="23">
        <v>1.875</v>
      </c>
      <c r="AN180" s="23">
        <v>2.5</v>
      </c>
      <c r="AO180" s="23">
        <v>0.625</v>
      </c>
      <c r="AP180" s="23">
        <v>1.75</v>
      </c>
      <c r="AQ180" s="23">
        <v>0.27777777777777779</v>
      </c>
      <c r="AR180" s="23">
        <v>0.37037037037037029</v>
      </c>
      <c r="AS180" s="23">
        <v>9.2592592592592587E-2</v>
      </c>
      <c r="AT180" s="23">
        <v>0.25925925925925919</v>
      </c>
      <c r="AU180" s="20">
        <v>0.82</v>
      </c>
      <c r="AV180" s="20">
        <v>3.44</v>
      </c>
      <c r="AW180" s="20">
        <v>2.62</v>
      </c>
      <c r="AX180" s="20">
        <v>2.6074999999999999</v>
      </c>
      <c r="AY180">
        <v>2.6074999999999999</v>
      </c>
      <c r="AZ180">
        <v>5.9546634925000008</v>
      </c>
      <c r="BD180">
        <v>4.37933743045575E-2</v>
      </c>
      <c r="BH180">
        <v>8.7586748609115E-2</v>
      </c>
      <c r="BI180">
        <v>4.37933743045575E-2</v>
      </c>
      <c r="BJ180">
        <v>0</v>
      </c>
    </row>
    <row r="181" spans="1:62" x14ac:dyDescent="0.3">
      <c r="A181" t="s">
        <v>158</v>
      </c>
      <c r="B181" s="12" t="s">
        <v>779</v>
      </c>
      <c r="C181" s="12"/>
      <c r="F181">
        <v>4.29</v>
      </c>
      <c r="G181" t="s">
        <v>154</v>
      </c>
      <c r="H181" s="8">
        <v>-1</v>
      </c>
      <c r="I181">
        <v>-1</v>
      </c>
      <c r="K181">
        <v>8</v>
      </c>
      <c r="L181" s="20">
        <v>0</v>
      </c>
      <c r="M181">
        <v>0</v>
      </c>
      <c r="N181">
        <v>0</v>
      </c>
      <c r="O181">
        <v>7.8440000000000003</v>
      </c>
      <c r="P181">
        <v>7.7690000000000001</v>
      </c>
      <c r="Q181">
        <v>29.72</v>
      </c>
      <c r="R181" t="s">
        <v>495</v>
      </c>
      <c r="T181" s="20">
        <v>0</v>
      </c>
      <c r="U181" s="20"/>
      <c r="V181" s="20"/>
      <c r="W181">
        <v>0</v>
      </c>
      <c r="Z181">
        <v>0</v>
      </c>
      <c r="AD181">
        <v>20</v>
      </c>
      <c r="AE181" s="44">
        <f t="shared" si="6"/>
        <v>1811.1378699200002</v>
      </c>
      <c r="AF181" s="46">
        <v>0</v>
      </c>
      <c r="AG181" s="44">
        <v>0</v>
      </c>
      <c r="AH181" s="44">
        <v>0</v>
      </c>
      <c r="AI181" s="41">
        <f t="shared" si="8"/>
        <v>8.8342253042871535E-2</v>
      </c>
      <c r="AJ181" s="40"/>
      <c r="AM181" s="23">
        <v>1.9375</v>
      </c>
      <c r="AN181" s="23">
        <v>2.5</v>
      </c>
      <c r="AO181" s="23">
        <v>0.5625</v>
      </c>
      <c r="AP181" s="23">
        <v>2.625</v>
      </c>
      <c r="AQ181" s="23">
        <v>0.25409836065573771</v>
      </c>
      <c r="AR181" s="23">
        <v>0.32786885245901642</v>
      </c>
      <c r="AS181" s="23">
        <v>7.3770491803278687E-2</v>
      </c>
      <c r="AT181" s="23">
        <v>0.34426229508196721</v>
      </c>
      <c r="AU181" s="20">
        <v>0.82</v>
      </c>
      <c r="AV181" s="20">
        <v>3.44</v>
      </c>
      <c r="AW181" s="20">
        <v>2.62</v>
      </c>
      <c r="AX181" s="20">
        <v>2.6012499999999998</v>
      </c>
      <c r="AY181">
        <v>2.6012499999999998</v>
      </c>
      <c r="AZ181">
        <v>5.9608020550000003</v>
      </c>
      <c r="BD181">
        <v>4.4171126521435768E-2</v>
      </c>
      <c r="BH181">
        <v>8.8342253042871535E-2</v>
      </c>
      <c r="BI181">
        <v>4.4171126521435768E-2</v>
      </c>
      <c r="BJ181">
        <v>0</v>
      </c>
    </row>
    <row r="182" spans="1:62" x14ac:dyDescent="0.3">
      <c r="A182" t="s">
        <v>151</v>
      </c>
      <c r="B182" s="12" t="s">
        <v>774</v>
      </c>
      <c r="C182" s="12"/>
      <c r="F182">
        <v>3.5</v>
      </c>
      <c r="G182" t="s">
        <v>154</v>
      </c>
      <c r="H182" s="8">
        <v>-1</v>
      </c>
      <c r="I182">
        <v>-1</v>
      </c>
      <c r="K182">
        <v>8</v>
      </c>
      <c r="L182" s="20">
        <v>0</v>
      </c>
      <c r="M182">
        <v>0</v>
      </c>
      <c r="N182">
        <v>0</v>
      </c>
      <c r="O182">
        <f>3.907*2</f>
        <v>7.8140000000000001</v>
      </c>
      <c r="P182">
        <f>3.907*2</f>
        <v>7.8140000000000001</v>
      </c>
      <c r="Q182">
        <v>33.06</v>
      </c>
      <c r="T182" s="20">
        <v>0</v>
      </c>
      <c r="U182" s="20"/>
      <c r="V182" s="20"/>
      <c r="W182">
        <v>0</v>
      </c>
      <c r="Z182">
        <v>0</v>
      </c>
      <c r="AD182">
        <v>20</v>
      </c>
      <c r="AE182" s="44">
        <f t="shared" si="6"/>
        <v>2018.5971837600002</v>
      </c>
      <c r="AF182" s="46">
        <v>0</v>
      </c>
      <c r="AG182" s="44">
        <v>0</v>
      </c>
      <c r="AH182" s="44">
        <v>0</v>
      </c>
      <c r="AI182" s="41">
        <f t="shared" si="8"/>
        <v>7.9262966027710005E-2</v>
      </c>
      <c r="AJ182" s="40"/>
      <c r="AM182" s="23">
        <v>1.75</v>
      </c>
      <c r="AN182" s="23">
        <v>2.5</v>
      </c>
      <c r="AO182" s="23">
        <v>0.75</v>
      </c>
      <c r="AP182" s="23">
        <v>0</v>
      </c>
      <c r="AQ182" s="23">
        <v>0.35</v>
      </c>
      <c r="AR182" s="23">
        <v>0.5</v>
      </c>
      <c r="AS182" s="23">
        <v>0.15</v>
      </c>
      <c r="AT182" s="23">
        <v>0</v>
      </c>
      <c r="AU182" s="20">
        <v>0.95</v>
      </c>
      <c r="AV182" s="20">
        <v>3.44</v>
      </c>
      <c r="AW182" s="20">
        <v>2.4900000000000002</v>
      </c>
      <c r="AX182" s="20">
        <v>2.7062499999999998</v>
      </c>
      <c r="AY182">
        <v>2.7062499999999998</v>
      </c>
      <c r="AZ182">
        <v>6.2396022968656872</v>
      </c>
      <c r="BD182">
        <v>3.9631483013855003E-2</v>
      </c>
      <c r="BH182">
        <v>7.9262966027710005E-2</v>
      </c>
      <c r="BI182">
        <v>3.9631483013855003E-2</v>
      </c>
      <c r="BJ182">
        <v>0</v>
      </c>
    </row>
    <row r="183" spans="1:62" x14ac:dyDescent="0.3">
      <c r="A183" t="s">
        <v>159</v>
      </c>
      <c r="B183" s="12" t="s">
        <v>780</v>
      </c>
      <c r="C183" s="12"/>
      <c r="F183">
        <v>3.77</v>
      </c>
      <c r="G183" t="s">
        <v>154</v>
      </c>
      <c r="H183" s="8">
        <v>-1</v>
      </c>
      <c r="I183">
        <v>-1</v>
      </c>
      <c r="K183">
        <v>8</v>
      </c>
      <c r="L183" s="20">
        <v>0</v>
      </c>
      <c r="M183">
        <v>0</v>
      </c>
      <c r="N183">
        <v>0</v>
      </c>
      <c r="O183">
        <f t="shared" ref="O183:P186" si="9">3.907*2</f>
        <v>7.8140000000000001</v>
      </c>
      <c r="P183">
        <f t="shared" si="9"/>
        <v>7.8140000000000001</v>
      </c>
      <c r="Q183">
        <v>32.86</v>
      </c>
      <c r="T183" s="20">
        <v>0</v>
      </c>
      <c r="U183" s="20"/>
      <c r="V183" s="20"/>
      <c r="W183">
        <v>0</v>
      </c>
      <c r="Z183">
        <v>0</v>
      </c>
      <c r="AD183">
        <v>20</v>
      </c>
      <c r="AE183" s="44">
        <f t="shared" si="6"/>
        <v>2006.3854645599999</v>
      </c>
      <c r="AF183" s="46">
        <v>0</v>
      </c>
      <c r="AG183" s="44">
        <v>0</v>
      </c>
      <c r="AH183" s="44">
        <v>0</v>
      </c>
      <c r="AI183" s="41">
        <f t="shared" si="8"/>
        <v>7.9745394305419756E-2</v>
      </c>
      <c r="AJ183" s="40"/>
      <c r="AM183" s="23">
        <v>1.8125</v>
      </c>
      <c r="AN183" s="23">
        <v>2.5</v>
      </c>
      <c r="AO183" s="23">
        <v>0.6875</v>
      </c>
      <c r="AP183" s="23">
        <v>0.875</v>
      </c>
      <c r="AQ183" s="23">
        <v>0.30851063829787229</v>
      </c>
      <c r="AR183" s="23">
        <v>0.42553191489361702</v>
      </c>
      <c r="AS183" s="23">
        <v>0.1170212765957447</v>
      </c>
      <c r="AT183" s="23">
        <v>0.14893617021276601</v>
      </c>
      <c r="AU183" s="20">
        <v>0.95</v>
      </c>
      <c r="AV183" s="20">
        <v>3.44</v>
      </c>
      <c r="AW183" s="20">
        <v>2.4900000000000002</v>
      </c>
      <c r="AX183" s="20">
        <v>2.7</v>
      </c>
      <c r="AY183">
        <v>2.7</v>
      </c>
      <c r="AZ183">
        <v>6.2457408593656876</v>
      </c>
      <c r="BD183">
        <v>3.9872697152709878E-2</v>
      </c>
      <c r="BH183">
        <v>7.9745394305419756E-2</v>
      </c>
      <c r="BI183">
        <v>3.9872697152709878E-2</v>
      </c>
      <c r="BJ183">
        <v>0</v>
      </c>
    </row>
    <row r="184" spans="1:62" x14ac:dyDescent="0.3">
      <c r="A184" t="s">
        <v>160</v>
      </c>
      <c r="B184" s="12" t="s">
        <v>781</v>
      </c>
      <c r="C184" s="12"/>
      <c r="F184">
        <v>3.8</v>
      </c>
      <c r="G184" t="s">
        <v>154</v>
      </c>
      <c r="H184" s="8">
        <v>-1</v>
      </c>
      <c r="I184">
        <v>-1</v>
      </c>
      <c r="K184">
        <v>8</v>
      </c>
      <c r="L184" s="20">
        <v>0</v>
      </c>
      <c r="M184">
        <v>0</v>
      </c>
      <c r="N184">
        <v>0</v>
      </c>
      <c r="O184">
        <f t="shared" si="9"/>
        <v>7.8140000000000001</v>
      </c>
      <c r="P184">
        <f t="shared" si="9"/>
        <v>7.8140000000000001</v>
      </c>
      <c r="Q184">
        <v>32.42</v>
      </c>
      <c r="T184" s="20">
        <v>0</v>
      </c>
      <c r="U184" s="20"/>
      <c r="V184" s="20"/>
      <c r="W184">
        <v>0</v>
      </c>
      <c r="Z184">
        <v>0</v>
      </c>
      <c r="AD184">
        <v>20</v>
      </c>
      <c r="AE184" s="44">
        <f t="shared" si="6"/>
        <v>1979.5196823200001</v>
      </c>
      <c r="AF184" s="46">
        <v>0</v>
      </c>
      <c r="AG184" s="44">
        <v>0</v>
      </c>
      <c r="AH184" s="44">
        <v>0</v>
      </c>
      <c r="AI184" s="41">
        <f t="shared" si="8"/>
        <v>8.082768836755376E-2</v>
      </c>
      <c r="AJ184" s="40"/>
      <c r="AM184" s="23">
        <v>1.8666666666666669</v>
      </c>
      <c r="AN184" s="23">
        <v>2.666666666666667</v>
      </c>
      <c r="AO184" s="23">
        <v>0.46666666666666667</v>
      </c>
      <c r="AP184" s="23">
        <v>0.93333333333333335</v>
      </c>
      <c r="AQ184" s="23">
        <v>0.3146067415730337</v>
      </c>
      <c r="AR184" s="23">
        <v>0.44943820224719089</v>
      </c>
      <c r="AS184" s="23">
        <v>7.8651685393258425E-2</v>
      </c>
      <c r="AT184" s="23">
        <v>0.15730337078651679</v>
      </c>
      <c r="AU184" s="20">
        <v>0.95</v>
      </c>
      <c r="AV184" s="20">
        <v>3.44</v>
      </c>
      <c r="AW184" s="20">
        <v>2.4900000000000002</v>
      </c>
      <c r="AX184" s="20">
        <v>2.773333333333333</v>
      </c>
      <c r="AY184">
        <v>2.773333333333333</v>
      </c>
      <c r="AZ184">
        <v>6.4062483499900669</v>
      </c>
      <c r="BD184">
        <v>4.041384418377688E-2</v>
      </c>
      <c r="BH184">
        <v>8.082768836755376E-2</v>
      </c>
      <c r="BI184">
        <v>4.041384418377688E-2</v>
      </c>
      <c r="BJ184">
        <v>0</v>
      </c>
    </row>
    <row r="185" spans="1:62" x14ac:dyDescent="0.3">
      <c r="A185" t="s">
        <v>161</v>
      </c>
      <c r="B185" s="12" t="s">
        <v>782</v>
      </c>
      <c r="C185" s="12"/>
      <c r="F185">
        <v>3.92</v>
      </c>
      <c r="G185" t="s">
        <v>154</v>
      </c>
      <c r="H185" s="8">
        <v>-1</v>
      </c>
      <c r="I185">
        <v>-1</v>
      </c>
      <c r="K185">
        <v>8</v>
      </c>
      <c r="L185" s="20">
        <v>0</v>
      </c>
      <c r="M185">
        <v>0</v>
      </c>
      <c r="N185">
        <v>0</v>
      </c>
      <c r="O185">
        <f t="shared" si="9"/>
        <v>7.8140000000000001</v>
      </c>
      <c r="P185">
        <f t="shared" si="9"/>
        <v>7.8140000000000001</v>
      </c>
      <c r="Q185">
        <v>32.58</v>
      </c>
      <c r="T185" s="20">
        <v>0</v>
      </c>
      <c r="U185" s="20"/>
      <c r="V185" s="20"/>
      <c r="W185">
        <v>0</v>
      </c>
      <c r="Z185">
        <v>0</v>
      </c>
      <c r="AD185">
        <v>20</v>
      </c>
      <c r="AE185" s="44">
        <f t="shared" si="6"/>
        <v>1989.28905768</v>
      </c>
      <c r="AF185" s="46">
        <v>0</v>
      </c>
      <c r="AG185" s="44">
        <v>0</v>
      </c>
      <c r="AH185" s="44">
        <v>0</v>
      </c>
      <c r="AI185" s="41">
        <f t="shared" si="8"/>
        <v>8.0430744532722323E-2</v>
      </c>
      <c r="AJ185" s="40"/>
      <c r="AM185" s="23">
        <v>1.875</v>
      </c>
      <c r="AN185" s="23">
        <v>2.5</v>
      </c>
      <c r="AO185" s="23">
        <v>0.625</v>
      </c>
      <c r="AP185" s="23">
        <v>1.75</v>
      </c>
      <c r="AQ185" s="23">
        <v>0.27777777777777779</v>
      </c>
      <c r="AR185" s="23">
        <v>0.37037037037037029</v>
      </c>
      <c r="AS185" s="23">
        <v>9.2592592592592587E-2</v>
      </c>
      <c r="AT185" s="23">
        <v>0.25925925925925919</v>
      </c>
      <c r="AU185" s="20">
        <v>0.95</v>
      </c>
      <c r="AV185" s="20">
        <v>3.44</v>
      </c>
      <c r="AW185" s="20">
        <v>2.4900000000000002</v>
      </c>
      <c r="AX185" s="20">
        <v>2.6937500000000001</v>
      </c>
      <c r="AY185">
        <v>2.6937500000000001</v>
      </c>
      <c r="AZ185">
        <v>6.2518794218656879</v>
      </c>
      <c r="BD185">
        <v>4.0215372266361162E-2</v>
      </c>
      <c r="BH185">
        <v>8.0430744532722323E-2</v>
      </c>
      <c r="BI185">
        <v>4.0215372266361162E-2</v>
      </c>
      <c r="BJ185">
        <v>0</v>
      </c>
    </row>
    <row r="186" spans="1:62" x14ac:dyDescent="0.3">
      <c r="A186" t="s">
        <v>162</v>
      </c>
      <c r="B186" s="12" t="s">
        <v>783</v>
      </c>
      <c r="C186" s="12"/>
      <c r="F186">
        <v>4.25</v>
      </c>
      <c r="G186" t="s">
        <v>154</v>
      </c>
      <c r="H186" s="8">
        <v>-1</v>
      </c>
      <c r="I186">
        <v>-1</v>
      </c>
      <c r="K186">
        <v>8</v>
      </c>
      <c r="L186" s="20">
        <v>0</v>
      </c>
      <c r="M186">
        <v>0</v>
      </c>
      <c r="N186">
        <v>0</v>
      </c>
      <c r="O186">
        <f t="shared" si="9"/>
        <v>7.8140000000000001</v>
      </c>
      <c r="P186">
        <f t="shared" si="9"/>
        <v>7.8140000000000001</v>
      </c>
      <c r="Q186">
        <v>31.54</v>
      </c>
      <c r="T186" s="20">
        <v>0</v>
      </c>
      <c r="U186" s="20"/>
      <c r="V186" s="20"/>
      <c r="W186">
        <v>0</v>
      </c>
      <c r="Z186">
        <v>0</v>
      </c>
      <c r="AD186">
        <v>20</v>
      </c>
      <c r="AE186" s="44">
        <f t="shared" si="6"/>
        <v>1925.78811784</v>
      </c>
      <c r="AF186" s="46">
        <v>0</v>
      </c>
      <c r="AG186" s="44">
        <v>0</v>
      </c>
      <c r="AH186" s="44">
        <v>0</v>
      </c>
      <c r="AI186" s="41">
        <f t="shared" si="8"/>
        <v>8.3082868004949059E-2</v>
      </c>
      <c r="AJ186" s="40"/>
      <c r="AM186" s="23">
        <v>1.9375</v>
      </c>
      <c r="AN186" s="23">
        <v>2.5</v>
      </c>
      <c r="AO186" s="23">
        <v>0.5625</v>
      </c>
      <c r="AP186" s="23">
        <v>2.625</v>
      </c>
      <c r="AQ186" s="23">
        <v>0.25409836065573771</v>
      </c>
      <c r="AR186" s="23">
        <v>0.32786885245901642</v>
      </c>
      <c r="AS186" s="23">
        <v>7.3770491803278687E-2</v>
      </c>
      <c r="AT186" s="23">
        <v>0.34426229508196721</v>
      </c>
      <c r="AU186" s="20">
        <v>0.95</v>
      </c>
      <c r="AV186" s="20">
        <v>3.44</v>
      </c>
      <c r="AW186" s="20">
        <v>2.4900000000000002</v>
      </c>
      <c r="AX186" s="20">
        <v>2.6875</v>
      </c>
      <c r="AY186">
        <v>2.6875</v>
      </c>
      <c r="AZ186">
        <v>6.2580179843656882</v>
      </c>
      <c r="BD186">
        <v>4.154143400247453E-2</v>
      </c>
      <c r="BH186">
        <v>8.3082868004949059E-2</v>
      </c>
      <c r="BI186">
        <v>4.154143400247453E-2</v>
      </c>
      <c r="BJ186">
        <v>0</v>
      </c>
    </row>
    <row r="187" spans="1:62" x14ac:dyDescent="0.3">
      <c r="A187" t="s">
        <v>151</v>
      </c>
      <c r="B187" s="16" t="s">
        <v>774</v>
      </c>
      <c r="C187" s="12"/>
      <c r="D187" t="s">
        <v>863</v>
      </c>
      <c r="E187">
        <v>4</v>
      </c>
      <c r="F187">
        <v>3.35</v>
      </c>
      <c r="G187" t="s">
        <v>154</v>
      </c>
      <c r="H187" s="8">
        <v>-1</v>
      </c>
      <c r="I187">
        <v>-1</v>
      </c>
      <c r="K187">
        <v>8</v>
      </c>
      <c r="L187" s="20">
        <v>0</v>
      </c>
      <c r="M187">
        <v>0</v>
      </c>
      <c r="N187">
        <v>0</v>
      </c>
      <c r="O187">
        <f>3.88*2</f>
        <v>7.76</v>
      </c>
      <c r="P187">
        <f>3.88*2</f>
        <v>7.76</v>
      </c>
      <c r="Q187">
        <v>33</v>
      </c>
      <c r="T187" s="20">
        <v>0</v>
      </c>
      <c r="U187" s="20"/>
      <c r="V187" s="20"/>
      <c r="W187">
        <v>0</v>
      </c>
      <c r="Z187">
        <v>0</v>
      </c>
      <c r="AD187">
        <v>20</v>
      </c>
      <c r="AE187" s="44">
        <f t="shared" si="6"/>
        <v>1987.1807999999999</v>
      </c>
      <c r="AF187" s="46">
        <v>0</v>
      </c>
      <c r="AG187" s="44">
        <v>0</v>
      </c>
      <c r="AH187" s="44">
        <v>0</v>
      </c>
      <c r="AI187" s="41">
        <f t="shared" si="8"/>
        <v>8.0516075839702161E-2</v>
      </c>
      <c r="AJ187" s="40"/>
      <c r="AM187" s="23">
        <v>1.75</v>
      </c>
      <c r="AN187" s="23">
        <v>2.5</v>
      </c>
      <c r="AO187" s="23">
        <v>0.75</v>
      </c>
      <c r="AP187" s="23">
        <v>0</v>
      </c>
      <c r="AQ187" s="23">
        <v>0.35</v>
      </c>
      <c r="AR187" s="23">
        <v>0.5</v>
      </c>
      <c r="AS187" s="23">
        <v>0.15</v>
      </c>
      <c r="AT187" s="23">
        <v>0</v>
      </c>
      <c r="AU187" s="20">
        <v>0.95</v>
      </c>
      <c r="AV187" s="20">
        <v>3.44</v>
      </c>
      <c r="AW187" s="20">
        <v>2.4900000000000002</v>
      </c>
      <c r="AX187" s="20">
        <v>2.7062499999999998</v>
      </c>
      <c r="AY187">
        <v>2.7062499999999998</v>
      </c>
      <c r="AZ187">
        <v>6.2396022968656872</v>
      </c>
      <c r="BD187">
        <v>4.0258037919851081E-2</v>
      </c>
      <c r="BH187">
        <v>8.0516075839702161E-2</v>
      </c>
      <c r="BI187">
        <v>4.0258037919851081E-2</v>
      </c>
      <c r="BJ187">
        <v>0</v>
      </c>
    </row>
    <row r="188" spans="1:62" x14ac:dyDescent="0.3">
      <c r="A188" t="s">
        <v>159</v>
      </c>
      <c r="B188" s="16" t="s">
        <v>780</v>
      </c>
      <c r="C188" s="12"/>
      <c r="D188" t="s">
        <v>863</v>
      </c>
      <c r="E188">
        <v>4</v>
      </c>
      <c r="F188">
        <v>3.74</v>
      </c>
      <c r="G188" t="s">
        <v>154</v>
      </c>
      <c r="H188" s="8">
        <v>-1</v>
      </c>
      <c r="I188">
        <v>-1</v>
      </c>
      <c r="K188">
        <v>8</v>
      </c>
      <c r="L188" s="20">
        <v>0</v>
      </c>
      <c r="M188">
        <v>0</v>
      </c>
      <c r="N188">
        <v>0</v>
      </c>
      <c r="O188">
        <f t="shared" ref="O188:P191" si="10">3.88*2</f>
        <v>7.76</v>
      </c>
      <c r="P188">
        <f t="shared" si="10"/>
        <v>7.76</v>
      </c>
      <c r="Q188">
        <v>33.08</v>
      </c>
      <c r="T188" s="20">
        <v>0</v>
      </c>
      <c r="U188" s="20"/>
      <c r="V188" s="20"/>
      <c r="W188">
        <v>0</v>
      </c>
      <c r="Z188">
        <v>0</v>
      </c>
      <c r="AD188">
        <v>20</v>
      </c>
      <c r="AE188" s="44">
        <f t="shared" si="6"/>
        <v>1991.9982079999997</v>
      </c>
      <c r="AF188" s="46">
        <v>0</v>
      </c>
      <c r="AG188" s="44">
        <v>0</v>
      </c>
      <c r="AH188" s="44">
        <v>0</v>
      </c>
      <c r="AI188" s="41">
        <f t="shared" si="8"/>
        <v>8.0321357397526341E-2</v>
      </c>
      <c r="AJ188" s="40"/>
      <c r="AM188" s="23">
        <v>1.8125</v>
      </c>
      <c r="AN188" s="23">
        <v>2.5</v>
      </c>
      <c r="AO188" s="23">
        <v>0.6875</v>
      </c>
      <c r="AP188" s="23">
        <v>0.875</v>
      </c>
      <c r="AQ188" s="23">
        <v>0.30851063829787229</v>
      </c>
      <c r="AR188" s="23">
        <v>0.42553191489361702</v>
      </c>
      <c r="AS188" s="23">
        <v>0.1170212765957447</v>
      </c>
      <c r="AT188" s="23">
        <v>0.14893617021276601</v>
      </c>
      <c r="AU188" s="20">
        <v>0.95</v>
      </c>
      <c r="AV188" s="20">
        <v>3.44</v>
      </c>
      <c r="AW188" s="20">
        <v>2.4900000000000002</v>
      </c>
      <c r="AX188" s="20">
        <v>2.7</v>
      </c>
      <c r="AY188">
        <v>2.7</v>
      </c>
      <c r="AZ188">
        <v>6.2457408593656876</v>
      </c>
      <c r="BD188">
        <v>4.0160678698763171E-2</v>
      </c>
      <c r="BH188">
        <v>8.0321357397526341E-2</v>
      </c>
      <c r="BI188">
        <v>4.0160678698763171E-2</v>
      </c>
      <c r="BJ188">
        <v>0</v>
      </c>
    </row>
    <row r="189" spans="1:62" x14ac:dyDescent="0.3">
      <c r="A189" t="s">
        <v>160</v>
      </c>
      <c r="B189" s="16" t="s">
        <v>781</v>
      </c>
      <c r="C189" s="12"/>
      <c r="D189" t="s">
        <v>863</v>
      </c>
      <c r="E189">
        <v>4</v>
      </c>
      <c r="F189">
        <v>3.74</v>
      </c>
      <c r="G189" t="s">
        <v>154</v>
      </c>
      <c r="H189" s="8">
        <v>-1</v>
      </c>
      <c r="I189">
        <v>-1</v>
      </c>
      <c r="K189">
        <v>8</v>
      </c>
      <c r="L189" s="20">
        <v>0</v>
      </c>
      <c r="M189">
        <v>0</v>
      </c>
      <c r="N189">
        <v>0</v>
      </c>
      <c r="O189">
        <f t="shared" si="10"/>
        <v>7.76</v>
      </c>
      <c r="P189">
        <f t="shared" si="10"/>
        <v>7.76</v>
      </c>
      <c r="Q189">
        <v>33.24</v>
      </c>
      <c r="T189" s="20">
        <v>0</v>
      </c>
      <c r="U189" s="20"/>
      <c r="V189" s="20"/>
      <c r="W189">
        <v>0</v>
      </c>
      <c r="Z189">
        <v>0</v>
      </c>
      <c r="AD189">
        <v>20</v>
      </c>
      <c r="AE189" s="44">
        <f t="shared" si="6"/>
        <v>2001.633024</v>
      </c>
      <c r="AF189" s="46">
        <v>0</v>
      </c>
      <c r="AG189" s="44">
        <v>0</v>
      </c>
      <c r="AH189" s="44">
        <v>0</v>
      </c>
      <c r="AI189" s="41">
        <f t="shared" si="8"/>
        <v>7.9934732331834277E-2</v>
      </c>
      <c r="AJ189" s="40"/>
      <c r="AM189" s="23">
        <v>1.8666666666666669</v>
      </c>
      <c r="AN189" s="23">
        <v>2.666666666666667</v>
      </c>
      <c r="AO189" s="23">
        <v>0.46666666666666667</v>
      </c>
      <c r="AP189" s="23">
        <v>0.93333333333333335</v>
      </c>
      <c r="AQ189" s="23">
        <v>0.3146067415730337</v>
      </c>
      <c r="AR189" s="23">
        <v>0.44943820224719089</v>
      </c>
      <c r="AS189" s="23">
        <v>7.8651685393258425E-2</v>
      </c>
      <c r="AT189" s="23">
        <v>0.15730337078651679</v>
      </c>
      <c r="AU189" s="20">
        <v>0.95</v>
      </c>
      <c r="AV189" s="20">
        <v>3.44</v>
      </c>
      <c r="AW189" s="20">
        <v>2.4900000000000002</v>
      </c>
      <c r="AX189" s="20">
        <v>2.773333333333333</v>
      </c>
      <c r="AY189">
        <v>2.773333333333333</v>
      </c>
      <c r="AZ189">
        <v>6.4062483499900669</v>
      </c>
      <c r="BD189">
        <v>3.9967366165917138E-2</v>
      </c>
      <c r="BH189">
        <v>7.9934732331834277E-2</v>
      </c>
      <c r="BI189">
        <v>3.9967366165917138E-2</v>
      </c>
      <c r="BJ189">
        <v>0</v>
      </c>
    </row>
    <row r="190" spans="1:62" x14ac:dyDescent="0.3">
      <c r="A190" t="s">
        <v>161</v>
      </c>
      <c r="B190" s="16" t="s">
        <v>782</v>
      </c>
      <c r="C190" s="12"/>
      <c r="D190" t="s">
        <v>863</v>
      </c>
      <c r="E190">
        <v>4</v>
      </c>
      <c r="F190">
        <v>3.78</v>
      </c>
      <c r="G190" t="s">
        <v>154</v>
      </c>
      <c r="H190" s="8">
        <v>-1</v>
      </c>
      <c r="I190">
        <v>-1</v>
      </c>
      <c r="K190">
        <v>8</v>
      </c>
      <c r="L190" s="20">
        <v>0</v>
      </c>
      <c r="M190">
        <v>0</v>
      </c>
      <c r="N190">
        <v>0</v>
      </c>
      <c r="O190">
        <f t="shared" si="10"/>
        <v>7.76</v>
      </c>
      <c r="P190">
        <f t="shared" si="10"/>
        <v>7.76</v>
      </c>
      <c r="Q190">
        <v>33</v>
      </c>
      <c r="T190" s="20">
        <v>0</v>
      </c>
      <c r="U190" s="20"/>
      <c r="V190" s="20"/>
      <c r="W190">
        <v>0</v>
      </c>
      <c r="Z190">
        <v>0</v>
      </c>
      <c r="AD190">
        <v>20</v>
      </c>
      <c r="AE190" s="44">
        <f t="shared" si="6"/>
        <v>1987.1807999999999</v>
      </c>
      <c r="AF190" s="46">
        <v>0</v>
      </c>
      <c r="AG190" s="44">
        <v>0</v>
      </c>
      <c r="AH190" s="44">
        <v>0</v>
      </c>
      <c r="AI190" s="41">
        <f t="shared" si="8"/>
        <v>8.0516075839702161E-2</v>
      </c>
      <c r="AJ190" s="40"/>
      <c r="AM190" s="23">
        <v>1.875</v>
      </c>
      <c r="AN190" s="23">
        <v>2.5</v>
      </c>
      <c r="AO190" s="23">
        <v>0.625</v>
      </c>
      <c r="AP190" s="23">
        <v>1.75</v>
      </c>
      <c r="AQ190" s="23">
        <v>0.27777777777777779</v>
      </c>
      <c r="AR190" s="23">
        <v>0.37037037037037029</v>
      </c>
      <c r="AS190" s="23">
        <v>9.2592592592592587E-2</v>
      </c>
      <c r="AT190" s="23">
        <v>0.25925925925925919</v>
      </c>
      <c r="AU190" s="20">
        <v>0.95</v>
      </c>
      <c r="AV190" s="20">
        <v>3.44</v>
      </c>
      <c r="AW190" s="20">
        <v>2.4900000000000002</v>
      </c>
      <c r="AX190" s="20">
        <v>2.6937500000000001</v>
      </c>
      <c r="AY190">
        <v>2.6937500000000001</v>
      </c>
      <c r="AZ190">
        <v>6.2518794218656879</v>
      </c>
      <c r="BD190">
        <v>4.0258037919851081E-2</v>
      </c>
      <c r="BH190">
        <v>8.0516075839702161E-2</v>
      </c>
      <c r="BI190">
        <v>4.0258037919851081E-2</v>
      </c>
      <c r="BJ190">
        <v>0</v>
      </c>
    </row>
    <row r="191" spans="1:62" x14ac:dyDescent="0.3">
      <c r="A191" t="s">
        <v>162</v>
      </c>
      <c r="B191" s="16" t="s">
        <v>783</v>
      </c>
      <c r="C191" s="12"/>
      <c r="D191" t="s">
        <v>863</v>
      </c>
      <c r="E191">
        <v>4</v>
      </c>
      <c r="F191">
        <v>3.99</v>
      </c>
      <c r="G191" t="s">
        <v>154</v>
      </c>
      <c r="H191" s="8">
        <v>-1</v>
      </c>
      <c r="I191">
        <v>-1</v>
      </c>
      <c r="K191">
        <v>8</v>
      </c>
      <c r="L191" s="20">
        <v>0</v>
      </c>
      <c r="M191">
        <v>0</v>
      </c>
      <c r="N191">
        <v>0</v>
      </c>
      <c r="O191">
        <f t="shared" si="10"/>
        <v>7.76</v>
      </c>
      <c r="P191">
        <f t="shared" si="10"/>
        <v>7.76</v>
      </c>
      <c r="Q191">
        <v>29.18</v>
      </c>
      <c r="T191" s="20">
        <v>0</v>
      </c>
      <c r="U191" s="20"/>
      <c r="V191" s="20"/>
      <c r="W191">
        <v>0</v>
      </c>
      <c r="Z191">
        <v>0</v>
      </c>
      <c r="AD191">
        <v>20</v>
      </c>
      <c r="AE191" s="44">
        <f t="shared" si="6"/>
        <v>1757.1495679999998</v>
      </c>
      <c r="AF191" s="46">
        <v>0</v>
      </c>
      <c r="AG191" s="44">
        <v>0</v>
      </c>
      <c r="AH191" s="44">
        <v>0</v>
      </c>
      <c r="AI191" s="41">
        <f t="shared" si="8"/>
        <v>9.1056562807065505E-2</v>
      </c>
      <c r="AJ191" s="40"/>
      <c r="AM191" s="23">
        <v>1.9375</v>
      </c>
      <c r="AN191" s="23">
        <v>2.5</v>
      </c>
      <c r="AO191" s="23">
        <v>0.5625</v>
      </c>
      <c r="AP191" s="23">
        <v>2.625</v>
      </c>
      <c r="AQ191" s="23">
        <v>0.25409836065573771</v>
      </c>
      <c r="AR191" s="23">
        <v>0.32786885245901642</v>
      </c>
      <c r="AS191" s="23">
        <v>7.3770491803278687E-2</v>
      </c>
      <c r="AT191" s="23">
        <v>0.34426229508196721</v>
      </c>
      <c r="AU191" s="20">
        <v>0.95</v>
      </c>
      <c r="AV191" s="20">
        <v>3.44</v>
      </c>
      <c r="AW191" s="20">
        <v>2.4900000000000002</v>
      </c>
      <c r="AX191" s="20">
        <v>2.6875</v>
      </c>
      <c r="AY191">
        <v>2.6875</v>
      </c>
      <c r="AZ191">
        <v>6.2580179843656882</v>
      </c>
      <c r="BD191">
        <v>4.5528281403532753E-2</v>
      </c>
      <c r="BH191">
        <v>9.1056562807065505E-2</v>
      </c>
      <c r="BI191">
        <v>4.5528281403532753E-2</v>
      </c>
      <c r="BJ191">
        <v>0</v>
      </c>
    </row>
    <row r="192" spans="1:62" x14ac:dyDescent="0.3">
      <c r="A192" t="s">
        <v>4</v>
      </c>
      <c r="B192" s="12" t="s">
        <v>689</v>
      </c>
      <c r="C192" s="12"/>
      <c r="F192">
        <v>3.5</v>
      </c>
      <c r="G192" t="s">
        <v>163</v>
      </c>
      <c r="H192" s="8" t="s">
        <v>527</v>
      </c>
      <c r="I192" t="s">
        <v>609</v>
      </c>
      <c r="L192" s="20">
        <v>4</v>
      </c>
      <c r="M192">
        <v>4</v>
      </c>
      <c r="N192">
        <v>0</v>
      </c>
      <c r="T192" s="20">
        <v>7.8084429999999996</v>
      </c>
      <c r="U192" s="20">
        <v>7.8548809999999998</v>
      </c>
      <c r="V192" s="20">
        <v>15.19056011</v>
      </c>
      <c r="W192">
        <v>3.8801999999999999</v>
      </c>
      <c r="X192">
        <v>29.507999999999999</v>
      </c>
      <c r="Y192">
        <v>7.7140000000000004</v>
      </c>
      <c r="Z192">
        <v>0</v>
      </c>
      <c r="AD192">
        <v>20</v>
      </c>
      <c r="AE192" s="44">
        <f t="shared" si="6"/>
        <v>0</v>
      </c>
      <c r="AF192" s="46">
        <v>924.74694800021894</v>
      </c>
      <c r="AG192" s="44">
        <v>883.22940750240002</v>
      </c>
      <c r="AH192" s="44">
        <v>0</v>
      </c>
      <c r="AJ192" s="40">
        <v>8.6510153045653584E-2</v>
      </c>
      <c r="AK192" s="41">
        <v>9.0576694254581439E-2</v>
      </c>
      <c r="AM192" s="23">
        <v>1.75</v>
      </c>
      <c r="AN192" s="23">
        <v>2.5</v>
      </c>
      <c r="AO192" s="23">
        <v>0.75</v>
      </c>
      <c r="AP192" s="23">
        <v>0</v>
      </c>
      <c r="AQ192" s="23">
        <v>0.35</v>
      </c>
      <c r="AR192" s="23">
        <v>0.5</v>
      </c>
      <c r="AS192" s="23">
        <v>0.15</v>
      </c>
      <c r="AT192" s="23">
        <v>0</v>
      </c>
      <c r="AU192" s="20">
        <v>0.82</v>
      </c>
      <c r="AV192" s="20">
        <v>3.44</v>
      </c>
      <c r="AW192" s="20">
        <v>2.62</v>
      </c>
      <c r="AX192" s="20">
        <v>2.6262500000000002</v>
      </c>
      <c r="AY192">
        <v>2.6262500000000002</v>
      </c>
      <c r="AZ192">
        <v>5.96680968125</v>
      </c>
      <c r="BA192" s="64">
        <v>0.50555206026575039</v>
      </c>
      <c r="BB192" s="64">
        <v>0</v>
      </c>
      <c r="BE192">
        <v>4.3255076522826792E-2</v>
      </c>
      <c r="BF192">
        <v>4.5288347127290719E-2</v>
      </c>
      <c r="BH192">
        <v>8.8543423650117511E-2</v>
      </c>
      <c r="BI192">
        <v>4.4271711825058763E-2</v>
      </c>
      <c r="BJ192">
        <v>0.2527760301328752</v>
      </c>
    </row>
    <row r="193" spans="1:68" x14ac:dyDescent="0.3">
      <c r="A193" t="s">
        <v>165</v>
      </c>
      <c r="B193" s="12" t="s">
        <v>784</v>
      </c>
      <c r="C193" s="12"/>
      <c r="F193">
        <v>2.84</v>
      </c>
      <c r="G193" t="s">
        <v>164</v>
      </c>
      <c r="H193" s="8">
        <v>-1</v>
      </c>
      <c r="I193">
        <v>-1</v>
      </c>
      <c r="K193">
        <v>2</v>
      </c>
      <c r="L193" s="20">
        <v>0</v>
      </c>
      <c r="M193">
        <v>0</v>
      </c>
      <c r="N193">
        <v>0</v>
      </c>
      <c r="O193">
        <v>3.97</v>
      </c>
      <c r="P193">
        <v>3.97</v>
      </c>
      <c r="Q193">
        <v>22.5</v>
      </c>
      <c r="T193" s="20">
        <v>0</v>
      </c>
      <c r="U193" s="20"/>
      <c r="V193" s="20"/>
      <c r="W193">
        <v>0</v>
      </c>
      <c r="Z193">
        <v>0</v>
      </c>
      <c r="AD193">
        <v>18</v>
      </c>
      <c r="AE193" s="44">
        <f t="shared" si="6"/>
        <v>354.62025000000006</v>
      </c>
      <c r="AF193" s="46">
        <v>0</v>
      </c>
      <c r="AG193" s="44">
        <v>0</v>
      </c>
      <c r="AH193" s="44">
        <v>0</v>
      </c>
      <c r="AI193" s="41">
        <f t="shared" si="8"/>
        <v>0.10151704534639518</v>
      </c>
      <c r="AJ193" s="40"/>
      <c r="AM193" s="23">
        <v>1.8</v>
      </c>
      <c r="AN193" s="23">
        <v>2.4</v>
      </c>
      <c r="AO193" s="23">
        <v>1.1333333333333331</v>
      </c>
      <c r="AP193" s="23">
        <v>0</v>
      </c>
      <c r="AQ193" s="23">
        <v>0.33750000000000002</v>
      </c>
      <c r="AR193" s="23">
        <v>0.45</v>
      </c>
      <c r="AS193" s="23">
        <v>0.21249999999999999</v>
      </c>
      <c r="AT193" s="23">
        <v>0</v>
      </c>
      <c r="AU193" s="20">
        <v>0.93</v>
      </c>
      <c r="AV193" s="20">
        <v>3.44</v>
      </c>
      <c r="AW193" s="20">
        <v>2.5099999999999998</v>
      </c>
      <c r="AX193" s="20">
        <v>2.6033333333333331</v>
      </c>
      <c r="AY193">
        <v>2.6033333333333331</v>
      </c>
      <c r="AZ193">
        <v>5.9143459586666669</v>
      </c>
      <c r="BD193">
        <v>5.0758522673197588E-2</v>
      </c>
      <c r="BH193">
        <v>0.1015170453463952</v>
      </c>
      <c r="BI193">
        <v>5.0758522673197588E-2</v>
      </c>
      <c r="BJ193">
        <v>0</v>
      </c>
      <c r="BP193">
        <v>1.3</v>
      </c>
    </row>
    <row r="194" spans="1:68" x14ac:dyDescent="0.3">
      <c r="A194" t="s">
        <v>166</v>
      </c>
      <c r="B194" s="12" t="s">
        <v>785</v>
      </c>
      <c r="C194" s="12"/>
      <c r="F194">
        <v>3.48</v>
      </c>
      <c r="G194" t="s">
        <v>164</v>
      </c>
      <c r="H194" s="8">
        <v>-1</v>
      </c>
      <c r="I194">
        <v>-1</v>
      </c>
      <c r="K194">
        <v>2</v>
      </c>
      <c r="L194" s="20">
        <v>0</v>
      </c>
      <c r="M194">
        <v>0</v>
      </c>
      <c r="N194">
        <v>0</v>
      </c>
      <c r="O194">
        <v>3.97</v>
      </c>
      <c r="P194">
        <v>3.97</v>
      </c>
      <c r="Q194">
        <v>22.5</v>
      </c>
      <c r="T194" s="20">
        <v>0</v>
      </c>
      <c r="U194" s="20"/>
      <c r="V194" s="20"/>
      <c r="W194">
        <v>0</v>
      </c>
      <c r="Z194">
        <v>0</v>
      </c>
      <c r="AC194">
        <v>3</v>
      </c>
      <c r="AD194">
        <v>18</v>
      </c>
      <c r="AE194" s="44">
        <f t="shared" si="6"/>
        <v>354.62025000000006</v>
      </c>
      <c r="AF194" s="46">
        <v>0</v>
      </c>
      <c r="AG194" s="44">
        <v>0</v>
      </c>
      <c r="AH194" s="44">
        <v>0</v>
      </c>
      <c r="AI194" s="41">
        <f t="shared" si="8"/>
        <v>0.10151704534639518</v>
      </c>
      <c r="AJ194" s="40"/>
      <c r="AM194" s="23">
        <v>1.8</v>
      </c>
      <c r="AN194" s="23">
        <v>2.4</v>
      </c>
      <c r="AO194" s="23">
        <v>1.1333333333333331</v>
      </c>
      <c r="AP194" s="23">
        <v>0</v>
      </c>
      <c r="AQ194" s="23">
        <v>0.33750000000000002</v>
      </c>
      <c r="AR194" s="23">
        <v>0.45</v>
      </c>
      <c r="AS194" s="23">
        <v>0.21249999999999999</v>
      </c>
      <c r="AT194" s="23">
        <v>0</v>
      </c>
      <c r="AU194" s="20">
        <v>0.79</v>
      </c>
      <c r="AV194" s="20">
        <v>3.44</v>
      </c>
      <c r="AW194" s="20">
        <v>2.65</v>
      </c>
      <c r="AX194" s="20">
        <v>2.5939999999999999</v>
      </c>
      <c r="AY194">
        <v>2.5939999999999999</v>
      </c>
      <c r="AZ194">
        <v>5.870297050914334</v>
      </c>
      <c r="BD194">
        <v>5.0758522673197588E-2</v>
      </c>
      <c r="BH194">
        <v>0.1015170453463952</v>
      </c>
      <c r="BI194">
        <v>5.0758522673197588E-2</v>
      </c>
      <c r="BJ194">
        <v>0</v>
      </c>
      <c r="BP194">
        <v>6.1</v>
      </c>
    </row>
    <row r="195" spans="1:68" s="4" customFormat="1" x14ac:dyDescent="0.3">
      <c r="A195" s="4" t="s">
        <v>167</v>
      </c>
      <c r="B195" s="29" t="s">
        <v>786</v>
      </c>
      <c r="C195" s="29"/>
      <c r="F195" s="4">
        <v>3.49</v>
      </c>
      <c r="G195" s="4" t="s">
        <v>164</v>
      </c>
      <c r="H195" s="30">
        <v>-2</v>
      </c>
      <c r="I195" s="4">
        <v>-1</v>
      </c>
      <c r="L195" s="31">
        <v>0</v>
      </c>
      <c r="M195">
        <v>0</v>
      </c>
      <c r="N195">
        <v>0</v>
      </c>
      <c r="T195" s="31">
        <v>0</v>
      </c>
      <c r="U195" s="31"/>
      <c r="V195" s="31"/>
      <c r="W195">
        <v>0</v>
      </c>
      <c r="X195"/>
      <c r="Y195"/>
      <c r="Z195">
        <v>0</v>
      </c>
      <c r="AA195"/>
      <c r="AB195"/>
      <c r="AD195" s="4">
        <v>18</v>
      </c>
      <c r="AE195" s="44">
        <f t="shared" ref="AE195:AE258" si="11">O195*P195*Q195</f>
        <v>0</v>
      </c>
      <c r="AF195" s="46">
        <v>0</v>
      </c>
      <c r="AG195" s="44">
        <v>0</v>
      </c>
      <c r="AH195" s="44">
        <v>0</v>
      </c>
      <c r="AI195" s="41"/>
      <c r="AJ195" s="40"/>
      <c r="AK195" s="41"/>
      <c r="AL195" s="41"/>
      <c r="AM195" s="4">
        <v>1.8</v>
      </c>
      <c r="AN195" s="4">
        <v>2.4</v>
      </c>
      <c r="AO195" s="4">
        <v>1.1333333333333331</v>
      </c>
      <c r="AP195" s="4">
        <v>0</v>
      </c>
      <c r="AQ195" s="4">
        <v>0.33750000000000002</v>
      </c>
      <c r="AR195" s="4">
        <v>0.45</v>
      </c>
      <c r="AS195" s="4">
        <v>0.21249999999999999</v>
      </c>
      <c r="AT195" s="4">
        <v>0</v>
      </c>
      <c r="AU195" s="31">
        <v>0.95</v>
      </c>
      <c r="AV195" s="31">
        <v>3.44</v>
      </c>
      <c r="AW195" s="31">
        <v>2.4900000000000002</v>
      </c>
      <c r="AX195" s="31">
        <v>2.6880000000000011</v>
      </c>
      <c r="AY195" s="4">
        <v>2.6880000000000002</v>
      </c>
      <c r="AZ195" s="4">
        <v>6.2032136049900668</v>
      </c>
      <c r="BA195" s="64"/>
      <c r="BB195" s="64"/>
      <c r="BC195" s="64"/>
      <c r="BD195"/>
      <c r="BE195"/>
      <c r="BF195"/>
      <c r="BG195"/>
      <c r="BH195">
        <v>0</v>
      </c>
      <c r="BI195">
        <v>0</v>
      </c>
      <c r="BJ195">
        <v>0</v>
      </c>
      <c r="BP195" s="4">
        <v>26.7</v>
      </c>
    </row>
    <row r="196" spans="1:68" x14ac:dyDescent="0.3">
      <c r="A196" t="s">
        <v>63</v>
      </c>
      <c r="B196" s="57" t="s">
        <v>1222</v>
      </c>
      <c r="C196" s="12"/>
      <c r="F196">
        <v>3.75</v>
      </c>
      <c r="G196" t="s">
        <v>168</v>
      </c>
      <c r="H196" s="8">
        <v>-1</v>
      </c>
      <c r="I196">
        <v>-1</v>
      </c>
      <c r="K196">
        <v>2</v>
      </c>
      <c r="L196" s="20">
        <v>0</v>
      </c>
      <c r="M196">
        <v>0</v>
      </c>
      <c r="N196">
        <v>0</v>
      </c>
      <c r="O196">
        <v>3.8530000000000002</v>
      </c>
      <c r="P196">
        <v>3.8530000000000002</v>
      </c>
      <c r="Q196">
        <v>29</v>
      </c>
      <c r="T196" s="20">
        <v>0</v>
      </c>
      <c r="U196" s="20"/>
      <c r="V196" s="20"/>
      <c r="W196">
        <v>0</v>
      </c>
      <c r="Z196">
        <v>0</v>
      </c>
      <c r="AC196">
        <v>3</v>
      </c>
      <c r="AD196">
        <v>20</v>
      </c>
      <c r="AE196" s="44">
        <f t="shared" si="11"/>
        <v>430.52266100000003</v>
      </c>
      <c r="AF196" s="46">
        <v>0</v>
      </c>
      <c r="AG196" s="44">
        <v>0</v>
      </c>
      <c r="AH196" s="44">
        <v>0</v>
      </c>
      <c r="AI196" s="41">
        <f t="shared" si="8"/>
        <v>9.2910324179195758E-2</v>
      </c>
      <c r="AJ196" s="40"/>
      <c r="AM196" s="23">
        <v>1.75</v>
      </c>
      <c r="AN196" s="23">
        <v>2.5</v>
      </c>
      <c r="AO196" s="23">
        <v>0.75</v>
      </c>
      <c r="AP196" s="23">
        <v>0</v>
      </c>
      <c r="AQ196" s="23">
        <v>0.35</v>
      </c>
      <c r="AR196" s="23">
        <v>0.5</v>
      </c>
      <c r="AS196" s="23">
        <v>0.15</v>
      </c>
      <c r="AT196" s="23">
        <v>0</v>
      </c>
      <c r="AU196" s="20">
        <v>1</v>
      </c>
      <c r="AV196" s="20">
        <v>3.44</v>
      </c>
      <c r="AW196" s="20">
        <v>2.44</v>
      </c>
      <c r="AX196" s="20">
        <v>2.7124999999999999</v>
      </c>
      <c r="AY196">
        <v>2.7124999999999999</v>
      </c>
      <c r="AZ196">
        <v>6.264025610615688</v>
      </c>
      <c r="BD196">
        <v>4.6455162089597879E-2</v>
      </c>
      <c r="BH196">
        <v>9.2910324179195758E-2</v>
      </c>
      <c r="BI196">
        <v>4.6455162089597879E-2</v>
      </c>
      <c r="BJ196">
        <v>0</v>
      </c>
      <c r="BP196">
        <v>2.83</v>
      </c>
    </row>
    <row r="197" spans="1:68" x14ac:dyDescent="0.3">
      <c r="A197" t="s">
        <v>232</v>
      </c>
      <c r="B197" s="57" t="s">
        <v>1223</v>
      </c>
      <c r="C197" s="12"/>
      <c r="F197">
        <v>3.86</v>
      </c>
      <c r="G197" t="s">
        <v>168</v>
      </c>
      <c r="H197" s="8">
        <v>-1</v>
      </c>
      <c r="I197">
        <v>-1</v>
      </c>
      <c r="K197">
        <v>2</v>
      </c>
      <c r="L197" s="20">
        <v>0</v>
      </c>
      <c r="M197">
        <v>0</v>
      </c>
      <c r="N197">
        <v>0</v>
      </c>
      <c r="O197">
        <v>3.8530000000000002</v>
      </c>
      <c r="P197">
        <v>3.8530000000000002</v>
      </c>
      <c r="Q197">
        <v>31.24</v>
      </c>
      <c r="T197" s="20">
        <v>0</v>
      </c>
      <c r="U197" s="20"/>
      <c r="V197" s="20"/>
      <c r="W197">
        <v>0</v>
      </c>
      <c r="Z197">
        <v>0</v>
      </c>
      <c r="AC197">
        <v>3</v>
      </c>
      <c r="AD197">
        <v>20</v>
      </c>
      <c r="AE197" s="44">
        <f t="shared" si="11"/>
        <v>463.77682516000004</v>
      </c>
      <c r="AF197" s="46">
        <v>0</v>
      </c>
      <c r="AG197" s="44">
        <v>0</v>
      </c>
      <c r="AH197" s="44">
        <v>0</v>
      </c>
      <c r="AI197" s="41">
        <f t="shared" si="8"/>
        <v>8.6248380319996057E-2</v>
      </c>
      <c r="AJ197" s="40"/>
      <c r="AM197" s="23">
        <v>1.8125</v>
      </c>
      <c r="AN197" s="23">
        <v>2.5</v>
      </c>
      <c r="AO197" s="23">
        <v>0.6875</v>
      </c>
      <c r="AP197" s="23">
        <v>0.875</v>
      </c>
      <c r="AQ197" s="23">
        <v>0.30851063829787229</v>
      </c>
      <c r="AR197" s="23">
        <v>0.42553191489361702</v>
      </c>
      <c r="AS197" s="23">
        <v>0.1170212765957447</v>
      </c>
      <c r="AT197" s="23">
        <v>0.14893617021276601</v>
      </c>
      <c r="AU197" s="20">
        <v>1</v>
      </c>
      <c r="AV197" s="20">
        <v>3.44</v>
      </c>
      <c r="AW197" s="20">
        <v>2.44</v>
      </c>
      <c r="AX197" s="20">
        <v>2.7062499999999998</v>
      </c>
      <c r="AY197">
        <v>2.7062499999999998</v>
      </c>
      <c r="AZ197">
        <v>6.2701641731156874</v>
      </c>
      <c r="BD197">
        <v>4.3124190159998028E-2</v>
      </c>
      <c r="BH197">
        <v>8.6248380319996057E-2</v>
      </c>
      <c r="BI197">
        <v>4.3124190159998028E-2</v>
      </c>
      <c r="BJ197">
        <v>0</v>
      </c>
      <c r="BP197">
        <v>6.46</v>
      </c>
    </row>
    <row r="198" spans="1:68" x14ac:dyDescent="0.3">
      <c r="A198" t="s">
        <v>1220</v>
      </c>
      <c r="B198" s="57" t="s">
        <v>1224</v>
      </c>
      <c r="C198" s="12"/>
      <c r="F198">
        <v>4.01</v>
      </c>
      <c r="G198" t="s">
        <v>168</v>
      </c>
      <c r="H198" s="8">
        <v>-1</v>
      </c>
      <c r="I198">
        <v>-1</v>
      </c>
      <c r="K198">
        <v>2</v>
      </c>
      <c r="L198" s="20">
        <v>0</v>
      </c>
      <c r="M198">
        <v>0</v>
      </c>
      <c r="N198">
        <v>0</v>
      </c>
      <c r="O198">
        <v>3.8530000000000002</v>
      </c>
      <c r="P198">
        <v>3.8530000000000002</v>
      </c>
      <c r="Q198">
        <v>31.54</v>
      </c>
      <c r="T198" s="20">
        <v>0</v>
      </c>
      <c r="U198" s="20"/>
      <c r="V198" s="20"/>
      <c r="W198">
        <v>0</v>
      </c>
      <c r="Z198">
        <v>0</v>
      </c>
      <c r="AC198">
        <v>3</v>
      </c>
      <c r="AD198">
        <v>20</v>
      </c>
      <c r="AE198" s="44">
        <f t="shared" si="11"/>
        <v>468.23050786000005</v>
      </c>
      <c r="AF198" s="46">
        <v>0</v>
      </c>
      <c r="AG198" s="44">
        <v>0</v>
      </c>
      <c r="AH198" s="44">
        <v>0</v>
      </c>
      <c r="AI198" s="41">
        <f t="shared" si="8"/>
        <v>8.5428008915557282E-2</v>
      </c>
      <c r="AJ198" s="40"/>
      <c r="AM198" s="23">
        <v>1.84375</v>
      </c>
      <c r="AN198" s="23">
        <v>2.5</v>
      </c>
      <c r="AO198" s="23">
        <v>0.65625</v>
      </c>
      <c r="AP198" s="23">
        <v>1.3125</v>
      </c>
      <c r="AQ198" s="23">
        <v>0.29207920792079212</v>
      </c>
      <c r="AR198" s="23">
        <v>0.39603960396039611</v>
      </c>
      <c r="AS198" s="23">
        <v>0.103960396039604</v>
      </c>
      <c r="AT198" s="23">
        <v>0.20792079207920791</v>
      </c>
      <c r="AU198" s="20">
        <v>1</v>
      </c>
      <c r="AV198" s="20">
        <v>3.44</v>
      </c>
      <c r="AW198" s="20">
        <v>2.44</v>
      </c>
      <c r="AX198" s="20">
        <v>2.703125</v>
      </c>
      <c r="AY198">
        <v>2.703125</v>
      </c>
      <c r="AZ198">
        <v>6.2732334543656876</v>
      </c>
      <c r="BD198">
        <v>4.2714004457778641E-2</v>
      </c>
      <c r="BH198">
        <v>8.5428008915557282E-2</v>
      </c>
      <c r="BI198">
        <v>4.2714004457778641E-2</v>
      </c>
      <c r="BJ198">
        <v>0</v>
      </c>
      <c r="BP198">
        <v>6.64</v>
      </c>
    </row>
    <row r="199" spans="1:68" x14ac:dyDescent="0.3">
      <c r="A199" t="s">
        <v>1221</v>
      </c>
      <c r="B199" s="57" t="s">
        <v>1225</v>
      </c>
      <c r="C199" s="12"/>
      <c r="F199">
        <v>4.16</v>
      </c>
      <c r="G199" t="s">
        <v>168</v>
      </c>
      <c r="H199" s="8">
        <v>-1</v>
      </c>
      <c r="I199">
        <v>-1</v>
      </c>
      <c r="K199">
        <v>2</v>
      </c>
      <c r="L199" s="20">
        <v>0</v>
      </c>
      <c r="M199">
        <v>0</v>
      </c>
      <c r="N199">
        <v>0</v>
      </c>
      <c r="O199">
        <v>3.8530000000000002</v>
      </c>
      <c r="P199">
        <v>3.8530000000000002</v>
      </c>
      <c r="Q199">
        <v>32.4</v>
      </c>
      <c r="T199" s="20">
        <v>0</v>
      </c>
      <c r="U199" s="20"/>
      <c r="V199" s="20"/>
      <c r="W199">
        <v>0</v>
      </c>
      <c r="Z199">
        <v>0</v>
      </c>
      <c r="AC199">
        <v>3</v>
      </c>
      <c r="AD199">
        <v>20</v>
      </c>
      <c r="AE199" s="44">
        <f t="shared" si="11"/>
        <v>480.99773160000001</v>
      </c>
      <c r="AF199" s="46">
        <v>0</v>
      </c>
      <c r="AG199" s="44">
        <v>0</v>
      </c>
      <c r="AH199" s="44">
        <v>0</v>
      </c>
      <c r="AI199" s="41">
        <f t="shared" si="8"/>
        <v>8.3160475345576454E-2</v>
      </c>
      <c r="AJ199" s="40"/>
      <c r="AM199" s="23">
        <v>1.875</v>
      </c>
      <c r="AN199" s="23">
        <v>2.5</v>
      </c>
      <c r="AO199" s="23">
        <v>0.625</v>
      </c>
      <c r="AP199" s="23">
        <v>1.75</v>
      </c>
      <c r="AQ199" s="23">
        <v>0.27777777777777779</v>
      </c>
      <c r="AR199" s="23">
        <v>0.37037037037037029</v>
      </c>
      <c r="AS199" s="23">
        <v>9.2592592592592587E-2</v>
      </c>
      <c r="AT199" s="23">
        <v>0.25925925925925919</v>
      </c>
      <c r="AU199" s="20">
        <v>1</v>
      </c>
      <c r="AV199" s="20">
        <v>3.44</v>
      </c>
      <c r="AW199" s="20">
        <v>2.44</v>
      </c>
      <c r="AX199" s="20">
        <v>2.7</v>
      </c>
      <c r="AY199">
        <v>2.7</v>
      </c>
      <c r="AZ199">
        <v>6.2763027356156877</v>
      </c>
      <c r="BD199">
        <v>4.1580237672788227E-2</v>
      </c>
      <c r="BH199">
        <v>8.3160475345576454E-2</v>
      </c>
      <c r="BI199">
        <v>4.1580237672788227E-2</v>
      </c>
      <c r="BJ199">
        <v>0</v>
      </c>
      <c r="BP199">
        <v>5.75</v>
      </c>
    </row>
    <row r="200" spans="1:68" x14ac:dyDescent="0.3">
      <c r="A200" t="s">
        <v>855</v>
      </c>
      <c r="B200" s="57" t="s">
        <v>1226</v>
      </c>
      <c r="C200" s="12"/>
      <c r="F200">
        <v>4.59</v>
      </c>
      <c r="G200" t="s">
        <v>168</v>
      </c>
      <c r="H200" s="8">
        <v>-1</v>
      </c>
      <c r="I200">
        <v>-1</v>
      </c>
      <c r="K200">
        <v>2</v>
      </c>
      <c r="L200" s="20">
        <v>0</v>
      </c>
      <c r="M200">
        <v>0</v>
      </c>
      <c r="N200">
        <v>0</v>
      </c>
      <c r="O200">
        <v>3.8530000000000002</v>
      </c>
      <c r="P200">
        <v>3.8530000000000002</v>
      </c>
      <c r="Q200">
        <v>32.64</v>
      </c>
      <c r="R200" t="s">
        <v>496</v>
      </c>
      <c r="T200" s="20">
        <v>0</v>
      </c>
      <c r="U200" s="20"/>
      <c r="V200" s="20"/>
      <c r="W200">
        <v>0</v>
      </c>
      <c r="Z200">
        <v>0</v>
      </c>
      <c r="AC200">
        <v>3</v>
      </c>
      <c r="AD200">
        <v>20</v>
      </c>
      <c r="AE200" s="44">
        <f t="shared" si="11"/>
        <v>484.56067776000003</v>
      </c>
      <c r="AF200" s="46">
        <v>0</v>
      </c>
      <c r="AG200" s="44">
        <v>0</v>
      </c>
      <c r="AH200" s="44">
        <v>0</v>
      </c>
      <c r="AI200" s="41">
        <f t="shared" si="8"/>
        <v>8.2549001262153088E-2</v>
      </c>
      <c r="AJ200" s="40"/>
      <c r="AM200" s="23">
        <v>1.9375</v>
      </c>
      <c r="AN200" s="23">
        <v>2.5</v>
      </c>
      <c r="AO200" s="23">
        <v>0.5625</v>
      </c>
      <c r="AP200" s="23">
        <v>2.625</v>
      </c>
      <c r="AQ200" s="23">
        <v>0.25409836065573771</v>
      </c>
      <c r="AR200" s="23">
        <v>0.32786885245901642</v>
      </c>
      <c r="AS200" s="23">
        <v>7.3770491803278687E-2</v>
      </c>
      <c r="AT200" s="23">
        <v>0.34426229508196721</v>
      </c>
      <c r="AU200" s="20">
        <v>1</v>
      </c>
      <c r="AV200" s="20">
        <v>3.44</v>
      </c>
      <c r="AW200" s="20">
        <v>2.44</v>
      </c>
      <c r="AX200" s="20">
        <v>2.6937500000000001</v>
      </c>
      <c r="AY200">
        <v>2.6937500000000001</v>
      </c>
      <c r="AZ200">
        <v>6.2824412981156881</v>
      </c>
      <c r="BD200">
        <v>4.1274500631076537E-2</v>
      </c>
      <c r="BH200">
        <v>8.2549001262153088E-2</v>
      </c>
      <c r="BI200">
        <v>4.1274500631076537E-2</v>
      </c>
      <c r="BJ200">
        <v>0</v>
      </c>
      <c r="BP200">
        <v>7.41</v>
      </c>
    </row>
    <row r="201" spans="1:68" x14ac:dyDescent="0.3">
      <c r="A201" t="s">
        <v>2</v>
      </c>
      <c r="B201" s="12" t="s">
        <v>687</v>
      </c>
      <c r="C201" s="12"/>
      <c r="F201">
        <v>3.3</v>
      </c>
      <c r="G201" t="s">
        <v>174</v>
      </c>
      <c r="H201" s="8" t="s">
        <v>525</v>
      </c>
      <c r="I201">
        <v>-1</v>
      </c>
      <c r="L201" s="20">
        <v>2</v>
      </c>
      <c r="M201">
        <v>0</v>
      </c>
      <c r="N201">
        <v>0</v>
      </c>
      <c r="O201">
        <v>5.4763999999999999</v>
      </c>
      <c r="P201">
        <v>22.404199999999999</v>
      </c>
      <c r="Q201">
        <v>5.1576000000000004</v>
      </c>
      <c r="R201" t="s">
        <v>515</v>
      </c>
      <c r="T201" s="20">
        <v>11.92921406</v>
      </c>
      <c r="U201" s="20">
        <v>11.92921406</v>
      </c>
      <c r="V201" s="20">
        <v>11.92921406</v>
      </c>
      <c r="W201">
        <v>0</v>
      </c>
      <c r="Z201">
        <v>0</v>
      </c>
      <c r="AD201">
        <v>14</v>
      </c>
      <c r="AE201" s="44">
        <f t="shared" si="11"/>
        <v>632.80843567468798</v>
      </c>
      <c r="AF201" s="46">
        <v>349.00875366799971</v>
      </c>
      <c r="AG201" s="44">
        <v>0</v>
      </c>
      <c r="AH201" s="44">
        <v>0</v>
      </c>
      <c r="AJ201" s="40">
        <v>8.0227214090553903E-2</v>
      </c>
      <c r="AM201" s="23">
        <v>1.7272727272727271</v>
      </c>
      <c r="AN201" s="23">
        <v>2.545454545454545</v>
      </c>
      <c r="AO201" s="23">
        <v>0.81818181818181823</v>
      </c>
      <c r="AP201" s="23">
        <v>0</v>
      </c>
      <c r="AQ201" s="23">
        <v>0.3392857142857143</v>
      </c>
      <c r="AR201" s="23">
        <v>0.5</v>
      </c>
      <c r="AS201" s="23">
        <v>0.1607142857142857</v>
      </c>
      <c r="AT201" s="23">
        <v>0</v>
      </c>
      <c r="AU201" s="20">
        <v>0.82</v>
      </c>
      <c r="AV201" s="20">
        <v>3.44</v>
      </c>
      <c r="AW201" s="20">
        <v>2.62</v>
      </c>
      <c r="AX201" s="20">
        <v>2.6545454545454539</v>
      </c>
      <c r="AY201">
        <v>2.6545454545454552</v>
      </c>
      <c r="AZ201">
        <v>5.9865512095454543</v>
      </c>
      <c r="BA201" s="64">
        <v>0.50734392504100967</v>
      </c>
      <c r="BE201">
        <v>4.0113607045276937E-2</v>
      </c>
      <c r="BH201">
        <v>8.0227214090553903E-2</v>
      </c>
      <c r="BI201">
        <v>4.0113607045276937E-2</v>
      </c>
      <c r="BJ201">
        <v>0.50734392504100967</v>
      </c>
    </row>
    <row r="202" spans="1:68" x14ac:dyDescent="0.3">
      <c r="A202" t="s">
        <v>175</v>
      </c>
      <c r="B202" s="12" t="s">
        <v>792</v>
      </c>
      <c r="C202" s="12"/>
      <c r="F202">
        <v>2.98</v>
      </c>
      <c r="G202" t="s">
        <v>174</v>
      </c>
      <c r="H202" s="8" t="s">
        <v>579</v>
      </c>
      <c r="I202" t="s">
        <v>654</v>
      </c>
      <c r="L202" s="20">
        <v>1</v>
      </c>
      <c r="M202">
        <v>2</v>
      </c>
      <c r="N202">
        <v>0</v>
      </c>
      <c r="O202">
        <v>7.7803000000000004</v>
      </c>
      <c r="P202">
        <v>7.7803000000000004</v>
      </c>
      <c r="Q202">
        <v>42.569200000000002</v>
      </c>
      <c r="R202" t="s">
        <v>516</v>
      </c>
      <c r="T202" s="20">
        <v>11.30538971</v>
      </c>
      <c r="U202" s="20">
        <v>11.30538971</v>
      </c>
      <c r="V202" s="20">
        <v>11.30538971</v>
      </c>
      <c r="W202">
        <v>3.8996</v>
      </c>
      <c r="X202">
        <v>3.8996</v>
      </c>
      <c r="Y202">
        <v>21.687999999999999</v>
      </c>
      <c r="Z202">
        <v>0</v>
      </c>
      <c r="AD202">
        <v>14</v>
      </c>
      <c r="AE202" s="44">
        <f t="shared" si="11"/>
        <v>2576.8442821368285</v>
      </c>
      <c r="AF202" s="46">
        <v>169.7295487154349</v>
      </c>
      <c r="AG202" s="44">
        <v>329.80681691007999</v>
      </c>
      <c r="AH202" s="44">
        <v>0</v>
      </c>
      <c r="AJ202" s="40">
        <v>8.248416440128592E-2</v>
      </c>
      <c r="AK202" s="41">
        <v>8.4898184526107132E-2</v>
      </c>
      <c r="AM202" s="23">
        <v>1.7272727272727271</v>
      </c>
      <c r="AN202" s="23">
        <v>2.545454545454545</v>
      </c>
      <c r="AO202" s="23">
        <v>1.7272727272727271</v>
      </c>
      <c r="AP202" s="23">
        <v>0</v>
      </c>
      <c r="AQ202" s="23">
        <v>0.2878787878787879</v>
      </c>
      <c r="AR202" s="23">
        <v>0.42424242424242431</v>
      </c>
      <c r="AS202" s="23">
        <v>0.2878787878787879</v>
      </c>
      <c r="AT202" s="23">
        <v>0</v>
      </c>
      <c r="AU202" s="20">
        <v>1.1000000000000001</v>
      </c>
      <c r="AV202" s="20">
        <v>3.44</v>
      </c>
      <c r="AW202" s="20">
        <v>2.34</v>
      </c>
      <c r="AX202" s="20">
        <v>2.7554545454545449</v>
      </c>
      <c r="AY202">
        <v>2.7554545454545449</v>
      </c>
      <c r="AZ202">
        <v>6.1782631499999994</v>
      </c>
      <c r="BA202" s="64">
        <v>0.46170510468104309</v>
      </c>
      <c r="BB202" s="64">
        <v>0</v>
      </c>
      <c r="BE202">
        <v>4.124208220064296E-2</v>
      </c>
      <c r="BF202">
        <v>4.2449092263053573E-2</v>
      </c>
      <c r="BH202">
        <v>8.3691174463696533E-2</v>
      </c>
      <c r="BI202">
        <v>4.1845587231848273E-2</v>
      </c>
      <c r="BJ202">
        <v>0.23085255234052149</v>
      </c>
    </row>
    <row r="203" spans="1:68" x14ac:dyDescent="0.3">
      <c r="A203" t="s">
        <v>2</v>
      </c>
      <c r="B203" s="12" t="s">
        <v>687</v>
      </c>
      <c r="C203" s="12"/>
      <c r="F203">
        <v>3.3</v>
      </c>
      <c r="G203" t="s">
        <v>176</v>
      </c>
      <c r="H203" s="8" t="s">
        <v>525</v>
      </c>
      <c r="I203">
        <v>-1</v>
      </c>
      <c r="L203" s="20">
        <v>2</v>
      </c>
      <c r="M203">
        <v>0</v>
      </c>
      <c r="N203">
        <v>0</v>
      </c>
      <c r="O203">
        <v>5.5339999999999998</v>
      </c>
      <c r="P203">
        <v>22.083300000000001</v>
      </c>
      <c r="Q203">
        <v>5.5033000000000003</v>
      </c>
      <c r="R203" t="s">
        <v>515</v>
      </c>
      <c r="T203" s="20">
        <v>11.92921406</v>
      </c>
      <c r="U203" s="20">
        <v>11.92921406</v>
      </c>
      <c r="V203" s="20">
        <v>11.92921406</v>
      </c>
      <c r="W203">
        <v>0</v>
      </c>
      <c r="Z203">
        <v>0</v>
      </c>
      <c r="AD203">
        <v>14</v>
      </c>
      <c r="AE203" s="44">
        <f t="shared" si="11"/>
        <v>672.55269174126011</v>
      </c>
      <c r="AF203" s="46">
        <v>349.00875366799971</v>
      </c>
      <c r="AG203" s="44">
        <v>0</v>
      </c>
      <c r="AH203" s="44">
        <v>0</v>
      </c>
      <c r="AJ203" s="40">
        <v>8.0227214090553903E-2</v>
      </c>
      <c r="AM203" s="23">
        <v>1.7272727272727271</v>
      </c>
      <c r="AN203" s="23">
        <v>2.545454545454545</v>
      </c>
      <c r="AO203" s="23">
        <v>0.81818181818181823</v>
      </c>
      <c r="AP203" s="23">
        <v>0</v>
      </c>
      <c r="AQ203" s="23">
        <v>0.3392857142857143</v>
      </c>
      <c r="AR203" s="23">
        <v>0.5</v>
      </c>
      <c r="AS203" s="23">
        <v>0.1607142857142857</v>
      </c>
      <c r="AT203" s="23">
        <v>0</v>
      </c>
      <c r="AU203" s="20">
        <v>0.82</v>
      </c>
      <c r="AV203" s="20">
        <v>3.44</v>
      </c>
      <c r="AW203" s="20">
        <v>2.62</v>
      </c>
      <c r="AX203" s="20">
        <v>2.6545454545454539</v>
      </c>
      <c r="AY203">
        <v>2.6545454545454552</v>
      </c>
      <c r="AZ203">
        <v>5.9865512095454543</v>
      </c>
      <c r="BA203" s="64">
        <v>0.50734392504100967</v>
      </c>
      <c r="BE203">
        <v>4.0113607045276937E-2</v>
      </c>
      <c r="BH203">
        <v>8.0227214090553903E-2</v>
      </c>
      <c r="BI203">
        <v>4.0113607045276937E-2</v>
      </c>
      <c r="BJ203">
        <v>0.50734392504100967</v>
      </c>
      <c r="BP203">
        <v>1.5</v>
      </c>
    </row>
    <row r="204" spans="1:68" x14ac:dyDescent="0.3">
      <c r="A204" t="s">
        <v>175</v>
      </c>
      <c r="B204" s="12" t="s">
        <v>792</v>
      </c>
      <c r="C204" s="12"/>
      <c r="F204">
        <v>2.85</v>
      </c>
      <c r="G204" t="s">
        <v>176</v>
      </c>
      <c r="H204" s="8" t="s">
        <v>579</v>
      </c>
      <c r="I204" t="s">
        <v>654</v>
      </c>
      <c r="L204" s="20">
        <v>1</v>
      </c>
      <c r="M204">
        <v>2</v>
      </c>
      <c r="N204">
        <v>0</v>
      </c>
      <c r="O204">
        <v>3.9045000000000001</v>
      </c>
      <c r="P204">
        <v>3.9045000000000001</v>
      </c>
      <c r="Q204">
        <v>21.652100000000001</v>
      </c>
      <c r="R204" t="s">
        <v>516</v>
      </c>
      <c r="T204" s="20">
        <v>11.30538971</v>
      </c>
      <c r="U204" s="20">
        <v>11.30538971</v>
      </c>
      <c r="V204" s="20">
        <v>11.30538971</v>
      </c>
      <c r="W204">
        <v>3.8996</v>
      </c>
      <c r="X204">
        <v>3.8996</v>
      </c>
      <c r="Y204">
        <v>21.687999999999999</v>
      </c>
      <c r="Z204">
        <v>0</v>
      </c>
      <c r="AD204">
        <v>14</v>
      </c>
      <c r="AE204" s="44">
        <f t="shared" si="11"/>
        <v>330.08886816502502</v>
      </c>
      <c r="AF204" s="46">
        <v>169.7295487154349</v>
      </c>
      <c r="AG204" s="44">
        <v>329.80681691007999</v>
      </c>
      <c r="AH204" s="44">
        <v>0</v>
      </c>
      <c r="AJ204" s="40">
        <v>8.248416440128592E-2</v>
      </c>
      <c r="AK204" s="41">
        <v>8.4898184526107132E-2</v>
      </c>
      <c r="AM204" s="23">
        <v>1.7272727272727271</v>
      </c>
      <c r="AN204" s="23">
        <v>2.545454545454545</v>
      </c>
      <c r="AO204" s="23">
        <v>1.7272727272727271</v>
      </c>
      <c r="AP204" s="23">
        <v>0</v>
      </c>
      <c r="AQ204" s="23">
        <v>0.2878787878787879</v>
      </c>
      <c r="AR204" s="23">
        <v>0.42424242424242431</v>
      </c>
      <c r="AS204" s="23">
        <v>0.2878787878787879</v>
      </c>
      <c r="AT204" s="23">
        <v>0</v>
      </c>
      <c r="AU204" s="20">
        <v>1.1000000000000001</v>
      </c>
      <c r="AV204" s="20">
        <v>3.44</v>
      </c>
      <c r="AW204" s="20">
        <v>2.34</v>
      </c>
      <c r="AX204" s="20">
        <v>2.7554545454545449</v>
      </c>
      <c r="AY204">
        <v>2.7554545454545449</v>
      </c>
      <c r="AZ204">
        <v>6.1782631499999994</v>
      </c>
      <c r="BA204" s="64">
        <v>0.46170510468104309</v>
      </c>
      <c r="BB204" s="64">
        <v>0</v>
      </c>
      <c r="BE204">
        <v>4.124208220064296E-2</v>
      </c>
      <c r="BF204">
        <v>4.2449092263053573E-2</v>
      </c>
      <c r="BH204">
        <v>8.3691174463696533E-2</v>
      </c>
      <c r="BI204">
        <v>4.1845587231848273E-2</v>
      </c>
      <c r="BJ204">
        <v>0.23085255234052149</v>
      </c>
      <c r="BP204">
        <v>4.2</v>
      </c>
    </row>
    <row r="205" spans="1:68" x14ac:dyDescent="0.3">
      <c r="A205" t="s">
        <v>5</v>
      </c>
      <c r="B205" s="12" t="s">
        <v>690</v>
      </c>
      <c r="C205" s="12"/>
      <c r="F205">
        <v>3.5</v>
      </c>
      <c r="G205" t="s">
        <v>176</v>
      </c>
      <c r="H205" s="8" t="s">
        <v>528</v>
      </c>
      <c r="I205" t="s">
        <v>610</v>
      </c>
      <c r="L205" s="20">
        <v>1</v>
      </c>
      <c r="M205">
        <v>1</v>
      </c>
      <c r="N205">
        <v>0</v>
      </c>
      <c r="O205">
        <v>3.8650000000000002</v>
      </c>
      <c r="P205">
        <v>3.8650000000000002</v>
      </c>
      <c r="Q205">
        <v>14.974299999999999</v>
      </c>
      <c r="R205" t="s">
        <v>439</v>
      </c>
      <c r="T205" s="20">
        <v>3.9661010000000001</v>
      </c>
      <c r="U205" s="20">
        <v>3.9661010000000001</v>
      </c>
      <c r="V205" s="20">
        <v>15.283337</v>
      </c>
      <c r="W205">
        <v>3.8586499999999999</v>
      </c>
      <c r="X205">
        <v>3.8586499999999999</v>
      </c>
      <c r="Y205">
        <v>14.9108</v>
      </c>
      <c r="Z205">
        <v>0</v>
      </c>
      <c r="AD205">
        <v>20</v>
      </c>
      <c r="AE205" s="44">
        <f t="shared" si="11"/>
        <v>223.6894626175</v>
      </c>
      <c r="AF205" s="46">
        <v>240.40623599981481</v>
      </c>
      <c r="AG205" s="44">
        <v>222.00958249733301</v>
      </c>
      <c r="AH205" s="44">
        <v>0</v>
      </c>
      <c r="AJ205" s="40">
        <v>8.3192517518619641E-2</v>
      </c>
      <c r="AK205" s="41">
        <v>9.0086201573034624E-2</v>
      </c>
      <c r="AM205" s="23">
        <v>1.75</v>
      </c>
      <c r="AN205" s="23">
        <v>2.5</v>
      </c>
      <c r="AO205" s="23">
        <v>0.75</v>
      </c>
      <c r="AP205" s="23">
        <v>0</v>
      </c>
      <c r="AQ205" s="23">
        <v>0.35</v>
      </c>
      <c r="AR205" s="23">
        <v>0.5</v>
      </c>
      <c r="AS205" s="23">
        <v>0.15</v>
      </c>
      <c r="AT205" s="23">
        <v>0</v>
      </c>
      <c r="AU205" s="20">
        <v>0.82</v>
      </c>
      <c r="AV205" s="20">
        <v>3.44</v>
      </c>
      <c r="AW205" s="20">
        <v>2.62</v>
      </c>
      <c r="AX205" s="20">
        <v>2.6262500000000002</v>
      </c>
      <c r="AY205">
        <v>2.6262500000000002</v>
      </c>
      <c r="AZ205">
        <v>5.9612134765624996</v>
      </c>
      <c r="BA205" s="64">
        <v>0.50467688585120674</v>
      </c>
      <c r="BB205" s="64">
        <v>0.54649654829675798</v>
      </c>
      <c r="BE205">
        <v>4.159625875930982E-2</v>
      </c>
      <c r="BF205">
        <v>4.5043100786517312E-2</v>
      </c>
      <c r="BH205">
        <v>8.6639359545827133E-2</v>
      </c>
      <c r="BI205">
        <v>4.3319679772913573E-2</v>
      </c>
      <c r="BJ205">
        <v>0.5255867170739823</v>
      </c>
      <c r="BP205">
        <v>1.9</v>
      </c>
    </row>
    <row r="206" spans="1:68" s="4" customFormat="1" x14ac:dyDescent="0.3">
      <c r="A206" s="4" t="s">
        <v>177</v>
      </c>
      <c r="B206" s="29" t="s">
        <v>793</v>
      </c>
      <c r="C206" s="29"/>
      <c r="F206" s="4">
        <v>2.65</v>
      </c>
      <c r="G206" s="4" t="s">
        <v>176</v>
      </c>
      <c r="H206" s="30">
        <v>-2</v>
      </c>
      <c r="I206" s="4">
        <v>-1</v>
      </c>
      <c r="L206" s="31">
        <v>0</v>
      </c>
      <c r="M206">
        <v>0</v>
      </c>
      <c r="N206">
        <v>0</v>
      </c>
      <c r="T206" s="31">
        <v>0</v>
      </c>
      <c r="U206" s="31"/>
      <c r="V206" s="31"/>
      <c r="W206">
        <v>0</v>
      </c>
      <c r="X206"/>
      <c r="Y206"/>
      <c r="Z206">
        <v>0</v>
      </c>
      <c r="AA206"/>
      <c r="AB206"/>
      <c r="AD206" s="4">
        <v>20</v>
      </c>
      <c r="AE206" s="44">
        <f t="shared" si="11"/>
        <v>0</v>
      </c>
      <c r="AF206" s="46">
        <v>0</v>
      </c>
      <c r="AG206" s="44">
        <v>0</v>
      </c>
      <c r="AH206" s="44">
        <v>0</v>
      </c>
      <c r="AI206" s="41"/>
      <c r="AJ206" s="40"/>
      <c r="AK206" s="41"/>
      <c r="AL206" s="41"/>
      <c r="AM206" s="4">
        <v>1.75</v>
      </c>
      <c r="AN206" s="4">
        <v>2.5</v>
      </c>
      <c r="AO206" s="4">
        <v>1.375</v>
      </c>
      <c r="AP206" s="4">
        <v>0</v>
      </c>
      <c r="AQ206" s="4">
        <v>0.31111111111111112</v>
      </c>
      <c r="AR206" s="4">
        <v>0.44444444444444442</v>
      </c>
      <c r="AS206" s="4">
        <v>0.24444444444444441</v>
      </c>
      <c r="AT206" s="4">
        <v>0</v>
      </c>
      <c r="AU206" s="31">
        <v>1</v>
      </c>
      <c r="AV206" s="31">
        <v>3.44</v>
      </c>
      <c r="AW206" s="31">
        <v>2.44</v>
      </c>
      <c r="AX206" s="31">
        <v>2.6956250000000002</v>
      </c>
      <c r="AY206" s="4">
        <v>2.6956250000000002</v>
      </c>
      <c r="AZ206" s="4">
        <v>6.0930154356250004</v>
      </c>
      <c r="BA206" s="64"/>
      <c r="BB206" s="64"/>
      <c r="BC206" s="64"/>
      <c r="BD206"/>
      <c r="BE206"/>
      <c r="BF206"/>
      <c r="BG206"/>
      <c r="BH206">
        <v>0</v>
      </c>
      <c r="BI206">
        <v>0</v>
      </c>
      <c r="BJ206">
        <v>0</v>
      </c>
      <c r="BP206" s="4">
        <v>2.1</v>
      </c>
    </row>
    <row r="207" spans="1:68" x14ac:dyDescent="0.3">
      <c r="A207" t="s">
        <v>178</v>
      </c>
      <c r="B207" s="12" t="s">
        <v>794</v>
      </c>
      <c r="C207" s="12"/>
      <c r="F207">
        <v>3.1</v>
      </c>
      <c r="G207" t="s">
        <v>176</v>
      </c>
      <c r="H207" s="8" t="s">
        <v>580</v>
      </c>
      <c r="I207" t="s">
        <v>655</v>
      </c>
      <c r="L207" s="20">
        <v>1</v>
      </c>
      <c r="M207">
        <v>1</v>
      </c>
      <c r="N207">
        <v>0</v>
      </c>
      <c r="O207">
        <v>3.9007999999999998</v>
      </c>
      <c r="P207">
        <v>3.9007999999999998</v>
      </c>
      <c r="Q207">
        <v>15.317</v>
      </c>
      <c r="R207" t="s">
        <v>439</v>
      </c>
      <c r="T207" s="20">
        <v>3.9860820000000001</v>
      </c>
      <c r="U207" s="20">
        <v>3.9860820000000001</v>
      </c>
      <c r="V207" s="20">
        <v>15.440419</v>
      </c>
      <c r="W207">
        <v>3.8944000000000001</v>
      </c>
      <c r="X207">
        <v>3.8944000000000001</v>
      </c>
      <c r="Y207">
        <v>15.271000000000001</v>
      </c>
      <c r="Z207">
        <v>0</v>
      </c>
      <c r="AD207">
        <v>20</v>
      </c>
      <c r="AE207" s="44">
        <f t="shared" si="11"/>
        <v>233.06715788288</v>
      </c>
      <c r="AF207" s="46">
        <v>245.33049696160739</v>
      </c>
      <c r="AG207" s="44">
        <v>231.60535161856001</v>
      </c>
      <c r="AH207" s="44">
        <v>0</v>
      </c>
      <c r="AJ207" s="40">
        <v>8.1522681638434333E-2</v>
      </c>
      <c r="AK207" s="41">
        <v>8.6353790446685313E-2</v>
      </c>
      <c r="AM207" s="23">
        <v>1.75</v>
      </c>
      <c r="AN207" s="23">
        <v>2.5</v>
      </c>
      <c r="AO207" s="23">
        <v>0.75</v>
      </c>
      <c r="AP207" s="23">
        <v>0</v>
      </c>
      <c r="AQ207" s="23">
        <v>0.35</v>
      </c>
      <c r="AR207" s="23">
        <v>0.5</v>
      </c>
      <c r="AS207" s="23">
        <v>0.15</v>
      </c>
      <c r="AT207" s="23">
        <v>0</v>
      </c>
      <c r="AU207" s="20">
        <v>0.82</v>
      </c>
      <c r="AV207" s="20">
        <v>3.44</v>
      </c>
      <c r="AW207" s="20">
        <v>2.62</v>
      </c>
      <c r="AX207" s="20">
        <v>2.62</v>
      </c>
      <c r="AY207">
        <v>2.62</v>
      </c>
      <c r="AZ207">
        <v>5.9367901628125006</v>
      </c>
      <c r="BA207" s="64">
        <v>0.52249469585014929</v>
      </c>
      <c r="BB207" s="64">
        <v>0.55345821025686881</v>
      </c>
      <c r="BE207">
        <v>4.0761340819217173E-2</v>
      </c>
      <c r="BF207">
        <v>4.3176895223342657E-2</v>
      </c>
      <c r="BH207">
        <v>8.3938236042559816E-2</v>
      </c>
      <c r="BI207">
        <v>4.1969118021279922E-2</v>
      </c>
      <c r="BJ207">
        <v>0.53797645305350905</v>
      </c>
      <c r="BP207">
        <v>2.7</v>
      </c>
    </row>
    <row r="208" spans="1:68" x14ac:dyDescent="0.3">
      <c r="A208" s="4" t="s">
        <v>179</v>
      </c>
      <c r="B208" s="29" t="s">
        <v>795</v>
      </c>
      <c r="C208" s="29"/>
      <c r="D208" s="4"/>
      <c r="E208" s="4"/>
      <c r="F208" s="4">
        <v>2.66</v>
      </c>
      <c r="G208" s="4" t="s">
        <v>176</v>
      </c>
      <c r="H208" s="30">
        <v>-2</v>
      </c>
      <c r="I208" s="4">
        <v>-1</v>
      </c>
      <c r="J208" s="4"/>
      <c r="K208" s="4"/>
      <c r="L208" s="31">
        <v>0</v>
      </c>
      <c r="M208">
        <v>0</v>
      </c>
      <c r="N208">
        <v>0</v>
      </c>
      <c r="O208" s="4"/>
      <c r="P208" s="4"/>
      <c r="Q208" s="4"/>
      <c r="R208" s="4"/>
      <c r="S208" s="4"/>
      <c r="T208" s="31">
        <v>0</v>
      </c>
      <c r="U208" s="31"/>
      <c r="V208" s="31"/>
      <c r="W208">
        <v>0</v>
      </c>
      <c r="Z208">
        <v>0</v>
      </c>
      <c r="AC208" s="4"/>
      <c r="AD208" s="4">
        <v>20</v>
      </c>
      <c r="AE208" s="44">
        <f t="shared" si="11"/>
        <v>0</v>
      </c>
      <c r="AF208" s="46">
        <v>0</v>
      </c>
      <c r="AG208" s="44">
        <v>0</v>
      </c>
      <c r="AH208" s="44">
        <v>0</v>
      </c>
      <c r="AJ208" s="40"/>
      <c r="AM208" s="4">
        <v>1.75</v>
      </c>
      <c r="AN208" s="4">
        <v>2.5</v>
      </c>
      <c r="AO208" s="4">
        <v>1.375</v>
      </c>
      <c r="AP208" s="4">
        <v>0</v>
      </c>
      <c r="AQ208" s="4">
        <v>0.31111111111111112</v>
      </c>
      <c r="AR208" s="4">
        <v>0.44444444444444442</v>
      </c>
      <c r="AS208" s="4">
        <v>0.24444444444444441</v>
      </c>
      <c r="AT208" s="4">
        <v>0</v>
      </c>
      <c r="AU208" s="31">
        <v>0.95</v>
      </c>
      <c r="AV208" s="31">
        <v>3.44</v>
      </c>
      <c r="AW208" s="31">
        <v>2.4900000000000002</v>
      </c>
      <c r="AX208" s="31">
        <v>2.6893750000000001</v>
      </c>
      <c r="AY208" s="4">
        <v>2.6893750000000001</v>
      </c>
      <c r="AZ208" s="4">
        <v>6.0685921218750014</v>
      </c>
      <c r="BH208">
        <v>0</v>
      </c>
      <c r="BI208">
        <v>0</v>
      </c>
      <c r="BJ208">
        <v>0</v>
      </c>
      <c r="BP208" s="4">
        <v>3</v>
      </c>
    </row>
    <row r="209" spans="1:68" x14ac:dyDescent="0.3">
      <c r="A209" t="s">
        <v>180</v>
      </c>
      <c r="B209" s="12" t="s">
        <v>796</v>
      </c>
      <c r="C209" s="12"/>
      <c r="F209">
        <v>3.6</v>
      </c>
      <c r="G209" t="s">
        <v>176</v>
      </c>
      <c r="H209" s="8">
        <v>-1</v>
      </c>
      <c r="I209">
        <v>-1</v>
      </c>
      <c r="K209">
        <v>2</v>
      </c>
      <c r="L209" s="20">
        <v>0</v>
      </c>
      <c r="M209">
        <v>0</v>
      </c>
      <c r="N209">
        <v>0</v>
      </c>
      <c r="O209">
        <v>3.9287999999999998</v>
      </c>
      <c r="P209">
        <v>3.9287999999999998</v>
      </c>
      <c r="Q209">
        <v>30.2698</v>
      </c>
      <c r="R209" t="s">
        <v>439</v>
      </c>
      <c r="T209" s="20">
        <v>0</v>
      </c>
      <c r="U209" s="20"/>
      <c r="V209" s="20"/>
      <c r="W209">
        <v>0</v>
      </c>
      <c r="Z209">
        <v>0</v>
      </c>
      <c r="AD209">
        <v>20</v>
      </c>
      <c r="AE209" s="44">
        <f t="shared" si="11"/>
        <v>467.22857285491193</v>
      </c>
      <c r="AF209" s="46">
        <v>0</v>
      </c>
      <c r="AG209" s="44">
        <v>0</v>
      </c>
      <c r="AH209" s="44">
        <v>0</v>
      </c>
      <c r="AI209" s="41">
        <f t="shared" ref="AI209:AI212" si="12">K209*AD209/AE209</f>
        <v>8.5611202576048706E-2</v>
      </c>
      <c r="AJ209" s="40"/>
      <c r="AM209" s="23">
        <v>1.882352941176471</v>
      </c>
      <c r="AN209" s="23">
        <v>2.3529411764705879</v>
      </c>
      <c r="AO209" s="23">
        <v>0.47058823529411759</v>
      </c>
      <c r="AP209" s="23">
        <v>0</v>
      </c>
      <c r="AQ209" s="23">
        <v>0.4</v>
      </c>
      <c r="AR209" s="23">
        <v>0.5</v>
      </c>
      <c r="AS209" s="23">
        <v>9.9999999999999992E-2</v>
      </c>
      <c r="AT209" s="23">
        <v>0</v>
      </c>
      <c r="AU209" s="20">
        <v>0.82</v>
      </c>
      <c r="AV209" s="20">
        <v>3.44</v>
      </c>
      <c r="AW209" s="20">
        <v>2.62</v>
      </c>
      <c r="AX209" s="20">
        <v>2.5211764705882351</v>
      </c>
      <c r="AY209">
        <v>2.521176470588236</v>
      </c>
      <c r="AZ209">
        <v>5.6793405594117647</v>
      </c>
      <c r="BD209">
        <v>4.2805601288024353E-2</v>
      </c>
      <c r="BH209">
        <v>8.5611202576048706E-2</v>
      </c>
      <c r="BI209">
        <v>4.2805601288024353E-2</v>
      </c>
      <c r="BJ209">
        <v>0</v>
      </c>
      <c r="BP209">
        <v>2.2999999999999998</v>
      </c>
    </row>
    <row r="210" spans="1:68" x14ac:dyDescent="0.3">
      <c r="A210" t="s">
        <v>181</v>
      </c>
      <c r="B210" s="12" t="s">
        <v>797</v>
      </c>
      <c r="C210" s="12"/>
      <c r="F210">
        <v>2.4</v>
      </c>
      <c r="G210" t="s">
        <v>176</v>
      </c>
      <c r="H210" s="8" t="s">
        <v>581</v>
      </c>
      <c r="I210" t="s">
        <v>656</v>
      </c>
      <c r="K210">
        <v>2</v>
      </c>
      <c r="L210" s="20">
        <v>1</v>
      </c>
      <c r="M210">
        <v>2</v>
      </c>
      <c r="N210">
        <v>0</v>
      </c>
      <c r="O210">
        <v>3.8313999999999999</v>
      </c>
      <c r="P210">
        <v>3.8313999999999999</v>
      </c>
      <c r="Q210">
        <v>28.871400000000001</v>
      </c>
      <c r="R210" t="s">
        <v>440</v>
      </c>
      <c r="T210" s="20">
        <v>14.88329339</v>
      </c>
      <c r="U210" s="20">
        <v>14.88329339</v>
      </c>
      <c r="V210" s="20">
        <v>14.88329339</v>
      </c>
      <c r="W210">
        <v>3.8250999999999999</v>
      </c>
      <c r="X210">
        <v>3.8250999999999999</v>
      </c>
      <c r="Y210">
        <v>28.884</v>
      </c>
      <c r="Z210">
        <v>0</v>
      </c>
      <c r="AD210">
        <v>20</v>
      </c>
      <c r="AE210" s="44">
        <f t="shared" si="11"/>
        <v>423.82135294154398</v>
      </c>
      <c r="AF210" s="46">
        <v>218.43262216091571</v>
      </c>
      <c r="AG210" s="44">
        <v>422.61306904883998</v>
      </c>
      <c r="AH210" s="44">
        <v>0</v>
      </c>
      <c r="AI210" s="41">
        <f t="shared" si="12"/>
        <v>9.4379388207741013E-2</v>
      </c>
      <c r="AJ210" s="40">
        <v>9.1561415150097566E-2</v>
      </c>
      <c r="AK210" s="41">
        <v>9.4649226276950119E-2</v>
      </c>
      <c r="AM210" s="23">
        <v>1.882352941176471</v>
      </c>
      <c r="AN210" s="23">
        <v>2.3529411764705879</v>
      </c>
      <c r="AO210" s="23">
        <v>1.6470588235294119</v>
      </c>
      <c r="AP210" s="23">
        <v>0</v>
      </c>
      <c r="AQ210" s="23">
        <v>0.32</v>
      </c>
      <c r="AR210" s="23">
        <v>0.4</v>
      </c>
      <c r="AS210" s="23">
        <v>0.28000000000000003</v>
      </c>
      <c r="AT210" s="23">
        <v>0</v>
      </c>
      <c r="AU210" s="20">
        <v>1.1000000000000001</v>
      </c>
      <c r="AV210" s="20">
        <v>3.44</v>
      </c>
      <c r="AW210" s="20">
        <v>2.34</v>
      </c>
      <c r="AX210" s="20">
        <v>2.651764705882353</v>
      </c>
      <c r="AY210">
        <v>2.651764705882353</v>
      </c>
      <c r="AZ210">
        <v>5.9274383647058819</v>
      </c>
      <c r="BA210" s="64">
        <v>0.55146660057091235</v>
      </c>
      <c r="BB210" s="64">
        <v>0.57006422384419775</v>
      </c>
      <c r="BD210">
        <v>4.7189694103870507E-2</v>
      </c>
      <c r="BE210">
        <v>4.5780707575048769E-2</v>
      </c>
      <c r="BF210">
        <v>4.7324613138475059E-2</v>
      </c>
      <c r="BH210">
        <v>9.353000987826289E-2</v>
      </c>
      <c r="BI210">
        <v>4.6765004939131452E-2</v>
      </c>
      <c r="BJ210">
        <v>0.56076541220755505</v>
      </c>
      <c r="BP210">
        <v>3.1</v>
      </c>
    </row>
    <row r="211" spans="1:68" x14ac:dyDescent="0.3">
      <c r="A211" t="s">
        <v>175</v>
      </c>
      <c r="B211" s="16" t="s">
        <v>792</v>
      </c>
      <c r="C211" s="12"/>
      <c r="D211" t="s">
        <v>863</v>
      </c>
      <c r="E211">
        <v>1</v>
      </c>
      <c r="F211">
        <v>3.15</v>
      </c>
      <c r="G211" t="s">
        <v>176</v>
      </c>
      <c r="H211" s="8" t="s">
        <v>579</v>
      </c>
      <c r="I211" t="s">
        <v>654</v>
      </c>
      <c r="L211" s="20">
        <v>1</v>
      </c>
      <c r="M211">
        <v>2</v>
      </c>
      <c r="N211">
        <v>0</v>
      </c>
      <c r="O211">
        <v>7.7803000000000004</v>
      </c>
      <c r="P211">
        <v>7.7803000000000004</v>
      </c>
      <c r="Q211">
        <v>42.569200000000002</v>
      </c>
      <c r="R211" t="s">
        <v>516</v>
      </c>
      <c r="T211" s="20">
        <v>11.30538971</v>
      </c>
      <c r="U211" s="20">
        <v>11.30538971</v>
      </c>
      <c r="V211" s="20">
        <v>11.30538971</v>
      </c>
      <c r="W211">
        <v>3.8996</v>
      </c>
      <c r="X211">
        <v>3.8996</v>
      </c>
      <c r="Y211">
        <v>21.687999999999999</v>
      </c>
      <c r="Z211">
        <v>0</v>
      </c>
      <c r="AD211">
        <v>14</v>
      </c>
      <c r="AE211" s="44">
        <f t="shared" si="11"/>
        <v>2576.8442821368285</v>
      </c>
      <c r="AF211" s="46">
        <v>169.7295487154349</v>
      </c>
      <c r="AG211" s="44">
        <v>329.80681691007999</v>
      </c>
      <c r="AH211" s="44">
        <v>0</v>
      </c>
      <c r="AJ211" s="40">
        <v>8.248416440128592E-2</v>
      </c>
      <c r="AK211" s="41">
        <v>8.4898184526107132E-2</v>
      </c>
      <c r="AM211" s="23">
        <v>1.7272727272727271</v>
      </c>
      <c r="AN211" s="23">
        <v>2.545454545454545</v>
      </c>
      <c r="AO211" s="23">
        <v>1.7272727272727271</v>
      </c>
      <c r="AP211" s="23">
        <v>0</v>
      </c>
      <c r="AQ211" s="23">
        <v>0.2878787878787879</v>
      </c>
      <c r="AR211" s="23">
        <v>0.42424242424242431</v>
      </c>
      <c r="AS211" s="23">
        <v>0.2878787878787879</v>
      </c>
      <c r="AT211" s="23">
        <v>0</v>
      </c>
      <c r="AU211" s="20">
        <v>1.1000000000000001</v>
      </c>
      <c r="AV211" s="20">
        <v>3.44</v>
      </c>
      <c r="AW211" s="20">
        <v>2.34</v>
      </c>
      <c r="AX211" s="20">
        <v>2.7554545454545449</v>
      </c>
      <c r="AY211">
        <v>2.7554545454545449</v>
      </c>
      <c r="AZ211">
        <v>6.1782631499999994</v>
      </c>
      <c r="BA211" s="64">
        <v>0.46170510468104309</v>
      </c>
      <c r="BB211" s="64">
        <v>0</v>
      </c>
      <c r="BE211">
        <v>4.124208220064296E-2</v>
      </c>
      <c r="BF211">
        <v>4.2449092263053573E-2</v>
      </c>
      <c r="BH211">
        <v>8.3691174463696533E-2</v>
      </c>
      <c r="BI211">
        <v>4.1845587231848273E-2</v>
      </c>
      <c r="BJ211">
        <v>0.23085255234052149</v>
      </c>
    </row>
    <row r="212" spans="1:68" x14ac:dyDescent="0.3">
      <c r="A212" t="s">
        <v>177</v>
      </c>
      <c r="B212" s="16" t="s">
        <v>793</v>
      </c>
      <c r="C212" s="12"/>
      <c r="D212" t="s">
        <v>863</v>
      </c>
      <c r="E212">
        <v>1</v>
      </c>
      <c r="F212">
        <v>3.14</v>
      </c>
      <c r="G212" t="s">
        <v>176</v>
      </c>
      <c r="H212" s="8">
        <v>-1</v>
      </c>
      <c r="I212">
        <v>-1</v>
      </c>
      <c r="K212">
        <v>1</v>
      </c>
      <c r="L212" s="20">
        <v>0</v>
      </c>
      <c r="M212">
        <v>0</v>
      </c>
      <c r="N212">
        <v>0</v>
      </c>
      <c r="O212">
        <v>3.84</v>
      </c>
      <c r="P212">
        <v>3.84</v>
      </c>
      <c r="Q212">
        <v>15.007</v>
      </c>
      <c r="T212" s="20">
        <v>0</v>
      </c>
      <c r="U212" s="20"/>
      <c r="V212" s="20"/>
      <c r="W212">
        <v>0</v>
      </c>
      <c r="Z212">
        <v>0</v>
      </c>
      <c r="AD212">
        <v>20</v>
      </c>
      <c r="AE212" s="44">
        <f t="shared" si="11"/>
        <v>221.28721919999998</v>
      </c>
      <c r="AF212" s="46">
        <v>0</v>
      </c>
      <c r="AG212" s="44">
        <v>0</v>
      </c>
      <c r="AH212" s="44">
        <v>0</v>
      </c>
      <c r="AI212" s="41">
        <f t="shared" si="12"/>
        <v>9.0380276241457697E-2</v>
      </c>
      <c r="AJ212" s="40"/>
      <c r="AM212" s="23">
        <v>1.75</v>
      </c>
      <c r="AN212" s="23">
        <v>2.5</v>
      </c>
      <c r="AO212" s="23">
        <v>1.375</v>
      </c>
      <c r="AP212" s="23">
        <v>0</v>
      </c>
      <c r="AQ212" s="23">
        <v>0.31111111111111112</v>
      </c>
      <c r="AR212" s="23">
        <v>0.44444444444444442</v>
      </c>
      <c r="AS212" s="23">
        <v>0.24444444444444441</v>
      </c>
      <c r="AT212" s="23">
        <v>0</v>
      </c>
      <c r="AU212" s="20">
        <v>1</v>
      </c>
      <c r="AV212" s="20">
        <v>3.44</v>
      </c>
      <c r="AW212" s="20">
        <v>2.44</v>
      </c>
      <c r="AX212" s="20">
        <v>2.6956250000000002</v>
      </c>
      <c r="AY212">
        <v>2.6956250000000002</v>
      </c>
      <c r="AZ212">
        <v>6.0930154356250004</v>
      </c>
      <c r="BD212">
        <v>4.5190138120728848E-2</v>
      </c>
      <c r="BH212">
        <v>9.0380276241457697E-2</v>
      </c>
      <c r="BI212">
        <v>4.5190138120728848E-2</v>
      </c>
      <c r="BJ212">
        <v>0</v>
      </c>
    </row>
    <row r="213" spans="1:68" s="4" customFormat="1" x14ac:dyDescent="0.3">
      <c r="A213" s="4" t="s">
        <v>179</v>
      </c>
      <c r="B213" s="36" t="s">
        <v>795</v>
      </c>
      <c r="C213" s="29"/>
      <c r="D213" s="4" t="s">
        <v>863</v>
      </c>
      <c r="E213" s="4">
        <v>1</v>
      </c>
      <c r="F213" s="4">
        <v>3.22</v>
      </c>
      <c r="G213" s="4" t="s">
        <v>176</v>
      </c>
      <c r="H213" s="30">
        <v>-2</v>
      </c>
      <c r="I213" s="4">
        <v>-1</v>
      </c>
      <c r="L213" s="31">
        <v>0</v>
      </c>
      <c r="M213">
        <v>0</v>
      </c>
      <c r="N213">
        <v>0</v>
      </c>
      <c r="T213" s="31">
        <v>0</v>
      </c>
      <c r="U213" s="31"/>
      <c r="V213" s="31"/>
      <c r="W213">
        <v>0</v>
      </c>
      <c r="X213"/>
      <c r="Y213"/>
      <c r="Z213">
        <v>0</v>
      </c>
      <c r="AA213"/>
      <c r="AB213"/>
      <c r="AD213" s="4">
        <v>20</v>
      </c>
      <c r="AE213" s="44">
        <f t="shared" si="11"/>
        <v>0</v>
      </c>
      <c r="AF213" s="46">
        <v>0</v>
      </c>
      <c r="AG213" s="44">
        <v>0</v>
      </c>
      <c r="AH213" s="44">
        <v>0</v>
      </c>
      <c r="AI213" s="41"/>
      <c r="AJ213" s="40"/>
      <c r="AK213" s="41"/>
      <c r="AL213" s="41"/>
      <c r="AM213" s="4">
        <v>1.75</v>
      </c>
      <c r="AN213" s="4">
        <v>2.5</v>
      </c>
      <c r="AO213" s="4">
        <v>1.375</v>
      </c>
      <c r="AP213" s="4">
        <v>0</v>
      </c>
      <c r="AQ213" s="4">
        <v>0.31111111111111112</v>
      </c>
      <c r="AR213" s="4">
        <v>0.44444444444444442</v>
      </c>
      <c r="AS213" s="4">
        <v>0.24444444444444441</v>
      </c>
      <c r="AT213" s="4">
        <v>0</v>
      </c>
      <c r="AU213" s="31">
        <v>0.95</v>
      </c>
      <c r="AV213" s="31">
        <v>3.44</v>
      </c>
      <c r="AW213" s="31">
        <v>2.4900000000000002</v>
      </c>
      <c r="AX213" s="31">
        <v>2.6893750000000001</v>
      </c>
      <c r="AY213" s="4">
        <v>2.6893750000000001</v>
      </c>
      <c r="AZ213" s="4">
        <v>6.0685921218750014</v>
      </c>
      <c r="BA213" s="64"/>
      <c r="BB213" s="64"/>
      <c r="BC213" s="64"/>
      <c r="BD213"/>
      <c r="BE213"/>
      <c r="BF213"/>
      <c r="BG213"/>
      <c r="BH213">
        <v>0</v>
      </c>
      <c r="BI213">
        <v>0</v>
      </c>
      <c r="BJ213">
        <v>0</v>
      </c>
    </row>
    <row r="214" spans="1:68" x14ac:dyDescent="0.3">
      <c r="A214" t="s">
        <v>181</v>
      </c>
      <c r="B214" s="16" t="s">
        <v>797</v>
      </c>
      <c r="C214" s="12"/>
      <c r="D214" t="s">
        <v>863</v>
      </c>
      <c r="E214">
        <v>1</v>
      </c>
      <c r="F214">
        <v>3.42</v>
      </c>
      <c r="G214" t="s">
        <v>176</v>
      </c>
      <c r="H214" s="8" t="s">
        <v>581</v>
      </c>
      <c r="I214" t="s">
        <v>656</v>
      </c>
      <c r="L214" s="20">
        <v>1</v>
      </c>
      <c r="M214">
        <v>2</v>
      </c>
      <c r="N214">
        <v>0</v>
      </c>
      <c r="O214">
        <v>7.7803000000000004</v>
      </c>
      <c r="P214">
        <v>7.7803000000000004</v>
      </c>
      <c r="Q214">
        <v>42.569200000000002</v>
      </c>
      <c r="R214" t="s">
        <v>516</v>
      </c>
      <c r="T214" s="20">
        <v>14.88329339</v>
      </c>
      <c r="U214" s="20">
        <v>14.88329339</v>
      </c>
      <c r="V214" s="20">
        <v>14.88329339</v>
      </c>
      <c r="W214">
        <v>3.8250999999999999</v>
      </c>
      <c r="X214">
        <v>3.8250999999999999</v>
      </c>
      <c r="Y214">
        <v>28.884</v>
      </c>
      <c r="Z214">
        <v>0</v>
      </c>
      <c r="AD214">
        <v>20</v>
      </c>
      <c r="AE214" s="44">
        <f t="shared" si="11"/>
        <v>2576.8442821368285</v>
      </c>
      <c r="AF214" s="46">
        <v>218.43262216091571</v>
      </c>
      <c r="AG214" s="44">
        <v>422.61306904883998</v>
      </c>
      <c r="AH214" s="44">
        <v>0</v>
      </c>
      <c r="AJ214" s="40">
        <v>9.1561415150097566E-2</v>
      </c>
      <c r="AK214" s="41">
        <v>9.4649226276950119E-2</v>
      </c>
      <c r="AM214" s="23">
        <v>1.882352941176471</v>
      </c>
      <c r="AN214" s="23">
        <v>2.3529411764705879</v>
      </c>
      <c r="AO214" s="23">
        <v>1.6470588235294119</v>
      </c>
      <c r="AP214" s="23">
        <v>0</v>
      </c>
      <c r="AQ214" s="23">
        <v>0.32</v>
      </c>
      <c r="AR214" s="23">
        <v>0.4</v>
      </c>
      <c r="AS214" s="23">
        <v>0.28000000000000003</v>
      </c>
      <c r="AT214" s="23">
        <v>0</v>
      </c>
      <c r="AU214" s="20">
        <v>1.1000000000000001</v>
      </c>
      <c r="AV214" s="20">
        <v>3.44</v>
      </c>
      <c r="AW214" s="20">
        <v>2.34</v>
      </c>
      <c r="AX214" s="20">
        <v>2.651764705882353</v>
      </c>
      <c r="AY214">
        <v>2.651764705882353</v>
      </c>
      <c r="AZ214">
        <v>5.9274383647058819</v>
      </c>
      <c r="BA214" s="64">
        <v>0.55146660057091235</v>
      </c>
      <c r="BB214" s="64">
        <v>0.57006422384419775</v>
      </c>
      <c r="BE214">
        <v>4.5780707575048769E-2</v>
      </c>
      <c r="BF214">
        <v>4.7324613138475059E-2</v>
      </c>
      <c r="BH214">
        <v>9.3105320713523843E-2</v>
      </c>
      <c r="BI214">
        <v>4.6552660356761907E-2</v>
      </c>
      <c r="BJ214">
        <v>0.56076541220755505</v>
      </c>
    </row>
    <row r="215" spans="1:68" x14ac:dyDescent="0.3">
      <c r="A215" t="s">
        <v>38</v>
      </c>
      <c r="B215" s="12" t="s">
        <v>714</v>
      </c>
      <c r="C215" s="12"/>
      <c r="F215">
        <v>3.9</v>
      </c>
      <c r="G215" t="s">
        <v>182</v>
      </c>
      <c r="H215" s="8" t="s">
        <v>545</v>
      </c>
      <c r="I215" t="s">
        <v>626</v>
      </c>
      <c r="L215" s="20">
        <v>1</v>
      </c>
      <c r="M215">
        <v>1</v>
      </c>
      <c r="N215">
        <v>0</v>
      </c>
      <c r="T215" s="20">
        <v>5.8532381300000003</v>
      </c>
      <c r="U215" s="20">
        <v>5.8532371599999999</v>
      </c>
      <c r="V215" s="20">
        <v>11.912811489999999</v>
      </c>
      <c r="W215">
        <v>5.7946</v>
      </c>
      <c r="X215">
        <v>5.7946</v>
      </c>
      <c r="Y215">
        <v>11.787599999999999</v>
      </c>
      <c r="Z215">
        <v>0</v>
      </c>
      <c r="AD215">
        <v>30</v>
      </c>
      <c r="AE215" s="44">
        <f t="shared" si="11"/>
        <v>0</v>
      </c>
      <c r="AF215" s="46">
        <v>353.45760058531442</v>
      </c>
      <c r="AG215" s="44">
        <v>342.77011164986573</v>
      </c>
      <c r="AH215" s="44">
        <v>0</v>
      </c>
      <c r="AJ215" s="40">
        <v>8.487580957467307E-2</v>
      </c>
      <c r="AK215" s="41">
        <v>8.752221672887435E-2</v>
      </c>
      <c r="AM215" s="23">
        <v>1.833333333333333</v>
      </c>
      <c r="AN215" s="23">
        <v>2.5</v>
      </c>
      <c r="AO215" s="23">
        <v>0.66666666666666663</v>
      </c>
      <c r="AP215" s="23">
        <v>0</v>
      </c>
      <c r="AQ215" s="23">
        <v>0.36666666666666659</v>
      </c>
      <c r="AR215" s="23">
        <v>0.5</v>
      </c>
      <c r="AS215" s="23">
        <v>0.1333333333333333</v>
      </c>
      <c r="AT215" s="23">
        <v>0</v>
      </c>
      <c r="AU215" s="20">
        <v>0.89</v>
      </c>
      <c r="AV215" s="20">
        <v>3.44</v>
      </c>
      <c r="AW215" s="20">
        <v>2.5499999999999998</v>
      </c>
      <c r="AX215" s="20">
        <v>2.6020833333333329</v>
      </c>
      <c r="AY215">
        <v>2.6020833333333329</v>
      </c>
      <c r="AZ215">
        <v>5.9098726145833336</v>
      </c>
      <c r="BA215" s="64">
        <v>0.57410011132036598</v>
      </c>
      <c r="BB215" s="64">
        <v>0.59200041353179045</v>
      </c>
      <c r="BE215">
        <v>4.2437904787336528E-2</v>
      </c>
      <c r="BF215">
        <v>4.3761108364437168E-2</v>
      </c>
      <c r="BH215">
        <v>8.619901315177371E-2</v>
      </c>
      <c r="BI215">
        <v>4.3099506575886848E-2</v>
      </c>
      <c r="BJ215">
        <v>0.58305026242607827</v>
      </c>
      <c r="BP215">
        <v>0.7</v>
      </c>
    </row>
    <row r="216" spans="1:68" x14ac:dyDescent="0.3">
      <c r="A216" t="s">
        <v>48</v>
      </c>
      <c r="B216" s="12" t="s">
        <v>724</v>
      </c>
      <c r="C216" s="12"/>
      <c r="F216">
        <v>4.3</v>
      </c>
      <c r="G216" t="s">
        <v>183</v>
      </c>
      <c r="H216" s="8" t="s">
        <v>552</v>
      </c>
      <c r="I216" t="s">
        <v>630</v>
      </c>
      <c r="L216" s="20">
        <v>2</v>
      </c>
      <c r="M216">
        <v>8</v>
      </c>
      <c r="N216">
        <v>0</v>
      </c>
      <c r="T216" s="20">
        <v>7.4836094600000003</v>
      </c>
      <c r="U216" s="20">
        <v>7.4836094600000003</v>
      </c>
      <c r="V216" s="20">
        <v>7.4836094600000003</v>
      </c>
      <c r="W216">
        <v>10.34</v>
      </c>
      <c r="X216">
        <v>10.34</v>
      </c>
      <c r="Y216">
        <v>10.34</v>
      </c>
      <c r="Z216">
        <v>0</v>
      </c>
      <c r="AD216">
        <v>14</v>
      </c>
      <c r="AE216" s="44">
        <f t="shared" si="11"/>
        <v>0</v>
      </c>
      <c r="AF216" s="46">
        <v>296.35915518228359</v>
      </c>
      <c r="AG216" s="44">
        <v>1105.507304</v>
      </c>
      <c r="AH216" s="44">
        <v>0</v>
      </c>
      <c r="AJ216" s="40">
        <v>9.4479956196318104E-2</v>
      </c>
      <c r="AK216" s="41">
        <v>0.1013109543417363</v>
      </c>
      <c r="AM216" s="23">
        <v>1.8181818181818179</v>
      </c>
      <c r="AN216" s="23">
        <v>2.545454545454545</v>
      </c>
      <c r="AO216" s="23">
        <v>0.72727272727272729</v>
      </c>
      <c r="AP216" s="23">
        <v>0</v>
      </c>
      <c r="AQ216" s="23">
        <v>0.35714285714285721</v>
      </c>
      <c r="AR216" s="23">
        <v>0.5</v>
      </c>
      <c r="AS216" s="23">
        <v>0.1428571428571429</v>
      </c>
      <c r="AT216" s="23">
        <v>0</v>
      </c>
      <c r="AU216" s="20">
        <v>1</v>
      </c>
      <c r="AV216" s="20">
        <v>3.44</v>
      </c>
      <c r="AW216" s="20">
        <v>2.44</v>
      </c>
      <c r="AX216" s="20">
        <v>2.6618181818181821</v>
      </c>
      <c r="AY216">
        <v>2.6618181818181821</v>
      </c>
      <c r="AZ216">
        <v>6.0537295018181814</v>
      </c>
      <c r="BA216" s="64">
        <v>0.50642227837041764</v>
      </c>
      <c r="BB216" s="64">
        <v>0.5430371307011983</v>
      </c>
      <c r="BE216">
        <v>4.7239978098159073E-2</v>
      </c>
      <c r="BF216">
        <v>5.0655477170868157E-2</v>
      </c>
      <c r="BH216">
        <v>9.789545526902721E-2</v>
      </c>
      <c r="BI216">
        <v>4.8947727634513619E-2</v>
      </c>
      <c r="BJ216">
        <v>0.52472970453580792</v>
      </c>
      <c r="BP216">
        <v>4.2</v>
      </c>
    </row>
    <row r="217" spans="1:68" x14ac:dyDescent="0.3">
      <c r="A217" t="s">
        <v>49</v>
      </c>
      <c r="B217" s="12" t="s">
        <v>725</v>
      </c>
      <c r="C217" s="12"/>
      <c r="F217">
        <v>4.0999999999999996</v>
      </c>
      <c r="G217" t="s">
        <v>183</v>
      </c>
      <c r="H217" s="8" t="s">
        <v>553</v>
      </c>
      <c r="I217" t="s">
        <v>631</v>
      </c>
      <c r="L217" s="20">
        <v>8</v>
      </c>
      <c r="M217">
        <v>8</v>
      </c>
      <c r="N217">
        <v>0</v>
      </c>
      <c r="T217" s="20">
        <v>5.8017180100000001</v>
      </c>
      <c r="U217" s="20">
        <v>7.9756520899999996</v>
      </c>
      <c r="V217" s="20">
        <v>27.352093400000001</v>
      </c>
      <c r="W217">
        <v>26.646989999999999</v>
      </c>
      <c r="X217">
        <v>7.9359999999999999</v>
      </c>
      <c r="Y217">
        <v>5.7050000000000001</v>
      </c>
      <c r="Z217">
        <v>0</v>
      </c>
      <c r="AD217">
        <v>14</v>
      </c>
      <c r="AE217" s="44">
        <f t="shared" si="11"/>
        <v>0</v>
      </c>
      <c r="AF217" s="46">
        <v>1265.6493143942739</v>
      </c>
      <c r="AG217" s="44">
        <v>1206.4392746112001</v>
      </c>
      <c r="AH217" s="44">
        <v>0</v>
      </c>
      <c r="AJ217" s="40">
        <v>8.8492127105210025E-2</v>
      </c>
      <c r="AK217" s="41">
        <v>9.2835174017436004E-2</v>
      </c>
      <c r="AM217" s="23">
        <v>1.8181818181818179</v>
      </c>
      <c r="AN217" s="23">
        <v>2.545454545454545</v>
      </c>
      <c r="AO217" s="23">
        <v>0.72727272727272729</v>
      </c>
      <c r="AP217" s="23">
        <v>0</v>
      </c>
      <c r="AQ217" s="23">
        <v>0.35714285714285721</v>
      </c>
      <c r="AR217" s="23">
        <v>0.5</v>
      </c>
      <c r="AS217" s="23">
        <v>0.1428571428571429</v>
      </c>
      <c r="AT217" s="23">
        <v>0</v>
      </c>
      <c r="AU217" s="20">
        <v>0.95</v>
      </c>
      <c r="AV217" s="20">
        <v>3.44</v>
      </c>
      <c r="AW217" s="20">
        <v>2.4900000000000002</v>
      </c>
      <c r="AX217" s="20">
        <v>2.6527272727272719</v>
      </c>
      <c r="AY217">
        <v>2.6527272727272728</v>
      </c>
      <c r="AZ217">
        <v>6.0182046818181814</v>
      </c>
      <c r="BA217" s="64">
        <v>0.5176653673612065</v>
      </c>
      <c r="BB217" s="64">
        <v>0.54307152550012683</v>
      </c>
      <c r="BE217">
        <v>4.4246063552605013E-2</v>
      </c>
      <c r="BF217">
        <v>4.6417587008717988E-2</v>
      </c>
      <c r="BH217">
        <v>9.0663650561323014E-2</v>
      </c>
      <c r="BI217">
        <v>4.53318252806615E-2</v>
      </c>
      <c r="BJ217">
        <v>0.53036844643066661</v>
      </c>
      <c r="BP217">
        <v>5.0999999999999996</v>
      </c>
    </row>
    <row r="218" spans="1:68" x14ac:dyDescent="0.3">
      <c r="A218" t="s">
        <v>46</v>
      </c>
      <c r="B218" s="12" t="s">
        <v>722</v>
      </c>
      <c r="C218" s="12"/>
      <c r="F218">
        <v>3.2</v>
      </c>
      <c r="G218" t="s">
        <v>183</v>
      </c>
      <c r="H218" s="8" t="s">
        <v>551</v>
      </c>
      <c r="I218" t="s">
        <v>629</v>
      </c>
      <c r="L218" s="20">
        <v>2</v>
      </c>
      <c r="M218">
        <v>4</v>
      </c>
      <c r="N218">
        <v>0</v>
      </c>
      <c r="T218" s="20">
        <v>7.41544296</v>
      </c>
      <c r="U218" s="20">
        <v>7.4154429599999991</v>
      </c>
      <c r="V218" s="20">
        <v>7.41544296</v>
      </c>
      <c r="W218">
        <v>7.8</v>
      </c>
      <c r="X218">
        <v>13.010999999999999</v>
      </c>
      <c r="Y218">
        <v>5.5460000000000003</v>
      </c>
      <c r="Z218">
        <v>0</v>
      </c>
      <c r="AD218">
        <v>14</v>
      </c>
      <c r="AE218" s="44">
        <f t="shared" si="11"/>
        <v>0</v>
      </c>
      <c r="AF218" s="46">
        <v>288.33429290182369</v>
      </c>
      <c r="AG218" s="44">
        <v>556.51188553357167</v>
      </c>
      <c r="AH218" s="44">
        <v>0</v>
      </c>
      <c r="AJ218" s="40">
        <v>9.7109503410799117E-2</v>
      </c>
      <c r="AK218" s="41">
        <v>0.10062678166578309</v>
      </c>
      <c r="AM218" s="23">
        <v>2</v>
      </c>
      <c r="AN218" s="23">
        <v>2.545454545454545</v>
      </c>
      <c r="AO218" s="23">
        <v>0.54545454545454541</v>
      </c>
      <c r="AP218" s="23">
        <v>0</v>
      </c>
      <c r="AQ218" s="23">
        <v>0.39285714285714279</v>
      </c>
      <c r="AR218" s="23">
        <v>0.5</v>
      </c>
      <c r="AS218" s="23">
        <v>0.1071428571428571</v>
      </c>
      <c r="AT218" s="23">
        <v>0</v>
      </c>
      <c r="AU218" s="20">
        <v>1.1000000000000001</v>
      </c>
      <c r="AV218" s="20">
        <v>3.44</v>
      </c>
      <c r="AW218" s="20">
        <v>2.34</v>
      </c>
      <c r="AX218" s="20">
        <v>2.669090909090909</v>
      </c>
      <c r="AY218">
        <v>2.669090909090909</v>
      </c>
      <c r="AZ218">
        <v>5.9831974772727277</v>
      </c>
      <c r="BA218" s="64">
        <v>0.52442413903612473</v>
      </c>
      <c r="BB218" s="64">
        <v>0.54341863036636606</v>
      </c>
      <c r="BE218">
        <v>4.8554751705399558E-2</v>
      </c>
      <c r="BF218">
        <v>5.0313390832891547E-2</v>
      </c>
      <c r="BH218">
        <v>9.8868142538291098E-2</v>
      </c>
      <c r="BI218">
        <v>4.9434071269145549E-2</v>
      </c>
      <c r="BJ218">
        <v>0.53392138470124539</v>
      </c>
      <c r="BP218">
        <v>5.2</v>
      </c>
    </row>
    <row r="219" spans="1:68" x14ac:dyDescent="0.3">
      <c r="A219" t="s">
        <v>47</v>
      </c>
      <c r="B219" s="12" t="s">
        <v>723</v>
      </c>
      <c r="C219" s="12"/>
      <c r="F219">
        <v>3.8</v>
      </c>
      <c r="G219" t="s">
        <v>183</v>
      </c>
      <c r="H219" s="8">
        <v>-1</v>
      </c>
      <c r="I219">
        <v>-1</v>
      </c>
      <c r="J219" t="s">
        <v>1152</v>
      </c>
      <c r="L219" s="20">
        <v>0</v>
      </c>
      <c r="M219">
        <v>0</v>
      </c>
      <c r="N219">
        <v>2</v>
      </c>
      <c r="T219" s="20">
        <v>0</v>
      </c>
      <c r="U219" s="20"/>
      <c r="V219" s="20"/>
      <c r="W219">
        <v>0</v>
      </c>
      <c r="Z219">
        <v>5.5170000000000003</v>
      </c>
      <c r="AA219">
        <v>31.274999999999999</v>
      </c>
      <c r="AB219">
        <v>3.8942000000000001</v>
      </c>
      <c r="AD219">
        <v>34</v>
      </c>
      <c r="AE219" s="44">
        <f t="shared" si="11"/>
        <v>0</v>
      </c>
      <c r="AF219" s="46">
        <v>0</v>
      </c>
      <c r="AG219" s="44">
        <v>0</v>
      </c>
      <c r="AH219" s="44">
        <v>671.92152628500003</v>
      </c>
      <c r="AJ219" s="40"/>
      <c r="AL219" s="41">
        <v>0.1012022942261822</v>
      </c>
      <c r="AM219" s="23">
        <v>2</v>
      </c>
      <c r="AN219" s="23">
        <v>2.518518518518519</v>
      </c>
      <c r="AO219" s="23">
        <v>0.51851851851851849</v>
      </c>
      <c r="AP219" s="23">
        <v>0</v>
      </c>
      <c r="AQ219" s="23">
        <v>0.39705882352941169</v>
      </c>
      <c r="AR219" s="23">
        <v>0.5</v>
      </c>
      <c r="AS219" s="23">
        <v>0.1029411764705882</v>
      </c>
      <c r="AT219" s="23">
        <v>0</v>
      </c>
      <c r="AU219" s="20">
        <v>1</v>
      </c>
      <c r="AV219" s="20">
        <v>3.44</v>
      </c>
      <c r="AW219" s="20">
        <v>2.44</v>
      </c>
      <c r="AX219" s="20">
        <v>2.6511111111111112</v>
      </c>
      <c r="AY219">
        <v>2.6511111111111112</v>
      </c>
      <c r="AZ219">
        <v>5.9544359512962952</v>
      </c>
      <c r="BG219">
        <v>5.0601147113091112E-2</v>
      </c>
      <c r="BH219">
        <v>0.1012022942261822</v>
      </c>
      <c r="BI219">
        <v>5.0601147113091112E-2</v>
      </c>
      <c r="BJ219">
        <v>0</v>
      </c>
      <c r="BP219">
        <v>4.9000000000000004</v>
      </c>
    </row>
    <row r="220" spans="1:68" x14ac:dyDescent="0.3">
      <c r="A220" t="s">
        <v>8</v>
      </c>
      <c r="B220" s="12" t="s">
        <v>694</v>
      </c>
      <c r="C220" s="12"/>
      <c r="F220">
        <v>3.1</v>
      </c>
      <c r="G220" t="s">
        <v>183</v>
      </c>
      <c r="H220" s="8" t="s">
        <v>530</v>
      </c>
      <c r="I220" t="s">
        <v>612</v>
      </c>
      <c r="L220" s="20">
        <v>30</v>
      </c>
      <c r="M220">
        <v>4</v>
      </c>
      <c r="N220">
        <v>0</v>
      </c>
      <c r="T220" s="20">
        <v>10.59112378</v>
      </c>
      <c r="U220" s="20">
        <v>10.784736629999999</v>
      </c>
      <c r="V220" s="20">
        <v>10.486176179999999</v>
      </c>
      <c r="W220">
        <v>3.73</v>
      </c>
      <c r="X220">
        <v>3.73</v>
      </c>
      <c r="Y220">
        <v>9.3699999999999992</v>
      </c>
      <c r="Z220">
        <v>0</v>
      </c>
      <c r="AD220">
        <v>4</v>
      </c>
      <c r="AE220" s="44">
        <f t="shared" si="11"/>
        <v>0</v>
      </c>
      <c r="AF220" s="46">
        <v>1182.741260108548</v>
      </c>
      <c r="AG220" s="44">
        <v>130.36387300000001</v>
      </c>
      <c r="AH220" s="44">
        <v>0</v>
      </c>
      <c r="AJ220" s="40">
        <v>0.1014592151701775</v>
      </c>
      <c r="AK220" s="41">
        <v>0.1227333894874388</v>
      </c>
      <c r="AM220" s="23">
        <v>2</v>
      </c>
      <c r="AN220" s="23">
        <v>2.666666666666667</v>
      </c>
      <c r="AO220" s="23">
        <v>0.66666666666666663</v>
      </c>
      <c r="AP220" s="23">
        <v>0</v>
      </c>
      <c r="AQ220" s="23">
        <v>0.375</v>
      </c>
      <c r="AR220" s="23">
        <v>0.5</v>
      </c>
      <c r="AS220" s="23">
        <v>0.125</v>
      </c>
      <c r="AT220" s="23">
        <v>0</v>
      </c>
      <c r="AU220" s="20">
        <v>1.54</v>
      </c>
      <c r="AV220" s="20">
        <v>3.44</v>
      </c>
      <c r="AW220" s="20">
        <v>1.9</v>
      </c>
      <c r="AX220" s="20">
        <v>2.8066666666666671</v>
      </c>
      <c r="AY220">
        <v>2.8066666666666662</v>
      </c>
      <c r="AZ220">
        <v>6.1769976</v>
      </c>
      <c r="BA220" s="64">
        <v>0.46900407026869628</v>
      </c>
      <c r="BB220" s="64">
        <v>0.56734579634715776</v>
      </c>
      <c r="BE220">
        <v>5.072960758508873E-2</v>
      </c>
      <c r="BF220">
        <v>6.136669474371937E-2</v>
      </c>
      <c r="BH220">
        <v>0.1120963023288082</v>
      </c>
      <c r="BI220">
        <v>5.604815116440405E-2</v>
      </c>
      <c r="BJ220">
        <v>0.51817493330792708</v>
      </c>
      <c r="BP220">
        <v>50</v>
      </c>
    </row>
    <row r="221" spans="1:68" x14ac:dyDescent="0.3">
      <c r="A221" t="s">
        <v>0</v>
      </c>
      <c r="B221" s="12" t="s">
        <v>685</v>
      </c>
      <c r="C221" s="12"/>
      <c r="F221">
        <v>3.3</v>
      </c>
      <c r="G221" t="s">
        <v>183</v>
      </c>
      <c r="H221" s="8" t="s">
        <v>523</v>
      </c>
      <c r="I221" t="s">
        <v>606</v>
      </c>
      <c r="L221" s="20">
        <v>4</v>
      </c>
      <c r="M221">
        <v>4</v>
      </c>
      <c r="N221">
        <v>0</v>
      </c>
      <c r="T221" s="20">
        <v>6.6040679999999998</v>
      </c>
      <c r="U221" s="20">
        <v>7.9389519999999996</v>
      </c>
      <c r="V221" s="20">
        <v>33.703336</v>
      </c>
      <c r="W221">
        <v>7.83</v>
      </c>
      <c r="X221">
        <v>33.209989999999998</v>
      </c>
      <c r="Y221">
        <v>6.46</v>
      </c>
      <c r="Z221">
        <v>0</v>
      </c>
      <c r="AD221">
        <v>34</v>
      </c>
      <c r="AE221" s="44">
        <f t="shared" si="11"/>
        <v>0</v>
      </c>
      <c r="AF221" s="46">
        <v>1767.0449718798691</v>
      </c>
      <c r="AG221" s="44">
        <v>1679.8210721820001</v>
      </c>
      <c r="AH221" s="44">
        <v>0</v>
      </c>
      <c r="AJ221" s="40">
        <v>7.6964651247849417E-2</v>
      </c>
      <c r="AK221" s="41">
        <v>8.0961003676030277E-2</v>
      </c>
      <c r="AM221" s="23">
        <v>1.62962962962963</v>
      </c>
      <c r="AN221" s="23">
        <v>2.518518518518519</v>
      </c>
      <c r="AO221" s="23">
        <v>0.88888888888888884</v>
      </c>
      <c r="AP221" s="23">
        <v>0</v>
      </c>
      <c r="AQ221" s="23">
        <v>0.32352941176470579</v>
      </c>
      <c r="AR221" s="23">
        <v>0.5</v>
      </c>
      <c r="AS221" s="23">
        <v>0.1764705882352941</v>
      </c>
      <c r="AT221" s="23">
        <v>0</v>
      </c>
      <c r="AU221" s="20">
        <v>0.82</v>
      </c>
      <c r="AV221" s="20">
        <v>3.44</v>
      </c>
      <c r="AW221" s="20">
        <v>2.62</v>
      </c>
      <c r="AX221" s="20">
        <v>2.642962962962963</v>
      </c>
      <c r="AY221">
        <v>2.642962962962963</v>
      </c>
      <c r="AZ221">
        <v>5.9587362692592576</v>
      </c>
      <c r="BA221" s="64">
        <v>0.48264383878002159</v>
      </c>
      <c r="BB221" s="64">
        <v>0.50770488753139842</v>
      </c>
      <c r="BE221">
        <v>3.8482325623924708E-2</v>
      </c>
      <c r="BF221">
        <v>4.0480501838015132E-2</v>
      </c>
      <c r="BH221">
        <v>7.8962827461939847E-2</v>
      </c>
      <c r="BI221">
        <v>3.9481413730969923E-2</v>
      </c>
      <c r="BJ221">
        <v>0.49517436315571001</v>
      </c>
      <c r="BP221">
        <v>4.5</v>
      </c>
    </row>
    <row r="222" spans="1:68" s="4" customFormat="1" x14ac:dyDescent="0.3">
      <c r="A222" s="4" t="s">
        <v>184</v>
      </c>
      <c r="B222" s="29" t="s">
        <v>798</v>
      </c>
      <c r="C222" s="29"/>
      <c r="F222" s="4">
        <v>3.5</v>
      </c>
      <c r="G222" s="4" t="s">
        <v>183</v>
      </c>
      <c r="H222" s="30">
        <v>-2</v>
      </c>
      <c r="I222" s="4">
        <v>-1</v>
      </c>
      <c r="L222" s="31">
        <v>0</v>
      </c>
      <c r="M222">
        <v>0</v>
      </c>
      <c r="N222">
        <v>0</v>
      </c>
      <c r="T222" s="31">
        <v>0</v>
      </c>
      <c r="U222" s="31"/>
      <c r="V222" s="31"/>
      <c r="W222">
        <v>0</v>
      </c>
      <c r="X222"/>
      <c r="Y222"/>
      <c r="Z222">
        <v>0</v>
      </c>
      <c r="AA222"/>
      <c r="AB222"/>
      <c r="AD222" s="4">
        <v>20</v>
      </c>
      <c r="AE222" s="44">
        <f t="shared" si="11"/>
        <v>0</v>
      </c>
      <c r="AF222" s="46">
        <v>0</v>
      </c>
      <c r="AG222" s="44">
        <v>0</v>
      </c>
      <c r="AH222" s="44">
        <v>0</v>
      </c>
      <c r="AI222" s="41"/>
      <c r="AJ222" s="40"/>
      <c r="AK222" s="41"/>
      <c r="AL222" s="41"/>
      <c r="AM222" s="4">
        <v>1.9375</v>
      </c>
      <c r="AN222" s="4">
        <v>2.5</v>
      </c>
      <c r="AO222" s="4">
        <v>0.5625</v>
      </c>
      <c r="AP222" s="4">
        <v>2.625</v>
      </c>
      <c r="AQ222" s="4">
        <v>0.25409836065573771</v>
      </c>
      <c r="AR222" s="4">
        <v>0.32786885245901642</v>
      </c>
      <c r="AS222" s="4">
        <v>7.3770491803278687E-2</v>
      </c>
      <c r="AT222" s="4">
        <v>0.34426229508196721</v>
      </c>
      <c r="AU222" s="31">
        <v>0.82</v>
      </c>
      <c r="AV222" s="31">
        <v>3.44</v>
      </c>
      <c r="AW222" s="31">
        <v>2.62</v>
      </c>
      <c r="AX222" s="31">
        <v>2.59375</v>
      </c>
      <c r="AY222" s="4">
        <v>2.59375</v>
      </c>
      <c r="AZ222" s="4">
        <v>5.9363868768750008</v>
      </c>
      <c r="BA222" s="64"/>
      <c r="BB222" s="64"/>
      <c r="BC222" s="64"/>
      <c r="BD222"/>
      <c r="BE222"/>
      <c r="BF222"/>
      <c r="BG222"/>
      <c r="BH222">
        <v>0</v>
      </c>
      <c r="BI222">
        <v>0</v>
      </c>
      <c r="BJ222">
        <v>0</v>
      </c>
      <c r="BP222" s="4">
        <v>4.2</v>
      </c>
    </row>
    <row r="223" spans="1:68" x14ac:dyDescent="0.3">
      <c r="A223" t="s">
        <v>185</v>
      </c>
      <c r="B223" s="12" t="s">
        <v>729</v>
      </c>
      <c r="C223" s="12"/>
      <c r="F223">
        <v>4.55</v>
      </c>
      <c r="G223" t="s">
        <v>192</v>
      </c>
      <c r="H223" s="8" t="s">
        <v>556</v>
      </c>
      <c r="I223" t="s">
        <v>633</v>
      </c>
      <c r="K223">
        <v>4</v>
      </c>
      <c r="L223" s="20">
        <v>2</v>
      </c>
      <c r="M223">
        <v>4</v>
      </c>
      <c r="N223">
        <v>0</v>
      </c>
      <c r="O223">
        <v>3.9369999999999998</v>
      </c>
      <c r="P223">
        <v>27.198</v>
      </c>
      <c r="Q223">
        <v>5.6920000000000002</v>
      </c>
      <c r="T223" s="20">
        <v>13.81974189</v>
      </c>
      <c r="U223" s="20">
        <v>13.81974189</v>
      </c>
      <c r="V223" s="20">
        <v>5.7110870199999999</v>
      </c>
      <c r="W223">
        <v>3.94</v>
      </c>
      <c r="X223">
        <v>27.15</v>
      </c>
      <c r="Y223">
        <v>5.6920000000000002</v>
      </c>
      <c r="Z223">
        <v>0</v>
      </c>
      <c r="AD223">
        <v>14</v>
      </c>
      <c r="AE223" s="44">
        <f t="shared" si="11"/>
        <v>609.49096999200003</v>
      </c>
      <c r="AF223" s="46">
        <v>309.44138863753989</v>
      </c>
      <c r="AG223" s="44">
        <v>608.87893199999996</v>
      </c>
      <c r="AH223" s="44">
        <v>0</v>
      </c>
      <c r="AI223" s="41">
        <f t="shared" ref="AI223:AI236" si="13">K223*AD223/AE223</f>
        <v>9.1879950248869205E-2</v>
      </c>
      <c r="AJ223" s="40">
        <v>9.0485633235046756E-2</v>
      </c>
      <c r="AK223" s="41">
        <v>9.1972306901891634E-2</v>
      </c>
      <c r="AM223" s="23">
        <v>2</v>
      </c>
      <c r="AN223" s="23">
        <v>2.545454545454545</v>
      </c>
      <c r="AO223" s="23">
        <v>0.54545454545454541</v>
      </c>
      <c r="AP223" s="23">
        <v>2.545454545454545</v>
      </c>
      <c r="AQ223" s="23">
        <v>0.26190476190476192</v>
      </c>
      <c r="AR223" s="23">
        <v>0.33333333333333331</v>
      </c>
      <c r="AS223" s="23">
        <v>7.1428571428571425E-2</v>
      </c>
      <c r="AT223" s="23">
        <v>0.33333333333333331</v>
      </c>
      <c r="AU223" s="20">
        <v>0.95</v>
      </c>
      <c r="AV223" s="20">
        <v>3.44</v>
      </c>
      <c r="AW223" s="20">
        <v>2.4900000000000002</v>
      </c>
      <c r="AX223" s="20">
        <v>2.6345454545454539</v>
      </c>
      <c r="AY223">
        <v>2.6345454545454552</v>
      </c>
      <c r="AZ223">
        <v>6.036062318181818</v>
      </c>
      <c r="BA223" s="64">
        <v>0.52932707238284982</v>
      </c>
      <c r="BB223" s="64">
        <v>0.53802388525275069</v>
      </c>
      <c r="BD223">
        <v>4.5939975124434602E-2</v>
      </c>
      <c r="BE223">
        <v>4.5242816617523378E-2</v>
      </c>
      <c r="BF223">
        <v>4.5986153450945817E-2</v>
      </c>
      <c r="BH223">
        <v>9.1445963461935856E-2</v>
      </c>
      <c r="BI223">
        <v>4.5722981730967928E-2</v>
      </c>
      <c r="BJ223">
        <v>0.5336754788178002</v>
      </c>
      <c r="BP223">
        <v>0.9</v>
      </c>
    </row>
    <row r="224" spans="1:68" x14ac:dyDescent="0.3">
      <c r="A224" t="s">
        <v>1227</v>
      </c>
      <c r="B224" s="57" t="s">
        <v>1234</v>
      </c>
      <c r="C224" s="12"/>
      <c r="F224">
        <v>4.43</v>
      </c>
      <c r="G224" t="s">
        <v>192</v>
      </c>
      <c r="H224" s="8">
        <v>-1</v>
      </c>
      <c r="I224">
        <v>-1</v>
      </c>
      <c r="K224">
        <v>4</v>
      </c>
      <c r="L224" s="20">
        <v>0</v>
      </c>
      <c r="M224">
        <v>0</v>
      </c>
      <c r="N224">
        <v>0</v>
      </c>
      <c r="O224" s="1">
        <v>3.9369999999999998</v>
      </c>
      <c r="P224" s="1">
        <v>27.198</v>
      </c>
      <c r="Q224" s="1">
        <v>5.6920000000000002</v>
      </c>
      <c r="T224" s="20">
        <v>0</v>
      </c>
      <c r="U224" s="20"/>
      <c r="V224" s="20"/>
      <c r="W224">
        <v>0</v>
      </c>
      <c r="Z224">
        <v>0</v>
      </c>
      <c r="AD224">
        <v>14</v>
      </c>
      <c r="AE224" s="44">
        <f t="shared" si="11"/>
        <v>609.49096999200003</v>
      </c>
      <c r="AF224" s="46">
        <v>0</v>
      </c>
      <c r="AG224" s="44">
        <v>0</v>
      </c>
      <c r="AH224" s="44">
        <v>0</v>
      </c>
      <c r="AI224" s="41">
        <f t="shared" si="13"/>
        <v>9.1879950248869205E-2</v>
      </c>
      <c r="AJ224" s="40"/>
      <c r="AM224" s="23">
        <v>1.9950000000000001</v>
      </c>
      <c r="AN224" s="23">
        <v>2.8</v>
      </c>
      <c r="AO224" s="23">
        <v>0.30499999999999999</v>
      </c>
      <c r="AP224" s="23">
        <v>1.33</v>
      </c>
      <c r="AQ224" s="23">
        <v>0.31026438569206838</v>
      </c>
      <c r="AR224" s="23">
        <v>0.43545878693623641</v>
      </c>
      <c r="AS224" s="23">
        <v>4.7433903576982892E-2</v>
      </c>
      <c r="AT224" s="23">
        <v>0.20684292379471231</v>
      </c>
      <c r="AU224" s="20">
        <v>0.95</v>
      </c>
      <c r="AV224" s="20">
        <v>3.44</v>
      </c>
      <c r="AW224" s="20">
        <v>2.4900000000000002</v>
      </c>
      <c r="AX224" s="20">
        <v>2.7484999999999991</v>
      </c>
      <c r="AY224">
        <v>2.7484999999999999</v>
      </c>
      <c r="AZ224">
        <v>6.2455429149999997</v>
      </c>
      <c r="BD224">
        <v>4.5939975124434602E-2</v>
      </c>
      <c r="BH224">
        <v>9.1879950248869205E-2</v>
      </c>
      <c r="BI224">
        <v>4.5939975124434602E-2</v>
      </c>
      <c r="BJ224">
        <v>0</v>
      </c>
      <c r="BP224">
        <v>1.2</v>
      </c>
    </row>
    <row r="225" spans="1:68" x14ac:dyDescent="0.3">
      <c r="A225" t="s">
        <v>1228</v>
      </c>
      <c r="B225" s="57" t="s">
        <v>1235</v>
      </c>
      <c r="C225" s="12"/>
      <c r="F225">
        <v>4.34</v>
      </c>
      <c r="G225" t="s">
        <v>192</v>
      </c>
      <c r="H225" s="8">
        <v>-1</v>
      </c>
      <c r="I225">
        <v>-1</v>
      </c>
      <c r="K225">
        <v>4</v>
      </c>
      <c r="L225" s="20">
        <v>0</v>
      </c>
      <c r="M225">
        <v>0</v>
      </c>
      <c r="N225">
        <v>0</v>
      </c>
      <c r="O225" s="1">
        <v>3.9369999999999998</v>
      </c>
      <c r="P225" s="1">
        <v>27.198</v>
      </c>
      <c r="Q225" s="1">
        <v>5.6920000000000002</v>
      </c>
      <c r="T225" s="20">
        <v>0</v>
      </c>
      <c r="U225" s="20"/>
      <c r="V225" s="20"/>
      <c r="W225">
        <v>0</v>
      </c>
      <c r="Z225">
        <v>0</v>
      </c>
      <c r="AD225">
        <v>14</v>
      </c>
      <c r="AE225" s="44">
        <f t="shared" si="11"/>
        <v>609.49096999200003</v>
      </c>
      <c r="AF225" s="46">
        <v>0</v>
      </c>
      <c r="AG225" s="44">
        <v>0</v>
      </c>
      <c r="AH225" s="44">
        <v>0</v>
      </c>
      <c r="AI225" s="41">
        <f t="shared" si="13"/>
        <v>9.1879950248869205E-2</v>
      </c>
      <c r="AJ225" s="40"/>
      <c r="AM225" s="23">
        <v>1.99</v>
      </c>
      <c r="AN225" s="23">
        <v>2.8</v>
      </c>
      <c r="AO225" s="23">
        <v>0.31</v>
      </c>
      <c r="AP225" s="23">
        <v>1.26</v>
      </c>
      <c r="AQ225" s="23">
        <v>0.31289308176100628</v>
      </c>
      <c r="AR225" s="23">
        <v>0.44025157232704398</v>
      </c>
      <c r="AS225" s="23">
        <v>4.874213836477987E-2</v>
      </c>
      <c r="AT225" s="23">
        <v>0.1981132075471698</v>
      </c>
      <c r="AU225" s="20">
        <v>0.95</v>
      </c>
      <c r="AV225" s="20">
        <v>3.44</v>
      </c>
      <c r="AW225" s="20">
        <v>2.4900000000000002</v>
      </c>
      <c r="AX225" s="20">
        <v>2.7490000000000001</v>
      </c>
      <c r="AY225">
        <v>2.7490000000000001</v>
      </c>
      <c r="AZ225">
        <v>6.2450518300000004</v>
      </c>
      <c r="BD225">
        <v>4.5939975124434602E-2</v>
      </c>
      <c r="BH225">
        <v>9.1879950248869205E-2</v>
      </c>
      <c r="BI225">
        <v>4.5939975124434602E-2</v>
      </c>
      <c r="BJ225">
        <v>0</v>
      </c>
      <c r="BP225">
        <v>1.3</v>
      </c>
    </row>
    <row r="226" spans="1:68" x14ac:dyDescent="0.3">
      <c r="A226" t="s">
        <v>1229</v>
      </c>
      <c r="B226" s="57" t="s">
        <v>1236</v>
      </c>
      <c r="C226" s="12"/>
      <c r="F226">
        <v>4.2699999999999996</v>
      </c>
      <c r="G226" t="s">
        <v>192</v>
      </c>
      <c r="H226" s="8">
        <v>-1</v>
      </c>
      <c r="I226">
        <v>-1</v>
      </c>
      <c r="K226">
        <v>4</v>
      </c>
      <c r="L226" s="20">
        <v>0</v>
      </c>
      <c r="M226">
        <v>0</v>
      </c>
      <c r="N226">
        <v>0</v>
      </c>
      <c r="O226" s="1">
        <v>3.9369999999999998</v>
      </c>
      <c r="P226" s="1">
        <v>27.198</v>
      </c>
      <c r="Q226" s="1">
        <v>5.6920000000000002</v>
      </c>
      <c r="T226" s="20">
        <v>0</v>
      </c>
      <c r="U226" s="20"/>
      <c r="V226" s="20"/>
      <c r="W226">
        <v>0</v>
      </c>
      <c r="Z226">
        <v>0</v>
      </c>
      <c r="AD226">
        <v>14</v>
      </c>
      <c r="AE226" s="44">
        <f t="shared" si="11"/>
        <v>609.49096999200003</v>
      </c>
      <c r="AF226" s="46">
        <v>0</v>
      </c>
      <c r="AG226" s="44">
        <v>0</v>
      </c>
      <c r="AH226" s="44">
        <v>0</v>
      </c>
      <c r="AI226" s="41">
        <f t="shared" si="13"/>
        <v>9.1879950248869205E-2</v>
      </c>
      <c r="AJ226" s="40"/>
      <c r="AM226" s="23">
        <v>1.9850000000000001</v>
      </c>
      <c r="AN226" s="23">
        <v>2.8</v>
      </c>
      <c r="AO226" s="23">
        <v>0.315</v>
      </c>
      <c r="AP226" s="23">
        <v>1.19</v>
      </c>
      <c r="AQ226" s="23">
        <v>0.31558028616852152</v>
      </c>
      <c r="AR226" s="23">
        <v>0.4451510333863275</v>
      </c>
      <c r="AS226" s="23">
        <v>5.0079491255961853E-2</v>
      </c>
      <c r="AT226" s="23">
        <v>0.1891891891891892</v>
      </c>
      <c r="AU226" s="20">
        <v>0.95</v>
      </c>
      <c r="AV226" s="20">
        <v>3.44</v>
      </c>
      <c r="AW226" s="20">
        <v>2.4900000000000002</v>
      </c>
      <c r="AX226" s="20">
        <v>2.7494999999999989</v>
      </c>
      <c r="AY226">
        <v>2.7494999999999998</v>
      </c>
      <c r="AZ226">
        <v>6.2445607449999994</v>
      </c>
      <c r="BD226">
        <v>4.5939975124434602E-2</v>
      </c>
      <c r="BH226">
        <v>9.1879950248869205E-2</v>
      </c>
      <c r="BI226">
        <v>4.5939975124434602E-2</v>
      </c>
      <c r="BJ226">
        <v>0</v>
      </c>
      <c r="BP226">
        <v>1</v>
      </c>
    </row>
    <row r="227" spans="1:68" x14ac:dyDescent="0.3">
      <c r="A227" t="s">
        <v>1230</v>
      </c>
      <c r="B227" s="57" t="s">
        <v>1237</v>
      </c>
      <c r="C227" s="12"/>
      <c r="F227">
        <v>4.13</v>
      </c>
      <c r="G227" t="s">
        <v>192</v>
      </c>
      <c r="H227" s="8">
        <v>-1</v>
      </c>
      <c r="I227">
        <v>-1</v>
      </c>
      <c r="K227">
        <v>4</v>
      </c>
      <c r="L227" s="20">
        <v>0</v>
      </c>
      <c r="M227">
        <v>0</v>
      </c>
      <c r="N227">
        <v>0</v>
      </c>
      <c r="O227" s="1">
        <v>3.9369999999999998</v>
      </c>
      <c r="P227" s="1">
        <v>27.198</v>
      </c>
      <c r="Q227" s="1">
        <v>5.6920000000000002</v>
      </c>
      <c r="T227" s="20">
        <v>0</v>
      </c>
      <c r="U227" s="20"/>
      <c r="V227" s="20"/>
      <c r="W227">
        <v>0</v>
      </c>
      <c r="Z227">
        <v>0</v>
      </c>
      <c r="AD227">
        <v>14</v>
      </c>
      <c r="AE227" s="44">
        <f t="shared" si="11"/>
        <v>609.49096999200003</v>
      </c>
      <c r="AF227" s="46">
        <v>0</v>
      </c>
      <c r="AG227" s="44">
        <v>0</v>
      </c>
      <c r="AH227" s="44">
        <v>0</v>
      </c>
      <c r="AI227" s="41">
        <f t="shared" si="13"/>
        <v>9.1879950248869205E-2</v>
      </c>
      <c r="AJ227" s="40"/>
      <c r="AM227" s="23">
        <v>1.9750000000000001</v>
      </c>
      <c r="AN227" s="23">
        <v>2.8</v>
      </c>
      <c r="AO227" s="23">
        <v>0.32500000000000001</v>
      </c>
      <c r="AP227" s="23">
        <v>1.05</v>
      </c>
      <c r="AQ227" s="23">
        <v>0.32113821138211379</v>
      </c>
      <c r="AR227" s="23">
        <v>0.45528455284552838</v>
      </c>
      <c r="AS227" s="23">
        <v>5.2845528455284549E-2</v>
      </c>
      <c r="AT227" s="23">
        <v>0.17073170731707321</v>
      </c>
      <c r="AU227" s="20">
        <v>0.95</v>
      </c>
      <c r="AV227" s="20">
        <v>3.44</v>
      </c>
      <c r="AW227" s="20">
        <v>2.4900000000000002</v>
      </c>
      <c r="AX227" s="20">
        <v>2.7505000000000002</v>
      </c>
      <c r="AY227">
        <v>2.7505000000000002</v>
      </c>
      <c r="AZ227">
        <v>6.2435785749999999</v>
      </c>
      <c r="BD227">
        <v>4.5939975124434602E-2</v>
      </c>
      <c r="BH227">
        <v>9.1879950248869205E-2</v>
      </c>
      <c r="BI227">
        <v>4.5939975124434602E-2</v>
      </c>
      <c r="BJ227">
        <v>0</v>
      </c>
      <c r="BP227">
        <v>1.2</v>
      </c>
    </row>
    <row r="228" spans="1:68" x14ac:dyDescent="0.3">
      <c r="A228" t="s">
        <v>1231</v>
      </c>
      <c r="B228" s="57" t="s">
        <v>1238</v>
      </c>
      <c r="C228" s="12"/>
      <c r="F228">
        <v>4.07</v>
      </c>
      <c r="G228" t="s">
        <v>192</v>
      </c>
      <c r="H228" s="8">
        <v>-1</v>
      </c>
      <c r="I228">
        <v>-1</v>
      </c>
      <c r="K228">
        <v>4</v>
      </c>
      <c r="L228" s="20">
        <v>0</v>
      </c>
      <c r="M228">
        <v>0</v>
      </c>
      <c r="N228">
        <v>0</v>
      </c>
      <c r="O228" s="1">
        <v>3.9369999999999998</v>
      </c>
      <c r="P228" s="1">
        <v>27.198</v>
      </c>
      <c r="Q228" s="1">
        <v>5.6920000000000002</v>
      </c>
      <c r="T228" s="20">
        <v>0</v>
      </c>
      <c r="U228" s="20"/>
      <c r="V228" s="20"/>
      <c r="W228">
        <v>0</v>
      </c>
      <c r="Z228">
        <v>0</v>
      </c>
      <c r="AD228">
        <v>14</v>
      </c>
      <c r="AE228" s="44">
        <f t="shared" si="11"/>
        <v>609.49096999200003</v>
      </c>
      <c r="AF228" s="46">
        <v>0</v>
      </c>
      <c r="AG228" s="44">
        <v>0</v>
      </c>
      <c r="AH228" s="44">
        <v>0</v>
      </c>
      <c r="AI228" s="41">
        <f t="shared" si="13"/>
        <v>9.1879950248869205E-2</v>
      </c>
      <c r="AJ228" s="40"/>
      <c r="AM228" s="23">
        <v>1.9650000000000001</v>
      </c>
      <c r="AN228" s="23">
        <v>2.8</v>
      </c>
      <c r="AO228" s="23">
        <v>0.33500000000000002</v>
      </c>
      <c r="AP228" s="23">
        <v>0.90999999999999992</v>
      </c>
      <c r="AQ228" s="23">
        <v>0.32695507487520797</v>
      </c>
      <c r="AR228" s="23">
        <v>0.46589018302828622</v>
      </c>
      <c r="AS228" s="23">
        <v>5.5740432612312818E-2</v>
      </c>
      <c r="AT228" s="23">
        <v>0.15141430948419299</v>
      </c>
      <c r="AU228" s="20">
        <v>0.95</v>
      </c>
      <c r="AV228" s="20">
        <v>3.44</v>
      </c>
      <c r="AW228" s="20">
        <v>2.4900000000000002</v>
      </c>
      <c r="AX228" s="20">
        <v>2.7515000000000001</v>
      </c>
      <c r="AY228">
        <v>2.7515000000000001</v>
      </c>
      <c r="AZ228">
        <v>6.2425964049999996</v>
      </c>
      <c r="BD228">
        <v>4.5939975124434602E-2</v>
      </c>
      <c r="BH228">
        <v>9.1879950248869205E-2</v>
      </c>
      <c r="BI228">
        <v>4.5939975124434602E-2</v>
      </c>
      <c r="BJ228">
        <v>0</v>
      </c>
      <c r="BP228">
        <v>1</v>
      </c>
    </row>
    <row r="229" spans="1:68" x14ac:dyDescent="0.3">
      <c r="A229" t="s">
        <v>1232</v>
      </c>
      <c r="B229" s="57" t="s">
        <v>1239</v>
      </c>
      <c r="C229" s="12"/>
      <c r="F229">
        <v>4.03</v>
      </c>
      <c r="G229" t="s">
        <v>192</v>
      </c>
      <c r="H229" s="8">
        <v>-1</v>
      </c>
      <c r="I229">
        <v>-1</v>
      </c>
      <c r="K229">
        <v>4</v>
      </c>
      <c r="L229" s="20">
        <v>0</v>
      </c>
      <c r="M229">
        <v>0</v>
      </c>
      <c r="N229">
        <v>0</v>
      </c>
      <c r="O229" s="1">
        <v>3.9369999999999998</v>
      </c>
      <c r="P229" s="1">
        <v>27.198</v>
      </c>
      <c r="Q229" s="1">
        <v>5.6920000000000002</v>
      </c>
      <c r="T229" s="20">
        <v>0</v>
      </c>
      <c r="U229" s="20"/>
      <c r="V229" s="20"/>
      <c r="W229">
        <v>0</v>
      </c>
      <c r="Z229">
        <v>0</v>
      </c>
      <c r="AD229">
        <v>14</v>
      </c>
      <c r="AE229" s="44">
        <f t="shared" si="11"/>
        <v>609.49096999200003</v>
      </c>
      <c r="AF229" s="46">
        <v>0</v>
      </c>
      <c r="AG229" s="44">
        <v>0</v>
      </c>
      <c r="AH229" s="44">
        <v>0</v>
      </c>
      <c r="AI229" s="41">
        <f t="shared" si="13"/>
        <v>9.1879950248869205E-2</v>
      </c>
      <c r="AJ229" s="40"/>
      <c r="AM229" s="23">
        <v>1.95</v>
      </c>
      <c r="AN229" s="23">
        <v>2.8</v>
      </c>
      <c r="AO229" s="23">
        <v>0.35</v>
      </c>
      <c r="AP229" s="23">
        <v>0.7</v>
      </c>
      <c r="AQ229" s="23">
        <v>0.33620689655172409</v>
      </c>
      <c r="AR229" s="23">
        <v>0.48275862068965508</v>
      </c>
      <c r="AS229" s="23">
        <v>6.0344827586206892E-2</v>
      </c>
      <c r="AT229" s="23">
        <v>0.1206896551724138</v>
      </c>
      <c r="AU229" s="20">
        <v>0.95</v>
      </c>
      <c r="AV229" s="20">
        <v>3.44</v>
      </c>
      <c r="AW229" s="20">
        <v>2.4900000000000002</v>
      </c>
      <c r="AX229" s="20">
        <v>2.7530000000000001</v>
      </c>
      <c r="AY229">
        <v>2.7530000000000001</v>
      </c>
      <c r="AZ229">
        <v>6.24112315</v>
      </c>
      <c r="BD229">
        <v>4.5939975124434602E-2</v>
      </c>
      <c r="BH229">
        <v>9.1879950248869205E-2</v>
      </c>
      <c r="BI229">
        <v>4.5939975124434602E-2</v>
      </c>
      <c r="BJ229">
        <v>0</v>
      </c>
      <c r="BP229">
        <v>1.2</v>
      </c>
    </row>
    <row r="230" spans="1:68" x14ac:dyDescent="0.3">
      <c r="A230" t="s">
        <v>1233</v>
      </c>
      <c r="B230" s="57" t="s">
        <v>1240</v>
      </c>
      <c r="C230" s="12"/>
      <c r="F230">
        <v>3.96</v>
      </c>
      <c r="G230" t="s">
        <v>192</v>
      </c>
      <c r="H230" s="8">
        <v>-1</v>
      </c>
      <c r="I230">
        <v>-1</v>
      </c>
      <c r="K230">
        <v>4</v>
      </c>
      <c r="L230" s="20">
        <v>0</v>
      </c>
      <c r="M230">
        <v>0</v>
      </c>
      <c r="N230">
        <v>0</v>
      </c>
      <c r="O230" s="1">
        <v>3.9369999999999998</v>
      </c>
      <c r="P230" s="1">
        <v>27.198</v>
      </c>
      <c r="Q230" s="1">
        <v>5.6920000000000002</v>
      </c>
      <c r="T230" s="20">
        <v>0</v>
      </c>
      <c r="U230" s="20"/>
      <c r="V230" s="20"/>
      <c r="W230">
        <v>0</v>
      </c>
      <c r="Z230">
        <v>0</v>
      </c>
      <c r="AD230">
        <v>14</v>
      </c>
      <c r="AE230" s="44">
        <f t="shared" si="11"/>
        <v>609.49096999200003</v>
      </c>
      <c r="AF230" s="46">
        <v>0</v>
      </c>
      <c r="AG230" s="44">
        <v>0</v>
      </c>
      <c r="AH230" s="44">
        <v>0</v>
      </c>
      <c r="AI230" s="41">
        <f t="shared" si="13"/>
        <v>9.1879950248869205E-2</v>
      </c>
      <c r="AJ230" s="40"/>
      <c r="AM230" s="23">
        <v>1.92</v>
      </c>
      <c r="AN230" s="23">
        <v>2.8</v>
      </c>
      <c r="AO230" s="23">
        <v>0.38</v>
      </c>
      <c r="AP230" s="23">
        <v>0.28000000000000003</v>
      </c>
      <c r="AQ230" s="23">
        <v>0.35687732342007428</v>
      </c>
      <c r="AR230" s="23">
        <v>0.5204460966542751</v>
      </c>
      <c r="AS230" s="23">
        <v>7.0631970260223054E-2</v>
      </c>
      <c r="AT230" s="23">
        <v>5.2044609665427517E-2</v>
      </c>
      <c r="AU230" s="20">
        <v>0.95</v>
      </c>
      <c r="AV230" s="20">
        <v>3.44</v>
      </c>
      <c r="AW230" s="20">
        <v>2.4900000000000002</v>
      </c>
      <c r="AX230" s="20">
        <v>2.7559999999999998</v>
      </c>
      <c r="AY230">
        <v>2.7559999999999998</v>
      </c>
      <c r="AZ230">
        <v>6.2381766400000007</v>
      </c>
      <c r="BD230">
        <v>4.5939975124434602E-2</v>
      </c>
      <c r="BH230">
        <v>9.1879950248869205E-2</v>
      </c>
      <c r="BI230">
        <v>4.5939975124434602E-2</v>
      </c>
      <c r="BJ230">
        <v>0</v>
      </c>
      <c r="BP230">
        <v>0.8</v>
      </c>
    </row>
    <row r="231" spans="1:68" x14ac:dyDescent="0.3">
      <c r="A231" t="s">
        <v>49</v>
      </c>
      <c r="B231" s="12" t="s">
        <v>725</v>
      </c>
      <c r="C231" s="12"/>
      <c r="F231">
        <v>3.92</v>
      </c>
      <c r="G231" t="s">
        <v>192</v>
      </c>
      <c r="H231" s="8" t="s">
        <v>553</v>
      </c>
      <c r="I231" t="s">
        <v>631</v>
      </c>
      <c r="L231" s="20">
        <v>8</v>
      </c>
      <c r="M231">
        <v>8</v>
      </c>
      <c r="N231">
        <v>0</v>
      </c>
      <c r="O231">
        <v>3.9329999999999998</v>
      </c>
      <c r="P231">
        <v>26.725999999999999</v>
      </c>
      <c r="Q231">
        <v>5.8630000000000004</v>
      </c>
      <c r="R231" t="s">
        <v>1095</v>
      </c>
      <c r="T231" s="20">
        <v>5.8017180100000001</v>
      </c>
      <c r="U231" s="20">
        <v>7.9756520899999996</v>
      </c>
      <c r="V231" s="20">
        <v>27.352093400000001</v>
      </c>
      <c r="W231">
        <v>26.646989999999999</v>
      </c>
      <c r="X231">
        <v>7.9359999999999999</v>
      </c>
      <c r="Y231">
        <v>5.7050000000000001</v>
      </c>
      <c r="Z231">
        <v>0</v>
      </c>
      <c r="AD231">
        <v>14</v>
      </c>
      <c r="AE231" s="44">
        <f t="shared" si="11"/>
        <v>616.27961795399995</v>
      </c>
      <c r="AF231" s="46">
        <v>1265.6493143942739</v>
      </c>
      <c r="AG231" s="44">
        <v>1206.4392746112001</v>
      </c>
      <c r="AH231" s="44">
        <v>0</v>
      </c>
      <c r="AJ231" s="40">
        <v>8.8492127105210025E-2</v>
      </c>
      <c r="AK231" s="41">
        <v>9.2835174017436004E-2</v>
      </c>
      <c r="AM231" s="23">
        <v>1.8181818181818179</v>
      </c>
      <c r="AN231" s="23">
        <v>2.545454545454545</v>
      </c>
      <c r="AO231" s="23">
        <v>0.72727272727272729</v>
      </c>
      <c r="AP231" s="23">
        <v>0</v>
      </c>
      <c r="AQ231" s="23">
        <v>0.35714285714285721</v>
      </c>
      <c r="AR231" s="23">
        <v>0.5</v>
      </c>
      <c r="AS231" s="23">
        <v>0.1428571428571429</v>
      </c>
      <c r="AT231" s="23">
        <v>0</v>
      </c>
      <c r="AU231" s="20">
        <v>0.95</v>
      </c>
      <c r="AV231" s="20">
        <v>3.44</v>
      </c>
      <c r="AW231" s="20">
        <v>2.4900000000000002</v>
      </c>
      <c r="AX231" s="20">
        <v>2.6527272727272719</v>
      </c>
      <c r="AY231">
        <v>2.6527272727272728</v>
      </c>
      <c r="AZ231">
        <v>6.0182046818181814</v>
      </c>
      <c r="BA231" s="64">
        <v>0.5176653673612065</v>
      </c>
      <c r="BB231" s="64">
        <v>0.54307152550012683</v>
      </c>
      <c r="BE231">
        <v>4.4246063552605013E-2</v>
      </c>
      <c r="BF231">
        <v>4.6417587008717988E-2</v>
      </c>
      <c r="BH231">
        <v>9.0663650561323014E-2</v>
      </c>
      <c r="BI231">
        <v>4.53318252806615E-2</v>
      </c>
      <c r="BJ231">
        <v>0.53036844643066661</v>
      </c>
      <c r="BP231">
        <v>0.6</v>
      </c>
    </row>
    <row r="232" spans="1:68" x14ac:dyDescent="0.3">
      <c r="A232" t="s">
        <v>46</v>
      </c>
      <c r="B232" s="12" t="s">
        <v>722</v>
      </c>
      <c r="C232" s="12"/>
      <c r="F232">
        <v>3.82</v>
      </c>
      <c r="G232" t="s">
        <v>197</v>
      </c>
      <c r="H232" s="8" t="s">
        <v>551</v>
      </c>
      <c r="I232" t="s">
        <v>629</v>
      </c>
      <c r="K232">
        <v>4</v>
      </c>
      <c r="L232" s="20">
        <v>2</v>
      </c>
      <c r="M232">
        <v>4</v>
      </c>
      <c r="N232">
        <v>0</v>
      </c>
      <c r="O232">
        <v>13.01</v>
      </c>
      <c r="P232">
        <v>5.5439999999999996</v>
      </c>
      <c r="Q232">
        <v>7.81</v>
      </c>
      <c r="R232" t="s">
        <v>1095</v>
      </c>
      <c r="T232" s="20">
        <v>7.41544296</v>
      </c>
      <c r="U232" s="20">
        <v>7.4154429599999991</v>
      </c>
      <c r="V232" s="20">
        <v>7.41544296</v>
      </c>
      <c r="W232">
        <v>7.8</v>
      </c>
      <c r="X232">
        <v>13.010999999999999</v>
      </c>
      <c r="Y232">
        <v>5.5460000000000003</v>
      </c>
      <c r="Z232">
        <v>0</v>
      </c>
      <c r="AD232">
        <v>14</v>
      </c>
      <c r="AE232" s="44">
        <f t="shared" si="11"/>
        <v>563.31530639999994</v>
      </c>
      <c r="AF232" s="46">
        <v>288.33429290182369</v>
      </c>
      <c r="AG232" s="44">
        <v>556.51188553357167</v>
      </c>
      <c r="AH232" s="44">
        <v>0</v>
      </c>
      <c r="AI232" s="41">
        <f t="shared" si="13"/>
        <v>9.9411465237614932E-2</v>
      </c>
      <c r="AJ232" s="40">
        <v>9.7109503410799117E-2</v>
      </c>
      <c r="AK232" s="41">
        <v>0.10062678166578309</v>
      </c>
      <c r="AM232" s="23">
        <v>2</v>
      </c>
      <c r="AN232" s="23">
        <v>2.545454545454545</v>
      </c>
      <c r="AO232" s="23">
        <v>0.54545454545454541</v>
      </c>
      <c r="AP232" s="23">
        <v>0</v>
      </c>
      <c r="AQ232" s="23">
        <v>0.39285714285714279</v>
      </c>
      <c r="AR232" s="23">
        <v>0.5</v>
      </c>
      <c r="AS232" s="23">
        <v>0.1071428571428571</v>
      </c>
      <c r="AT232" s="23">
        <v>0</v>
      </c>
      <c r="AU232" s="20">
        <v>1.1000000000000001</v>
      </c>
      <c r="AV232" s="20">
        <v>3.44</v>
      </c>
      <c r="AW232" s="20">
        <v>2.34</v>
      </c>
      <c r="AX232" s="20">
        <v>2.669090909090909</v>
      </c>
      <c r="AY232">
        <v>2.669090909090909</v>
      </c>
      <c r="AZ232">
        <v>5.9831974772727277</v>
      </c>
      <c r="BA232" s="64">
        <v>0.52442413903612473</v>
      </c>
      <c r="BB232" s="64">
        <v>0.54341863036636606</v>
      </c>
      <c r="BD232">
        <v>4.9705732618807473E-2</v>
      </c>
      <c r="BE232">
        <v>4.8554751705399558E-2</v>
      </c>
      <c r="BF232">
        <v>5.0313390832891547E-2</v>
      </c>
      <c r="BH232">
        <v>9.9049250104732381E-2</v>
      </c>
      <c r="BI232">
        <v>4.952462505236619E-2</v>
      </c>
      <c r="BJ232">
        <v>0.53392138470124539</v>
      </c>
    </row>
    <row r="233" spans="1:68" x14ac:dyDescent="0.3">
      <c r="A233" t="s">
        <v>193</v>
      </c>
      <c r="B233" s="12" t="s">
        <v>799</v>
      </c>
      <c r="C233" s="12"/>
      <c r="F233">
        <v>3.68</v>
      </c>
      <c r="G233" t="s">
        <v>197</v>
      </c>
      <c r="H233" s="8">
        <v>-1</v>
      </c>
      <c r="I233">
        <v>-1</v>
      </c>
      <c r="K233">
        <v>4</v>
      </c>
      <c r="L233" s="20">
        <v>0</v>
      </c>
      <c r="M233">
        <v>0</v>
      </c>
      <c r="N233">
        <v>0</v>
      </c>
      <c r="O233">
        <v>13.02</v>
      </c>
      <c r="P233">
        <v>5.5119999999999996</v>
      </c>
      <c r="Q233">
        <v>7.7450000000000001</v>
      </c>
      <c r="R233" t="s">
        <v>1095</v>
      </c>
      <c r="T233" s="20">
        <v>0</v>
      </c>
      <c r="U233" s="20"/>
      <c r="V233" s="20"/>
      <c r="W233">
        <v>0</v>
      </c>
      <c r="Z233">
        <v>0</v>
      </c>
      <c r="AD233">
        <v>14</v>
      </c>
      <c r="AE233" s="44">
        <f t="shared" si="11"/>
        <v>555.82952879999993</v>
      </c>
      <c r="AF233" s="46">
        <v>0</v>
      </c>
      <c r="AG233" s="44">
        <v>0</v>
      </c>
      <c r="AH233" s="44">
        <v>0</v>
      </c>
      <c r="AI233" s="41">
        <f t="shared" ref="AI233" si="14">K233*AD233/AE233</f>
        <v>0.10075031479687735</v>
      </c>
      <c r="AJ233" s="40"/>
      <c r="AM233" s="23">
        <v>2</v>
      </c>
      <c r="AN233" s="23">
        <v>2.545454545454545</v>
      </c>
      <c r="AO233" s="23">
        <v>0.45454545454545447</v>
      </c>
      <c r="AP233" s="23">
        <v>0.36363636363636359</v>
      </c>
      <c r="AQ233" s="23">
        <v>0.3728813559322034</v>
      </c>
      <c r="AR233" s="23">
        <v>0.47457627118644069</v>
      </c>
      <c r="AS233" s="23">
        <v>8.4745762711864403E-2</v>
      </c>
      <c r="AT233" s="23">
        <v>6.7796610169491525E-2</v>
      </c>
      <c r="AU233" s="20">
        <v>1.1000000000000001</v>
      </c>
      <c r="AV233" s="20">
        <v>3.44</v>
      </c>
      <c r="AW233" s="20">
        <v>2.34</v>
      </c>
      <c r="AX233" s="20">
        <v>2.672727272727272</v>
      </c>
      <c r="AY233">
        <v>2.6727272727272728</v>
      </c>
      <c r="AZ233">
        <v>5.9599268909090908</v>
      </c>
      <c r="BD233">
        <v>5.0375157398438668E-2</v>
      </c>
      <c r="BH233">
        <v>0.10075031479687729</v>
      </c>
      <c r="BI233">
        <v>5.0375157398438668E-2</v>
      </c>
      <c r="BJ233">
        <v>0</v>
      </c>
    </row>
    <row r="234" spans="1:68" x14ac:dyDescent="0.3">
      <c r="A234" t="s">
        <v>194</v>
      </c>
      <c r="B234" s="12" t="s">
        <v>800</v>
      </c>
      <c r="C234" s="12"/>
      <c r="F234">
        <v>3.65</v>
      </c>
      <c r="G234" t="s">
        <v>197</v>
      </c>
      <c r="H234" s="8" t="s">
        <v>582</v>
      </c>
      <c r="I234" t="s">
        <v>657</v>
      </c>
      <c r="K234">
        <v>4</v>
      </c>
      <c r="L234" s="20">
        <v>2</v>
      </c>
      <c r="M234">
        <v>8</v>
      </c>
      <c r="N234">
        <v>0</v>
      </c>
      <c r="O234">
        <v>13.02</v>
      </c>
      <c r="P234">
        <v>5.48</v>
      </c>
      <c r="Q234">
        <v>7.68</v>
      </c>
      <c r="R234" t="s">
        <v>1095</v>
      </c>
      <c r="T234" s="20">
        <v>7.2854997800000012</v>
      </c>
      <c r="U234" s="20">
        <v>7.2855000099999998</v>
      </c>
      <c r="V234" s="20">
        <v>7.28550129</v>
      </c>
      <c r="W234">
        <v>7.6769999999999996</v>
      </c>
      <c r="X234">
        <v>5.4560000000000004</v>
      </c>
      <c r="Y234">
        <v>26.012989999999999</v>
      </c>
      <c r="Z234">
        <v>0</v>
      </c>
      <c r="AD234">
        <v>14</v>
      </c>
      <c r="AE234" s="44">
        <f t="shared" si="11"/>
        <v>547.9649280000001</v>
      </c>
      <c r="AF234" s="46">
        <v>273.44070809730869</v>
      </c>
      <c r="AG234" s="44">
        <v>1077.884035254056</v>
      </c>
      <c r="AH234" s="44">
        <v>0</v>
      </c>
      <c r="AI234" s="41">
        <f t="shared" si="13"/>
        <v>0.10219632158647933</v>
      </c>
      <c r="AJ234" s="40">
        <v>0.1023987986091511</v>
      </c>
      <c r="AK234" s="41">
        <v>0.1039072816155049</v>
      </c>
      <c r="AM234" s="23">
        <v>2</v>
      </c>
      <c r="AN234" s="23">
        <v>2.545454545454545</v>
      </c>
      <c r="AO234" s="23">
        <v>0.36363636363636359</v>
      </c>
      <c r="AP234" s="23">
        <v>0.72727272727272729</v>
      </c>
      <c r="AQ234" s="23">
        <v>0.35483870967741932</v>
      </c>
      <c r="AR234" s="23">
        <v>0.45161290322580638</v>
      </c>
      <c r="AS234" s="23">
        <v>6.4516129032258063E-2</v>
      </c>
      <c r="AT234" s="23">
        <v>0.1290322580645161</v>
      </c>
      <c r="AU234" s="20">
        <v>1.1399999999999999</v>
      </c>
      <c r="AV234" s="20">
        <v>3.44</v>
      </c>
      <c r="AW234" s="20">
        <v>2.2999999999999998</v>
      </c>
      <c r="AX234" s="20">
        <v>2.6763636363636358</v>
      </c>
      <c r="AY234">
        <v>2.6763636363636358</v>
      </c>
      <c r="AZ234">
        <v>5.9366563045454548</v>
      </c>
      <c r="BA234" s="64">
        <v>0.5411256777060568</v>
      </c>
      <c r="BB234" s="64">
        <v>0.54909724475770694</v>
      </c>
      <c r="BD234">
        <v>5.1098160793239672E-2</v>
      </c>
      <c r="BE234">
        <v>5.119939930457558E-2</v>
      </c>
      <c r="BF234">
        <v>5.1953640807752437E-2</v>
      </c>
      <c r="BH234">
        <v>0.1028341339370451</v>
      </c>
      <c r="BI234">
        <v>5.1417066968522558E-2</v>
      </c>
      <c r="BJ234">
        <v>0.54511146123188192</v>
      </c>
    </row>
    <row r="235" spans="1:68" x14ac:dyDescent="0.3">
      <c r="A235" t="s">
        <v>195</v>
      </c>
      <c r="B235" s="12" t="s">
        <v>801</v>
      </c>
      <c r="C235" s="12"/>
      <c r="F235">
        <v>2.99</v>
      </c>
      <c r="G235" t="s">
        <v>197</v>
      </c>
      <c r="H235" s="8" t="s">
        <v>583</v>
      </c>
      <c r="I235">
        <v>-1</v>
      </c>
      <c r="K235">
        <v>4</v>
      </c>
      <c r="L235" s="20">
        <v>4</v>
      </c>
      <c r="M235">
        <v>0</v>
      </c>
      <c r="N235">
        <v>0</v>
      </c>
      <c r="O235">
        <v>12.996</v>
      </c>
      <c r="P235">
        <v>5.4850000000000003</v>
      </c>
      <c r="Q235">
        <v>7.7039999999999997</v>
      </c>
      <c r="R235" t="s">
        <v>1095</v>
      </c>
      <c r="T235" s="20">
        <v>5.5191434299999997</v>
      </c>
      <c r="U235" s="20">
        <v>7.7203982699999987</v>
      </c>
      <c r="V235" s="20">
        <v>13.117043880000001</v>
      </c>
      <c r="W235">
        <v>0</v>
      </c>
      <c r="Z235">
        <v>0</v>
      </c>
      <c r="AD235">
        <v>14</v>
      </c>
      <c r="AE235" s="44">
        <f t="shared" si="11"/>
        <v>549.16469424000002</v>
      </c>
      <c r="AF235" s="46">
        <v>552.74712386171507</v>
      </c>
      <c r="AG235" s="44">
        <v>0</v>
      </c>
      <c r="AH235" s="44">
        <v>0</v>
      </c>
      <c r="AI235" s="41">
        <f t="shared" si="13"/>
        <v>0.1019730521414883</v>
      </c>
      <c r="AJ235" s="40">
        <v>0.1013121508598025</v>
      </c>
      <c r="AM235" s="23">
        <v>2</v>
      </c>
      <c r="AN235" s="23">
        <v>2.545454545454545</v>
      </c>
      <c r="AO235" s="23">
        <v>0.36363636363636359</v>
      </c>
      <c r="AP235" s="23">
        <v>0.54545454545454541</v>
      </c>
      <c r="AQ235" s="23">
        <v>0.3666666666666667</v>
      </c>
      <c r="AR235" s="23">
        <v>0.46666666666666667</v>
      </c>
      <c r="AS235" s="23">
        <v>6.666666666666668E-2</v>
      </c>
      <c r="AT235" s="23">
        <v>0.1</v>
      </c>
      <c r="AU235" s="20">
        <v>1.1299999999999999</v>
      </c>
      <c r="AV235" s="20">
        <v>3.44</v>
      </c>
      <c r="AW235" s="20">
        <v>2.31</v>
      </c>
      <c r="AX235" s="20">
        <v>2.6745454545454539</v>
      </c>
      <c r="AY235">
        <v>2.6745454545454548</v>
      </c>
      <c r="AZ235">
        <v>5.9327418772727274</v>
      </c>
      <c r="BA235" s="64">
        <v>0.53699890088551772</v>
      </c>
      <c r="BD235">
        <v>5.0986526070744151E-2</v>
      </c>
      <c r="BE235">
        <v>5.0656075429901228E-2</v>
      </c>
      <c r="BH235">
        <v>0.1016426015006454</v>
      </c>
      <c r="BI235">
        <v>5.0821300750322693E-2</v>
      </c>
      <c r="BJ235">
        <v>0.53699890088551772</v>
      </c>
    </row>
    <row r="236" spans="1:68" x14ac:dyDescent="0.3">
      <c r="A236" t="s">
        <v>196</v>
      </c>
      <c r="B236" s="12" t="s">
        <v>802</v>
      </c>
      <c r="C236" s="12"/>
      <c r="F236">
        <v>2.98</v>
      </c>
      <c r="G236" t="s">
        <v>197</v>
      </c>
      <c r="H236" s="8">
        <v>-1</v>
      </c>
      <c r="I236">
        <v>-1</v>
      </c>
      <c r="K236">
        <v>4</v>
      </c>
      <c r="L236" s="20">
        <v>0</v>
      </c>
      <c r="M236">
        <v>0</v>
      </c>
      <c r="N236">
        <v>0</v>
      </c>
      <c r="O236">
        <v>13.003</v>
      </c>
      <c r="P236">
        <v>5.5149999999999997</v>
      </c>
      <c r="Q236">
        <v>7.7569999999999997</v>
      </c>
      <c r="R236" t="s">
        <v>1095</v>
      </c>
      <c r="T236" s="20">
        <v>0</v>
      </c>
      <c r="U236" s="20"/>
      <c r="V236" s="20"/>
      <c r="W236">
        <v>0</v>
      </c>
      <c r="Z236">
        <v>0</v>
      </c>
      <c r="AD236">
        <v>14</v>
      </c>
      <c r="AE236" s="44">
        <f t="shared" si="11"/>
        <v>556.266454565</v>
      </c>
      <c r="AF236" s="46">
        <v>0</v>
      </c>
      <c r="AG236" s="44">
        <v>0</v>
      </c>
      <c r="AH236" s="44">
        <v>0</v>
      </c>
      <c r="AI236" s="41">
        <f t="shared" si="13"/>
        <v>0.10067117932500884</v>
      </c>
      <c r="AJ236" s="40"/>
      <c r="AM236" s="23">
        <v>2</v>
      </c>
      <c r="AN236" s="23">
        <v>2.545454545454545</v>
      </c>
      <c r="AO236" s="23">
        <v>0.45454545454545447</v>
      </c>
      <c r="AP236" s="23">
        <v>0.27272727272727271</v>
      </c>
      <c r="AQ236" s="23">
        <v>0.37931034482758619</v>
      </c>
      <c r="AR236" s="23">
        <v>0.48275862068965519</v>
      </c>
      <c r="AS236" s="23">
        <v>8.6206896551724144E-2</v>
      </c>
      <c r="AT236" s="23">
        <v>5.1724137931034482E-2</v>
      </c>
      <c r="AU236" s="20">
        <v>1.1000000000000001</v>
      </c>
      <c r="AV236" s="20">
        <v>3.44</v>
      </c>
      <c r="AW236" s="20">
        <v>2.34</v>
      </c>
      <c r="AX236" s="20">
        <v>2.6718181818181819</v>
      </c>
      <c r="AY236">
        <v>2.6718181818181819</v>
      </c>
      <c r="AZ236">
        <v>5.9579696772727271</v>
      </c>
      <c r="BD236">
        <v>5.0335589662504419E-2</v>
      </c>
      <c r="BH236">
        <v>0.1006711793250088</v>
      </c>
      <c r="BI236">
        <v>5.0335589662504419E-2</v>
      </c>
      <c r="BJ236">
        <v>0</v>
      </c>
    </row>
    <row r="237" spans="1:68" x14ac:dyDescent="0.3">
      <c r="A237" t="s">
        <v>44</v>
      </c>
      <c r="B237" s="12" t="s">
        <v>720</v>
      </c>
      <c r="C237" s="12"/>
      <c r="F237">
        <v>2.1</v>
      </c>
      <c r="G237" t="s">
        <v>198</v>
      </c>
      <c r="H237" s="8" t="s">
        <v>549</v>
      </c>
      <c r="I237">
        <v>-1</v>
      </c>
      <c r="L237" s="20">
        <v>1</v>
      </c>
      <c r="M237">
        <v>0</v>
      </c>
      <c r="N237">
        <v>0</v>
      </c>
      <c r="O237">
        <v>3.871</v>
      </c>
      <c r="P237">
        <v>3.871</v>
      </c>
      <c r="Q237">
        <v>29.783999999999999</v>
      </c>
      <c r="R237" t="s">
        <v>440</v>
      </c>
      <c r="T237" s="20">
        <v>15.28115725</v>
      </c>
      <c r="U237" s="20">
        <v>15.28115725</v>
      </c>
      <c r="V237" s="20">
        <v>15.28115725</v>
      </c>
      <c r="W237">
        <v>0</v>
      </c>
      <c r="Z237">
        <v>0</v>
      </c>
      <c r="AD237">
        <v>20</v>
      </c>
      <c r="AE237" s="44">
        <f t="shared" si="11"/>
        <v>446.30254754399999</v>
      </c>
      <c r="AF237" s="46">
        <v>229.90248606119221</v>
      </c>
      <c r="AG237" s="44">
        <v>0</v>
      </c>
      <c r="AH237" s="44">
        <v>0</v>
      </c>
      <c r="AJ237" s="40">
        <v>8.6993404650164072E-2</v>
      </c>
      <c r="AM237" s="23">
        <v>1.882352941176471</v>
      </c>
      <c r="AN237" s="23">
        <v>2.3529411764705879</v>
      </c>
      <c r="AO237" s="23">
        <v>0.47058823529411759</v>
      </c>
      <c r="AP237" s="23">
        <v>0</v>
      </c>
      <c r="AQ237" s="23">
        <v>0.4</v>
      </c>
      <c r="AR237" s="23">
        <v>0.5</v>
      </c>
      <c r="AS237" s="23">
        <v>9.9999999999999992E-2</v>
      </c>
      <c r="AT237" s="23">
        <v>0</v>
      </c>
      <c r="AU237" s="20">
        <v>0.82</v>
      </c>
      <c r="AV237" s="20">
        <v>3.44</v>
      </c>
      <c r="AW237" s="20">
        <v>2.62</v>
      </c>
      <c r="AX237" s="20">
        <v>2.5211764705882351</v>
      </c>
      <c r="AY237">
        <v>2.521176470588236</v>
      </c>
      <c r="AZ237">
        <v>5.6898745917647062</v>
      </c>
      <c r="BA237" s="64">
        <v>0.57369840599679445</v>
      </c>
      <c r="BE237">
        <v>4.3496702325082043E-2</v>
      </c>
      <c r="BH237">
        <v>8.6993404650164072E-2</v>
      </c>
      <c r="BI237">
        <v>4.3496702325082043E-2</v>
      </c>
      <c r="BJ237">
        <v>0.57369840599679445</v>
      </c>
    </row>
    <row r="238" spans="1:68" x14ac:dyDescent="0.3">
      <c r="A238" t="s">
        <v>199</v>
      </c>
      <c r="B238" s="12" t="s">
        <v>867</v>
      </c>
      <c r="C238" s="12"/>
      <c r="F238">
        <v>2</v>
      </c>
      <c r="G238" t="s">
        <v>207</v>
      </c>
      <c r="H238" s="8">
        <v>-1</v>
      </c>
      <c r="I238">
        <v>-1</v>
      </c>
      <c r="L238" s="20">
        <v>0</v>
      </c>
      <c r="M238">
        <v>0</v>
      </c>
      <c r="N238">
        <v>0</v>
      </c>
      <c r="O238" s="1">
        <v>3.871</v>
      </c>
      <c r="P238" s="1">
        <v>3.871</v>
      </c>
      <c r="Q238">
        <v>29.297000000000001</v>
      </c>
      <c r="T238" s="20">
        <v>0</v>
      </c>
      <c r="U238" s="20"/>
      <c r="V238" s="20"/>
      <c r="W238">
        <v>0</v>
      </c>
      <c r="Z238">
        <v>0</v>
      </c>
      <c r="AD238">
        <v>20</v>
      </c>
      <c r="AE238" s="44">
        <f t="shared" si="11"/>
        <v>439.00502737700003</v>
      </c>
      <c r="AF238" s="46">
        <v>0</v>
      </c>
      <c r="AG238" s="44">
        <v>0</v>
      </c>
      <c r="AH238" s="44">
        <v>0</v>
      </c>
      <c r="AJ238" s="40"/>
      <c r="AM238" s="23">
        <v>1.882352941176471</v>
      </c>
      <c r="AN238" s="23">
        <v>2.3529411764705879</v>
      </c>
      <c r="AO238" s="23">
        <v>1.6470588235294119</v>
      </c>
      <c r="AP238" s="23">
        <v>0</v>
      </c>
      <c r="AQ238" s="23">
        <v>0.32</v>
      </c>
      <c r="AR238" s="23">
        <v>0.4</v>
      </c>
      <c r="AS238" s="23">
        <v>0.28000000000000003</v>
      </c>
      <c r="AT238" s="23">
        <v>0</v>
      </c>
      <c r="AU238" s="20">
        <v>1.1000000000000001</v>
      </c>
      <c r="AV238" s="20">
        <v>3.44</v>
      </c>
      <c r="AW238" s="20">
        <v>2.34</v>
      </c>
      <c r="AX238" s="20">
        <v>2.6482352941176468</v>
      </c>
      <c r="AY238">
        <v>2.6482352941176468</v>
      </c>
      <c r="AZ238">
        <v>5.9322299529411762</v>
      </c>
      <c r="BH238">
        <v>0</v>
      </c>
      <c r="BI238">
        <v>0</v>
      </c>
      <c r="BJ238">
        <v>0</v>
      </c>
    </row>
    <row r="239" spans="1:68" x14ac:dyDescent="0.3">
      <c r="A239" t="s">
        <v>200</v>
      </c>
      <c r="B239" s="12" t="s">
        <v>868</v>
      </c>
      <c r="C239" s="12"/>
      <c r="F239">
        <v>2.2000000000000002</v>
      </c>
      <c r="G239" t="s">
        <v>207</v>
      </c>
      <c r="H239" s="8">
        <v>-1</v>
      </c>
      <c r="I239">
        <v>-1</v>
      </c>
      <c r="L239" s="20">
        <v>0</v>
      </c>
      <c r="M239">
        <v>0</v>
      </c>
      <c r="N239">
        <v>0</v>
      </c>
      <c r="O239" s="1">
        <v>6.6040679999999998</v>
      </c>
      <c r="P239" s="1">
        <v>7.93</v>
      </c>
      <c r="Q239">
        <v>31.28</v>
      </c>
      <c r="T239" s="20">
        <v>0</v>
      </c>
      <c r="U239" s="20"/>
      <c r="V239" s="20"/>
      <c r="W239">
        <v>0</v>
      </c>
      <c r="Z239">
        <v>0</v>
      </c>
      <c r="AD239">
        <v>34</v>
      </c>
      <c r="AE239" s="44">
        <f t="shared" si="11"/>
        <v>1638.1417090272</v>
      </c>
      <c r="AF239" s="46">
        <v>0</v>
      </c>
      <c r="AG239" s="44">
        <v>0</v>
      </c>
      <c r="AH239" s="44">
        <v>0</v>
      </c>
      <c r="AJ239" s="40"/>
      <c r="AM239" s="23">
        <v>1.62962962962963</v>
      </c>
      <c r="AN239" s="23">
        <v>2.518518518518519</v>
      </c>
      <c r="AO239" s="23">
        <v>1.911111111111111</v>
      </c>
      <c r="AP239" s="23">
        <v>0</v>
      </c>
      <c r="AQ239" s="23">
        <v>0.26894865525672368</v>
      </c>
      <c r="AR239" s="23">
        <v>0.41564792176039123</v>
      </c>
      <c r="AS239" s="23">
        <v>0.31540342298288498</v>
      </c>
      <c r="AT239" s="23">
        <v>0</v>
      </c>
      <c r="AU239" s="20">
        <v>0.82</v>
      </c>
      <c r="AV239" s="20">
        <v>3.44</v>
      </c>
      <c r="AW239" s="20">
        <v>2.62</v>
      </c>
      <c r="AX239" s="20">
        <v>2.7533629629629628</v>
      </c>
      <c r="AY239">
        <v>2.7533629629629628</v>
      </c>
      <c r="AZ239">
        <v>6.1693161497481483</v>
      </c>
      <c r="BH239">
        <v>0</v>
      </c>
      <c r="BI239">
        <v>0</v>
      </c>
      <c r="BJ239">
        <v>0</v>
      </c>
    </row>
    <row r="240" spans="1:68" x14ac:dyDescent="0.3">
      <c r="A240" t="s">
        <v>0</v>
      </c>
      <c r="B240" s="12" t="s">
        <v>685</v>
      </c>
      <c r="C240" s="12"/>
      <c r="F240">
        <v>3.3</v>
      </c>
      <c r="G240" t="s">
        <v>207</v>
      </c>
      <c r="H240" s="8" t="s">
        <v>523</v>
      </c>
      <c r="I240" t="s">
        <v>606</v>
      </c>
      <c r="L240" s="20">
        <v>4</v>
      </c>
      <c r="M240">
        <v>4</v>
      </c>
      <c r="N240">
        <v>0</v>
      </c>
      <c r="O240" s="1">
        <v>6.6040679999999998</v>
      </c>
      <c r="P240" s="1">
        <v>7.93</v>
      </c>
      <c r="Q240">
        <v>32.700000000000003</v>
      </c>
      <c r="T240" s="20">
        <v>6.6040679999999998</v>
      </c>
      <c r="U240" s="20">
        <v>7.9389519999999996</v>
      </c>
      <c r="V240" s="20">
        <v>33.703336</v>
      </c>
      <c r="W240">
        <v>7.83</v>
      </c>
      <c r="X240">
        <v>33.209989999999998</v>
      </c>
      <c r="Y240">
        <v>6.46</v>
      </c>
      <c r="Z240">
        <v>0</v>
      </c>
      <c r="AD240">
        <v>34</v>
      </c>
      <c r="AE240" s="44">
        <f t="shared" si="11"/>
        <v>1712.5074771479999</v>
      </c>
      <c r="AF240" s="46">
        <v>1767.0449718798691</v>
      </c>
      <c r="AG240" s="44">
        <v>1679.8210721820001</v>
      </c>
      <c r="AH240" s="44">
        <v>0</v>
      </c>
      <c r="AJ240" s="40">
        <v>7.6964651247849417E-2</v>
      </c>
      <c r="AK240" s="41">
        <v>8.0961003676030277E-2</v>
      </c>
      <c r="AM240" s="23">
        <v>1.62962962962963</v>
      </c>
      <c r="AN240" s="23">
        <v>2.518518518518519</v>
      </c>
      <c r="AO240" s="23">
        <v>0.88888888888888884</v>
      </c>
      <c r="AP240" s="23">
        <v>0</v>
      </c>
      <c r="AQ240" s="23">
        <v>0.32352941176470579</v>
      </c>
      <c r="AR240" s="23">
        <v>0.5</v>
      </c>
      <c r="AS240" s="23">
        <v>0.1764705882352941</v>
      </c>
      <c r="AT240" s="23">
        <v>0</v>
      </c>
      <c r="AU240" s="20">
        <v>0.82</v>
      </c>
      <c r="AV240" s="20">
        <v>3.44</v>
      </c>
      <c r="AW240" s="20">
        <v>2.62</v>
      </c>
      <c r="AX240" s="20">
        <v>2.642962962962963</v>
      </c>
      <c r="AY240">
        <v>2.642962962962963</v>
      </c>
      <c r="AZ240">
        <v>5.9587362692592576</v>
      </c>
      <c r="BA240" s="64">
        <v>0.48264383878002159</v>
      </c>
      <c r="BB240" s="64">
        <v>0.50770488753139842</v>
      </c>
      <c r="BE240">
        <v>3.8482325623924708E-2</v>
      </c>
      <c r="BF240">
        <v>4.0480501838015132E-2</v>
      </c>
      <c r="BH240">
        <v>7.8962827461939847E-2</v>
      </c>
      <c r="BI240">
        <v>3.9481413730969923E-2</v>
      </c>
      <c r="BJ240">
        <v>0.49517436315571001</v>
      </c>
    </row>
    <row r="241" spans="1:62" x14ac:dyDescent="0.3">
      <c r="A241" t="s">
        <v>201</v>
      </c>
      <c r="B241" s="12" t="s">
        <v>869</v>
      </c>
      <c r="C241" s="12"/>
      <c r="F241">
        <v>2.2999999999999998</v>
      </c>
      <c r="G241" t="s">
        <v>207</v>
      </c>
      <c r="H241" s="25" t="s">
        <v>524</v>
      </c>
      <c r="I241" s="1" t="s">
        <v>607</v>
      </c>
      <c r="L241" s="20">
        <v>0</v>
      </c>
      <c r="M241">
        <v>1</v>
      </c>
      <c r="N241">
        <v>0</v>
      </c>
      <c r="O241">
        <v>-1</v>
      </c>
      <c r="T241" s="20">
        <v>0</v>
      </c>
      <c r="U241" s="20"/>
      <c r="V241" s="20"/>
      <c r="W241">
        <v>3.9060000000000001</v>
      </c>
      <c r="X241">
        <v>21.603000000000002</v>
      </c>
      <c r="Y241">
        <v>3.8879000000000001</v>
      </c>
      <c r="Z241">
        <v>0</v>
      </c>
      <c r="AD241">
        <v>14</v>
      </c>
      <c r="AE241" s="44">
        <f t="shared" si="11"/>
        <v>0</v>
      </c>
      <c r="AF241" s="46">
        <v>0</v>
      </c>
      <c r="AG241" s="44">
        <v>328.06612625219998</v>
      </c>
      <c r="AH241" s="44">
        <v>0</v>
      </c>
      <c r="AJ241" s="40"/>
      <c r="AK241" s="41">
        <v>4.2674323496713393E-2</v>
      </c>
      <c r="AM241" s="23">
        <v>1.7272727272727271</v>
      </c>
      <c r="AN241" s="23">
        <v>2.545454545454545</v>
      </c>
      <c r="AO241" s="23">
        <v>1.4090909090909089</v>
      </c>
      <c r="AP241" s="23">
        <v>0</v>
      </c>
      <c r="AQ241" s="23">
        <v>0.30399999999999999</v>
      </c>
      <c r="AR241" s="23">
        <v>0.44800000000000001</v>
      </c>
      <c r="AS241" s="23">
        <v>0.248</v>
      </c>
      <c r="AT241" s="23">
        <v>0</v>
      </c>
      <c r="AU241" s="20">
        <v>0.82</v>
      </c>
      <c r="AV241" s="20">
        <v>3.44</v>
      </c>
      <c r="AW241" s="20">
        <v>2.62</v>
      </c>
      <c r="AX241" s="20">
        <v>2.7183636363636361</v>
      </c>
      <c r="AY241">
        <v>2.718363636363637</v>
      </c>
      <c r="AZ241">
        <v>6.1164196318636357</v>
      </c>
      <c r="BA241" s="64">
        <v>0.48450364842179561</v>
      </c>
      <c r="BF241">
        <v>2.13371617483567E-2</v>
      </c>
      <c r="BH241">
        <v>4.2674323496713393E-2</v>
      </c>
      <c r="BI241">
        <v>2.13371617483567E-2</v>
      </c>
      <c r="BJ241">
        <v>0.48450364842179561</v>
      </c>
    </row>
    <row r="242" spans="1:62" x14ac:dyDescent="0.3">
      <c r="A242" t="s">
        <v>1</v>
      </c>
      <c r="B242" s="12" t="s">
        <v>686</v>
      </c>
      <c r="C242" s="12"/>
      <c r="F242">
        <v>3.2</v>
      </c>
      <c r="G242" t="s">
        <v>207</v>
      </c>
      <c r="H242" s="8" t="s">
        <v>524</v>
      </c>
      <c r="I242" t="s">
        <v>607</v>
      </c>
      <c r="L242" s="20">
        <v>1</v>
      </c>
      <c r="M242">
        <v>1</v>
      </c>
      <c r="N242">
        <v>0</v>
      </c>
      <c r="O242">
        <v>-1</v>
      </c>
      <c r="T242" s="20">
        <v>3.9327019999999999</v>
      </c>
      <c r="U242" s="20">
        <v>3.9458000000000002</v>
      </c>
      <c r="V242" s="20">
        <v>11.356398779999999</v>
      </c>
      <c r="W242">
        <v>3.9060000000000001</v>
      </c>
      <c r="X242">
        <v>21.603000000000002</v>
      </c>
      <c r="Y242">
        <v>3.8879000000000001</v>
      </c>
      <c r="Z242">
        <v>0</v>
      </c>
      <c r="AD242">
        <v>14</v>
      </c>
      <c r="AE242" s="44">
        <f t="shared" si="11"/>
        <v>0</v>
      </c>
      <c r="AF242" s="46">
        <v>173.54502164551991</v>
      </c>
      <c r="AG242" s="44">
        <v>328.06612625219998</v>
      </c>
      <c r="AH242" s="44">
        <v>0</v>
      </c>
      <c r="AJ242" s="40">
        <v>8.0670709348241429E-2</v>
      </c>
      <c r="AK242" s="41">
        <v>4.2674323496713393E-2</v>
      </c>
      <c r="AM242" s="23">
        <v>1.7272727272727271</v>
      </c>
      <c r="AN242" s="23">
        <v>2.545454545454545</v>
      </c>
      <c r="AO242" s="23">
        <v>0.81818181818181823</v>
      </c>
      <c r="AP242" s="23">
        <v>0</v>
      </c>
      <c r="AQ242" s="23">
        <v>0.3392857142857143</v>
      </c>
      <c r="AR242" s="23">
        <v>0.5</v>
      </c>
      <c r="AS242" s="23">
        <v>0.1607142857142857</v>
      </c>
      <c r="AT242" s="23">
        <v>0</v>
      </c>
      <c r="AU242" s="20">
        <v>0.82</v>
      </c>
      <c r="AV242" s="20">
        <v>3.44</v>
      </c>
      <c r="AW242" s="20">
        <v>2.62</v>
      </c>
      <c r="AX242" s="20">
        <v>2.6545454545454539</v>
      </c>
      <c r="AY242">
        <v>2.6545454545454539</v>
      </c>
      <c r="AZ242">
        <v>5.9946911436363637</v>
      </c>
      <c r="BA242" s="64">
        <v>0.48450364842179561</v>
      </c>
      <c r="BE242">
        <v>4.0335354674120701E-2</v>
      </c>
      <c r="BF242">
        <v>2.13371617483567E-2</v>
      </c>
      <c r="BH242">
        <v>6.1672516422477411E-2</v>
      </c>
      <c r="BI242">
        <v>3.0836258211238698E-2</v>
      </c>
      <c r="BJ242">
        <v>0.48450364842179561</v>
      </c>
    </row>
    <row r="243" spans="1:62" x14ac:dyDescent="0.3">
      <c r="A243" t="s">
        <v>202</v>
      </c>
      <c r="B243" s="12" t="s">
        <v>870</v>
      </c>
      <c r="C243" s="12"/>
      <c r="F243">
        <v>2.8</v>
      </c>
      <c r="G243" t="s">
        <v>207</v>
      </c>
      <c r="H243" s="25" t="s">
        <v>584</v>
      </c>
      <c r="I243" s="1" t="s">
        <v>658</v>
      </c>
      <c r="L243" s="20">
        <v>0</v>
      </c>
      <c r="M243">
        <v>1</v>
      </c>
      <c r="N243">
        <v>0</v>
      </c>
      <c r="O243">
        <v>-1</v>
      </c>
      <c r="T243" s="20">
        <v>0</v>
      </c>
      <c r="U243" s="20"/>
      <c r="V243" s="20"/>
      <c r="W243">
        <v>3.8573</v>
      </c>
      <c r="X243">
        <v>3.8573</v>
      </c>
      <c r="Y243">
        <v>15.044</v>
      </c>
      <c r="Z243">
        <v>0</v>
      </c>
      <c r="AD243">
        <v>20</v>
      </c>
      <c r="AE243" s="44">
        <f t="shared" si="11"/>
        <v>0</v>
      </c>
      <c r="AF243" s="46">
        <v>0</v>
      </c>
      <c r="AG243" s="44">
        <v>223.83611493475999</v>
      </c>
      <c r="AH243" s="44">
        <v>0</v>
      </c>
      <c r="AJ243" s="40"/>
      <c r="AK243" s="41">
        <v>8.9351086199066954E-2</v>
      </c>
      <c r="AM243" s="23">
        <v>1.9375</v>
      </c>
      <c r="AN243" s="23">
        <v>2.5</v>
      </c>
      <c r="AO243" s="23">
        <v>0.625</v>
      </c>
      <c r="AP243" s="23">
        <v>2.625</v>
      </c>
      <c r="AQ243" s="23">
        <v>0.25203252032520318</v>
      </c>
      <c r="AR243" s="23">
        <v>0.32520325203252032</v>
      </c>
      <c r="AS243" s="23">
        <v>8.1300813008130079E-2</v>
      </c>
      <c r="AT243" s="23">
        <v>0.34146341463414642</v>
      </c>
      <c r="AU243" s="20">
        <v>0.82</v>
      </c>
      <c r="AV243" s="20">
        <v>3.44</v>
      </c>
      <c r="AW243" s="20">
        <v>2.62</v>
      </c>
      <c r="AX243" s="20">
        <v>2.6142500000000002</v>
      </c>
      <c r="AY243">
        <v>2.6142500000000002</v>
      </c>
      <c r="AZ243">
        <v>5.9930639130937511</v>
      </c>
      <c r="BA243" s="64">
        <v>0.5100369583648936</v>
      </c>
      <c r="BB243" s="64">
        <v>0.54203706385343264</v>
      </c>
      <c r="BF243">
        <v>4.4675543099533477E-2</v>
      </c>
      <c r="BH243">
        <v>8.9351086199066954E-2</v>
      </c>
      <c r="BI243">
        <v>4.4675543099533477E-2</v>
      </c>
      <c r="BJ243">
        <v>0.52603701110916312</v>
      </c>
    </row>
    <row r="244" spans="1:62" x14ac:dyDescent="0.3">
      <c r="A244" t="s">
        <v>203</v>
      </c>
      <c r="B244" s="12" t="s">
        <v>803</v>
      </c>
      <c r="C244" s="12"/>
      <c r="F244">
        <v>4.5</v>
      </c>
      <c r="G244" t="s">
        <v>207</v>
      </c>
      <c r="H244" s="8" t="s">
        <v>584</v>
      </c>
      <c r="I244" t="s">
        <v>658</v>
      </c>
      <c r="L244" s="20">
        <v>1</v>
      </c>
      <c r="M244">
        <v>1</v>
      </c>
      <c r="N244">
        <v>0</v>
      </c>
      <c r="O244">
        <v>-1</v>
      </c>
      <c r="Q244">
        <v>15.05</v>
      </c>
      <c r="T244" s="20">
        <v>3.9414189999999998</v>
      </c>
      <c r="U244" s="20">
        <v>3.9414189999999998</v>
      </c>
      <c r="V244" s="20">
        <v>15.312718</v>
      </c>
      <c r="W244">
        <v>3.8573</v>
      </c>
      <c r="X244">
        <v>3.8573</v>
      </c>
      <c r="Y244">
        <v>15.044</v>
      </c>
      <c r="Z244">
        <v>0</v>
      </c>
      <c r="AD244">
        <v>20</v>
      </c>
      <c r="AE244" s="44">
        <f t="shared" si="11"/>
        <v>0</v>
      </c>
      <c r="AF244" s="46">
        <v>237.8797625030067</v>
      </c>
      <c r="AG244" s="44">
        <v>223.83611493475999</v>
      </c>
      <c r="AH244" s="44">
        <v>0</v>
      </c>
      <c r="AJ244" s="40">
        <v>8.4076088648975381E-2</v>
      </c>
      <c r="AK244" s="41">
        <v>8.9351086199066954E-2</v>
      </c>
      <c r="AM244" s="23">
        <v>1.9375</v>
      </c>
      <c r="AN244" s="23">
        <v>2.5</v>
      </c>
      <c r="AO244" s="23">
        <v>0.5625</v>
      </c>
      <c r="AP244" s="23">
        <v>2.625</v>
      </c>
      <c r="AQ244" s="23">
        <v>0.25409836065573771</v>
      </c>
      <c r="AR244" s="23">
        <v>0.32786885245901642</v>
      </c>
      <c r="AS244" s="23">
        <v>7.3770491803278687E-2</v>
      </c>
      <c r="AT244" s="23">
        <v>0.34426229508196721</v>
      </c>
      <c r="AU244" s="20">
        <v>0.82</v>
      </c>
      <c r="AV244" s="20">
        <v>3.44</v>
      </c>
      <c r="AW244" s="20">
        <v>2.62</v>
      </c>
      <c r="AX244" s="20">
        <v>2.6074999999999999</v>
      </c>
      <c r="AY244">
        <v>2.6074999999999999</v>
      </c>
      <c r="AZ244">
        <v>5.9796291640625006</v>
      </c>
      <c r="BA244" s="64">
        <v>0.5100369583648936</v>
      </c>
      <c r="BB244" s="64">
        <v>0.54203706385343264</v>
      </c>
      <c r="BE244">
        <v>4.203804432448769E-2</v>
      </c>
      <c r="BF244">
        <v>4.4675543099533477E-2</v>
      </c>
      <c r="BH244">
        <v>8.671358742402116E-2</v>
      </c>
      <c r="BI244">
        <v>4.335679371201058E-2</v>
      </c>
      <c r="BJ244">
        <v>0.52603701110916312</v>
      </c>
    </row>
    <row r="245" spans="1:62" x14ac:dyDescent="0.3">
      <c r="A245" t="s">
        <v>204</v>
      </c>
      <c r="B245" s="12" t="s">
        <v>804</v>
      </c>
      <c r="C245" s="12"/>
      <c r="F245">
        <v>4.8</v>
      </c>
      <c r="G245" t="s">
        <v>207</v>
      </c>
      <c r="H245" s="8" t="s">
        <v>585</v>
      </c>
      <c r="I245" t="s">
        <v>659</v>
      </c>
      <c r="L245" s="20">
        <v>2</v>
      </c>
      <c r="M245">
        <v>6</v>
      </c>
      <c r="N245">
        <v>0</v>
      </c>
      <c r="O245">
        <v>-1</v>
      </c>
      <c r="T245" s="20">
        <v>5.4445069999999998</v>
      </c>
      <c r="U245" s="20">
        <v>5.4445069999999998</v>
      </c>
      <c r="V245" s="20">
        <v>3.9426230000000002</v>
      </c>
      <c r="W245">
        <v>5.15428</v>
      </c>
      <c r="X245">
        <v>5.1542800000000009</v>
      </c>
      <c r="Y245">
        <v>13.7835</v>
      </c>
      <c r="Z245">
        <v>0</v>
      </c>
      <c r="AD245">
        <v>6</v>
      </c>
      <c r="AE245" s="44">
        <f t="shared" si="11"/>
        <v>0</v>
      </c>
      <c r="AF245" s="46">
        <v>116.8698191917419</v>
      </c>
      <c r="AG245" s="44">
        <v>317.12184318337751</v>
      </c>
      <c r="AH245" s="44">
        <v>0</v>
      </c>
      <c r="AJ245" s="40">
        <v>0.10267834829377349</v>
      </c>
      <c r="AK245" s="41">
        <v>0.1135210354437263</v>
      </c>
      <c r="AM245" s="23">
        <v>1.8</v>
      </c>
      <c r="AN245" s="23">
        <v>2.4</v>
      </c>
      <c r="AO245" s="23">
        <v>0.6</v>
      </c>
      <c r="AP245" s="23">
        <v>2.8</v>
      </c>
      <c r="AQ245" s="23">
        <v>0.23684210526315791</v>
      </c>
      <c r="AR245" s="23">
        <v>0.31578947368421051</v>
      </c>
      <c r="AS245" s="23">
        <v>7.8947368421052627E-2</v>
      </c>
      <c r="AT245" s="23">
        <v>0.36842105263157893</v>
      </c>
      <c r="AU245" s="20">
        <v>0.98</v>
      </c>
      <c r="AV245" s="20">
        <v>3.44</v>
      </c>
      <c r="AW245" s="20">
        <v>2.46</v>
      </c>
      <c r="AX245" s="20">
        <v>2.56</v>
      </c>
      <c r="AY245">
        <v>2.56</v>
      </c>
      <c r="AZ245">
        <v>5.9119936115999998</v>
      </c>
      <c r="BA245" s="64">
        <v>0.51645314797839414</v>
      </c>
      <c r="BB245" s="64">
        <v>0</v>
      </c>
      <c r="BE245">
        <v>5.1339174146886712E-2</v>
      </c>
      <c r="BF245">
        <v>5.6760517721863142E-2</v>
      </c>
      <c r="BH245">
        <v>0.1080996918687499</v>
      </c>
      <c r="BI245">
        <v>5.4049845934374917E-2</v>
      </c>
      <c r="BJ245">
        <v>0.25822657398919707</v>
      </c>
    </row>
    <row r="246" spans="1:62" x14ac:dyDescent="0.3">
      <c r="A246" t="s">
        <v>28</v>
      </c>
      <c r="B246" s="12" t="s">
        <v>805</v>
      </c>
      <c r="C246" s="12"/>
      <c r="F246">
        <v>4</v>
      </c>
      <c r="G246" t="s">
        <v>207</v>
      </c>
      <c r="H246" s="8" t="s">
        <v>586</v>
      </c>
      <c r="I246" t="s">
        <v>660</v>
      </c>
      <c r="L246" s="20">
        <v>8</v>
      </c>
      <c r="M246">
        <v>4</v>
      </c>
      <c r="N246">
        <v>0</v>
      </c>
      <c r="O246">
        <v>-1</v>
      </c>
      <c r="T246" s="20">
        <v>7.5714817599999993</v>
      </c>
      <c r="U246" s="20">
        <v>7.4441355800000002</v>
      </c>
      <c r="V246" s="20">
        <v>14.785262019999999</v>
      </c>
      <c r="W246">
        <v>5.4767999999999999</v>
      </c>
      <c r="X246">
        <v>5.5212000000000003</v>
      </c>
      <c r="Y246">
        <v>7.7889999999999997</v>
      </c>
      <c r="Z246">
        <v>0</v>
      </c>
      <c r="AD246">
        <v>6</v>
      </c>
      <c r="AE246" s="44">
        <f t="shared" si="11"/>
        <v>0</v>
      </c>
      <c r="AF246" s="46">
        <v>583.54908217201648</v>
      </c>
      <c r="AG246" s="44">
        <v>235.52774005824</v>
      </c>
      <c r="AH246" s="44">
        <v>0</v>
      </c>
      <c r="AJ246" s="40">
        <v>8.2255291742281814E-2</v>
      </c>
      <c r="AK246" s="41">
        <v>0.10189882514078979</v>
      </c>
      <c r="AM246" s="23">
        <v>1.8</v>
      </c>
      <c r="AN246" s="23">
        <v>2.4</v>
      </c>
      <c r="AO246" s="23">
        <v>0.6</v>
      </c>
      <c r="AP246" s="23">
        <v>2.8</v>
      </c>
      <c r="AQ246" s="23">
        <v>0.23684210526315791</v>
      </c>
      <c r="AR246" s="23">
        <v>0.31578947368421051</v>
      </c>
      <c r="AS246" s="23">
        <v>7.8947368421052627E-2</v>
      </c>
      <c r="AT246" s="23">
        <v>0.36842105263157893</v>
      </c>
      <c r="AU246" s="20">
        <v>0.93</v>
      </c>
      <c r="AV246" s="20">
        <v>3.44</v>
      </c>
      <c r="AW246" s="20">
        <v>2.5099999999999998</v>
      </c>
      <c r="AX246" s="20">
        <v>2.5499999999999998</v>
      </c>
      <c r="AY246">
        <v>2.5499999999999998</v>
      </c>
      <c r="AZ246">
        <v>5.8797175109999991</v>
      </c>
      <c r="BA246" s="64">
        <v>0.46150059156666667</v>
      </c>
      <c r="BB246" s="64">
        <v>0.57171237359127625</v>
      </c>
      <c r="BE246">
        <v>4.1127645871140907E-2</v>
      </c>
      <c r="BF246">
        <v>5.0949412570394918E-2</v>
      </c>
      <c r="BH246">
        <v>9.2077058441535797E-2</v>
      </c>
      <c r="BI246">
        <v>4.6038529220767913E-2</v>
      </c>
      <c r="BJ246">
        <v>0.51660648257897146</v>
      </c>
    </row>
    <row r="247" spans="1:62" x14ac:dyDescent="0.3">
      <c r="A247" t="s">
        <v>205</v>
      </c>
      <c r="B247" s="12" t="s">
        <v>871</v>
      </c>
      <c r="C247" s="12"/>
      <c r="F247">
        <v>2.8</v>
      </c>
      <c r="G247" t="s">
        <v>207</v>
      </c>
      <c r="H247" s="25" t="s">
        <v>585</v>
      </c>
      <c r="I247" s="1" t="s">
        <v>659</v>
      </c>
      <c r="L247" s="20">
        <v>0</v>
      </c>
      <c r="M247">
        <v>6</v>
      </c>
      <c r="N247">
        <v>0</v>
      </c>
      <c r="O247">
        <v>-1</v>
      </c>
      <c r="T247" s="20">
        <v>0</v>
      </c>
      <c r="U247" s="20"/>
      <c r="V247" s="20"/>
      <c r="W247">
        <v>5.15428</v>
      </c>
      <c r="X247">
        <v>5.1542800000000009</v>
      </c>
      <c r="Y247">
        <v>13.7835</v>
      </c>
      <c r="Z247">
        <v>0</v>
      </c>
      <c r="AD247">
        <v>6</v>
      </c>
      <c r="AE247" s="44">
        <f t="shared" si="11"/>
        <v>0</v>
      </c>
      <c r="AF247" s="46">
        <v>0</v>
      </c>
      <c r="AG247" s="44">
        <v>317.12184318337751</v>
      </c>
      <c r="AH247" s="44">
        <v>0</v>
      </c>
      <c r="AJ247" s="40"/>
      <c r="AK247" s="41">
        <v>0.1135210354437263</v>
      </c>
      <c r="AM247" s="23">
        <v>1.8</v>
      </c>
      <c r="AN247" s="23">
        <v>2.4</v>
      </c>
      <c r="AO247" s="23">
        <v>0.64</v>
      </c>
      <c r="AP247" s="23">
        <v>2.8</v>
      </c>
      <c r="AQ247" s="23">
        <v>0.2356020942408377</v>
      </c>
      <c r="AR247" s="23">
        <v>0.3141361256544502</v>
      </c>
      <c r="AS247" s="23">
        <v>8.3769633507853394E-2</v>
      </c>
      <c r="AT247" s="23">
        <v>0.36649214659685858</v>
      </c>
      <c r="AU247" s="20">
        <v>0.98</v>
      </c>
      <c r="AV247" s="20">
        <v>3.44</v>
      </c>
      <c r="AW247" s="20">
        <v>2.46</v>
      </c>
      <c r="AX247" s="20">
        <v>2.5636800000000002</v>
      </c>
      <c r="AY247">
        <v>2.5636800000000002</v>
      </c>
      <c r="AZ247">
        <v>5.9178984111680002</v>
      </c>
      <c r="BA247" s="64">
        <v>0.51645314797839414</v>
      </c>
      <c r="BB247" s="64">
        <v>0</v>
      </c>
      <c r="BF247">
        <v>5.6760517721863142E-2</v>
      </c>
      <c r="BH247">
        <v>0.1135210354437263</v>
      </c>
      <c r="BI247">
        <v>5.6760517721863142E-2</v>
      </c>
      <c r="BJ247">
        <v>0.25822657398919707</v>
      </c>
    </row>
    <row r="248" spans="1:62" x14ac:dyDescent="0.3">
      <c r="A248" t="s">
        <v>206</v>
      </c>
      <c r="B248" s="12" t="s">
        <v>872</v>
      </c>
      <c r="C248" s="12"/>
      <c r="F248">
        <v>2</v>
      </c>
      <c r="G248" t="s">
        <v>207</v>
      </c>
      <c r="H248" s="25" t="s">
        <v>586</v>
      </c>
      <c r="I248" s="1" t="s">
        <v>660</v>
      </c>
      <c r="L248" s="20">
        <v>0</v>
      </c>
      <c r="M248">
        <v>4</v>
      </c>
      <c r="N248">
        <v>0</v>
      </c>
      <c r="O248">
        <v>-1</v>
      </c>
      <c r="T248" s="20">
        <v>0</v>
      </c>
      <c r="U248" s="20"/>
      <c r="V248" s="20"/>
      <c r="W248">
        <v>5.4767999999999999</v>
      </c>
      <c r="X248">
        <v>5.5212000000000003</v>
      </c>
      <c r="Y248">
        <v>7.7889999999999997</v>
      </c>
      <c r="Z248">
        <v>0</v>
      </c>
      <c r="AD248">
        <v>6</v>
      </c>
      <c r="AE248" s="44">
        <f t="shared" si="11"/>
        <v>0</v>
      </c>
      <c r="AF248" s="46">
        <v>0</v>
      </c>
      <c r="AG248" s="44">
        <v>235.52774005824</v>
      </c>
      <c r="AH248" s="44">
        <v>0</v>
      </c>
      <c r="AJ248" s="40"/>
      <c r="AK248" s="41">
        <v>0.10189882514078979</v>
      </c>
      <c r="AM248" s="23">
        <v>1.8</v>
      </c>
      <c r="AN248" s="23">
        <v>2.4</v>
      </c>
      <c r="AO248" s="23">
        <v>0.78</v>
      </c>
      <c r="AP248" s="23">
        <v>2.8</v>
      </c>
      <c r="AQ248" s="23">
        <v>0.23136246786632389</v>
      </c>
      <c r="AR248" s="23">
        <v>0.30848329048843193</v>
      </c>
      <c r="AS248" s="23">
        <v>0.10025706940874041</v>
      </c>
      <c r="AT248" s="23">
        <v>0.35989717223650391</v>
      </c>
      <c r="AU248" s="20">
        <v>0.93</v>
      </c>
      <c r="AV248" s="20">
        <v>3.44</v>
      </c>
      <c r="AW248" s="20">
        <v>2.5099999999999998</v>
      </c>
      <c r="AX248" s="20">
        <v>2.5674600000000001</v>
      </c>
      <c r="AY248">
        <v>2.5674600000000001</v>
      </c>
      <c r="AZ248">
        <v>5.9091939581100004</v>
      </c>
      <c r="BA248" s="64">
        <v>0.46150059156666667</v>
      </c>
      <c r="BB248" s="64">
        <v>0.57171237359127625</v>
      </c>
      <c r="BF248">
        <v>5.0949412570394918E-2</v>
      </c>
      <c r="BH248">
        <v>0.10189882514078979</v>
      </c>
      <c r="BI248">
        <v>5.0949412570394918E-2</v>
      </c>
      <c r="BJ248">
        <v>0.51660648257897146</v>
      </c>
    </row>
    <row r="249" spans="1:62" x14ac:dyDescent="0.3">
      <c r="A249" t="s">
        <v>153</v>
      </c>
      <c r="B249" s="12" t="s">
        <v>775</v>
      </c>
      <c r="C249" s="12"/>
      <c r="F249">
        <v>3.36</v>
      </c>
      <c r="G249" t="s">
        <v>208</v>
      </c>
      <c r="H249" s="8" t="s">
        <v>578</v>
      </c>
      <c r="I249">
        <v>-1</v>
      </c>
      <c r="K249">
        <v>1</v>
      </c>
      <c r="L249" s="20">
        <v>1</v>
      </c>
      <c r="M249">
        <v>0</v>
      </c>
      <c r="N249">
        <v>0</v>
      </c>
      <c r="O249">
        <v>3.8860000000000001</v>
      </c>
      <c r="P249">
        <v>3.8860000000000001</v>
      </c>
      <c r="Q249">
        <v>10.548299999999999</v>
      </c>
      <c r="R249" t="s">
        <v>1097</v>
      </c>
      <c r="T249" s="20">
        <v>3.9263319999999999</v>
      </c>
      <c r="U249" s="20">
        <v>3.9263319999999999</v>
      </c>
      <c r="V249" s="20">
        <v>10.74639</v>
      </c>
      <c r="W249">
        <v>0</v>
      </c>
      <c r="Z249">
        <v>0</v>
      </c>
      <c r="AD249">
        <v>14</v>
      </c>
      <c r="AE249" s="44">
        <f t="shared" si="11"/>
        <v>159.28983610679998</v>
      </c>
      <c r="AF249" s="46">
        <v>165.66723991337099</v>
      </c>
      <c r="AG249" s="44">
        <v>0</v>
      </c>
      <c r="AH249" s="44">
        <v>0</v>
      </c>
      <c r="AJ249" s="40">
        <v>8.4506749839743392E-2</v>
      </c>
      <c r="AM249" s="23">
        <v>1.7272727272727271</v>
      </c>
      <c r="AN249" s="23">
        <v>2.545454545454545</v>
      </c>
      <c r="AO249" s="23">
        <v>0.81818181818181823</v>
      </c>
      <c r="AP249" s="23">
        <v>0</v>
      </c>
      <c r="AQ249" s="23">
        <v>0.3392857142857143</v>
      </c>
      <c r="AR249" s="23">
        <v>0.5</v>
      </c>
      <c r="AS249" s="23">
        <v>0.1607142857142857</v>
      </c>
      <c r="AT249" s="23">
        <v>0</v>
      </c>
      <c r="AU249" s="20">
        <v>1.1000000000000001</v>
      </c>
      <c r="AV249" s="20">
        <v>3.44</v>
      </c>
      <c r="AW249" s="20">
        <v>2.34</v>
      </c>
      <c r="AX249" s="20">
        <v>2.78</v>
      </c>
      <c r="AY249">
        <v>2.78</v>
      </c>
      <c r="AZ249">
        <v>6.4270052227137269</v>
      </c>
      <c r="BA249" s="64">
        <v>0.41874886813759421</v>
      </c>
      <c r="BD249">
        <v>4.3945051178950742E-2</v>
      </c>
      <c r="BE249">
        <v>4.2253374919871717E-2</v>
      </c>
      <c r="BH249">
        <v>8.4506749839743392E-2</v>
      </c>
      <c r="BI249">
        <v>4.3099213049411229E-2</v>
      </c>
      <c r="BJ249">
        <v>0.41874886813759421</v>
      </c>
    </row>
    <row r="250" spans="1:62" x14ac:dyDescent="0.3">
      <c r="A250" t="s">
        <v>153</v>
      </c>
      <c r="B250" s="12" t="s">
        <v>775</v>
      </c>
      <c r="C250" s="12"/>
      <c r="D250" t="s">
        <v>964</v>
      </c>
      <c r="E250">
        <v>0.66</v>
      </c>
      <c r="F250">
        <v>3.48</v>
      </c>
      <c r="G250" t="s">
        <v>208</v>
      </c>
      <c r="H250" s="8" t="s">
        <v>578</v>
      </c>
      <c r="I250">
        <v>-1</v>
      </c>
      <c r="K250">
        <v>1</v>
      </c>
      <c r="L250" s="20">
        <v>1</v>
      </c>
      <c r="M250">
        <v>0</v>
      </c>
      <c r="N250">
        <v>0</v>
      </c>
      <c r="O250">
        <v>3.8860000000000001</v>
      </c>
      <c r="P250">
        <v>3.8860000000000001</v>
      </c>
      <c r="Q250">
        <v>10.548299999999999</v>
      </c>
      <c r="R250" t="s">
        <v>1097</v>
      </c>
      <c r="T250" s="20">
        <v>3.9263319999999999</v>
      </c>
      <c r="U250" s="20">
        <v>3.9263319999999999</v>
      </c>
      <c r="V250" s="20">
        <v>10.74639</v>
      </c>
      <c r="W250">
        <v>0</v>
      </c>
      <c r="Z250">
        <v>0</v>
      </c>
      <c r="AD250">
        <v>14</v>
      </c>
      <c r="AE250" s="44">
        <f t="shared" si="11"/>
        <v>159.28983610679998</v>
      </c>
      <c r="AF250" s="46">
        <v>165.66723991337099</v>
      </c>
      <c r="AG250" s="44">
        <v>0</v>
      </c>
      <c r="AH250" s="44">
        <v>0</v>
      </c>
      <c r="AJ250" s="40">
        <v>8.4506749839743392E-2</v>
      </c>
      <c r="AM250" s="23">
        <v>1.7272727272727271</v>
      </c>
      <c r="AN250" s="23">
        <v>2.545454545454545</v>
      </c>
      <c r="AO250" s="23">
        <v>0.81818181818181823</v>
      </c>
      <c r="AP250" s="23">
        <v>0</v>
      </c>
      <c r="AQ250" s="23">
        <v>0.3392857142857143</v>
      </c>
      <c r="AR250" s="23">
        <v>0.5</v>
      </c>
      <c r="AS250" s="23">
        <v>0.1607142857142857</v>
      </c>
      <c r="AT250" s="23">
        <v>0</v>
      </c>
      <c r="AU250" s="20">
        <v>1.1000000000000001</v>
      </c>
      <c r="AV250" s="20">
        <v>3.44</v>
      </c>
      <c r="AW250" s="20">
        <v>2.34</v>
      </c>
      <c r="AX250" s="20">
        <v>2.78</v>
      </c>
      <c r="AY250">
        <v>2.78</v>
      </c>
      <c r="AZ250">
        <v>6.4270052227137269</v>
      </c>
      <c r="BA250" s="64">
        <v>0.41874886813759421</v>
      </c>
      <c r="BD250">
        <v>4.3945051178950742E-2</v>
      </c>
      <c r="BE250">
        <v>4.2253374919871717E-2</v>
      </c>
      <c r="BH250">
        <v>8.4506749839743392E-2</v>
      </c>
      <c r="BI250">
        <v>4.3099213049411229E-2</v>
      </c>
      <c r="BJ250">
        <v>0.41874886813759421</v>
      </c>
    </row>
    <row r="251" spans="1:62" x14ac:dyDescent="0.3">
      <c r="A251" t="s">
        <v>153</v>
      </c>
      <c r="B251" s="12" t="s">
        <v>775</v>
      </c>
      <c r="C251" s="12"/>
      <c r="D251" t="s">
        <v>964</v>
      </c>
      <c r="E251">
        <f>E250*2</f>
        <v>1.32</v>
      </c>
      <c r="F251">
        <v>3.47</v>
      </c>
      <c r="G251" t="s">
        <v>208</v>
      </c>
      <c r="H251" s="8" t="s">
        <v>578</v>
      </c>
      <c r="I251">
        <v>-1</v>
      </c>
      <c r="K251">
        <v>1</v>
      </c>
      <c r="L251" s="20">
        <v>1</v>
      </c>
      <c r="M251">
        <v>0</v>
      </c>
      <c r="N251">
        <v>0</v>
      </c>
      <c r="O251">
        <v>3.8860000000000001</v>
      </c>
      <c r="P251">
        <v>3.8860000000000001</v>
      </c>
      <c r="Q251">
        <v>10.548299999999999</v>
      </c>
      <c r="R251" t="s">
        <v>1097</v>
      </c>
      <c r="T251" s="20">
        <v>3.9263319999999999</v>
      </c>
      <c r="U251" s="20">
        <v>3.9263319999999999</v>
      </c>
      <c r="V251" s="20">
        <v>10.74639</v>
      </c>
      <c r="W251">
        <v>0</v>
      </c>
      <c r="Z251">
        <v>0</v>
      </c>
      <c r="AD251">
        <v>14</v>
      </c>
      <c r="AE251" s="44">
        <f t="shared" si="11"/>
        <v>159.28983610679998</v>
      </c>
      <c r="AF251" s="46">
        <v>165.66723991337099</v>
      </c>
      <c r="AG251" s="44">
        <v>0</v>
      </c>
      <c r="AH251" s="44">
        <v>0</v>
      </c>
      <c r="AJ251" s="40">
        <v>8.4506749839743392E-2</v>
      </c>
      <c r="AM251" s="23">
        <v>1.7272727272727271</v>
      </c>
      <c r="AN251" s="23">
        <v>2.545454545454545</v>
      </c>
      <c r="AO251" s="23">
        <v>0.81818181818181823</v>
      </c>
      <c r="AP251" s="23">
        <v>0</v>
      </c>
      <c r="AQ251" s="23">
        <v>0.3392857142857143</v>
      </c>
      <c r="AR251" s="23">
        <v>0.5</v>
      </c>
      <c r="AS251" s="23">
        <v>0.1607142857142857</v>
      </c>
      <c r="AT251" s="23">
        <v>0</v>
      </c>
      <c r="AU251" s="20">
        <v>1.1000000000000001</v>
      </c>
      <c r="AV251" s="20">
        <v>3.44</v>
      </c>
      <c r="AW251" s="20">
        <v>2.34</v>
      </c>
      <c r="AX251" s="20">
        <v>2.78</v>
      </c>
      <c r="AY251">
        <v>2.78</v>
      </c>
      <c r="AZ251">
        <v>6.4270052227137269</v>
      </c>
      <c r="BA251" s="64">
        <v>0.41874886813759421</v>
      </c>
      <c r="BD251">
        <v>4.3945051178950742E-2</v>
      </c>
      <c r="BE251">
        <v>4.2253374919871717E-2</v>
      </c>
      <c r="BH251">
        <v>8.4506749839743392E-2</v>
      </c>
      <c r="BI251">
        <v>4.3099213049411229E-2</v>
      </c>
      <c r="BJ251">
        <v>0.41874886813759421</v>
      </c>
    </row>
    <row r="252" spans="1:62" x14ac:dyDescent="0.3">
      <c r="A252" t="s">
        <v>153</v>
      </c>
      <c r="B252" s="12" t="s">
        <v>775</v>
      </c>
      <c r="C252" s="12"/>
      <c r="D252" t="s">
        <v>964</v>
      </c>
      <c r="E252">
        <f>E250*3</f>
        <v>1.98</v>
      </c>
      <c r="F252">
        <v>3.41</v>
      </c>
      <c r="G252" t="s">
        <v>208</v>
      </c>
      <c r="H252" s="8" t="s">
        <v>578</v>
      </c>
      <c r="I252">
        <v>-1</v>
      </c>
      <c r="K252">
        <v>1</v>
      </c>
      <c r="L252" s="20">
        <v>1</v>
      </c>
      <c r="M252">
        <v>0</v>
      </c>
      <c r="N252">
        <v>0</v>
      </c>
      <c r="O252">
        <v>3.8860000000000001</v>
      </c>
      <c r="P252">
        <v>3.8860000000000001</v>
      </c>
      <c r="Q252">
        <v>10.548299999999999</v>
      </c>
      <c r="R252" t="s">
        <v>1097</v>
      </c>
      <c r="T252" s="20">
        <v>3.9263319999999999</v>
      </c>
      <c r="U252" s="20">
        <v>3.9263319999999999</v>
      </c>
      <c r="V252" s="20">
        <v>10.74639</v>
      </c>
      <c r="W252">
        <v>0</v>
      </c>
      <c r="Z252">
        <v>0</v>
      </c>
      <c r="AD252">
        <v>14</v>
      </c>
      <c r="AE252" s="44">
        <f t="shared" si="11"/>
        <v>159.28983610679998</v>
      </c>
      <c r="AF252" s="46">
        <v>165.66723991337099</v>
      </c>
      <c r="AG252" s="44">
        <v>0</v>
      </c>
      <c r="AH252" s="44">
        <v>0</v>
      </c>
      <c r="AJ252" s="40">
        <v>8.4506749839743392E-2</v>
      </c>
      <c r="AM252" s="23">
        <v>1.7272727272727271</v>
      </c>
      <c r="AN252" s="23">
        <v>2.545454545454545</v>
      </c>
      <c r="AO252" s="23">
        <v>0.81818181818181823</v>
      </c>
      <c r="AP252" s="23">
        <v>0</v>
      </c>
      <c r="AQ252" s="23">
        <v>0.3392857142857143</v>
      </c>
      <c r="AR252" s="23">
        <v>0.5</v>
      </c>
      <c r="AS252" s="23">
        <v>0.1607142857142857</v>
      </c>
      <c r="AT252" s="23">
        <v>0</v>
      </c>
      <c r="AU252" s="20">
        <v>1.1000000000000001</v>
      </c>
      <c r="AV252" s="20">
        <v>3.44</v>
      </c>
      <c r="AW252" s="20">
        <v>2.34</v>
      </c>
      <c r="AX252" s="20">
        <v>2.78</v>
      </c>
      <c r="AY252">
        <v>2.78</v>
      </c>
      <c r="AZ252">
        <v>6.4270052227137269</v>
      </c>
      <c r="BA252" s="64">
        <v>0.41874886813759421</v>
      </c>
      <c r="BD252">
        <v>4.3945051178950742E-2</v>
      </c>
      <c r="BE252">
        <v>4.2253374919871717E-2</v>
      </c>
      <c r="BH252">
        <v>8.4506749839743392E-2</v>
      </c>
      <c r="BI252">
        <v>4.3099213049411229E-2</v>
      </c>
      <c r="BJ252">
        <v>0.41874886813759421</v>
      </c>
    </row>
    <row r="253" spans="1:62" x14ac:dyDescent="0.3">
      <c r="A253" t="s">
        <v>153</v>
      </c>
      <c r="B253" s="12" t="s">
        <v>775</v>
      </c>
      <c r="C253" s="12"/>
      <c r="D253" t="s">
        <v>964</v>
      </c>
      <c r="E253">
        <f>E250*4</f>
        <v>2.64</v>
      </c>
      <c r="F253">
        <v>3.42</v>
      </c>
      <c r="G253" t="s">
        <v>208</v>
      </c>
      <c r="H253" s="8" t="s">
        <v>578</v>
      </c>
      <c r="I253">
        <v>-1</v>
      </c>
      <c r="K253">
        <v>1</v>
      </c>
      <c r="L253" s="20">
        <v>1</v>
      </c>
      <c r="M253">
        <v>0</v>
      </c>
      <c r="N253">
        <v>0</v>
      </c>
      <c r="O253">
        <v>3.8860000000000001</v>
      </c>
      <c r="P253">
        <v>3.8860000000000001</v>
      </c>
      <c r="Q253">
        <v>10.548299999999999</v>
      </c>
      <c r="R253" t="s">
        <v>1097</v>
      </c>
      <c r="T253" s="20">
        <v>3.9263319999999999</v>
      </c>
      <c r="U253" s="20">
        <v>3.9263319999999999</v>
      </c>
      <c r="V253" s="20">
        <v>10.74639</v>
      </c>
      <c r="W253">
        <v>0</v>
      </c>
      <c r="Z253">
        <v>0</v>
      </c>
      <c r="AD253">
        <v>14</v>
      </c>
      <c r="AE253" s="44">
        <f t="shared" si="11"/>
        <v>159.28983610679998</v>
      </c>
      <c r="AF253" s="46">
        <v>165.66723991337099</v>
      </c>
      <c r="AG253" s="44">
        <v>0</v>
      </c>
      <c r="AH253" s="44">
        <v>0</v>
      </c>
      <c r="AJ253" s="40">
        <v>8.4506749839743392E-2</v>
      </c>
      <c r="AM253" s="23">
        <v>1.7272727272727271</v>
      </c>
      <c r="AN253" s="23">
        <v>2.545454545454545</v>
      </c>
      <c r="AO253" s="23">
        <v>0.81818181818181823</v>
      </c>
      <c r="AP253" s="23">
        <v>0</v>
      </c>
      <c r="AQ253" s="23">
        <v>0.3392857142857143</v>
      </c>
      <c r="AR253" s="23">
        <v>0.5</v>
      </c>
      <c r="AS253" s="23">
        <v>0.1607142857142857</v>
      </c>
      <c r="AT253" s="23">
        <v>0</v>
      </c>
      <c r="AU253" s="20">
        <v>1.1000000000000001</v>
      </c>
      <c r="AV253" s="20">
        <v>3.44</v>
      </c>
      <c r="AW253" s="20">
        <v>2.34</v>
      </c>
      <c r="AX253" s="20">
        <v>2.78</v>
      </c>
      <c r="AY253">
        <v>2.78</v>
      </c>
      <c r="AZ253">
        <v>6.4270052227137269</v>
      </c>
      <c r="BA253" s="64">
        <v>0.41874886813759421</v>
      </c>
      <c r="BD253">
        <v>4.3945051178950742E-2</v>
      </c>
      <c r="BE253">
        <v>4.2253374919871717E-2</v>
      </c>
      <c r="BH253">
        <v>8.4506749839743392E-2</v>
      </c>
      <c r="BI253">
        <v>4.3099213049411229E-2</v>
      </c>
      <c r="BJ253">
        <v>0.41874886813759421</v>
      </c>
    </row>
    <row r="254" spans="1:62" x14ac:dyDescent="0.3">
      <c r="A254" t="s">
        <v>153</v>
      </c>
      <c r="B254" s="12" t="s">
        <v>775</v>
      </c>
      <c r="C254" s="12"/>
      <c r="D254" t="s">
        <v>964</v>
      </c>
      <c r="E254">
        <f>E250*6</f>
        <v>3.96</v>
      </c>
      <c r="F254">
        <v>3.44</v>
      </c>
      <c r="G254" t="s">
        <v>208</v>
      </c>
      <c r="H254" s="8" t="s">
        <v>578</v>
      </c>
      <c r="I254">
        <v>-1</v>
      </c>
      <c r="K254">
        <v>1</v>
      </c>
      <c r="L254" s="20">
        <v>1</v>
      </c>
      <c r="M254">
        <v>0</v>
      </c>
      <c r="N254">
        <v>0</v>
      </c>
      <c r="O254">
        <v>3.8860000000000001</v>
      </c>
      <c r="P254">
        <v>3.8860000000000001</v>
      </c>
      <c r="Q254">
        <v>10.548299999999999</v>
      </c>
      <c r="R254" t="s">
        <v>1097</v>
      </c>
      <c r="T254" s="20">
        <v>3.9263319999999999</v>
      </c>
      <c r="U254" s="20">
        <v>3.9263319999999999</v>
      </c>
      <c r="V254" s="20">
        <v>10.74639</v>
      </c>
      <c r="W254">
        <v>0</v>
      </c>
      <c r="Z254">
        <v>0</v>
      </c>
      <c r="AD254">
        <v>14</v>
      </c>
      <c r="AE254" s="44">
        <f t="shared" si="11"/>
        <v>159.28983610679998</v>
      </c>
      <c r="AF254" s="46">
        <v>165.66723991337099</v>
      </c>
      <c r="AG254" s="44">
        <v>0</v>
      </c>
      <c r="AH254" s="44">
        <v>0</v>
      </c>
      <c r="AJ254" s="40">
        <v>8.4506749839743392E-2</v>
      </c>
      <c r="AM254" s="23">
        <v>1.7272727272727271</v>
      </c>
      <c r="AN254" s="23">
        <v>2.545454545454545</v>
      </c>
      <c r="AO254" s="23">
        <v>0.81818181818181823</v>
      </c>
      <c r="AP254" s="23">
        <v>0</v>
      </c>
      <c r="AQ254" s="23">
        <v>0.3392857142857143</v>
      </c>
      <c r="AR254" s="23">
        <v>0.5</v>
      </c>
      <c r="AS254" s="23">
        <v>0.1607142857142857</v>
      </c>
      <c r="AT254" s="23">
        <v>0</v>
      </c>
      <c r="AU254" s="20">
        <v>1.1000000000000001</v>
      </c>
      <c r="AV254" s="20">
        <v>3.44</v>
      </c>
      <c r="AW254" s="20">
        <v>2.34</v>
      </c>
      <c r="AX254" s="20">
        <v>2.78</v>
      </c>
      <c r="AY254">
        <v>2.78</v>
      </c>
      <c r="AZ254">
        <v>6.4270052227137269</v>
      </c>
      <c r="BA254" s="64">
        <v>0.41874886813759421</v>
      </c>
      <c r="BD254">
        <v>4.3945051178950742E-2</v>
      </c>
      <c r="BE254">
        <v>4.2253374919871717E-2</v>
      </c>
      <c r="BH254">
        <v>8.4506749839743392E-2</v>
      </c>
      <c r="BI254">
        <v>4.3099213049411229E-2</v>
      </c>
      <c r="BJ254">
        <v>0.41874886813759421</v>
      </c>
    </row>
    <row r="255" spans="1:62" x14ac:dyDescent="0.3">
      <c r="A255" t="s">
        <v>8</v>
      </c>
      <c r="B255" s="12" t="s">
        <v>694</v>
      </c>
      <c r="C255" s="12"/>
      <c r="F255">
        <v>3.2</v>
      </c>
      <c r="G255" t="s">
        <v>208</v>
      </c>
      <c r="H255" s="8" t="s">
        <v>530</v>
      </c>
      <c r="I255" t="s">
        <v>612</v>
      </c>
      <c r="L255" s="20">
        <v>30</v>
      </c>
      <c r="M255">
        <v>4</v>
      </c>
      <c r="N255">
        <v>0</v>
      </c>
      <c r="O255">
        <v>-2</v>
      </c>
      <c r="T255" s="20">
        <v>10.59112378</v>
      </c>
      <c r="U255" s="20">
        <v>10.784736629999999</v>
      </c>
      <c r="V255" s="20">
        <v>10.486176179999999</v>
      </c>
      <c r="W255">
        <v>3.73</v>
      </c>
      <c r="X255">
        <v>3.73</v>
      </c>
      <c r="Y255">
        <v>9.3699999999999992</v>
      </c>
      <c r="Z255">
        <v>0</v>
      </c>
      <c r="AD255">
        <v>4</v>
      </c>
      <c r="AE255" s="44">
        <f t="shared" si="11"/>
        <v>0</v>
      </c>
      <c r="AF255" s="46">
        <v>1182.741260108548</v>
      </c>
      <c r="AG255" s="44">
        <v>130.36387300000001</v>
      </c>
      <c r="AH255" s="44">
        <v>0</v>
      </c>
      <c r="AJ255" s="40">
        <v>0.1014592151701775</v>
      </c>
      <c r="AK255" s="41">
        <v>0.1227333894874388</v>
      </c>
      <c r="AM255" s="23">
        <v>2</v>
      </c>
      <c r="AN255" s="23">
        <v>2.666666666666667</v>
      </c>
      <c r="AO255" s="23">
        <v>0.66666666666666663</v>
      </c>
      <c r="AP255" s="23">
        <v>0</v>
      </c>
      <c r="AQ255" s="23">
        <v>0.375</v>
      </c>
      <c r="AR255" s="23">
        <v>0.5</v>
      </c>
      <c r="AS255" s="23">
        <v>0.125</v>
      </c>
      <c r="AT255" s="23">
        <v>0</v>
      </c>
      <c r="AU255" s="20">
        <v>1.54</v>
      </c>
      <c r="AV255" s="20">
        <v>3.44</v>
      </c>
      <c r="AW255" s="20">
        <v>1.9</v>
      </c>
      <c r="AX255" s="20">
        <v>2.8066666666666671</v>
      </c>
      <c r="AY255">
        <v>2.8066666666666662</v>
      </c>
      <c r="AZ255">
        <v>6.1769976</v>
      </c>
      <c r="BA255" s="64">
        <v>0.46900407026869628</v>
      </c>
      <c r="BB255" s="64">
        <v>0.56734579634715776</v>
      </c>
      <c r="BE255">
        <v>5.072960758508873E-2</v>
      </c>
      <c r="BF255">
        <v>6.136669474371937E-2</v>
      </c>
      <c r="BH255">
        <v>0.1120963023288082</v>
      </c>
      <c r="BI255">
        <v>5.604815116440405E-2</v>
      </c>
      <c r="BJ255">
        <v>0.51817493330792708</v>
      </c>
    </row>
    <row r="256" spans="1:62" x14ac:dyDescent="0.3">
      <c r="A256" t="s">
        <v>153</v>
      </c>
      <c r="B256" s="12" t="s">
        <v>775</v>
      </c>
      <c r="C256" s="12"/>
      <c r="F256">
        <v>3.1</v>
      </c>
      <c r="G256" t="s">
        <v>209</v>
      </c>
      <c r="H256" s="8" t="s">
        <v>578</v>
      </c>
      <c r="I256">
        <v>-1</v>
      </c>
      <c r="K256">
        <v>1</v>
      </c>
      <c r="L256" s="20">
        <v>1</v>
      </c>
      <c r="M256">
        <v>0</v>
      </c>
      <c r="N256">
        <v>0</v>
      </c>
      <c r="O256">
        <v>3.8860000000000001</v>
      </c>
      <c r="P256">
        <v>3.8860000000000001</v>
      </c>
      <c r="Q256">
        <v>10.548299999999999</v>
      </c>
      <c r="R256" t="s">
        <v>1097</v>
      </c>
      <c r="T256" s="20">
        <v>3.9263319999999999</v>
      </c>
      <c r="U256" s="20">
        <v>3.9263319999999999</v>
      </c>
      <c r="V256" s="20">
        <v>10.74639</v>
      </c>
      <c r="W256">
        <v>0</v>
      </c>
      <c r="Z256">
        <v>0</v>
      </c>
      <c r="AD256">
        <v>14</v>
      </c>
      <c r="AE256" s="44">
        <f t="shared" si="11"/>
        <v>159.28983610679998</v>
      </c>
      <c r="AF256" s="46">
        <v>165.66723991337099</v>
      </c>
      <c r="AG256" s="44">
        <v>0</v>
      </c>
      <c r="AH256" s="44">
        <v>0</v>
      </c>
      <c r="AI256" s="41">
        <f t="shared" ref="AI256:AI263" si="15">K256*AD256/AE256</f>
        <v>8.789010235790147E-2</v>
      </c>
      <c r="AJ256" s="40">
        <v>8.4506749839743392E-2</v>
      </c>
      <c r="AM256" s="23">
        <v>1.7272727272727271</v>
      </c>
      <c r="AN256" s="23">
        <v>2.545454545454545</v>
      </c>
      <c r="AO256" s="23">
        <v>0.81818181818181823</v>
      </c>
      <c r="AP256" s="23">
        <v>0</v>
      </c>
      <c r="AQ256" s="23">
        <v>0.3392857142857143</v>
      </c>
      <c r="AR256" s="23">
        <v>0.5</v>
      </c>
      <c r="AS256" s="23">
        <v>0.1607142857142857</v>
      </c>
      <c r="AT256" s="23">
        <v>0</v>
      </c>
      <c r="AU256" s="20">
        <v>1.1000000000000001</v>
      </c>
      <c r="AV256" s="20">
        <v>3.44</v>
      </c>
      <c r="AW256" s="20">
        <v>2.34</v>
      </c>
      <c r="AX256" s="20">
        <v>2.78</v>
      </c>
      <c r="AY256">
        <v>2.78</v>
      </c>
      <c r="AZ256">
        <v>6.4270052227137269</v>
      </c>
      <c r="BA256" s="64">
        <v>0.41874886813759421</v>
      </c>
      <c r="BD256">
        <v>4.3945051178950742E-2</v>
      </c>
      <c r="BE256">
        <v>4.2253374919871717E-2</v>
      </c>
      <c r="BH256">
        <v>8.6198426098822431E-2</v>
      </c>
      <c r="BI256">
        <v>4.3099213049411229E-2</v>
      </c>
      <c r="BJ256">
        <v>0.41874886813759421</v>
      </c>
    </row>
    <row r="257" spans="1:62" x14ac:dyDescent="0.3">
      <c r="A257" t="s">
        <v>210</v>
      </c>
      <c r="B257" s="16" t="s">
        <v>935</v>
      </c>
      <c r="C257" s="12"/>
      <c r="F257">
        <v>3.1</v>
      </c>
      <c r="G257" t="s">
        <v>209</v>
      </c>
      <c r="H257" s="25" t="s">
        <v>578</v>
      </c>
      <c r="I257">
        <v>-1</v>
      </c>
      <c r="K257">
        <v>1</v>
      </c>
      <c r="L257" s="20">
        <v>0</v>
      </c>
      <c r="M257">
        <v>0</v>
      </c>
      <c r="N257">
        <v>0</v>
      </c>
      <c r="O257" s="1">
        <v>3.8860000000000001</v>
      </c>
      <c r="P257" s="1">
        <v>3.8860000000000001</v>
      </c>
      <c r="Q257" s="1">
        <v>10.548299999999999</v>
      </c>
      <c r="R257" s="1" t="s">
        <v>1097</v>
      </c>
      <c r="T257" s="20">
        <v>0</v>
      </c>
      <c r="U257" s="20"/>
      <c r="V257" s="20"/>
      <c r="W257">
        <v>0</v>
      </c>
      <c r="Z257">
        <v>0</v>
      </c>
      <c r="AD257">
        <v>14</v>
      </c>
      <c r="AE257" s="44">
        <f t="shared" si="11"/>
        <v>159.28983610679998</v>
      </c>
      <c r="AF257" s="46">
        <v>0</v>
      </c>
      <c r="AG257" s="44">
        <v>0</v>
      </c>
      <c r="AH257" s="44">
        <v>0</v>
      </c>
      <c r="AI257" s="41">
        <f t="shared" si="15"/>
        <v>8.789010235790147E-2</v>
      </c>
      <c r="AJ257" s="40"/>
      <c r="AM257" s="23">
        <v>1.7285974499089249</v>
      </c>
      <c r="AN257" s="23">
        <v>2.5500910746812391</v>
      </c>
      <c r="AO257" s="23">
        <v>0.82149362477231325</v>
      </c>
      <c r="AP257" s="23">
        <v>0</v>
      </c>
      <c r="AQ257" s="23">
        <v>0.33892857142857141</v>
      </c>
      <c r="AR257" s="23">
        <v>0.5</v>
      </c>
      <c r="AS257" s="23">
        <v>0.16107142857142859</v>
      </c>
      <c r="AT257" s="23">
        <v>0</v>
      </c>
      <c r="AU257" s="20">
        <v>1.1000000000000001</v>
      </c>
      <c r="AV257" s="20">
        <v>3.44</v>
      </c>
      <c r="AW257" s="20">
        <v>2.34</v>
      </c>
      <c r="AX257" s="20">
        <v>2.7820765027322398</v>
      </c>
      <c r="AY257">
        <v>2.7820765027322398</v>
      </c>
      <c r="AZ257">
        <v>6.4257889029010924</v>
      </c>
      <c r="BA257" s="64">
        <v>0.41874886813759421</v>
      </c>
      <c r="BD257">
        <v>4.3945051178950742E-2</v>
      </c>
      <c r="BH257">
        <v>8.789010235790147E-2</v>
      </c>
      <c r="BI257">
        <v>4.3945051178950742E-2</v>
      </c>
      <c r="BJ257">
        <v>0.41874886813759421</v>
      </c>
    </row>
    <row r="258" spans="1:62" x14ac:dyDescent="0.3">
      <c r="A258" t="s">
        <v>211</v>
      </c>
      <c r="B258" s="16" t="s">
        <v>936</v>
      </c>
      <c r="C258" s="12"/>
      <c r="F258">
        <v>3.1</v>
      </c>
      <c r="G258" t="s">
        <v>209</v>
      </c>
      <c r="H258" s="25" t="s">
        <v>578</v>
      </c>
      <c r="I258">
        <v>-1</v>
      </c>
      <c r="K258">
        <v>1</v>
      </c>
      <c r="L258" s="20">
        <v>0</v>
      </c>
      <c r="M258">
        <v>0</v>
      </c>
      <c r="N258">
        <v>0</v>
      </c>
      <c r="O258" s="1">
        <v>3.8860000000000001</v>
      </c>
      <c r="P258" s="1">
        <v>3.8860000000000001</v>
      </c>
      <c r="Q258" s="1">
        <v>10.548299999999999</v>
      </c>
      <c r="R258" s="1" t="s">
        <v>1097</v>
      </c>
      <c r="T258" s="20">
        <v>0</v>
      </c>
      <c r="U258" s="20"/>
      <c r="V258" s="20"/>
      <c r="W258">
        <v>0</v>
      </c>
      <c r="Z258">
        <v>0</v>
      </c>
      <c r="AD258">
        <v>14</v>
      </c>
      <c r="AE258" s="44">
        <f t="shared" si="11"/>
        <v>159.28983610679998</v>
      </c>
      <c r="AF258" s="46">
        <v>0</v>
      </c>
      <c r="AG258" s="44">
        <v>0</v>
      </c>
      <c r="AH258" s="44">
        <v>0</v>
      </c>
      <c r="AI258" s="41">
        <f t="shared" si="15"/>
        <v>8.789010235790147E-2</v>
      </c>
      <c r="AJ258" s="40"/>
      <c r="AM258" s="23">
        <v>1.730593607305936</v>
      </c>
      <c r="AN258" s="23">
        <v>2.557077625570777</v>
      </c>
      <c r="AO258" s="23">
        <v>0.8264840182648403</v>
      </c>
      <c r="AP258" s="23">
        <v>0</v>
      </c>
      <c r="AQ258" s="23">
        <v>0.33839285714285711</v>
      </c>
      <c r="AR258" s="23">
        <v>0.5</v>
      </c>
      <c r="AS258" s="23">
        <v>0.16160714285714289</v>
      </c>
      <c r="AT258" s="23">
        <v>0</v>
      </c>
      <c r="AU258" s="20">
        <v>1.1000000000000001</v>
      </c>
      <c r="AV258" s="20">
        <v>3.44</v>
      </c>
      <c r="AW258" s="20">
        <v>2.34</v>
      </c>
      <c r="AX258" s="20">
        <v>2.7852054794520549</v>
      </c>
      <c r="AY258">
        <v>2.7852054794520549</v>
      </c>
      <c r="AZ258">
        <v>6.4239560922245156</v>
      </c>
      <c r="BA258" s="64">
        <v>0.41874886813759421</v>
      </c>
      <c r="BD258">
        <v>4.3945051178950742E-2</v>
      </c>
      <c r="BH258">
        <v>8.789010235790147E-2</v>
      </c>
      <c r="BI258">
        <v>4.3945051178950742E-2</v>
      </c>
      <c r="BJ258">
        <v>0.41874886813759421</v>
      </c>
    </row>
    <row r="259" spans="1:62" x14ac:dyDescent="0.3">
      <c r="A259" t="s">
        <v>212</v>
      </c>
      <c r="B259" s="16" t="s">
        <v>937</v>
      </c>
      <c r="C259" s="12"/>
      <c r="F259">
        <v>3.1</v>
      </c>
      <c r="G259" t="s">
        <v>209</v>
      </c>
      <c r="H259" s="25" t="s">
        <v>578</v>
      </c>
      <c r="I259">
        <v>-1</v>
      </c>
      <c r="K259">
        <v>1</v>
      </c>
      <c r="L259" s="20">
        <v>0</v>
      </c>
      <c r="M259">
        <v>0</v>
      </c>
      <c r="N259">
        <v>0</v>
      </c>
      <c r="O259" s="1">
        <v>3.8860000000000001</v>
      </c>
      <c r="P259" s="1">
        <v>3.8860000000000001</v>
      </c>
      <c r="Q259" s="1">
        <v>10.548299999999999</v>
      </c>
      <c r="R259" s="1" t="s">
        <v>1097</v>
      </c>
      <c r="T259" s="20">
        <v>0</v>
      </c>
      <c r="U259" s="20"/>
      <c r="V259" s="20"/>
      <c r="W259">
        <v>0</v>
      </c>
      <c r="Z259">
        <v>0</v>
      </c>
      <c r="AD259">
        <v>14</v>
      </c>
      <c r="AE259" s="44">
        <f t="shared" ref="AE259:AE322" si="16">O259*P259*Q259</f>
        <v>159.28983610679998</v>
      </c>
      <c r="AF259" s="46">
        <v>0</v>
      </c>
      <c r="AG259" s="44">
        <v>0</v>
      </c>
      <c r="AH259" s="44">
        <v>0</v>
      </c>
      <c r="AI259" s="41">
        <f t="shared" si="15"/>
        <v>8.789010235790147E-2</v>
      </c>
      <c r="AJ259" s="40"/>
      <c r="AM259" s="23">
        <v>1.7373271889400921</v>
      </c>
      <c r="AN259" s="23">
        <v>2.580645161290323</v>
      </c>
      <c r="AO259" s="23">
        <v>0.84331797235023043</v>
      </c>
      <c r="AP259" s="23">
        <v>0</v>
      </c>
      <c r="AQ259" s="23">
        <v>0.33660714285714288</v>
      </c>
      <c r="AR259" s="23">
        <v>0.5</v>
      </c>
      <c r="AS259" s="23">
        <v>0.16339285714285709</v>
      </c>
      <c r="AT259" s="23">
        <v>0</v>
      </c>
      <c r="AU259" s="20">
        <v>1.1000000000000001</v>
      </c>
      <c r="AV259" s="20">
        <v>3.44</v>
      </c>
      <c r="AW259" s="20">
        <v>2.34</v>
      </c>
      <c r="AX259" s="20">
        <v>2.7957603686635939</v>
      </c>
      <c r="AY259">
        <v>2.7957603686635939</v>
      </c>
      <c r="AZ259">
        <v>6.4177735234906308</v>
      </c>
      <c r="BA259" s="64">
        <v>0.41874886813759421</v>
      </c>
      <c r="BD259">
        <v>4.3945051178950742E-2</v>
      </c>
      <c r="BH259">
        <v>8.789010235790147E-2</v>
      </c>
      <c r="BI259">
        <v>4.3945051178950742E-2</v>
      </c>
      <c r="BJ259">
        <v>0.41874886813759421</v>
      </c>
    </row>
    <row r="260" spans="1:62" x14ac:dyDescent="0.3">
      <c r="A260" t="s">
        <v>153</v>
      </c>
      <c r="B260" s="16" t="s">
        <v>775</v>
      </c>
      <c r="C260" s="12"/>
      <c r="D260" t="s">
        <v>863</v>
      </c>
      <c r="E260">
        <v>1.34</v>
      </c>
      <c r="F260">
        <v>3.1</v>
      </c>
      <c r="G260" t="s">
        <v>209</v>
      </c>
      <c r="H260" s="8" t="s">
        <v>578</v>
      </c>
      <c r="I260">
        <v>-1</v>
      </c>
      <c r="K260">
        <v>1</v>
      </c>
      <c r="L260" s="20">
        <v>1</v>
      </c>
      <c r="M260">
        <v>0</v>
      </c>
      <c r="N260">
        <v>0</v>
      </c>
      <c r="O260">
        <v>3.8860000000000001</v>
      </c>
      <c r="P260">
        <v>3.8860000000000001</v>
      </c>
      <c r="Q260">
        <v>10.548299999999999</v>
      </c>
      <c r="R260" t="s">
        <v>1097</v>
      </c>
      <c r="T260" s="20">
        <v>3.9263319999999999</v>
      </c>
      <c r="U260" s="20">
        <v>3.9263319999999999</v>
      </c>
      <c r="V260" s="20">
        <v>10.74639</v>
      </c>
      <c r="W260">
        <v>0</v>
      </c>
      <c r="Z260">
        <v>0</v>
      </c>
      <c r="AD260">
        <v>14</v>
      </c>
      <c r="AE260" s="44">
        <f t="shared" si="16"/>
        <v>159.28983610679998</v>
      </c>
      <c r="AF260" s="46">
        <v>165.66723991337099</v>
      </c>
      <c r="AG260" s="44">
        <v>0</v>
      </c>
      <c r="AH260" s="44">
        <v>0</v>
      </c>
      <c r="AI260" s="41">
        <f t="shared" si="15"/>
        <v>8.789010235790147E-2</v>
      </c>
      <c r="AJ260" s="40">
        <v>8.4506749839743392E-2</v>
      </c>
      <c r="AM260" s="23">
        <v>1.7272727272727271</v>
      </c>
      <c r="AN260" s="23">
        <v>2.545454545454545</v>
      </c>
      <c r="AO260" s="23">
        <v>0.81818181818181823</v>
      </c>
      <c r="AP260" s="23">
        <v>0</v>
      </c>
      <c r="AQ260" s="23">
        <v>0.3392857142857143</v>
      </c>
      <c r="AR260" s="23">
        <v>0.5</v>
      </c>
      <c r="AS260" s="23">
        <v>0.1607142857142857</v>
      </c>
      <c r="AT260" s="23">
        <v>0</v>
      </c>
      <c r="AU260" s="20">
        <v>1.1000000000000001</v>
      </c>
      <c r="AV260" s="20">
        <v>3.44</v>
      </c>
      <c r="AW260" s="20">
        <v>2.34</v>
      </c>
      <c r="AX260" s="20">
        <v>2.78</v>
      </c>
      <c r="AY260">
        <v>2.78</v>
      </c>
      <c r="AZ260">
        <v>6.4270052227137269</v>
      </c>
      <c r="BA260" s="64">
        <v>0.41874886813759421</v>
      </c>
      <c r="BD260">
        <v>4.3945051178950742E-2</v>
      </c>
      <c r="BE260">
        <v>4.2253374919871717E-2</v>
      </c>
      <c r="BH260">
        <v>8.6198426098822431E-2</v>
      </c>
      <c r="BI260">
        <v>4.3099213049411229E-2</v>
      </c>
      <c r="BJ260">
        <v>0.41874886813759421</v>
      </c>
    </row>
    <row r="261" spans="1:62" x14ac:dyDescent="0.3">
      <c r="A261" t="s">
        <v>210</v>
      </c>
      <c r="B261" s="16" t="s">
        <v>935</v>
      </c>
      <c r="C261" s="12"/>
      <c r="D261" t="s">
        <v>863</v>
      </c>
      <c r="E261">
        <v>1.04</v>
      </c>
      <c r="F261">
        <v>3.1</v>
      </c>
      <c r="G261" t="s">
        <v>209</v>
      </c>
      <c r="H261" s="25" t="s">
        <v>578</v>
      </c>
      <c r="I261">
        <v>-1</v>
      </c>
      <c r="K261">
        <v>1</v>
      </c>
      <c r="L261" s="20">
        <v>0</v>
      </c>
      <c r="M261">
        <v>0</v>
      </c>
      <c r="N261">
        <v>0</v>
      </c>
      <c r="O261" s="1">
        <v>3.8860000000000001</v>
      </c>
      <c r="P261" s="1">
        <v>3.8860000000000001</v>
      </c>
      <c r="Q261" s="1">
        <v>10.548299999999999</v>
      </c>
      <c r="R261" s="1" t="s">
        <v>1097</v>
      </c>
      <c r="T261" s="20">
        <v>0</v>
      </c>
      <c r="U261" s="20"/>
      <c r="V261" s="20"/>
      <c r="W261">
        <v>0</v>
      </c>
      <c r="Z261">
        <v>0</v>
      </c>
      <c r="AD261">
        <v>14</v>
      </c>
      <c r="AE261" s="44">
        <f t="shared" si="16"/>
        <v>159.28983610679998</v>
      </c>
      <c r="AF261" s="46">
        <v>0</v>
      </c>
      <c r="AG261" s="44">
        <v>0</v>
      </c>
      <c r="AH261" s="44">
        <v>0</v>
      </c>
      <c r="AI261" s="41">
        <f t="shared" si="15"/>
        <v>8.789010235790147E-2</v>
      </c>
      <c r="AJ261" s="40"/>
      <c r="AM261" s="23">
        <v>1.7285974499089249</v>
      </c>
      <c r="AN261" s="23">
        <v>2.5500910746812391</v>
      </c>
      <c r="AO261" s="23">
        <v>0.82149362477231325</v>
      </c>
      <c r="AP261" s="23">
        <v>0</v>
      </c>
      <c r="AQ261" s="23">
        <v>0.33892857142857141</v>
      </c>
      <c r="AR261" s="23">
        <v>0.5</v>
      </c>
      <c r="AS261" s="23">
        <v>0.16107142857142859</v>
      </c>
      <c r="AT261" s="23">
        <v>0</v>
      </c>
      <c r="AU261" s="20">
        <v>1.1000000000000001</v>
      </c>
      <c r="AV261" s="20">
        <v>3.44</v>
      </c>
      <c r="AW261" s="20">
        <v>2.34</v>
      </c>
      <c r="AX261" s="20">
        <v>2.7820765027322398</v>
      </c>
      <c r="AY261">
        <v>2.7820765027322398</v>
      </c>
      <c r="AZ261">
        <v>6.4257889029010924</v>
      </c>
      <c r="BA261" s="64">
        <v>0.41874886813759421</v>
      </c>
      <c r="BD261">
        <v>4.3945051178950742E-2</v>
      </c>
      <c r="BH261">
        <v>8.789010235790147E-2</v>
      </c>
      <c r="BI261">
        <v>4.3945051178950742E-2</v>
      </c>
      <c r="BJ261">
        <v>0.41874886813759421</v>
      </c>
    </row>
    <row r="262" spans="1:62" x14ac:dyDescent="0.3">
      <c r="A262" t="s">
        <v>211</v>
      </c>
      <c r="B262" s="16" t="s">
        <v>936</v>
      </c>
      <c r="C262" s="12"/>
      <c r="D262" t="s">
        <v>863</v>
      </c>
      <c r="E262">
        <v>1.19</v>
      </c>
      <c r="F262">
        <v>3.1</v>
      </c>
      <c r="G262" t="s">
        <v>209</v>
      </c>
      <c r="H262" s="25" t="s">
        <v>578</v>
      </c>
      <c r="I262">
        <v>-1</v>
      </c>
      <c r="K262">
        <v>1</v>
      </c>
      <c r="L262" s="20">
        <v>0</v>
      </c>
      <c r="M262">
        <v>0</v>
      </c>
      <c r="N262">
        <v>0</v>
      </c>
      <c r="O262" s="1">
        <v>3.8860000000000001</v>
      </c>
      <c r="P262" s="1">
        <v>3.8860000000000001</v>
      </c>
      <c r="Q262" s="1">
        <v>10.548299999999999</v>
      </c>
      <c r="R262" s="1" t="s">
        <v>1097</v>
      </c>
      <c r="T262" s="20">
        <v>0</v>
      </c>
      <c r="U262" s="20"/>
      <c r="V262" s="20"/>
      <c r="W262">
        <v>0</v>
      </c>
      <c r="Z262">
        <v>0</v>
      </c>
      <c r="AD262">
        <v>14</v>
      </c>
      <c r="AE262" s="44">
        <f t="shared" si="16"/>
        <v>159.28983610679998</v>
      </c>
      <c r="AF262" s="46">
        <v>0</v>
      </c>
      <c r="AG262" s="44">
        <v>0</v>
      </c>
      <c r="AH262" s="44">
        <v>0</v>
      </c>
      <c r="AI262" s="41">
        <f t="shared" si="15"/>
        <v>8.789010235790147E-2</v>
      </c>
      <c r="AJ262" s="40"/>
      <c r="AM262" s="23">
        <v>1.730593607305936</v>
      </c>
      <c r="AN262" s="23">
        <v>2.557077625570777</v>
      </c>
      <c r="AO262" s="23">
        <v>0.8264840182648403</v>
      </c>
      <c r="AP262" s="23">
        <v>0</v>
      </c>
      <c r="AQ262" s="23">
        <v>0.33839285714285711</v>
      </c>
      <c r="AR262" s="23">
        <v>0.5</v>
      </c>
      <c r="AS262" s="23">
        <v>0.16160714285714289</v>
      </c>
      <c r="AT262" s="23">
        <v>0</v>
      </c>
      <c r="AU262" s="20">
        <v>1.1000000000000001</v>
      </c>
      <c r="AV262" s="20">
        <v>3.44</v>
      </c>
      <c r="AW262" s="20">
        <v>2.34</v>
      </c>
      <c r="AX262" s="20">
        <v>2.7852054794520549</v>
      </c>
      <c r="AY262">
        <v>2.7852054794520549</v>
      </c>
      <c r="AZ262">
        <v>6.4239560922245156</v>
      </c>
      <c r="BA262" s="64">
        <v>0.41874886813759421</v>
      </c>
      <c r="BD262">
        <v>4.3945051178950742E-2</v>
      </c>
      <c r="BH262">
        <v>8.789010235790147E-2</v>
      </c>
      <c r="BI262">
        <v>4.3945051178950742E-2</v>
      </c>
      <c r="BJ262">
        <v>0.41874886813759421</v>
      </c>
    </row>
    <row r="263" spans="1:62" x14ac:dyDescent="0.3">
      <c r="A263" t="s">
        <v>212</v>
      </c>
      <c r="B263" s="16" t="s">
        <v>937</v>
      </c>
      <c r="C263" s="12"/>
      <c r="D263" t="s">
        <v>863</v>
      </c>
      <c r="E263">
        <v>1.61</v>
      </c>
      <c r="F263">
        <v>3.1</v>
      </c>
      <c r="G263" t="s">
        <v>209</v>
      </c>
      <c r="H263" s="25" t="s">
        <v>578</v>
      </c>
      <c r="I263">
        <v>-1</v>
      </c>
      <c r="K263">
        <v>1</v>
      </c>
      <c r="L263" s="20">
        <v>0</v>
      </c>
      <c r="M263">
        <v>0</v>
      </c>
      <c r="N263">
        <v>0</v>
      </c>
      <c r="O263" s="1">
        <v>3.8860000000000001</v>
      </c>
      <c r="P263" s="1">
        <v>3.8860000000000001</v>
      </c>
      <c r="Q263" s="1">
        <v>10.548299999999999</v>
      </c>
      <c r="R263" s="1" t="s">
        <v>1097</v>
      </c>
      <c r="T263" s="20">
        <v>0</v>
      </c>
      <c r="U263" s="20"/>
      <c r="V263" s="20"/>
      <c r="W263">
        <v>0</v>
      </c>
      <c r="Z263">
        <v>0</v>
      </c>
      <c r="AD263">
        <v>14</v>
      </c>
      <c r="AE263" s="44">
        <f t="shared" si="16"/>
        <v>159.28983610679998</v>
      </c>
      <c r="AF263" s="46">
        <v>0</v>
      </c>
      <c r="AG263" s="44">
        <v>0</v>
      </c>
      <c r="AH263" s="44">
        <v>0</v>
      </c>
      <c r="AI263" s="41">
        <f t="shared" si="15"/>
        <v>8.789010235790147E-2</v>
      </c>
      <c r="AJ263" s="40"/>
      <c r="AM263" s="23">
        <v>1.7373271889400921</v>
      </c>
      <c r="AN263" s="23">
        <v>2.580645161290323</v>
      </c>
      <c r="AO263" s="23">
        <v>0.84331797235023043</v>
      </c>
      <c r="AP263" s="23">
        <v>0</v>
      </c>
      <c r="AQ263" s="23">
        <v>0.33660714285714288</v>
      </c>
      <c r="AR263" s="23">
        <v>0.5</v>
      </c>
      <c r="AS263" s="23">
        <v>0.16339285714285709</v>
      </c>
      <c r="AT263" s="23">
        <v>0</v>
      </c>
      <c r="AU263" s="20">
        <v>1.1000000000000001</v>
      </c>
      <c r="AV263" s="20">
        <v>3.44</v>
      </c>
      <c r="AW263" s="20">
        <v>2.34</v>
      </c>
      <c r="AX263" s="20">
        <v>2.7957603686635939</v>
      </c>
      <c r="AY263">
        <v>2.7957603686635939</v>
      </c>
      <c r="AZ263">
        <v>6.4177735234906308</v>
      </c>
      <c r="BA263" s="64">
        <v>0.41874886813759421</v>
      </c>
      <c r="BD263">
        <v>4.3945051178950742E-2</v>
      </c>
      <c r="BH263">
        <v>8.789010235790147E-2</v>
      </c>
      <c r="BI263">
        <v>4.3945051178950742E-2</v>
      </c>
      <c r="BJ263">
        <v>0.41874886813759421</v>
      </c>
    </row>
    <row r="264" spans="1:62" x14ac:dyDescent="0.3">
      <c r="A264" t="s">
        <v>22</v>
      </c>
      <c r="B264" s="16" t="s">
        <v>876</v>
      </c>
      <c r="C264" s="12"/>
      <c r="F264">
        <v>2.74</v>
      </c>
      <c r="G264" t="s">
        <v>213</v>
      </c>
      <c r="H264" s="25" t="s">
        <v>541</v>
      </c>
      <c r="I264" s="1" t="s">
        <v>621</v>
      </c>
      <c r="L264" s="20">
        <v>0</v>
      </c>
      <c r="M264">
        <v>4</v>
      </c>
      <c r="N264">
        <v>0</v>
      </c>
      <c r="O264" s="1">
        <v>5.4960000000000004</v>
      </c>
      <c r="P264" s="1">
        <v>5.4960000000000004</v>
      </c>
      <c r="Q264" s="1">
        <v>25.55</v>
      </c>
      <c r="R264" s="1" t="s">
        <v>450</v>
      </c>
      <c r="T264" s="20">
        <v>0</v>
      </c>
      <c r="U264" s="20"/>
      <c r="V264" s="20"/>
      <c r="W264">
        <v>5.5453000000000001</v>
      </c>
      <c r="X264">
        <v>5.5453000000000001</v>
      </c>
      <c r="Y264">
        <v>25.686699999999998</v>
      </c>
      <c r="Z264">
        <v>0</v>
      </c>
      <c r="AD264">
        <v>18</v>
      </c>
      <c r="AE264" s="44">
        <f t="shared" si="16"/>
        <v>771.76370880000013</v>
      </c>
      <c r="AF264" s="46">
        <v>0</v>
      </c>
      <c r="AG264" s="44">
        <v>789.87506903020289</v>
      </c>
      <c r="AH264" s="44">
        <v>0</v>
      </c>
      <c r="AJ264" s="40"/>
      <c r="AK264" s="41">
        <v>9.1153655588092616E-2</v>
      </c>
      <c r="AM264" s="23">
        <v>1.871428571428571</v>
      </c>
      <c r="AN264" s="23">
        <v>3.1428571428571428</v>
      </c>
      <c r="AO264" s="23">
        <v>2.714285714285714</v>
      </c>
      <c r="AP264" s="23">
        <v>3.2</v>
      </c>
      <c r="AQ264" s="23">
        <v>0.17124183006535951</v>
      </c>
      <c r="AR264" s="23">
        <v>0.28758169934640521</v>
      </c>
      <c r="AS264" s="23">
        <v>0.2483660130718954</v>
      </c>
      <c r="AT264" s="23">
        <v>0.29281045751633977</v>
      </c>
      <c r="AU264" s="20">
        <v>1.6</v>
      </c>
      <c r="AV264" s="20">
        <v>3.44</v>
      </c>
      <c r="AW264" s="20">
        <v>1.84</v>
      </c>
      <c r="AX264" s="20">
        <v>2.9058571428571431</v>
      </c>
      <c r="AY264">
        <v>2.9058571428571431</v>
      </c>
      <c r="AZ264">
        <v>6.2676757950000006</v>
      </c>
      <c r="BA264" s="64">
        <v>0.51995616258071919</v>
      </c>
      <c r="BB264" s="64">
        <v>0.51988140722208986</v>
      </c>
      <c r="BF264">
        <v>4.5576827794046308E-2</v>
      </c>
      <c r="BH264">
        <v>9.1153655588092616E-2</v>
      </c>
      <c r="BI264">
        <v>4.5576827794046308E-2</v>
      </c>
      <c r="BJ264">
        <v>0.51991878490140453</v>
      </c>
    </row>
    <row r="265" spans="1:62" x14ac:dyDescent="0.3">
      <c r="A265" t="s">
        <v>23</v>
      </c>
      <c r="B265" s="16" t="s">
        <v>877</v>
      </c>
      <c r="C265" s="12"/>
      <c r="F265">
        <v>2.74</v>
      </c>
      <c r="G265" t="s">
        <v>213</v>
      </c>
      <c r="H265" s="25" t="s">
        <v>541</v>
      </c>
      <c r="I265" s="1" t="s">
        <v>621</v>
      </c>
      <c r="L265" s="20">
        <v>0</v>
      </c>
      <c r="M265">
        <v>4</v>
      </c>
      <c r="N265">
        <v>0</v>
      </c>
      <c r="O265" s="1">
        <v>5.4960000000000004</v>
      </c>
      <c r="P265" s="1">
        <v>5.4960000000000004</v>
      </c>
      <c r="Q265" s="1">
        <v>25.55</v>
      </c>
      <c r="R265" s="1" t="s">
        <v>450</v>
      </c>
      <c r="T265" s="20">
        <v>0</v>
      </c>
      <c r="U265" s="20"/>
      <c r="V265" s="20"/>
      <c r="W265">
        <v>5.5453000000000001</v>
      </c>
      <c r="X265">
        <v>5.5453000000000001</v>
      </c>
      <c r="Y265">
        <v>25.686699999999998</v>
      </c>
      <c r="Z265">
        <v>0</v>
      </c>
      <c r="AD265">
        <v>18</v>
      </c>
      <c r="AE265" s="44">
        <f t="shared" si="16"/>
        <v>771.76370880000013</v>
      </c>
      <c r="AF265" s="46">
        <v>0</v>
      </c>
      <c r="AG265" s="44">
        <v>789.87506903020289</v>
      </c>
      <c r="AH265" s="44">
        <v>0</v>
      </c>
      <c r="AJ265" s="40"/>
      <c r="AK265" s="41">
        <v>9.1153655588092616E-2</v>
      </c>
      <c r="AM265" s="23">
        <v>1.8678571428571431</v>
      </c>
      <c r="AN265" s="23">
        <v>3.1428571428571428</v>
      </c>
      <c r="AO265" s="23">
        <v>2.714285714285714</v>
      </c>
      <c r="AP265" s="23">
        <v>3.15</v>
      </c>
      <c r="AQ265" s="23">
        <v>0.1717569786535304</v>
      </c>
      <c r="AR265" s="23">
        <v>0.28899835796387519</v>
      </c>
      <c r="AS265" s="23">
        <v>0.24958949096880129</v>
      </c>
      <c r="AT265" s="23">
        <v>0.28965517241379313</v>
      </c>
      <c r="AU265" s="20">
        <v>1.6</v>
      </c>
      <c r="AV265" s="20">
        <v>3.44</v>
      </c>
      <c r="AW265" s="20">
        <v>1.84</v>
      </c>
      <c r="AX265" s="20">
        <v>2.903142857142857</v>
      </c>
      <c r="AY265">
        <v>2.903142857142857</v>
      </c>
      <c r="AZ265">
        <v>6.2658828646428582</v>
      </c>
      <c r="BA265" s="64">
        <v>0.51995616258071919</v>
      </c>
      <c r="BB265" s="64">
        <v>0.51988140722208986</v>
      </c>
      <c r="BF265">
        <v>4.5576827794046308E-2</v>
      </c>
      <c r="BH265">
        <v>9.1153655588092616E-2</v>
      </c>
      <c r="BI265">
        <v>4.5576827794046308E-2</v>
      </c>
      <c r="BJ265">
        <v>0.51991878490140453</v>
      </c>
    </row>
    <row r="266" spans="1:62" x14ac:dyDescent="0.3">
      <c r="A266" t="s">
        <v>24</v>
      </c>
      <c r="B266" s="16" t="s">
        <v>878</v>
      </c>
      <c r="C266" s="12"/>
      <c r="F266">
        <v>2.75</v>
      </c>
      <c r="G266" t="s">
        <v>213</v>
      </c>
      <c r="H266" s="25" t="s">
        <v>541</v>
      </c>
      <c r="I266" s="1" t="s">
        <v>621</v>
      </c>
      <c r="L266" s="20">
        <v>0</v>
      </c>
      <c r="M266">
        <v>4</v>
      </c>
      <c r="N266">
        <v>0</v>
      </c>
      <c r="O266" s="1">
        <v>5.4960000000000004</v>
      </c>
      <c r="P266" s="1">
        <v>5.4960000000000004</v>
      </c>
      <c r="Q266" s="1">
        <v>25.55</v>
      </c>
      <c r="R266" s="1" t="s">
        <v>450</v>
      </c>
      <c r="T266" s="20">
        <v>0</v>
      </c>
      <c r="U266" s="20"/>
      <c r="V266" s="20"/>
      <c r="W266">
        <v>5.5453000000000001</v>
      </c>
      <c r="X266">
        <v>5.5453000000000001</v>
      </c>
      <c r="Y266">
        <v>25.686699999999998</v>
      </c>
      <c r="Z266">
        <v>0</v>
      </c>
      <c r="AD266">
        <v>18</v>
      </c>
      <c r="AE266" s="44">
        <f t="shared" si="16"/>
        <v>771.76370880000013</v>
      </c>
      <c r="AF266" s="46">
        <v>0</v>
      </c>
      <c r="AG266" s="44">
        <v>789.87506903020289</v>
      </c>
      <c r="AH266" s="44">
        <v>0</v>
      </c>
      <c r="AJ266" s="40"/>
      <c r="AK266" s="41">
        <v>9.1153655588092616E-2</v>
      </c>
      <c r="AM266" s="23">
        <v>1.8642857142857141</v>
      </c>
      <c r="AN266" s="23">
        <v>3.1428571428571428</v>
      </c>
      <c r="AO266" s="23">
        <v>2.714285714285714</v>
      </c>
      <c r="AP266" s="23">
        <v>3.1</v>
      </c>
      <c r="AQ266" s="23">
        <v>0.17227722772277229</v>
      </c>
      <c r="AR266" s="23">
        <v>0.29042904290429039</v>
      </c>
      <c r="AS266" s="23">
        <v>0.25082508250825092</v>
      </c>
      <c r="AT266" s="23">
        <v>0.28646864686468648</v>
      </c>
      <c r="AU266" s="20">
        <v>1.6</v>
      </c>
      <c r="AV266" s="20">
        <v>3.44</v>
      </c>
      <c r="AW266" s="20">
        <v>1.84</v>
      </c>
      <c r="AX266" s="20">
        <v>2.9004285714285709</v>
      </c>
      <c r="AY266">
        <v>2.9004285714285718</v>
      </c>
      <c r="AZ266">
        <v>6.2640899342857157</v>
      </c>
      <c r="BA266" s="64">
        <v>0.51995616258071919</v>
      </c>
      <c r="BB266" s="64">
        <v>0.51988140722208986</v>
      </c>
      <c r="BF266">
        <v>4.5576827794046308E-2</v>
      </c>
      <c r="BH266">
        <v>9.1153655588092616E-2</v>
      </c>
      <c r="BI266">
        <v>4.5576827794046308E-2</v>
      </c>
      <c r="BJ266">
        <v>0.51991878490140453</v>
      </c>
    </row>
    <row r="267" spans="1:62" x14ac:dyDescent="0.3">
      <c r="A267" t="s">
        <v>25</v>
      </c>
      <c r="B267" s="12" t="s">
        <v>708</v>
      </c>
      <c r="C267" s="12"/>
      <c r="F267">
        <v>2.88</v>
      </c>
      <c r="G267" t="s">
        <v>213</v>
      </c>
      <c r="H267" s="8" t="s">
        <v>541</v>
      </c>
      <c r="I267" t="s">
        <v>621</v>
      </c>
      <c r="L267" s="20">
        <v>1</v>
      </c>
      <c r="M267">
        <v>4</v>
      </c>
      <c r="N267">
        <v>0</v>
      </c>
      <c r="O267">
        <v>5.4960000000000004</v>
      </c>
      <c r="P267">
        <v>5.4960000000000004</v>
      </c>
      <c r="Q267">
        <v>25.55</v>
      </c>
      <c r="R267" t="s">
        <v>450</v>
      </c>
      <c r="T267" s="20">
        <v>12.868820120000001</v>
      </c>
      <c r="U267" s="20">
        <v>12.868820120000001</v>
      </c>
      <c r="V267" s="20">
        <v>12.868820120000001</v>
      </c>
      <c r="W267">
        <v>5.5453000000000001</v>
      </c>
      <c r="X267">
        <v>5.5453000000000001</v>
      </c>
      <c r="Y267">
        <v>25.686699999999998</v>
      </c>
      <c r="Z267">
        <v>0</v>
      </c>
      <c r="AD267">
        <v>18</v>
      </c>
      <c r="AE267" s="44">
        <f t="shared" si="16"/>
        <v>771.76370880000013</v>
      </c>
      <c r="AF267" s="46">
        <v>197.4403766939285</v>
      </c>
      <c r="AG267" s="44">
        <v>789.87506903020289</v>
      </c>
      <c r="AH267" s="44">
        <v>0</v>
      </c>
      <c r="AJ267" s="40">
        <v>9.1166762854710051E-2</v>
      </c>
      <c r="AK267" s="41">
        <v>9.1153655588092616E-2</v>
      </c>
      <c r="AM267" s="23">
        <v>1.857142857142857</v>
      </c>
      <c r="AN267" s="23">
        <v>3.1428571428571428</v>
      </c>
      <c r="AO267" s="23">
        <v>2.714285714285714</v>
      </c>
      <c r="AP267" s="23">
        <v>3</v>
      </c>
      <c r="AQ267" s="23">
        <v>0.17333333333333331</v>
      </c>
      <c r="AR267" s="23">
        <v>0.29333333333333328</v>
      </c>
      <c r="AS267" s="23">
        <v>0.25333333333333341</v>
      </c>
      <c r="AT267" s="23">
        <v>0.28000000000000003</v>
      </c>
      <c r="AU267" s="20">
        <v>1.6</v>
      </c>
      <c r="AV267" s="20">
        <v>3.44</v>
      </c>
      <c r="AW267" s="20">
        <v>1.84</v>
      </c>
      <c r="AX267" s="20">
        <v>2.895</v>
      </c>
      <c r="AY267">
        <v>2.895</v>
      </c>
      <c r="AZ267">
        <v>6.260504073571429</v>
      </c>
      <c r="BA267" s="64">
        <v>0.51995616258071919</v>
      </c>
      <c r="BB267" s="64">
        <v>0.51988140722208986</v>
      </c>
      <c r="BE267">
        <v>4.5583381427355033E-2</v>
      </c>
      <c r="BF267">
        <v>4.5576827794046308E-2</v>
      </c>
      <c r="BH267">
        <v>9.1160209221401334E-2</v>
      </c>
      <c r="BI267">
        <v>4.5580104610700667E-2</v>
      </c>
      <c r="BJ267">
        <v>0.51991878490140453</v>
      </c>
    </row>
    <row r="268" spans="1:62" x14ac:dyDescent="0.3">
      <c r="A268" t="s">
        <v>26</v>
      </c>
      <c r="B268" s="16" t="s">
        <v>879</v>
      </c>
      <c r="C268" s="12"/>
      <c r="F268">
        <v>2.91</v>
      </c>
      <c r="G268" t="s">
        <v>213</v>
      </c>
      <c r="H268" s="25" t="s">
        <v>541</v>
      </c>
      <c r="I268" s="1" t="s">
        <v>621</v>
      </c>
      <c r="J268" s="1"/>
      <c r="K268" s="1"/>
      <c r="L268" s="26">
        <v>0</v>
      </c>
      <c r="M268">
        <v>4</v>
      </c>
      <c r="N268">
        <v>0</v>
      </c>
      <c r="O268" s="1">
        <v>5.4960000000000004</v>
      </c>
      <c r="P268" s="1">
        <v>5.4960000000000004</v>
      </c>
      <c r="Q268" s="1">
        <v>25.55</v>
      </c>
      <c r="R268" s="1" t="s">
        <v>450</v>
      </c>
      <c r="T268" s="20">
        <v>0</v>
      </c>
      <c r="U268" s="20"/>
      <c r="V268" s="20"/>
      <c r="W268">
        <v>5.5453000000000001</v>
      </c>
      <c r="X268">
        <v>5.5453000000000001</v>
      </c>
      <c r="Y268">
        <v>25.686699999999998</v>
      </c>
      <c r="Z268">
        <v>0</v>
      </c>
      <c r="AD268">
        <v>18</v>
      </c>
      <c r="AE268" s="44">
        <f t="shared" si="16"/>
        <v>771.76370880000013</v>
      </c>
      <c r="AF268" s="46">
        <v>0</v>
      </c>
      <c r="AG268" s="44">
        <v>789.87506903020289</v>
      </c>
      <c r="AH268" s="44">
        <v>0</v>
      </c>
      <c r="AJ268" s="40"/>
      <c r="AK268" s="41">
        <v>9.1153655588092616E-2</v>
      </c>
      <c r="AM268" s="23">
        <v>1.8642857142857141</v>
      </c>
      <c r="AN268" s="23">
        <v>3.1428571428571428</v>
      </c>
      <c r="AO268" s="23">
        <v>2.7</v>
      </c>
      <c r="AP268" s="23">
        <v>3</v>
      </c>
      <c r="AQ268" s="23">
        <v>0.1741160773849233</v>
      </c>
      <c r="AR268" s="23">
        <v>0.29352901934623082</v>
      </c>
      <c r="AS268" s="23">
        <v>0.25216811207471651</v>
      </c>
      <c r="AT268" s="23">
        <v>0.28018679119412943</v>
      </c>
      <c r="AU268" s="20">
        <v>1.54</v>
      </c>
      <c r="AV268" s="20">
        <v>3.44</v>
      </c>
      <c r="AW268" s="20">
        <v>1.9</v>
      </c>
      <c r="AX268" s="20">
        <v>2.894571428571429</v>
      </c>
      <c r="AY268">
        <v>2.894571428571429</v>
      </c>
      <c r="AZ268">
        <v>6.2577448164285716</v>
      </c>
      <c r="BA268" s="64">
        <v>0.51995616258071919</v>
      </c>
      <c r="BB268" s="64">
        <v>0.51988140722208986</v>
      </c>
      <c r="BF268">
        <v>4.5576827794046308E-2</v>
      </c>
      <c r="BH268">
        <v>9.1153655588092616E-2</v>
      </c>
      <c r="BI268">
        <v>4.5576827794046308E-2</v>
      </c>
      <c r="BJ268">
        <v>0.51991878490140453</v>
      </c>
    </row>
    <row r="269" spans="1:62" x14ac:dyDescent="0.3">
      <c r="A269" t="s">
        <v>107</v>
      </c>
      <c r="B269" s="12" t="s">
        <v>727</v>
      </c>
      <c r="C269" s="12"/>
      <c r="F269">
        <v>3.08</v>
      </c>
      <c r="G269" t="s">
        <v>214</v>
      </c>
      <c r="H269" s="8" t="s">
        <v>555</v>
      </c>
      <c r="I269" t="s">
        <v>632</v>
      </c>
      <c r="L269" s="20">
        <v>1</v>
      </c>
      <c r="M269">
        <v>4</v>
      </c>
      <c r="N269">
        <v>0</v>
      </c>
      <c r="T269" s="20">
        <v>3.86469438</v>
      </c>
      <c r="U269" s="20">
        <v>3.86469438</v>
      </c>
      <c r="V269" s="20">
        <v>16.978874730000001</v>
      </c>
      <c r="W269">
        <v>32.83</v>
      </c>
      <c r="X269">
        <v>5.4109999999999996</v>
      </c>
      <c r="Y269">
        <v>5.4480000000000004</v>
      </c>
      <c r="Z269">
        <v>0</v>
      </c>
      <c r="AD269">
        <v>24</v>
      </c>
      <c r="AE269" s="44">
        <f t="shared" si="16"/>
        <v>0</v>
      </c>
      <c r="AF269" s="46">
        <v>251.01098912285789</v>
      </c>
      <c r="AG269" s="44">
        <v>967.79977224000004</v>
      </c>
      <c r="AH269" s="44">
        <v>0</v>
      </c>
      <c r="AJ269" s="40">
        <v>9.5613343797681868E-2</v>
      </c>
      <c r="AK269" s="41">
        <v>9.919407170122109E-2</v>
      </c>
      <c r="AM269" s="23">
        <v>2</v>
      </c>
      <c r="AN269" s="23">
        <v>3.1578947368421049</v>
      </c>
      <c r="AO269" s="23">
        <v>2.4210526315789469</v>
      </c>
      <c r="AP269" s="23">
        <v>2.947368421052631</v>
      </c>
      <c r="AQ269" s="23">
        <v>0.19</v>
      </c>
      <c r="AR269" s="23">
        <v>0.3</v>
      </c>
      <c r="AS269" s="23">
        <v>0.23</v>
      </c>
      <c r="AT269" s="23">
        <v>0.28000000000000003</v>
      </c>
      <c r="AU269" s="20">
        <v>1.54</v>
      </c>
      <c r="AV269" s="20">
        <v>3.44</v>
      </c>
      <c r="AW269" s="20">
        <v>1.9</v>
      </c>
      <c r="AX269" s="20">
        <v>2.8410526315789468</v>
      </c>
      <c r="AY269">
        <v>2.8410526315789468</v>
      </c>
      <c r="AZ269">
        <v>6.1729587136842099</v>
      </c>
      <c r="BA269" s="64">
        <v>0.52818907539878324</v>
      </c>
      <c r="BB269" s="64">
        <v>0.54796980145127927</v>
      </c>
      <c r="BE269">
        <v>4.7806671898840941E-2</v>
      </c>
      <c r="BF269">
        <v>4.9597035850610538E-2</v>
      </c>
      <c r="BH269">
        <v>9.7403707749451479E-2</v>
      </c>
      <c r="BI269">
        <v>4.870185387472574E-2</v>
      </c>
      <c r="BJ269">
        <v>0.53807943842503125</v>
      </c>
    </row>
    <row r="270" spans="1:62" x14ac:dyDescent="0.3">
      <c r="A270" t="s">
        <v>215</v>
      </c>
      <c r="B270" s="12" t="s">
        <v>734</v>
      </c>
      <c r="C270" s="12"/>
      <c r="F270">
        <v>3.8</v>
      </c>
      <c r="G270" t="s">
        <v>216</v>
      </c>
      <c r="H270" s="8" t="s">
        <v>587</v>
      </c>
      <c r="I270" t="s">
        <v>636</v>
      </c>
      <c r="L270" s="20">
        <v>1</v>
      </c>
      <c r="M270">
        <v>1</v>
      </c>
      <c r="N270">
        <v>0</v>
      </c>
      <c r="T270" s="20">
        <v>3.950634</v>
      </c>
      <c r="U270" s="20">
        <v>3.950634</v>
      </c>
      <c r="V270" s="20">
        <v>15.513552000000001</v>
      </c>
      <c r="W270">
        <v>3.8658999999999999</v>
      </c>
      <c r="X270">
        <v>3.8658999999999999</v>
      </c>
      <c r="Y270">
        <v>15.2538</v>
      </c>
      <c r="Z270">
        <v>0</v>
      </c>
      <c r="AD270">
        <v>20</v>
      </c>
      <c r="AE270" s="44">
        <f t="shared" si="16"/>
        <v>0</v>
      </c>
      <c r="AF270" s="46">
        <v>242.1279024923125</v>
      </c>
      <c r="AG270" s="44">
        <v>227.970829547178</v>
      </c>
      <c r="AH270" s="44">
        <v>0</v>
      </c>
      <c r="AJ270" s="40">
        <v>8.2600971611006269E-2</v>
      </c>
      <c r="AK270" s="41">
        <v>8.7730522539775438E-2</v>
      </c>
      <c r="AM270" s="23">
        <v>1.9375</v>
      </c>
      <c r="AN270" s="23">
        <v>2.5</v>
      </c>
      <c r="AO270" s="23">
        <v>0.5625</v>
      </c>
      <c r="AP270" s="23">
        <v>2.625</v>
      </c>
      <c r="AQ270" s="23">
        <v>0.25409836065573771</v>
      </c>
      <c r="AR270" s="23">
        <v>0.32786885245901642</v>
      </c>
      <c r="AS270" s="23">
        <v>7.3770491803278687E-2</v>
      </c>
      <c r="AT270" s="23">
        <v>0.34426229508196721</v>
      </c>
      <c r="AU270" s="20">
        <v>0.79</v>
      </c>
      <c r="AV270" s="20">
        <v>3.44</v>
      </c>
      <c r="AW270" s="20">
        <v>2.65</v>
      </c>
      <c r="AX270" s="20">
        <v>2.6056249999999999</v>
      </c>
      <c r="AY270">
        <v>2.6056249999999999</v>
      </c>
      <c r="AZ270">
        <v>5.9703320286696879</v>
      </c>
      <c r="BA270" s="64">
        <v>0.52453741991489755</v>
      </c>
      <c r="BB270" s="64">
        <v>0.55711138795694093</v>
      </c>
      <c r="BE270">
        <v>4.1300485805503127E-2</v>
      </c>
      <c r="BF270">
        <v>4.3865261269887712E-2</v>
      </c>
      <c r="BH270">
        <v>8.5165747075390846E-2</v>
      </c>
      <c r="BI270">
        <v>4.2582873537695423E-2</v>
      </c>
      <c r="BJ270">
        <v>0.54082440393591924</v>
      </c>
    </row>
    <row r="271" spans="1:62" x14ac:dyDescent="0.3">
      <c r="A271" t="s">
        <v>215</v>
      </c>
      <c r="B271" s="12" t="s">
        <v>734</v>
      </c>
      <c r="C271" s="12"/>
      <c r="D271" t="s">
        <v>676</v>
      </c>
      <c r="E271">
        <v>0.44</v>
      </c>
      <c r="F271">
        <v>2</v>
      </c>
      <c r="G271" t="s">
        <v>216</v>
      </c>
      <c r="H271" s="8" t="s">
        <v>587</v>
      </c>
      <c r="I271" t="s">
        <v>636</v>
      </c>
      <c r="L271" s="20">
        <v>1</v>
      </c>
      <c r="M271">
        <v>1</v>
      </c>
      <c r="N271">
        <v>0</v>
      </c>
      <c r="T271" s="20">
        <v>3.950634</v>
      </c>
      <c r="U271" s="20">
        <v>3.950634</v>
      </c>
      <c r="V271" s="20">
        <v>15.513552000000001</v>
      </c>
      <c r="W271">
        <v>3.8658999999999999</v>
      </c>
      <c r="X271">
        <v>3.8658999999999999</v>
      </c>
      <c r="Y271">
        <v>15.2538</v>
      </c>
      <c r="Z271">
        <v>0</v>
      </c>
      <c r="AD271">
        <v>20</v>
      </c>
      <c r="AE271" s="44">
        <f t="shared" si="16"/>
        <v>0</v>
      </c>
      <c r="AF271" s="46">
        <v>242.1279024923125</v>
      </c>
      <c r="AG271" s="44">
        <v>227.970829547178</v>
      </c>
      <c r="AH271" s="44">
        <v>0</v>
      </c>
      <c r="AJ271" s="40">
        <v>8.2600971611006269E-2</v>
      </c>
      <c r="AK271" s="41">
        <v>8.7730522539775438E-2</v>
      </c>
      <c r="AM271" s="23">
        <v>1.9375</v>
      </c>
      <c r="AN271" s="23">
        <v>2.5</v>
      </c>
      <c r="AO271" s="23">
        <v>0.5625</v>
      </c>
      <c r="AP271" s="23">
        <v>2.625</v>
      </c>
      <c r="AQ271" s="23">
        <v>0.25409836065573771</v>
      </c>
      <c r="AR271" s="23">
        <v>0.32786885245901642</v>
      </c>
      <c r="AS271" s="23">
        <v>7.3770491803278687E-2</v>
      </c>
      <c r="AT271" s="23">
        <v>0.34426229508196721</v>
      </c>
      <c r="AU271" s="20">
        <v>0.79</v>
      </c>
      <c r="AV271" s="20">
        <v>3.44</v>
      </c>
      <c r="AW271" s="20">
        <v>2.65</v>
      </c>
      <c r="AX271" s="20">
        <v>2.6056249999999999</v>
      </c>
      <c r="AY271">
        <v>2.6056249999999999</v>
      </c>
      <c r="AZ271">
        <v>5.9703320286696879</v>
      </c>
      <c r="BA271" s="64">
        <v>0.52453741991489755</v>
      </c>
      <c r="BB271" s="64">
        <v>0.55711138795694093</v>
      </c>
      <c r="BE271">
        <v>4.1300485805503127E-2</v>
      </c>
      <c r="BF271">
        <v>4.3865261269887712E-2</v>
      </c>
      <c r="BH271">
        <v>8.5165747075390846E-2</v>
      </c>
      <c r="BI271">
        <v>4.2582873537695423E-2</v>
      </c>
      <c r="BJ271">
        <v>0.54082440393591924</v>
      </c>
    </row>
    <row r="272" spans="1:62" x14ac:dyDescent="0.3">
      <c r="A272" t="s">
        <v>217</v>
      </c>
      <c r="B272" s="12" t="s">
        <v>806</v>
      </c>
      <c r="C272" s="12"/>
      <c r="F272">
        <v>2.58</v>
      </c>
      <c r="G272" t="s">
        <v>218</v>
      </c>
      <c r="H272" s="8">
        <v>-1</v>
      </c>
      <c r="I272">
        <v>-1</v>
      </c>
      <c r="K272">
        <v>1</v>
      </c>
      <c r="L272" s="20">
        <v>0</v>
      </c>
      <c r="M272">
        <v>0</v>
      </c>
      <c r="N272">
        <v>0</v>
      </c>
      <c r="O272">
        <v>3.93</v>
      </c>
      <c r="P272">
        <v>3.93</v>
      </c>
      <c r="Q272">
        <v>15.3</v>
      </c>
      <c r="T272" s="20">
        <v>0</v>
      </c>
      <c r="U272" s="20"/>
      <c r="V272" s="20"/>
      <c r="W272">
        <v>0</v>
      </c>
      <c r="Z272">
        <v>0</v>
      </c>
      <c r="AD272">
        <v>20</v>
      </c>
      <c r="AE272" s="44">
        <f t="shared" si="16"/>
        <v>236.30697000000001</v>
      </c>
      <c r="AF272" s="46">
        <v>0</v>
      </c>
      <c r="AG272" s="44">
        <v>0</v>
      </c>
      <c r="AH272" s="44">
        <v>0</v>
      </c>
      <c r="AI272" s="41">
        <f t="shared" ref="AI272:AI273" si="17">K272*AD272/AE272</f>
        <v>8.4635675367510321E-2</v>
      </c>
      <c r="AJ272" s="40"/>
      <c r="AM272" s="23">
        <v>1.75</v>
      </c>
      <c r="AN272" s="23">
        <v>2.75</v>
      </c>
      <c r="AO272" s="23">
        <v>2</v>
      </c>
      <c r="AP272" s="23">
        <v>1.75</v>
      </c>
      <c r="AQ272" s="23">
        <v>0.2121212121212121</v>
      </c>
      <c r="AR272" s="23">
        <v>0.33333333333333331</v>
      </c>
      <c r="AS272" s="23">
        <v>0.2424242424242424</v>
      </c>
      <c r="AT272" s="23">
        <v>0.2121212121212121</v>
      </c>
      <c r="AU272" s="20">
        <v>1.6</v>
      </c>
      <c r="AV272" s="20">
        <v>3.44</v>
      </c>
      <c r="AW272" s="20">
        <v>1.84</v>
      </c>
      <c r="AX272" s="20">
        <v>2.8787500000000001</v>
      </c>
      <c r="AY272">
        <v>2.8787500000000001</v>
      </c>
      <c r="AZ272">
        <v>6.3662565249906873</v>
      </c>
      <c r="BD272">
        <v>4.2317837683755161E-2</v>
      </c>
      <c r="BH272">
        <v>8.4635675367510321E-2</v>
      </c>
      <c r="BI272">
        <v>4.2317837683755161E-2</v>
      </c>
      <c r="BJ272">
        <v>0</v>
      </c>
    </row>
    <row r="273" spans="1:62" x14ac:dyDescent="0.3">
      <c r="A273" t="s">
        <v>873</v>
      </c>
      <c r="B273" s="12" t="s">
        <v>874</v>
      </c>
      <c r="C273" s="12"/>
      <c r="F273">
        <v>2.29</v>
      </c>
      <c r="G273" t="s">
        <v>218</v>
      </c>
      <c r="H273" s="8">
        <v>-1</v>
      </c>
      <c r="I273">
        <v>-1</v>
      </c>
      <c r="K273">
        <v>1</v>
      </c>
      <c r="L273" s="20">
        <v>0</v>
      </c>
      <c r="M273">
        <v>0</v>
      </c>
      <c r="N273">
        <v>0</v>
      </c>
      <c r="O273">
        <v>3.93</v>
      </c>
      <c r="P273">
        <v>3.93</v>
      </c>
      <c r="Q273">
        <v>15.3</v>
      </c>
      <c r="T273" s="20">
        <v>0</v>
      </c>
      <c r="U273" s="20"/>
      <c r="V273" s="20"/>
      <c r="W273">
        <v>0</v>
      </c>
      <c r="Z273">
        <v>0</v>
      </c>
      <c r="AD273">
        <v>20</v>
      </c>
      <c r="AE273" s="44">
        <f t="shared" si="16"/>
        <v>236.30697000000001</v>
      </c>
      <c r="AF273" s="46">
        <v>0</v>
      </c>
      <c r="AG273" s="44">
        <v>0</v>
      </c>
      <c r="AH273" s="44">
        <v>0</v>
      </c>
      <c r="AI273" s="41">
        <f t="shared" si="17"/>
        <v>8.4635675367510321E-2</v>
      </c>
      <c r="AJ273" s="40"/>
      <c r="AM273" s="23">
        <v>1.714285714285714</v>
      </c>
      <c r="AN273" s="23">
        <v>2.6190476190476191</v>
      </c>
      <c r="AO273" s="23">
        <v>1.9285714285714279</v>
      </c>
      <c r="AP273" s="23">
        <v>1.666666666666667</v>
      </c>
      <c r="AQ273" s="23">
        <v>0.2162162162162162</v>
      </c>
      <c r="AR273" s="23">
        <v>0.33033033033033038</v>
      </c>
      <c r="AS273" s="23">
        <v>0.2432432432432432</v>
      </c>
      <c r="AT273" s="23">
        <v>0.21021021021021019</v>
      </c>
      <c r="AU273" s="20">
        <v>1.6</v>
      </c>
      <c r="AV273" s="20">
        <v>3.44</v>
      </c>
      <c r="AW273" s="20">
        <v>1.84</v>
      </c>
      <c r="AX273" s="20">
        <v>2.847857142857142</v>
      </c>
      <c r="AY273">
        <v>2.8478571428571429</v>
      </c>
      <c r="AZ273">
        <v>6.402055730936417</v>
      </c>
      <c r="BD273">
        <v>4.2317837683755161E-2</v>
      </c>
      <c r="BH273">
        <v>8.4635675367510321E-2</v>
      </c>
      <c r="BI273">
        <v>4.2317837683755161E-2</v>
      </c>
      <c r="BJ273">
        <v>0</v>
      </c>
    </row>
    <row r="274" spans="1:62" x14ac:dyDescent="0.3">
      <c r="A274" t="s">
        <v>220</v>
      </c>
      <c r="B274" s="12" t="s">
        <v>807</v>
      </c>
      <c r="C274" s="12"/>
      <c r="F274">
        <v>4.05</v>
      </c>
      <c r="G274" t="s">
        <v>219</v>
      </c>
      <c r="H274" s="8" t="s">
        <v>588</v>
      </c>
      <c r="I274" t="s">
        <v>661</v>
      </c>
      <c r="L274" s="20">
        <v>1</v>
      </c>
      <c r="M274">
        <v>1</v>
      </c>
      <c r="N274">
        <v>0</v>
      </c>
      <c r="T274" s="20">
        <v>5.81978595</v>
      </c>
      <c r="U274" s="20">
        <v>5.81978595</v>
      </c>
      <c r="V274" s="20">
        <v>11.88463337</v>
      </c>
      <c r="W274">
        <v>5.7759999999999998</v>
      </c>
      <c r="X274">
        <v>5.7759999999999998</v>
      </c>
      <c r="Y274">
        <v>11.82</v>
      </c>
      <c r="Z274">
        <v>0</v>
      </c>
      <c r="AD274">
        <v>30</v>
      </c>
      <c r="AE274" s="44">
        <f t="shared" si="16"/>
        <v>0</v>
      </c>
      <c r="AF274" s="46">
        <v>348.60249769877402</v>
      </c>
      <c r="AG274" s="44">
        <v>341.5092547488552</v>
      </c>
      <c r="AH274" s="44">
        <v>0</v>
      </c>
      <c r="AJ274" s="40">
        <v>8.6057903193576313E-2</v>
      </c>
      <c r="AK274" s="41">
        <v>8.7845349965879851E-2</v>
      </c>
      <c r="AM274" s="23">
        <v>2</v>
      </c>
      <c r="AN274" s="23">
        <v>2.5</v>
      </c>
      <c r="AO274" s="23">
        <v>0.5</v>
      </c>
      <c r="AP274" s="23">
        <v>2.333333333333333</v>
      </c>
      <c r="AQ274" s="23">
        <v>0.27272727272727282</v>
      </c>
      <c r="AR274" s="23">
        <v>0.34090909090909088</v>
      </c>
      <c r="AS274" s="23">
        <v>6.8181818181818191E-2</v>
      </c>
      <c r="AT274" s="23">
        <v>0.31818181818181818</v>
      </c>
      <c r="AU274" s="20">
        <v>0.89</v>
      </c>
      <c r="AV274" s="20">
        <v>3.44</v>
      </c>
      <c r="AW274" s="20">
        <v>2.5499999999999998</v>
      </c>
      <c r="AX274" s="20">
        <v>2.5854166666666671</v>
      </c>
      <c r="AY274">
        <v>2.5854166666666671</v>
      </c>
      <c r="AZ274">
        <v>5.9262421145833333</v>
      </c>
      <c r="BA274" s="64">
        <v>0.58209579444379334</v>
      </c>
      <c r="BB274" s="64">
        <v>0.59418608726221844</v>
      </c>
      <c r="BE274">
        <v>4.3028951596788149E-2</v>
      </c>
      <c r="BF274">
        <v>4.3922674982939933E-2</v>
      </c>
      <c r="BH274">
        <v>8.6951626579728075E-2</v>
      </c>
      <c r="BI274">
        <v>4.3475813289864038E-2</v>
      </c>
      <c r="BJ274">
        <v>0.58814094085300583</v>
      </c>
    </row>
    <row r="275" spans="1:62" x14ac:dyDescent="0.3">
      <c r="A275" t="s">
        <v>220</v>
      </c>
      <c r="B275" s="12" t="s">
        <v>807</v>
      </c>
      <c r="C275" s="12"/>
      <c r="D275" t="s">
        <v>676</v>
      </c>
      <c r="E275">
        <v>0.3</v>
      </c>
      <c r="F275">
        <v>1.75</v>
      </c>
      <c r="G275" t="s">
        <v>219</v>
      </c>
      <c r="H275" s="8" t="s">
        <v>588</v>
      </c>
      <c r="I275" t="s">
        <v>661</v>
      </c>
      <c r="L275" s="20">
        <v>1</v>
      </c>
      <c r="M275">
        <v>1</v>
      </c>
      <c r="N275">
        <v>0</v>
      </c>
      <c r="T275" s="20">
        <v>5.81978595</v>
      </c>
      <c r="U275" s="20">
        <v>5.81978595</v>
      </c>
      <c r="V275" s="20">
        <v>11.88463337</v>
      </c>
      <c r="W275">
        <v>5.7759999999999998</v>
      </c>
      <c r="X275">
        <v>5.7759999999999998</v>
      </c>
      <c r="Y275">
        <v>11.82</v>
      </c>
      <c r="Z275">
        <v>0</v>
      </c>
      <c r="AD275">
        <v>30</v>
      </c>
      <c r="AE275" s="44">
        <f t="shared" si="16"/>
        <v>0</v>
      </c>
      <c r="AF275" s="46">
        <v>348.60249769877402</v>
      </c>
      <c r="AG275" s="44">
        <v>341.5092547488552</v>
      </c>
      <c r="AH275" s="44">
        <v>0</v>
      </c>
      <c r="AJ275" s="40">
        <v>8.6057903193576313E-2</v>
      </c>
      <c r="AK275" s="41">
        <v>8.7845349965879851E-2</v>
      </c>
      <c r="AM275" s="23">
        <v>2</v>
      </c>
      <c r="AN275" s="23">
        <v>2.5</v>
      </c>
      <c r="AO275" s="23">
        <v>0.5</v>
      </c>
      <c r="AP275" s="23">
        <v>2.333333333333333</v>
      </c>
      <c r="AQ275" s="23">
        <v>0.27272727272727282</v>
      </c>
      <c r="AR275" s="23">
        <v>0.34090909090909088</v>
      </c>
      <c r="AS275" s="23">
        <v>6.8181818181818191E-2</v>
      </c>
      <c r="AT275" s="23">
        <v>0.31818181818181818</v>
      </c>
      <c r="AU275" s="20">
        <v>0.89</v>
      </c>
      <c r="AV275" s="20">
        <v>3.44</v>
      </c>
      <c r="AW275" s="20">
        <v>2.5499999999999998</v>
      </c>
      <c r="AX275" s="20">
        <v>2.5854166666666671</v>
      </c>
      <c r="AY275">
        <v>2.5854166666666671</v>
      </c>
      <c r="AZ275">
        <v>5.9262421145833333</v>
      </c>
      <c r="BA275" s="64">
        <v>0.58209579444379334</v>
      </c>
      <c r="BB275" s="64">
        <v>0.59418608726221844</v>
      </c>
      <c r="BE275">
        <v>4.3028951596788149E-2</v>
      </c>
      <c r="BF275">
        <v>4.3922674982939933E-2</v>
      </c>
      <c r="BH275">
        <v>8.6951626579728075E-2</v>
      </c>
      <c r="BI275">
        <v>4.3475813289864038E-2</v>
      </c>
      <c r="BJ275">
        <v>0.58814094085300583</v>
      </c>
    </row>
    <row r="276" spans="1:62" x14ac:dyDescent="0.3">
      <c r="A276" t="s">
        <v>221</v>
      </c>
      <c r="B276" s="12" t="s">
        <v>808</v>
      </c>
      <c r="C276" s="12"/>
      <c r="F276">
        <v>4.51</v>
      </c>
      <c r="G276" t="s">
        <v>222</v>
      </c>
      <c r="H276" s="8" t="s">
        <v>589</v>
      </c>
      <c r="I276">
        <v>-1</v>
      </c>
      <c r="L276" s="20">
        <v>1</v>
      </c>
      <c r="M276">
        <v>0</v>
      </c>
      <c r="N276">
        <v>0</v>
      </c>
      <c r="T276" s="20">
        <v>5.6694849300000003</v>
      </c>
      <c r="U276" s="20">
        <v>5.6694842000000003</v>
      </c>
      <c r="V276" s="20">
        <v>11.54266629</v>
      </c>
      <c r="W276">
        <v>0</v>
      </c>
      <c r="Z276">
        <v>0</v>
      </c>
      <c r="AD276">
        <v>30</v>
      </c>
      <c r="AE276" s="44">
        <f t="shared" si="16"/>
        <v>0</v>
      </c>
      <c r="AF276" s="46">
        <v>321.30962315738361</v>
      </c>
      <c r="AG276" s="44">
        <v>0</v>
      </c>
      <c r="AH276" s="44">
        <v>0</v>
      </c>
      <c r="AJ276" s="40">
        <v>9.3367885173191417E-2</v>
      </c>
      <c r="AM276" s="23">
        <v>2</v>
      </c>
      <c r="AN276" s="23">
        <v>2.5</v>
      </c>
      <c r="AO276" s="23">
        <v>0.5</v>
      </c>
      <c r="AP276" s="23">
        <v>2.333333333333333</v>
      </c>
      <c r="AQ276" s="23">
        <v>0.27272727272727282</v>
      </c>
      <c r="AR276" s="23">
        <v>0.34090909090909088</v>
      </c>
      <c r="AS276" s="23">
        <v>6.8181818181818191E-2</v>
      </c>
      <c r="AT276" s="23">
        <v>0.31818181818181818</v>
      </c>
      <c r="AU276" s="20">
        <v>0.95</v>
      </c>
      <c r="AV276" s="20">
        <v>3.44</v>
      </c>
      <c r="AW276" s="20">
        <v>2.4900000000000002</v>
      </c>
      <c r="AX276" s="20">
        <v>2.5979166666666669</v>
      </c>
      <c r="AY276">
        <v>2.597916666666666</v>
      </c>
      <c r="AZ276">
        <v>5.966934078125</v>
      </c>
      <c r="BA276" s="64">
        <v>0.56583721757051464</v>
      </c>
      <c r="BE276">
        <v>4.6683942586595709E-2</v>
      </c>
      <c r="BH276">
        <v>9.3367885173191417E-2</v>
      </c>
      <c r="BI276">
        <v>4.6683942586595709E-2</v>
      </c>
      <c r="BJ276">
        <v>0.56583721757051464</v>
      </c>
    </row>
    <row r="277" spans="1:62" x14ac:dyDescent="0.3">
      <c r="A277" t="s">
        <v>221</v>
      </c>
      <c r="B277" s="12" t="s">
        <v>808</v>
      </c>
      <c r="C277" s="12"/>
      <c r="D277" t="s">
        <v>676</v>
      </c>
      <c r="E277">
        <v>0.63</v>
      </c>
      <c r="F277">
        <v>2.2000000000000002</v>
      </c>
      <c r="G277" t="s">
        <v>222</v>
      </c>
      <c r="H277" s="8" t="s">
        <v>589</v>
      </c>
      <c r="I277">
        <v>-1</v>
      </c>
      <c r="L277" s="20">
        <v>1</v>
      </c>
      <c r="M277">
        <v>0</v>
      </c>
      <c r="N277">
        <v>0</v>
      </c>
      <c r="T277" s="20">
        <v>5.6694849300000003</v>
      </c>
      <c r="U277" s="20">
        <v>5.6694842000000003</v>
      </c>
      <c r="V277" s="20">
        <v>11.54266629</v>
      </c>
      <c r="W277">
        <v>0</v>
      </c>
      <c r="Z277">
        <v>0</v>
      </c>
      <c r="AD277">
        <v>30</v>
      </c>
      <c r="AE277" s="44">
        <f t="shared" si="16"/>
        <v>0</v>
      </c>
      <c r="AF277" s="46">
        <v>321.30962315738361</v>
      </c>
      <c r="AG277" s="44">
        <v>0</v>
      </c>
      <c r="AH277" s="44">
        <v>0</v>
      </c>
      <c r="AJ277" s="40">
        <v>9.3367885173191417E-2</v>
      </c>
      <c r="AM277" s="23">
        <v>2</v>
      </c>
      <c r="AN277" s="23">
        <v>2.5</v>
      </c>
      <c r="AO277" s="23">
        <v>0.5</v>
      </c>
      <c r="AP277" s="23">
        <v>2.333333333333333</v>
      </c>
      <c r="AQ277" s="23">
        <v>0.27272727272727282</v>
      </c>
      <c r="AR277" s="23">
        <v>0.34090909090909088</v>
      </c>
      <c r="AS277" s="23">
        <v>6.8181818181818191E-2</v>
      </c>
      <c r="AT277" s="23">
        <v>0.31818181818181818</v>
      </c>
      <c r="AU277" s="20">
        <v>0.95</v>
      </c>
      <c r="AV277" s="20">
        <v>3.44</v>
      </c>
      <c r="AW277" s="20">
        <v>2.4900000000000002</v>
      </c>
      <c r="AX277" s="20">
        <v>2.5979166666666669</v>
      </c>
      <c r="AY277">
        <v>2.597916666666666</v>
      </c>
      <c r="AZ277">
        <v>5.966934078125</v>
      </c>
      <c r="BA277" s="64">
        <v>0.56583721757051464</v>
      </c>
      <c r="BE277">
        <v>4.6683942586595709E-2</v>
      </c>
      <c r="BH277">
        <v>9.3367885173191417E-2</v>
      </c>
      <c r="BI277">
        <v>4.6683942586595709E-2</v>
      </c>
      <c r="BJ277">
        <v>0.56583721757051464</v>
      </c>
    </row>
    <row r="278" spans="1:62" x14ac:dyDescent="0.3">
      <c r="A278" t="s">
        <v>185</v>
      </c>
      <c r="B278" s="12" t="s">
        <v>729</v>
      </c>
      <c r="C278" s="12"/>
      <c r="F278">
        <v>4.2</v>
      </c>
      <c r="G278" t="s">
        <v>223</v>
      </c>
      <c r="H278" s="8" t="s">
        <v>556</v>
      </c>
      <c r="I278" t="s">
        <v>633</v>
      </c>
      <c r="L278" s="20">
        <v>2</v>
      </c>
      <c r="M278">
        <v>4</v>
      </c>
      <c r="N278">
        <v>0</v>
      </c>
      <c r="T278" s="20">
        <v>13.81974189</v>
      </c>
      <c r="U278" s="20">
        <v>13.81974189</v>
      </c>
      <c r="V278" s="20">
        <v>5.7110870199999999</v>
      </c>
      <c r="W278">
        <v>3.94</v>
      </c>
      <c r="X278">
        <v>27.15</v>
      </c>
      <c r="Y278">
        <v>5.6920000000000002</v>
      </c>
      <c r="Z278">
        <v>0</v>
      </c>
      <c r="AD278">
        <v>14</v>
      </c>
      <c r="AE278" s="44">
        <f t="shared" si="16"/>
        <v>0</v>
      </c>
      <c r="AF278" s="46">
        <v>309.44138863753989</v>
      </c>
      <c r="AG278" s="44">
        <v>608.87893199999996</v>
      </c>
      <c r="AH278" s="44">
        <v>0</v>
      </c>
      <c r="AJ278" s="40">
        <v>9.0485633235046756E-2</v>
      </c>
      <c r="AK278" s="41">
        <v>9.1972306901891634E-2</v>
      </c>
      <c r="AM278" s="23">
        <v>2</v>
      </c>
      <c r="AN278" s="23">
        <v>2.545454545454545</v>
      </c>
      <c r="AO278" s="23">
        <v>0.54545454545454541</v>
      </c>
      <c r="AP278" s="23">
        <v>2.545454545454545</v>
      </c>
      <c r="AQ278" s="23">
        <v>0.26190476190476192</v>
      </c>
      <c r="AR278" s="23">
        <v>0.33333333333333331</v>
      </c>
      <c r="AS278" s="23">
        <v>7.1428571428571425E-2</v>
      </c>
      <c r="AT278" s="23">
        <v>0.33333333333333331</v>
      </c>
      <c r="AU278" s="20">
        <v>0.95</v>
      </c>
      <c r="AV278" s="20">
        <v>3.44</v>
      </c>
      <c r="AW278" s="20">
        <v>2.4900000000000002</v>
      </c>
      <c r="AX278" s="20">
        <v>2.6345454545454539</v>
      </c>
      <c r="AY278">
        <v>2.6345454545454552</v>
      </c>
      <c r="AZ278">
        <v>6.036062318181818</v>
      </c>
      <c r="BA278" s="64">
        <v>0.52932707238284982</v>
      </c>
      <c r="BB278" s="64">
        <v>0.53802388525275069</v>
      </c>
      <c r="BE278">
        <v>4.5242816617523378E-2</v>
      </c>
      <c r="BF278">
        <v>4.5986153450945817E-2</v>
      </c>
      <c r="BH278">
        <v>9.1228970068469195E-2</v>
      </c>
      <c r="BI278">
        <v>4.5614485034234598E-2</v>
      </c>
      <c r="BJ278">
        <v>0.5336754788178002</v>
      </c>
    </row>
    <row r="279" spans="1:62" x14ac:dyDescent="0.3">
      <c r="A279" t="s">
        <v>185</v>
      </c>
      <c r="B279" s="12" t="s">
        <v>729</v>
      </c>
      <c r="C279" s="12"/>
      <c r="D279" t="s">
        <v>676</v>
      </c>
      <c r="E279">
        <v>0.90500000000000003</v>
      </c>
      <c r="F279">
        <v>2.2999999999999998</v>
      </c>
      <c r="G279" t="s">
        <v>223</v>
      </c>
      <c r="H279" s="8" t="s">
        <v>556</v>
      </c>
      <c r="I279" t="s">
        <v>633</v>
      </c>
      <c r="L279" s="20">
        <v>2</v>
      </c>
      <c r="M279">
        <v>4</v>
      </c>
      <c r="N279">
        <v>0</v>
      </c>
      <c r="T279" s="20">
        <v>13.81974189</v>
      </c>
      <c r="U279" s="20">
        <v>13.81974189</v>
      </c>
      <c r="V279" s="20">
        <v>5.7110870199999999</v>
      </c>
      <c r="W279">
        <v>3.94</v>
      </c>
      <c r="X279">
        <v>27.15</v>
      </c>
      <c r="Y279">
        <v>5.6920000000000002</v>
      </c>
      <c r="Z279">
        <v>0</v>
      </c>
      <c r="AD279">
        <v>14</v>
      </c>
      <c r="AE279" s="44">
        <f t="shared" si="16"/>
        <v>0</v>
      </c>
      <c r="AF279" s="46">
        <v>309.44138863753989</v>
      </c>
      <c r="AG279" s="44">
        <v>608.87893199999996</v>
      </c>
      <c r="AH279" s="44">
        <v>0</v>
      </c>
      <c r="AJ279" s="40">
        <v>9.0485633235046756E-2</v>
      </c>
      <c r="AK279" s="41">
        <v>9.1972306901891634E-2</v>
      </c>
      <c r="AM279" s="23">
        <v>2</v>
      </c>
      <c r="AN279" s="23">
        <v>2.545454545454545</v>
      </c>
      <c r="AO279" s="23">
        <v>0.54545454545454541</v>
      </c>
      <c r="AP279" s="23">
        <v>2.545454545454545</v>
      </c>
      <c r="AQ279" s="23">
        <v>0.26190476190476192</v>
      </c>
      <c r="AR279" s="23">
        <v>0.33333333333333331</v>
      </c>
      <c r="AS279" s="23">
        <v>7.1428571428571425E-2</v>
      </c>
      <c r="AT279" s="23">
        <v>0.33333333333333331</v>
      </c>
      <c r="AU279" s="20">
        <v>0.95</v>
      </c>
      <c r="AV279" s="20">
        <v>3.44</v>
      </c>
      <c r="AW279" s="20">
        <v>2.4900000000000002</v>
      </c>
      <c r="AX279" s="20">
        <v>2.6345454545454539</v>
      </c>
      <c r="AY279">
        <v>2.6345454545454552</v>
      </c>
      <c r="AZ279">
        <v>6.036062318181818</v>
      </c>
      <c r="BA279" s="64">
        <v>0.52932707238284982</v>
      </c>
      <c r="BB279" s="64">
        <v>0.53802388525275069</v>
      </c>
      <c r="BE279">
        <v>4.5242816617523378E-2</v>
      </c>
      <c r="BF279">
        <v>4.5986153450945817E-2</v>
      </c>
      <c r="BH279">
        <v>9.1228970068469195E-2</v>
      </c>
      <c r="BI279">
        <v>4.5614485034234598E-2</v>
      </c>
      <c r="BJ279">
        <v>0.5336754788178002</v>
      </c>
    </row>
    <row r="280" spans="1:62" x14ac:dyDescent="0.3">
      <c r="A280" t="s">
        <v>46</v>
      </c>
      <c r="B280" s="12" t="s">
        <v>722</v>
      </c>
      <c r="C280" s="12"/>
      <c r="F280">
        <v>3.82</v>
      </c>
      <c r="G280" t="s">
        <v>224</v>
      </c>
      <c r="H280" s="8" t="s">
        <v>551</v>
      </c>
      <c r="I280" t="s">
        <v>629</v>
      </c>
      <c r="L280" s="20">
        <v>2</v>
      </c>
      <c r="M280">
        <v>4</v>
      </c>
      <c r="N280">
        <v>0</v>
      </c>
      <c r="T280" s="20">
        <v>7.41544296</v>
      </c>
      <c r="U280" s="20">
        <v>7.4154429599999991</v>
      </c>
      <c r="V280" s="20">
        <v>7.41544296</v>
      </c>
      <c r="W280">
        <v>7.8</v>
      </c>
      <c r="X280">
        <v>13.010999999999999</v>
      </c>
      <c r="Y280">
        <v>5.5460000000000003</v>
      </c>
      <c r="Z280">
        <v>0</v>
      </c>
      <c r="AD280">
        <v>14</v>
      </c>
      <c r="AE280" s="44">
        <f t="shared" si="16"/>
        <v>0</v>
      </c>
      <c r="AF280" s="46">
        <v>288.33429290182369</v>
      </c>
      <c r="AG280" s="44">
        <v>556.51188553357167</v>
      </c>
      <c r="AH280" s="44">
        <v>0</v>
      </c>
      <c r="AJ280" s="40">
        <v>9.7109503410799117E-2</v>
      </c>
      <c r="AK280" s="41">
        <v>0.10062678166578309</v>
      </c>
      <c r="AM280" s="23">
        <v>2</v>
      </c>
      <c r="AN280" s="23">
        <v>2.545454545454545</v>
      </c>
      <c r="AO280" s="23">
        <v>0.54545454545454541</v>
      </c>
      <c r="AP280" s="23">
        <v>0</v>
      </c>
      <c r="AQ280" s="23">
        <v>0.39285714285714279</v>
      </c>
      <c r="AR280" s="23">
        <v>0.5</v>
      </c>
      <c r="AS280" s="23">
        <v>0.1071428571428571</v>
      </c>
      <c r="AT280" s="23">
        <v>0</v>
      </c>
      <c r="AU280" s="20">
        <v>1.1000000000000001</v>
      </c>
      <c r="AV280" s="20">
        <v>3.44</v>
      </c>
      <c r="AW280" s="20">
        <v>2.34</v>
      </c>
      <c r="AX280" s="20">
        <v>2.669090909090909</v>
      </c>
      <c r="AY280">
        <v>2.669090909090909</v>
      </c>
      <c r="AZ280">
        <v>5.9831974772727277</v>
      </c>
      <c r="BA280" s="64">
        <v>0.52442413903612473</v>
      </c>
      <c r="BB280" s="64">
        <v>0.54341863036636606</v>
      </c>
      <c r="BE280">
        <v>4.8554751705399558E-2</v>
      </c>
      <c r="BF280">
        <v>5.0313390832891547E-2</v>
      </c>
      <c r="BH280">
        <v>9.8868142538291098E-2</v>
      </c>
      <c r="BI280">
        <v>4.9434071269145549E-2</v>
      </c>
      <c r="BJ280">
        <v>0.53392138470124539</v>
      </c>
    </row>
    <row r="281" spans="1:62" x14ac:dyDescent="0.3">
      <c r="A281" t="s">
        <v>46</v>
      </c>
      <c r="B281" s="12" t="s">
        <v>722</v>
      </c>
      <c r="C281" s="12"/>
      <c r="F281">
        <v>3.82</v>
      </c>
      <c r="G281" t="s">
        <v>225</v>
      </c>
      <c r="H281" s="8" t="s">
        <v>551</v>
      </c>
      <c r="I281" t="s">
        <v>629</v>
      </c>
      <c r="L281" s="20">
        <v>2</v>
      </c>
      <c r="M281">
        <v>4</v>
      </c>
      <c r="N281">
        <v>0</v>
      </c>
      <c r="T281" s="20">
        <v>7.41544296</v>
      </c>
      <c r="U281" s="20">
        <v>7.4154429599999991</v>
      </c>
      <c r="V281" s="20">
        <v>7.41544296</v>
      </c>
      <c r="W281">
        <v>7.8</v>
      </c>
      <c r="X281">
        <v>13.010999999999999</v>
      </c>
      <c r="Y281">
        <v>5.5460000000000003</v>
      </c>
      <c r="Z281">
        <v>0</v>
      </c>
      <c r="AD281">
        <v>14</v>
      </c>
      <c r="AE281" s="44">
        <f t="shared" si="16"/>
        <v>0</v>
      </c>
      <c r="AF281" s="46">
        <v>288.33429290182369</v>
      </c>
      <c r="AG281" s="44">
        <v>556.51188553357167</v>
      </c>
      <c r="AH281" s="44">
        <v>0</v>
      </c>
      <c r="AJ281" s="40">
        <v>9.7109503410799117E-2</v>
      </c>
      <c r="AK281" s="41">
        <v>0.10062678166578309</v>
      </c>
      <c r="AM281" s="23">
        <v>2</v>
      </c>
      <c r="AN281" s="23">
        <v>2.545454545454545</v>
      </c>
      <c r="AO281" s="23">
        <v>0.54545454545454541</v>
      </c>
      <c r="AP281" s="23">
        <v>0</v>
      </c>
      <c r="AQ281" s="23">
        <v>0.39285714285714279</v>
      </c>
      <c r="AR281" s="23">
        <v>0.5</v>
      </c>
      <c r="AS281" s="23">
        <v>0.1071428571428571</v>
      </c>
      <c r="AT281" s="23">
        <v>0</v>
      </c>
      <c r="AU281" s="20">
        <v>1.1000000000000001</v>
      </c>
      <c r="AV281" s="20">
        <v>3.44</v>
      </c>
      <c r="AW281" s="20">
        <v>2.34</v>
      </c>
      <c r="AX281" s="20">
        <v>2.669090909090909</v>
      </c>
      <c r="AY281">
        <v>2.669090909090909</v>
      </c>
      <c r="AZ281">
        <v>5.9831974772727277</v>
      </c>
      <c r="BA281" s="64">
        <v>0.52442413903612473</v>
      </c>
      <c r="BB281" s="64">
        <v>0.54341863036636606</v>
      </c>
      <c r="BE281">
        <v>4.8554751705399558E-2</v>
      </c>
      <c r="BF281">
        <v>5.0313390832891547E-2</v>
      </c>
      <c r="BH281">
        <v>9.8868142538291098E-2</v>
      </c>
      <c r="BI281">
        <v>4.9434071269145549E-2</v>
      </c>
      <c r="BJ281">
        <v>0.53392138470124539</v>
      </c>
    </row>
    <row r="282" spans="1:62" x14ac:dyDescent="0.3">
      <c r="A282" t="s">
        <v>226</v>
      </c>
      <c r="B282" s="27" t="s">
        <v>938</v>
      </c>
      <c r="C282" s="12"/>
      <c r="F282">
        <v>2.6</v>
      </c>
      <c r="G282" t="s">
        <v>225</v>
      </c>
      <c r="H282" s="25" t="s">
        <v>551</v>
      </c>
      <c r="I282" s="1" t="s">
        <v>629</v>
      </c>
      <c r="L282" s="20">
        <v>0</v>
      </c>
      <c r="M282">
        <v>4</v>
      </c>
      <c r="N282">
        <v>0</v>
      </c>
      <c r="O282">
        <v>-1</v>
      </c>
      <c r="T282" s="20">
        <v>0</v>
      </c>
      <c r="U282" s="20"/>
      <c r="V282" s="20"/>
      <c r="W282">
        <v>7.8</v>
      </c>
      <c r="X282">
        <v>13.010999999999999</v>
      </c>
      <c r="Y282">
        <v>5.5460000000000003</v>
      </c>
      <c r="Z282">
        <v>0</v>
      </c>
      <c r="AD282">
        <v>14</v>
      </c>
      <c r="AE282" s="44">
        <f t="shared" si="16"/>
        <v>0</v>
      </c>
      <c r="AF282" s="46">
        <v>0</v>
      </c>
      <c r="AG282" s="44">
        <v>556.51188553357167</v>
      </c>
      <c r="AH282" s="44">
        <v>0</v>
      </c>
      <c r="AJ282" s="40"/>
      <c r="AK282" s="41">
        <v>0.10062678166578309</v>
      </c>
      <c r="AM282" s="23">
        <v>2</v>
      </c>
      <c r="AN282" s="23">
        <v>2.545454545454545</v>
      </c>
      <c r="AO282" s="23">
        <v>0.55454545454545456</v>
      </c>
      <c r="AP282" s="23">
        <v>0</v>
      </c>
      <c r="AQ282" s="23">
        <v>0.39215686274509798</v>
      </c>
      <c r="AR282" s="23">
        <v>0.49910873440285197</v>
      </c>
      <c r="AS282" s="23">
        <v>0.1087344028520499</v>
      </c>
      <c r="AT282" s="23">
        <v>0</v>
      </c>
      <c r="AU282" s="20">
        <v>1.1000000000000001</v>
      </c>
      <c r="AV282" s="20">
        <v>3.44</v>
      </c>
      <c r="AW282" s="20">
        <v>2.34</v>
      </c>
      <c r="AX282" s="20">
        <v>2.670418181818182</v>
      </c>
      <c r="AY282">
        <v>2.670418181818182</v>
      </c>
      <c r="AZ282">
        <v>5.9849440756727272</v>
      </c>
      <c r="BA282" s="64">
        <v>0.52442413903612473</v>
      </c>
      <c r="BB282" s="64">
        <v>0.54341863036636606</v>
      </c>
      <c r="BF282">
        <v>5.0313390832891547E-2</v>
      </c>
      <c r="BH282">
        <v>0.10062678166578309</v>
      </c>
      <c r="BI282">
        <v>5.0313390832891547E-2</v>
      </c>
      <c r="BJ282">
        <v>0.53392138470124539</v>
      </c>
    </row>
    <row r="283" spans="1:62" x14ac:dyDescent="0.3">
      <c r="A283" t="s">
        <v>227</v>
      </c>
      <c r="B283" s="16" t="s">
        <v>939</v>
      </c>
      <c r="C283" s="12"/>
      <c r="F283">
        <v>2.2000000000000002</v>
      </c>
      <c r="G283" t="s">
        <v>225</v>
      </c>
      <c r="H283" s="25" t="s">
        <v>551</v>
      </c>
      <c r="I283" s="1" t="s">
        <v>629</v>
      </c>
      <c r="L283" s="20">
        <v>0</v>
      </c>
      <c r="M283">
        <v>4</v>
      </c>
      <c r="N283">
        <v>0</v>
      </c>
      <c r="O283">
        <v>-1</v>
      </c>
      <c r="T283" s="20">
        <v>0</v>
      </c>
      <c r="U283" s="20"/>
      <c r="V283" s="20"/>
      <c r="W283">
        <v>7.8</v>
      </c>
      <c r="X283">
        <v>13.010999999999999</v>
      </c>
      <c r="Y283">
        <v>5.5460000000000003</v>
      </c>
      <c r="Z283">
        <v>0</v>
      </c>
      <c r="AD283">
        <v>14</v>
      </c>
      <c r="AE283" s="44">
        <f t="shared" si="16"/>
        <v>0</v>
      </c>
      <c r="AF283" s="46">
        <v>0</v>
      </c>
      <c r="AG283" s="44">
        <v>556.51188553357167</v>
      </c>
      <c r="AH283" s="44">
        <v>0</v>
      </c>
      <c r="AJ283" s="40"/>
      <c r="AK283" s="41">
        <v>0.10062678166578309</v>
      </c>
      <c r="AM283" s="23">
        <v>1.9981818181818181</v>
      </c>
      <c r="AN283" s="23">
        <v>2.545454545454545</v>
      </c>
      <c r="AO283" s="23">
        <v>0.55272727272727273</v>
      </c>
      <c r="AP283" s="23">
        <v>0</v>
      </c>
      <c r="AQ283" s="23">
        <v>0.39207991437745271</v>
      </c>
      <c r="AR283" s="23">
        <v>0.49946485907955762</v>
      </c>
      <c r="AS283" s="23">
        <v>0.1084552265429897</v>
      </c>
      <c r="AT283" s="23">
        <v>0</v>
      </c>
      <c r="AU283" s="20">
        <v>1.1000000000000001</v>
      </c>
      <c r="AV283" s="20">
        <v>3.44</v>
      </c>
      <c r="AW283" s="20">
        <v>2.34</v>
      </c>
      <c r="AX283" s="20">
        <v>2.670109090909091</v>
      </c>
      <c r="AY283">
        <v>2.670109090909091</v>
      </c>
      <c r="AZ283">
        <v>5.9843864818181816</v>
      </c>
      <c r="BA283" s="64">
        <v>0.52442413903612473</v>
      </c>
      <c r="BB283" s="64">
        <v>0.54341863036636606</v>
      </c>
      <c r="BF283">
        <v>5.0313390832891547E-2</v>
      </c>
      <c r="BH283">
        <v>0.10062678166578309</v>
      </c>
      <c r="BI283">
        <v>5.0313390832891547E-2</v>
      </c>
      <c r="BJ283">
        <v>0.53392138470124539</v>
      </c>
    </row>
    <row r="284" spans="1:62" x14ac:dyDescent="0.3">
      <c r="A284" t="s">
        <v>49</v>
      </c>
      <c r="B284" s="12" t="s">
        <v>725</v>
      </c>
      <c r="C284" s="12"/>
      <c r="F284">
        <v>4</v>
      </c>
      <c r="G284" t="s">
        <v>228</v>
      </c>
      <c r="H284" s="8" t="s">
        <v>553</v>
      </c>
      <c r="I284" t="s">
        <v>631</v>
      </c>
      <c r="L284" s="20">
        <v>8</v>
      </c>
      <c r="M284">
        <v>8</v>
      </c>
      <c r="N284">
        <v>0</v>
      </c>
      <c r="T284" s="20">
        <v>5.8017180100000001</v>
      </c>
      <c r="U284" s="20">
        <v>7.9756520899999996</v>
      </c>
      <c r="V284" s="20">
        <v>27.352093400000001</v>
      </c>
      <c r="W284">
        <v>26.646989999999999</v>
      </c>
      <c r="X284">
        <v>7.9359999999999999</v>
      </c>
      <c r="Y284">
        <v>5.7050000000000001</v>
      </c>
      <c r="Z284">
        <v>0</v>
      </c>
      <c r="AD284">
        <v>14</v>
      </c>
      <c r="AE284" s="44">
        <f t="shared" si="16"/>
        <v>0</v>
      </c>
      <c r="AF284" s="46">
        <v>1265.6493143942739</v>
      </c>
      <c r="AG284" s="44">
        <v>1206.4392746112001</v>
      </c>
      <c r="AH284" s="44">
        <v>0</v>
      </c>
      <c r="AJ284" s="40">
        <v>8.8492127105210025E-2</v>
      </c>
      <c r="AK284" s="41">
        <v>9.2835174017436004E-2</v>
      </c>
      <c r="AM284" s="23">
        <v>1.8181818181818179</v>
      </c>
      <c r="AN284" s="23">
        <v>2.545454545454545</v>
      </c>
      <c r="AO284" s="23">
        <v>0.72727272727272729</v>
      </c>
      <c r="AP284" s="23">
        <v>0</v>
      </c>
      <c r="AQ284" s="23">
        <v>0.35714285714285721</v>
      </c>
      <c r="AR284" s="23">
        <v>0.5</v>
      </c>
      <c r="AS284" s="23">
        <v>0.1428571428571429</v>
      </c>
      <c r="AT284" s="23">
        <v>0</v>
      </c>
      <c r="AU284" s="20">
        <v>0.95</v>
      </c>
      <c r="AV284" s="20">
        <v>3.44</v>
      </c>
      <c r="AW284" s="20">
        <v>2.4900000000000002</v>
      </c>
      <c r="AX284" s="20">
        <v>2.6527272727272719</v>
      </c>
      <c r="AY284">
        <v>2.6527272727272728</v>
      </c>
      <c r="AZ284">
        <v>6.0182046818181814</v>
      </c>
      <c r="BA284" s="64">
        <v>0.5176653673612065</v>
      </c>
      <c r="BB284" s="64">
        <v>0.54307152550012683</v>
      </c>
      <c r="BE284">
        <v>4.4246063552605013E-2</v>
      </c>
      <c r="BF284">
        <v>4.6417587008717988E-2</v>
      </c>
      <c r="BH284">
        <v>9.0663650561323014E-2</v>
      </c>
      <c r="BI284">
        <v>4.53318252806615E-2</v>
      </c>
      <c r="BJ284">
        <v>0.53036844643066661</v>
      </c>
    </row>
    <row r="285" spans="1:62" x14ac:dyDescent="0.3">
      <c r="A285" t="s">
        <v>46</v>
      </c>
      <c r="B285" s="12" t="s">
        <v>722</v>
      </c>
      <c r="C285" s="12"/>
      <c r="F285">
        <v>3.9</v>
      </c>
      <c r="G285" t="s">
        <v>229</v>
      </c>
      <c r="H285" s="11" t="s">
        <v>551</v>
      </c>
      <c r="I285" t="s">
        <v>629</v>
      </c>
      <c r="L285" s="20">
        <v>2</v>
      </c>
      <c r="M285">
        <v>4</v>
      </c>
      <c r="N285">
        <v>0</v>
      </c>
      <c r="T285" s="20">
        <v>7.41544296</v>
      </c>
      <c r="U285" s="20">
        <v>7.4154429599999991</v>
      </c>
      <c r="V285" s="20">
        <v>7.41544296</v>
      </c>
      <c r="W285">
        <v>7.8</v>
      </c>
      <c r="X285">
        <v>13.010999999999999</v>
      </c>
      <c r="Y285">
        <v>5.5460000000000003</v>
      </c>
      <c r="Z285">
        <v>0</v>
      </c>
      <c r="AD285">
        <v>14</v>
      </c>
      <c r="AE285" s="44">
        <f t="shared" si="16"/>
        <v>0</v>
      </c>
      <c r="AF285" s="46">
        <v>288.33429290182369</v>
      </c>
      <c r="AG285" s="44">
        <v>556.51188553357167</v>
      </c>
      <c r="AH285" s="44">
        <v>0</v>
      </c>
      <c r="AJ285" s="40">
        <v>9.7109503410799117E-2</v>
      </c>
      <c r="AK285" s="41">
        <v>0.10062678166578309</v>
      </c>
      <c r="AM285" s="23">
        <v>2</v>
      </c>
      <c r="AN285" s="23">
        <v>2.545454545454545</v>
      </c>
      <c r="AO285" s="23">
        <v>0.54545454545454541</v>
      </c>
      <c r="AP285" s="23">
        <v>0</v>
      </c>
      <c r="AQ285" s="23">
        <v>0.39285714285714279</v>
      </c>
      <c r="AR285" s="23">
        <v>0.5</v>
      </c>
      <c r="AS285" s="23">
        <v>0.1071428571428571</v>
      </c>
      <c r="AT285" s="23">
        <v>0</v>
      </c>
      <c r="AU285" s="20">
        <v>1.1000000000000001</v>
      </c>
      <c r="AV285" s="20">
        <v>3.44</v>
      </c>
      <c r="AW285" s="20">
        <v>2.34</v>
      </c>
      <c r="AX285" s="20">
        <v>2.669090909090909</v>
      </c>
      <c r="AY285">
        <v>2.669090909090909</v>
      </c>
      <c r="AZ285">
        <v>5.9831974772727277</v>
      </c>
      <c r="BA285" s="64">
        <v>0.52442413903612473</v>
      </c>
      <c r="BB285" s="64">
        <v>0.54341863036636606</v>
      </c>
      <c r="BE285">
        <v>4.8554751705399558E-2</v>
      </c>
      <c r="BF285">
        <v>5.0313390832891547E-2</v>
      </c>
      <c r="BH285">
        <v>9.8868142538291098E-2</v>
      </c>
      <c r="BI285">
        <v>4.9434071269145549E-2</v>
      </c>
      <c r="BJ285">
        <v>0.53392138470124539</v>
      </c>
    </row>
    <row r="286" spans="1:62" x14ac:dyDescent="0.3">
      <c r="A286" t="s">
        <v>46</v>
      </c>
      <c r="B286" s="12" t="s">
        <v>722</v>
      </c>
      <c r="C286" s="12"/>
      <c r="D286" t="s">
        <v>890</v>
      </c>
      <c r="E286">
        <v>0.42</v>
      </c>
      <c r="F286">
        <v>3.78</v>
      </c>
      <c r="G286" t="s">
        <v>229</v>
      </c>
      <c r="H286" s="11" t="s">
        <v>551</v>
      </c>
      <c r="I286" t="s">
        <v>629</v>
      </c>
      <c r="L286" s="20">
        <v>2</v>
      </c>
      <c r="M286">
        <v>4</v>
      </c>
      <c r="N286">
        <v>0</v>
      </c>
      <c r="T286" s="20">
        <v>7.41544296</v>
      </c>
      <c r="U286" s="20">
        <v>7.4154429599999991</v>
      </c>
      <c r="V286" s="20">
        <v>7.41544296</v>
      </c>
      <c r="W286">
        <v>7.8</v>
      </c>
      <c r="X286">
        <v>13.010999999999999</v>
      </c>
      <c r="Y286">
        <v>5.5460000000000003</v>
      </c>
      <c r="Z286">
        <v>0</v>
      </c>
      <c r="AD286">
        <v>14</v>
      </c>
      <c r="AE286" s="44">
        <f t="shared" si="16"/>
        <v>0</v>
      </c>
      <c r="AF286" s="46">
        <v>288.33429290182369</v>
      </c>
      <c r="AG286" s="44">
        <v>556.51188553357167</v>
      </c>
      <c r="AH286" s="44">
        <v>0</v>
      </c>
      <c r="AJ286" s="40">
        <v>9.7109503410799117E-2</v>
      </c>
      <c r="AK286" s="41">
        <v>0.10062678166578309</v>
      </c>
      <c r="AM286" s="23">
        <v>2</v>
      </c>
      <c r="AN286" s="23">
        <v>2.545454545454545</v>
      </c>
      <c r="AO286" s="23">
        <v>0.54545454545454541</v>
      </c>
      <c r="AP286" s="23">
        <v>0</v>
      </c>
      <c r="AQ286" s="23">
        <v>0.39285714285714279</v>
      </c>
      <c r="AR286" s="23">
        <v>0.5</v>
      </c>
      <c r="AS286" s="23">
        <v>0.1071428571428571</v>
      </c>
      <c r="AT286" s="23">
        <v>0</v>
      </c>
      <c r="AU286" s="20">
        <v>1.1000000000000001</v>
      </c>
      <c r="AV286" s="20">
        <v>3.44</v>
      </c>
      <c r="AW286" s="20">
        <v>2.34</v>
      </c>
      <c r="AX286" s="20">
        <v>2.669090909090909</v>
      </c>
      <c r="AY286">
        <v>2.669090909090909</v>
      </c>
      <c r="AZ286">
        <v>5.9831974772727277</v>
      </c>
      <c r="BA286" s="64">
        <v>0.52442413903612473</v>
      </c>
      <c r="BB286" s="64">
        <v>0.54341863036636606</v>
      </c>
      <c r="BE286">
        <v>4.8554751705399558E-2</v>
      </c>
      <c r="BF286">
        <v>5.0313390832891547E-2</v>
      </c>
      <c r="BH286">
        <v>9.8868142538291098E-2</v>
      </c>
      <c r="BI286">
        <v>4.9434071269145549E-2</v>
      </c>
      <c r="BJ286">
        <v>0.53392138470124539</v>
      </c>
    </row>
    <row r="287" spans="1:62" x14ac:dyDescent="0.3">
      <c r="A287" t="s">
        <v>44</v>
      </c>
      <c r="B287" s="12" t="s">
        <v>720</v>
      </c>
      <c r="C287" s="12"/>
      <c r="F287">
        <v>3.5</v>
      </c>
      <c r="G287" s="6" t="s">
        <v>230</v>
      </c>
      <c r="H287" s="11" t="s">
        <v>549</v>
      </c>
      <c r="I287">
        <v>-1</v>
      </c>
      <c r="K287" s="6"/>
      <c r="L287" s="20">
        <v>1</v>
      </c>
      <c r="M287">
        <v>0</v>
      </c>
      <c r="N287">
        <v>0</v>
      </c>
      <c r="T287" s="20">
        <v>15.28115725</v>
      </c>
      <c r="U287" s="20">
        <v>15.28115725</v>
      </c>
      <c r="V287" s="20">
        <v>15.28115725</v>
      </c>
      <c r="W287">
        <v>0</v>
      </c>
      <c r="Z287">
        <v>0</v>
      </c>
      <c r="AD287">
        <v>20</v>
      </c>
      <c r="AE287" s="44">
        <f t="shared" si="16"/>
        <v>0</v>
      </c>
      <c r="AF287" s="46">
        <v>229.90248606119221</v>
      </c>
      <c r="AG287" s="44">
        <v>0</v>
      </c>
      <c r="AH287" s="44">
        <v>0</v>
      </c>
      <c r="AJ287" s="40">
        <v>8.6993404650164072E-2</v>
      </c>
      <c r="AM287" s="23">
        <v>1.882352941176471</v>
      </c>
      <c r="AN287" s="23">
        <v>2.3529411764705879</v>
      </c>
      <c r="AO287" s="23">
        <v>0.47058823529411759</v>
      </c>
      <c r="AP287" s="23">
        <v>0</v>
      </c>
      <c r="AQ287" s="23">
        <v>0.4</v>
      </c>
      <c r="AR287" s="23">
        <v>0.5</v>
      </c>
      <c r="AS287" s="23">
        <v>9.9999999999999992E-2</v>
      </c>
      <c r="AT287" s="23">
        <v>0</v>
      </c>
      <c r="AU287" s="20">
        <v>0.82</v>
      </c>
      <c r="AV287" s="20">
        <v>3.44</v>
      </c>
      <c r="AW287" s="20">
        <v>2.62</v>
      </c>
      <c r="AX287" s="20">
        <v>2.5211764705882351</v>
      </c>
      <c r="AY287">
        <v>2.521176470588236</v>
      </c>
      <c r="AZ287">
        <v>5.6898745917647062</v>
      </c>
      <c r="BA287" s="64">
        <v>0.57369840599679445</v>
      </c>
      <c r="BE287">
        <v>4.3496702325082043E-2</v>
      </c>
      <c r="BH287">
        <v>8.6993404650164072E-2</v>
      </c>
      <c r="BI287">
        <v>4.3496702325082043E-2</v>
      </c>
      <c r="BJ287">
        <v>0.57369840599679445</v>
      </c>
    </row>
    <row r="288" spans="1:62" x14ac:dyDescent="0.3">
      <c r="A288" t="s">
        <v>44</v>
      </c>
      <c r="B288" s="12" t="s">
        <v>720</v>
      </c>
      <c r="C288" s="12"/>
      <c r="D288" t="s">
        <v>875</v>
      </c>
      <c r="E288" t="s">
        <v>1067</v>
      </c>
      <c r="F288">
        <v>3.06</v>
      </c>
      <c r="G288" s="6" t="s">
        <v>230</v>
      </c>
      <c r="H288" s="11" t="s">
        <v>549</v>
      </c>
      <c r="I288">
        <v>-1</v>
      </c>
      <c r="K288" s="6"/>
      <c r="L288" s="20">
        <v>1</v>
      </c>
      <c r="M288">
        <v>0</v>
      </c>
      <c r="N288">
        <v>0</v>
      </c>
      <c r="T288" s="20">
        <v>15.28115725</v>
      </c>
      <c r="U288" s="20">
        <v>15.28115725</v>
      </c>
      <c r="V288" s="20">
        <v>15.28115725</v>
      </c>
      <c r="W288">
        <v>0</v>
      </c>
      <c r="Z288">
        <v>0</v>
      </c>
      <c r="AD288">
        <v>20</v>
      </c>
      <c r="AE288" s="44">
        <f t="shared" si="16"/>
        <v>0</v>
      </c>
      <c r="AF288" s="46">
        <v>229.90248606119221</v>
      </c>
      <c r="AG288" s="44">
        <v>0</v>
      </c>
      <c r="AH288" s="44">
        <v>0</v>
      </c>
      <c r="AJ288" s="40">
        <v>8.6993404650164072E-2</v>
      </c>
      <c r="AM288" s="23">
        <v>1.882352941176471</v>
      </c>
      <c r="AN288" s="23">
        <v>2.3529411764705879</v>
      </c>
      <c r="AO288" s="23">
        <v>0.47058823529411759</v>
      </c>
      <c r="AP288" s="23">
        <v>0</v>
      </c>
      <c r="AQ288" s="23">
        <v>0.4</v>
      </c>
      <c r="AR288" s="23">
        <v>0.5</v>
      </c>
      <c r="AS288" s="23">
        <v>9.9999999999999992E-2</v>
      </c>
      <c r="AT288" s="23">
        <v>0</v>
      </c>
      <c r="AU288" s="20">
        <v>0.82</v>
      </c>
      <c r="AV288" s="20">
        <v>3.44</v>
      </c>
      <c r="AW288" s="20">
        <v>2.62</v>
      </c>
      <c r="AX288" s="20">
        <v>2.5211764705882351</v>
      </c>
      <c r="AY288">
        <v>2.521176470588236</v>
      </c>
      <c r="AZ288">
        <v>5.6898745917647062</v>
      </c>
      <c r="BA288" s="64">
        <v>0.57369840599679445</v>
      </c>
      <c r="BE288">
        <v>4.3496702325082043E-2</v>
      </c>
      <c r="BH288">
        <v>8.6993404650164072E-2</v>
      </c>
      <c r="BI288">
        <v>4.3496702325082043E-2</v>
      </c>
      <c r="BJ288">
        <v>0.57369840599679445</v>
      </c>
    </row>
    <row r="289" spans="1:62" x14ac:dyDescent="0.3">
      <c r="A289" t="s">
        <v>8</v>
      </c>
      <c r="B289" s="12" t="s">
        <v>694</v>
      </c>
      <c r="C289" s="12"/>
      <c r="F289">
        <v>3.26</v>
      </c>
      <c r="G289" t="s">
        <v>231</v>
      </c>
      <c r="H289" s="8" t="s">
        <v>530</v>
      </c>
      <c r="I289" t="s">
        <v>612</v>
      </c>
      <c r="L289" s="20">
        <v>30</v>
      </c>
      <c r="M289">
        <v>4</v>
      </c>
      <c r="N289">
        <v>0</v>
      </c>
      <c r="T289" s="20">
        <v>10.59112378</v>
      </c>
      <c r="U289" s="20">
        <v>10.784736629999999</v>
      </c>
      <c r="V289" s="20">
        <v>10.486176179999999</v>
      </c>
      <c r="W289">
        <v>3.73</v>
      </c>
      <c r="X289">
        <v>3.73</v>
      </c>
      <c r="Y289">
        <v>9.3699999999999992</v>
      </c>
      <c r="Z289">
        <v>0</v>
      </c>
      <c r="AD289">
        <v>4</v>
      </c>
      <c r="AE289" s="44">
        <f t="shared" si="16"/>
        <v>0</v>
      </c>
      <c r="AF289" s="46">
        <v>1182.741260108548</v>
      </c>
      <c r="AG289" s="44">
        <v>130.36387300000001</v>
      </c>
      <c r="AH289" s="44">
        <v>0</v>
      </c>
      <c r="AJ289" s="40">
        <v>0.1014592151701775</v>
      </c>
      <c r="AK289" s="41">
        <v>0.1227333894874388</v>
      </c>
      <c r="AM289" s="23">
        <v>2</v>
      </c>
      <c r="AN289" s="23">
        <v>2.666666666666667</v>
      </c>
      <c r="AO289" s="23">
        <v>0.66666666666666663</v>
      </c>
      <c r="AP289" s="23">
        <v>0</v>
      </c>
      <c r="AQ289" s="23">
        <v>0.375</v>
      </c>
      <c r="AR289" s="23">
        <v>0.5</v>
      </c>
      <c r="AS289" s="23">
        <v>0.125</v>
      </c>
      <c r="AT289" s="23">
        <v>0</v>
      </c>
      <c r="AU289" s="20">
        <v>1.54</v>
      </c>
      <c r="AV289" s="20">
        <v>3.44</v>
      </c>
      <c r="AW289" s="20">
        <v>1.9</v>
      </c>
      <c r="AX289" s="20">
        <v>2.8066666666666671</v>
      </c>
      <c r="AY289">
        <v>2.8066666666666662</v>
      </c>
      <c r="AZ289">
        <v>6.1769976</v>
      </c>
      <c r="BA289" s="64">
        <v>0.46900407026869628</v>
      </c>
      <c r="BB289" s="64">
        <v>0.56734579634715776</v>
      </c>
      <c r="BE289">
        <v>5.072960758508873E-2</v>
      </c>
      <c r="BF289">
        <v>6.136669474371937E-2</v>
      </c>
      <c r="BH289">
        <v>0.1120963023288082</v>
      </c>
      <c r="BI289">
        <v>5.604815116440405E-2</v>
      </c>
      <c r="BJ289">
        <v>0.51817493330792708</v>
      </c>
    </row>
    <row r="290" spans="1:62" x14ac:dyDescent="0.3">
      <c r="A290" t="s">
        <v>153</v>
      </c>
      <c r="B290" s="12" t="s">
        <v>775</v>
      </c>
      <c r="C290" s="12"/>
      <c r="F290">
        <v>3.1</v>
      </c>
      <c r="G290" t="s">
        <v>231</v>
      </c>
      <c r="H290" s="8" t="s">
        <v>578</v>
      </c>
      <c r="I290">
        <v>-1</v>
      </c>
      <c r="L290" s="20">
        <v>1</v>
      </c>
      <c r="M290">
        <v>0</v>
      </c>
      <c r="N290">
        <v>0</v>
      </c>
      <c r="T290" s="20">
        <v>3.9263319999999999</v>
      </c>
      <c r="U290" s="20">
        <v>3.9263319999999999</v>
      </c>
      <c r="V290" s="20">
        <v>10.74639</v>
      </c>
      <c r="W290">
        <v>0</v>
      </c>
      <c r="Z290">
        <v>0</v>
      </c>
      <c r="AD290">
        <v>14</v>
      </c>
      <c r="AE290" s="44">
        <f t="shared" si="16"/>
        <v>0</v>
      </c>
      <c r="AF290" s="46">
        <v>165.66723991337099</v>
      </c>
      <c r="AG290" s="44">
        <v>0</v>
      </c>
      <c r="AH290" s="44">
        <v>0</v>
      </c>
      <c r="AJ290" s="40">
        <v>8.4506749839743392E-2</v>
      </c>
      <c r="AM290" s="23">
        <v>1.7272727272727271</v>
      </c>
      <c r="AN290" s="23">
        <v>2.545454545454545</v>
      </c>
      <c r="AO290" s="23">
        <v>0.81818181818181823</v>
      </c>
      <c r="AP290" s="23">
        <v>0</v>
      </c>
      <c r="AQ290" s="23">
        <v>0.3392857142857143</v>
      </c>
      <c r="AR290" s="23">
        <v>0.5</v>
      </c>
      <c r="AS290" s="23">
        <v>0.1607142857142857</v>
      </c>
      <c r="AT290" s="23">
        <v>0</v>
      </c>
      <c r="AU290" s="20">
        <v>1.1000000000000001</v>
      </c>
      <c r="AV290" s="20">
        <v>3.44</v>
      </c>
      <c r="AW290" s="20">
        <v>2.34</v>
      </c>
      <c r="AX290" s="20">
        <v>2.78</v>
      </c>
      <c r="AY290">
        <v>2.78</v>
      </c>
      <c r="AZ290">
        <v>6.4270052227137269</v>
      </c>
      <c r="BA290" s="64">
        <v>0.41874886813759421</v>
      </c>
      <c r="BE290">
        <v>4.2253374919871717E-2</v>
      </c>
      <c r="BH290">
        <v>8.4506749839743392E-2</v>
      </c>
      <c r="BI290">
        <v>4.2253374919871717E-2</v>
      </c>
      <c r="BJ290">
        <v>0.41874886813759421</v>
      </c>
    </row>
    <row r="291" spans="1:62" x14ac:dyDescent="0.3">
      <c r="A291" t="s">
        <v>153</v>
      </c>
      <c r="B291" s="12" t="s">
        <v>775</v>
      </c>
      <c r="C291" s="12"/>
      <c r="D291" t="s">
        <v>863</v>
      </c>
      <c r="E291">
        <v>0.8</v>
      </c>
      <c r="F291">
        <v>3.1</v>
      </c>
      <c r="G291" t="s">
        <v>231</v>
      </c>
      <c r="H291" s="8" t="s">
        <v>578</v>
      </c>
      <c r="I291">
        <v>-1</v>
      </c>
      <c r="L291" s="20">
        <v>1</v>
      </c>
      <c r="M291">
        <v>0</v>
      </c>
      <c r="N291">
        <v>0</v>
      </c>
      <c r="T291" s="20">
        <v>3.9263319999999999</v>
      </c>
      <c r="U291" s="20">
        <v>3.9263319999999999</v>
      </c>
      <c r="V291" s="20">
        <v>10.74639</v>
      </c>
      <c r="W291">
        <v>0</v>
      </c>
      <c r="Z291">
        <v>0</v>
      </c>
      <c r="AD291">
        <v>14</v>
      </c>
      <c r="AE291" s="44">
        <f t="shared" si="16"/>
        <v>0</v>
      </c>
      <c r="AF291" s="46">
        <v>165.66723991337099</v>
      </c>
      <c r="AG291" s="44">
        <v>0</v>
      </c>
      <c r="AH291" s="44">
        <v>0</v>
      </c>
      <c r="AJ291" s="40">
        <v>8.4506749839743392E-2</v>
      </c>
      <c r="AM291" s="23">
        <v>1.7272727272727271</v>
      </c>
      <c r="AN291" s="23">
        <v>2.545454545454545</v>
      </c>
      <c r="AO291" s="23">
        <v>0.81818181818181823</v>
      </c>
      <c r="AP291" s="23">
        <v>0</v>
      </c>
      <c r="AQ291" s="23">
        <v>0.3392857142857143</v>
      </c>
      <c r="AR291" s="23">
        <v>0.5</v>
      </c>
      <c r="AS291" s="23">
        <v>0.1607142857142857</v>
      </c>
      <c r="AT291" s="23">
        <v>0</v>
      </c>
      <c r="AU291" s="20">
        <v>1.1000000000000001</v>
      </c>
      <c r="AV291" s="20">
        <v>3.44</v>
      </c>
      <c r="AW291" s="20">
        <v>2.34</v>
      </c>
      <c r="AX291" s="20">
        <v>2.78</v>
      </c>
      <c r="AY291">
        <v>2.78</v>
      </c>
      <c r="AZ291">
        <v>6.4270052227137269</v>
      </c>
      <c r="BA291" s="64">
        <v>0.41874886813759421</v>
      </c>
      <c r="BE291">
        <v>4.2253374919871717E-2</v>
      </c>
      <c r="BH291">
        <v>8.4506749839743392E-2</v>
      </c>
      <c r="BI291">
        <v>4.2253374919871717E-2</v>
      </c>
      <c r="BJ291">
        <v>0.41874886813759421</v>
      </c>
    </row>
    <row r="292" spans="1:62" x14ac:dyDescent="0.3">
      <c r="A292" t="s">
        <v>153</v>
      </c>
      <c r="B292" s="12" t="s">
        <v>775</v>
      </c>
      <c r="C292" s="12"/>
      <c r="D292" t="s">
        <v>8</v>
      </c>
      <c r="E292">
        <v>4.3</v>
      </c>
      <c r="F292">
        <v>3.1</v>
      </c>
      <c r="G292" t="s">
        <v>231</v>
      </c>
      <c r="H292" s="8" t="s">
        <v>578</v>
      </c>
      <c r="I292">
        <v>-1</v>
      </c>
      <c r="L292" s="20">
        <v>1</v>
      </c>
      <c r="M292">
        <v>0</v>
      </c>
      <c r="N292">
        <v>0</v>
      </c>
      <c r="T292" s="20">
        <v>3.9263319999999999</v>
      </c>
      <c r="U292" s="20">
        <v>3.9263319999999999</v>
      </c>
      <c r="V292" s="20">
        <v>10.74639</v>
      </c>
      <c r="W292">
        <v>0</v>
      </c>
      <c r="Z292">
        <v>0</v>
      </c>
      <c r="AD292">
        <v>14</v>
      </c>
      <c r="AE292" s="44">
        <f t="shared" si="16"/>
        <v>0</v>
      </c>
      <c r="AF292" s="46">
        <v>165.66723991337099</v>
      </c>
      <c r="AG292" s="44">
        <v>0</v>
      </c>
      <c r="AH292" s="44">
        <v>0</v>
      </c>
      <c r="AJ292" s="40">
        <v>8.4506749839743392E-2</v>
      </c>
      <c r="AM292" s="23">
        <v>1.7272727272727271</v>
      </c>
      <c r="AN292" s="23">
        <v>2.545454545454545</v>
      </c>
      <c r="AO292" s="23">
        <v>0.81818181818181823</v>
      </c>
      <c r="AP292" s="23">
        <v>0</v>
      </c>
      <c r="AQ292" s="23">
        <v>0.3392857142857143</v>
      </c>
      <c r="AR292" s="23">
        <v>0.5</v>
      </c>
      <c r="AS292" s="23">
        <v>0.1607142857142857</v>
      </c>
      <c r="AT292" s="23">
        <v>0</v>
      </c>
      <c r="AU292" s="20">
        <v>1.1000000000000001</v>
      </c>
      <c r="AV292" s="20">
        <v>3.44</v>
      </c>
      <c r="AW292" s="20">
        <v>2.34</v>
      </c>
      <c r="AX292" s="20">
        <v>2.78</v>
      </c>
      <c r="AY292">
        <v>2.78</v>
      </c>
      <c r="AZ292">
        <v>6.4270052227137269</v>
      </c>
      <c r="BA292" s="64">
        <v>0.41874886813759421</v>
      </c>
      <c r="BE292">
        <v>4.2253374919871717E-2</v>
      </c>
      <c r="BH292">
        <v>8.4506749839743392E-2</v>
      </c>
      <c r="BI292">
        <v>4.2253374919871717E-2</v>
      </c>
      <c r="BJ292">
        <v>0.41874886813759421</v>
      </c>
    </row>
    <row r="293" spans="1:62" x14ac:dyDescent="0.3">
      <c r="A293" t="s">
        <v>63</v>
      </c>
      <c r="B293" s="12" t="s">
        <v>773</v>
      </c>
      <c r="C293" s="12"/>
      <c r="F293">
        <v>3.66</v>
      </c>
      <c r="G293" t="s">
        <v>233</v>
      </c>
      <c r="H293" s="8">
        <v>-1</v>
      </c>
      <c r="I293">
        <v>-1</v>
      </c>
      <c r="K293">
        <v>1</v>
      </c>
      <c r="L293" s="20">
        <v>0</v>
      </c>
      <c r="M293">
        <v>0</v>
      </c>
      <c r="N293">
        <v>0</v>
      </c>
      <c r="O293">
        <v>3.85</v>
      </c>
      <c r="P293">
        <v>3.85</v>
      </c>
      <c r="Q293">
        <v>14.379</v>
      </c>
      <c r="T293" s="20">
        <v>0</v>
      </c>
      <c r="U293" s="20"/>
      <c r="V293" s="20"/>
      <c r="W293">
        <v>0</v>
      </c>
      <c r="Z293">
        <v>0</v>
      </c>
      <c r="AD293">
        <v>20</v>
      </c>
      <c r="AE293" s="44">
        <f t="shared" si="16"/>
        <v>213.13272750000002</v>
      </c>
      <c r="AF293" s="46">
        <v>0</v>
      </c>
      <c r="AG293" s="44">
        <v>0</v>
      </c>
      <c r="AH293" s="44">
        <v>0</v>
      </c>
      <c r="AI293" s="41">
        <f t="shared" ref="AI293:AI296" si="18">K293*AD293/AE293</f>
        <v>9.3838239835784945E-2</v>
      </c>
      <c r="AJ293" s="40"/>
      <c r="AM293" s="23">
        <v>1.75</v>
      </c>
      <c r="AN293" s="23">
        <v>2.5</v>
      </c>
      <c r="AO293" s="23">
        <v>0.75</v>
      </c>
      <c r="AP293" s="23">
        <v>0</v>
      </c>
      <c r="AQ293" s="23">
        <v>0.35</v>
      </c>
      <c r="AR293" s="23">
        <v>0.5</v>
      </c>
      <c r="AS293" s="23">
        <v>0.15</v>
      </c>
      <c r="AT293" s="23">
        <v>0</v>
      </c>
      <c r="AU293" s="20">
        <v>1</v>
      </c>
      <c r="AV293" s="20">
        <v>3.44</v>
      </c>
      <c r="AW293" s="20">
        <v>2.44</v>
      </c>
      <c r="AX293" s="20">
        <v>2.7124999999999999</v>
      </c>
      <c r="AY293">
        <v>2.7124999999999999</v>
      </c>
      <c r="AZ293">
        <v>6.264025610615688</v>
      </c>
      <c r="BD293">
        <v>4.6919119917892473E-2</v>
      </c>
      <c r="BH293">
        <v>9.3838239835784945E-2</v>
      </c>
      <c r="BI293">
        <v>4.6919119917892473E-2</v>
      </c>
      <c r="BJ293">
        <v>0</v>
      </c>
    </row>
    <row r="294" spans="1:62" x14ac:dyDescent="0.3">
      <c r="A294" t="s">
        <v>232</v>
      </c>
      <c r="B294" s="12" t="s">
        <v>809</v>
      </c>
      <c r="C294" s="12"/>
      <c r="F294">
        <v>3.65</v>
      </c>
      <c r="G294" t="s">
        <v>233</v>
      </c>
      <c r="H294" s="8">
        <v>-1</v>
      </c>
      <c r="I294">
        <v>-1</v>
      </c>
      <c r="K294">
        <v>1</v>
      </c>
      <c r="L294" s="20">
        <v>0</v>
      </c>
      <c r="M294">
        <v>0</v>
      </c>
      <c r="N294">
        <v>0</v>
      </c>
      <c r="O294" s="1">
        <v>3.85</v>
      </c>
      <c r="P294" s="1">
        <v>3.85</v>
      </c>
      <c r="Q294" s="1">
        <v>14.379</v>
      </c>
      <c r="T294" s="20">
        <v>0</v>
      </c>
      <c r="U294" s="20"/>
      <c r="V294" s="20"/>
      <c r="W294">
        <v>0</v>
      </c>
      <c r="Z294">
        <v>0</v>
      </c>
      <c r="AD294">
        <v>20</v>
      </c>
      <c r="AE294" s="44">
        <f t="shared" si="16"/>
        <v>213.13272750000002</v>
      </c>
      <c r="AF294" s="46">
        <v>0</v>
      </c>
      <c r="AG294" s="44">
        <v>0</v>
      </c>
      <c r="AH294" s="44">
        <v>0</v>
      </c>
      <c r="AI294" s="41">
        <f t="shared" si="18"/>
        <v>9.3838239835784945E-2</v>
      </c>
      <c r="AJ294" s="40"/>
      <c r="AM294" s="23">
        <v>1.8125</v>
      </c>
      <c r="AN294" s="23">
        <v>2.5</v>
      </c>
      <c r="AO294" s="23">
        <v>0.6875</v>
      </c>
      <c r="AP294" s="23">
        <v>0.875</v>
      </c>
      <c r="AQ294" s="23">
        <v>0.30851063829787229</v>
      </c>
      <c r="AR294" s="23">
        <v>0.42553191489361702</v>
      </c>
      <c r="AS294" s="23">
        <v>0.1170212765957447</v>
      </c>
      <c r="AT294" s="23">
        <v>0.14893617021276601</v>
      </c>
      <c r="AU294" s="20">
        <v>1</v>
      </c>
      <c r="AV294" s="20">
        <v>3.44</v>
      </c>
      <c r="AW294" s="20">
        <v>2.44</v>
      </c>
      <c r="AX294" s="20">
        <v>2.7062499999999998</v>
      </c>
      <c r="AY294">
        <v>2.7062499999999998</v>
      </c>
      <c r="AZ294">
        <v>6.2701641731156874</v>
      </c>
      <c r="BD294">
        <v>4.6919119917892473E-2</v>
      </c>
      <c r="BH294">
        <v>9.3838239835784945E-2</v>
      </c>
      <c r="BI294">
        <v>4.6919119917892473E-2</v>
      </c>
      <c r="BJ294">
        <v>0</v>
      </c>
    </row>
    <row r="295" spans="1:62" x14ac:dyDescent="0.3">
      <c r="A295" t="s">
        <v>63</v>
      </c>
      <c r="B295" s="12" t="s">
        <v>773</v>
      </c>
      <c r="C295" s="12"/>
      <c r="D295" t="s">
        <v>887</v>
      </c>
      <c r="E295" t="s">
        <v>1067</v>
      </c>
      <c r="F295">
        <v>3.54</v>
      </c>
      <c r="G295" t="s">
        <v>233</v>
      </c>
      <c r="H295" s="8">
        <v>-1</v>
      </c>
      <c r="I295">
        <v>-1</v>
      </c>
      <c r="K295">
        <v>1</v>
      </c>
      <c r="L295" s="20">
        <v>0</v>
      </c>
      <c r="M295">
        <v>0</v>
      </c>
      <c r="N295">
        <v>0</v>
      </c>
      <c r="O295" s="1">
        <v>3.85</v>
      </c>
      <c r="P295" s="1">
        <v>3.85</v>
      </c>
      <c r="Q295" s="1">
        <v>14.379</v>
      </c>
      <c r="T295" s="20">
        <v>0</v>
      </c>
      <c r="U295" s="20"/>
      <c r="V295" s="20"/>
      <c r="W295">
        <v>0</v>
      </c>
      <c r="Z295">
        <v>0</v>
      </c>
      <c r="AD295">
        <v>20</v>
      </c>
      <c r="AE295" s="44">
        <f t="shared" si="16"/>
        <v>213.13272750000002</v>
      </c>
      <c r="AF295" s="46">
        <v>0</v>
      </c>
      <c r="AG295" s="44">
        <v>0</v>
      </c>
      <c r="AH295" s="44">
        <v>0</v>
      </c>
      <c r="AI295" s="41">
        <f t="shared" si="18"/>
        <v>9.3838239835784945E-2</v>
      </c>
      <c r="AJ295" s="40"/>
      <c r="AM295" s="23">
        <v>1.75</v>
      </c>
      <c r="AN295" s="23">
        <v>2.5</v>
      </c>
      <c r="AO295" s="23">
        <v>0.75</v>
      </c>
      <c r="AP295" s="23">
        <v>0</v>
      </c>
      <c r="AQ295" s="23">
        <v>0.35</v>
      </c>
      <c r="AR295" s="23">
        <v>0.5</v>
      </c>
      <c r="AS295" s="23">
        <v>0.15</v>
      </c>
      <c r="AT295" s="23">
        <v>0</v>
      </c>
      <c r="AU295" s="20">
        <v>1</v>
      </c>
      <c r="AV295" s="20">
        <v>3.44</v>
      </c>
      <c r="AW295" s="20">
        <v>2.44</v>
      </c>
      <c r="AX295" s="20">
        <v>2.7124999999999999</v>
      </c>
      <c r="AY295">
        <v>2.7124999999999999</v>
      </c>
      <c r="AZ295">
        <v>6.264025610615688</v>
      </c>
      <c r="BD295">
        <v>4.6919119917892473E-2</v>
      </c>
      <c r="BH295">
        <v>9.3838239835784945E-2</v>
      </c>
      <c r="BI295">
        <v>4.6919119917892473E-2</v>
      </c>
      <c r="BJ295">
        <v>0</v>
      </c>
    </row>
    <row r="296" spans="1:62" x14ac:dyDescent="0.3">
      <c r="A296" t="s">
        <v>232</v>
      </c>
      <c r="B296" s="12" t="s">
        <v>809</v>
      </c>
      <c r="C296" s="12"/>
      <c r="D296" t="s">
        <v>887</v>
      </c>
      <c r="E296" t="s">
        <v>1067</v>
      </c>
      <c r="F296">
        <v>3.54</v>
      </c>
      <c r="G296" t="s">
        <v>233</v>
      </c>
      <c r="H296" s="8">
        <v>-1</v>
      </c>
      <c r="I296">
        <v>-1</v>
      </c>
      <c r="K296">
        <v>1</v>
      </c>
      <c r="L296" s="20">
        <v>0</v>
      </c>
      <c r="M296">
        <v>0</v>
      </c>
      <c r="N296">
        <v>0</v>
      </c>
      <c r="O296" s="1">
        <v>3.85</v>
      </c>
      <c r="P296" s="1">
        <v>3.85</v>
      </c>
      <c r="Q296" s="1">
        <v>14.379</v>
      </c>
      <c r="T296" s="20">
        <v>0</v>
      </c>
      <c r="U296" s="20"/>
      <c r="V296" s="20"/>
      <c r="W296">
        <v>0</v>
      </c>
      <c r="Z296">
        <v>0</v>
      </c>
      <c r="AD296">
        <v>20</v>
      </c>
      <c r="AE296" s="44">
        <f t="shared" si="16"/>
        <v>213.13272750000002</v>
      </c>
      <c r="AF296" s="46">
        <v>0</v>
      </c>
      <c r="AG296" s="44">
        <v>0</v>
      </c>
      <c r="AH296" s="44">
        <v>0</v>
      </c>
      <c r="AI296" s="41">
        <f t="shared" si="18"/>
        <v>9.3838239835784945E-2</v>
      </c>
      <c r="AJ296" s="40"/>
      <c r="AM296" s="23">
        <v>1.8125</v>
      </c>
      <c r="AN296" s="23">
        <v>2.5</v>
      </c>
      <c r="AO296" s="23">
        <v>0.6875</v>
      </c>
      <c r="AP296" s="23">
        <v>0.875</v>
      </c>
      <c r="AQ296" s="23">
        <v>0.30851063829787229</v>
      </c>
      <c r="AR296" s="23">
        <v>0.42553191489361702</v>
      </c>
      <c r="AS296" s="23">
        <v>0.1170212765957447</v>
      </c>
      <c r="AT296" s="23">
        <v>0.14893617021276601</v>
      </c>
      <c r="AU296" s="20">
        <v>1</v>
      </c>
      <c r="AV296" s="20">
        <v>3.44</v>
      </c>
      <c r="AW296" s="20">
        <v>2.44</v>
      </c>
      <c r="AX296" s="20">
        <v>2.7062499999999998</v>
      </c>
      <c r="AY296">
        <v>2.7062499999999998</v>
      </c>
      <c r="AZ296">
        <v>6.2701641731156874</v>
      </c>
      <c r="BD296">
        <v>4.6919119917892473E-2</v>
      </c>
      <c r="BH296">
        <v>9.3838239835784945E-2</v>
      </c>
      <c r="BI296">
        <v>4.6919119917892473E-2</v>
      </c>
      <c r="BJ296">
        <v>0</v>
      </c>
    </row>
    <row r="297" spans="1:62" x14ac:dyDescent="0.3">
      <c r="A297" t="s">
        <v>46</v>
      </c>
      <c r="B297" s="12" t="s">
        <v>722</v>
      </c>
      <c r="C297" s="12"/>
      <c r="F297">
        <v>3.87</v>
      </c>
      <c r="G297" t="s">
        <v>234</v>
      </c>
      <c r="H297" s="8" t="s">
        <v>551</v>
      </c>
      <c r="I297" t="s">
        <v>629</v>
      </c>
      <c r="L297" s="20">
        <v>2</v>
      </c>
      <c r="M297">
        <v>4</v>
      </c>
      <c r="N297">
        <v>0</v>
      </c>
      <c r="T297" s="20">
        <v>7.41544296</v>
      </c>
      <c r="U297" s="20">
        <v>7.4154429599999991</v>
      </c>
      <c r="V297" s="20">
        <v>7.41544296</v>
      </c>
      <c r="W297">
        <v>7.8</v>
      </c>
      <c r="X297">
        <v>13.010999999999999</v>
      </c>
      <c r="Y297">
        <v>5.5460000000000003</v>
      </c>
      <c r="Z297">
        <v>0</v>
      </c>
      <c r="AD297">
        <v>14</v>
      </c>
      <c r="AE297" s="44">
        <f t="shared" si="16"/>
        <v>0</v>
      </c>
      <c r="AF297" s="46">
        <v>288.33429290182369</v>
      </c>
      <c r="AG297" s="44">
        <v>556.51188553357167</v>
      </c>
      <c r="AH297" s="44">
        <v>0</v>
      </c>
      <c r="AJ297" s="40">
        <v>9.7109503410799117E-2</v>
      </c>
      <c r="AK297" s="41">
        <v>0.10062678166578309</v>
      </c>
      <c r="AM297" s="23">
        <v>2</v>
      </c>
      <c r="AN297" s="23">
        <v>2.545454545454545</v>
      </c>
      <c r="AO297" s="23">
        <v>0.54545454545454541</v>
      </c>
      <c r="AP297" s="23">
        <v>0</v>
      </c>
      <c r="AQ297" s="23">
        <v>0.39285714285714279</v>
      </c>
      <c r="AR297" s="23">
        <v>0.5</v>
      </c>
      <c r="AS297" s="23">
        <v>0.1071428571428571</v>
      </c>
      <c r="AT297" s="23">
        <v>0</v>
      </c>
      <c r="AU297" s="20">
        <v>1.1000000000000001</v>
      </c>
      <c r="AV297" s="20">
        <v>3.44</v>
      </c>
      <c r="AW297" s="20">
        <v>2.34</v>
      </c>
      <c r="AX297" s="20">
        <v>2.669090909090909</v>
      </c>
      <c r="AY297">
        <v>2.669090909090909</v>
      </c>
      <c r="AZ297">
        <v>5.9831974772727277</v>
      </c>
      <c r="BA297" s="64">
        <v>0.52442413903612473</v>
      </c>
      <c r="BB297" s="64">
        <v>0.54341863036636606</v>
      </c>
      <c r="BE297">
        <v>4.8554751705399558E-2</v>
      </c>
      <c r="BF297">
        <v>5.0313390832891547E-2</v>
      </c>
      <c r="BH297">
        <v>9.8868142538291098E-2</v>
      </c>
      <c r="BI297">
        <v>4.9434071269145549E-2</v>
      </c>
      <c r="BJ297">
        <v>0.53392138470124539</v>
      </c>
    </row>
    <row r="298" spans="1:62" x14ac:dyDescent="0.3">
      <c r="A298" s="4" t="s">
        <v>19</v>
      </c>
      <c r="B298" s="28" t="s">
        <v>705</v>
      </c>
      <c r="C298" s="29"/>
      <c r="D298" s="4"/>
      <c r="E298" s="4"/>
      <c r="F298" s="4">
        <v>3.53</v>
      </c>
      <c r="G298" s="4" t="s">
        <v>235</v>
      </c>
      <c r="H298" s="30">
        <v>-2</v>
      </c>
      <c r="I298" s="4" t="s">
        <v>1167</v>
      </c>
      <c r="J298" s="4"/>
      <c r="K298" s="4"/>
      <c r="L298" s="31">
        <v>0</v>
      </c>
      <c r="M298">
        <v>0</v>
      </c>
      <c r="N298">
        <v>4</v>
      </c>
      <c r="O298" s="4"/>
      <c r="P298" s="4"/>
      <c r="Q298" s="4"/>
      <c r="R298" s="4" t="s">
        <v>450</v>
      </c>
      <c r="S298" s="4"/>
      <c r="T298" s="31">
        <v>0</v>
      </c>
      <c r="U298" s="31"/>
      <c r="V298" s="31"/>
      <c r="W298">
        <v>0</v>
      </c>
      <c r="Z298">
        <v>24.8627</v>
      </c>
      <c r="AA298">
        <v>5.4355000000000002</v>
      </c>
      <c r="AB298">
        <v>5.4478</v>
      </c>
      <c r="AC298" s="4"/>
      <c r="AD298" s="4">
        <v>18</v>
      </c>
      <c r="AE298" s="44">
        <f t="shared" si="16"/>
        <v>0</v>
      </c>
      <c r="AF298" s="46">
        <v>0</v>
      </c>
      <c r="AG298" s="44">
        <v>0</v>
      </c>
      <c r="AH298" s="44">
        <f t="shared" ref="AH298:AH303" si="19">Z298*AA298*AB298</f>
        <v>736.22226122963002</v>
      </c>
      <c r="AJ298" s="40"/>
      <c r="AL298" s="56">
        <f t="shared" ref="AL298:AL303" si="20">N298*AD298/AH298</f>
        <v>9.7796553828386576E-2</v>
      </c>
      <c r="AM298" s="4">
        <v>1.8666666666666669</v>
      </c>
      <c r="AN298" s="4">
        <v>2.8</v>
      </c>
      <c r="AO298" s="4">
        <v>1.8666666666666669</v>
      </c>
      <c r="AP298" s="4">
        <v>1.8666666666666669</v>
      </c>
      <c r="AQ298" s="4">
        <v>0.22222222222222221</v>
      </c>
      <c r="AR298" s="4">
        <v>0.33333333333333331</v>
      </c>
      <c r="AS298" s="4">
        <v>0.22222222222222221</v>
      </c>
      <c r="AT298" s="4">
        <v>0.22222222222222221</v>
      </c>
      <c r="AU298" s="31">
        <v>1</v>
      </c>
      <c r="AV298" s="31">
        <v>3.44</v>
      </c>
      <c r="AW298" s="31">
        <v>2.44</v>
      </c>
      <c r="AX298" s="31">
        <v>2.68</v>
      </c>
      <c r="AY298" s="4">
        <v>2.68</v>
      </c>
      <c r="AZ298" s="4">
        <v>5.9932041966666656</v>
      </c>
      <c r="BG298">
        <v>4.8898276914193288E-2</v>
      </c>
      <c r="BH298">
        <v>9.7796553828386576E-2</v>
      </c>
      <c r="BI298">
        <v>4.8898276914193288E-2</v>
      </c>
      <c r="BJ298">
        <v>0</v>
      </c>
    </row>
    <row r="299" spans="1:62" x14ac:dyDescent="0.3">
      <c r="A299" s="4" t="s">
        <v>20</v>
      </c>
      <c r="B299" s="28" t="s">
        <v>706</v>
      </c>
      <c r="C299" s="29"/>
      <c r="D299" s="4"/>
      <c r="E299" s="4"/>
      <c r="F299" s="4">
        <v>3.42</v>
      </c>
      <c r="G299" s="4" t="s">
        <v>235</v>
      </c>
      <c r="H299" s="30">
        <v>-2</v>
      </c>
      <c r="I299" s="4" t="s">
        <v>1168</v>
      </c>
      <c r="J299" s="4"/>
      <c r="K299" s="4"/>
      <c r="L299" s="31">
        <v>0</v>
      </c>
      <c r="M299">
        <v>0</v>
      </c>
      <c r="N299">
        <v>4</v>
      </c>
      <c r="O299" s="4"/>
      <c r="P299" s="4"/>
      <c r="Q299" s="4"/>
      <c r="R299" s="4" t="s">
        <v>450</v>
      </c>
      <c r="S299" s="4"/>
      <c r="T299" s="31">
        <v>0</v>
      </c>
      <c r="U299" s="31"/>
      <c r="V299" s="31"/>
      <c r="W299">
        <v>0</v>
      </c>
      <c r="Z299">
        <v>24.556999999999999</v>
      </c>
      <c r="AA299">
        <v>5.5289999999999999</v>
      </c>
      <c r="AB299">
        <v>5.5289999999999999</v>
      </c>
      <c r="AC299" s="4"/>
      <c r="AD299" s="4">
        <v>18</v>
      </c>
      <c r="AE299" s="44">
        <f t="shared" si="16"/>
        <v>0</v>
      </c>
      <c r="AF299" s="46">
        <v>0</v>
      </c>
      <c r="AG299" s="44">
        <v>0</v>
      </c>
      <c r="AH299" s="44">
        <f t="shared" si="19"/>
        <v>750.7035854369999</v>
      </c>
      <c r="AJ299" s="40"/>
      <c r="AL299" s="56">
        <f t="shared" si="20"/>
        <v>9.5910025470422294E-2</v>
      </c>
      <c r="AM299" s="4">
        <v>1.8666666666666669</v>
      </c>
      <c r="AN299" s="4">
        <v>2.8</v>
      </c>
      <c r="AO299" s="4">
        <v>1.8666666666666669</v>
      </c>
      <c r="AP299" s="4">
        <v>1.8666666666666669</v>
      </c>
      <c r="AQ299" s="4">
        <v>0.22222222222222221</v>
      </c>
      <c r="AR299" s="4">
        <v>0.33333333333333331</v>
      </c>
      <c r="AS299" s="4">
        <v>0.22222222222222221</v>
      </c>
      <c r="AT299" s="4">
        <v>0.22222222222222221</v>
      </c>
      <c r="AU299" s="31">
        <v>0.95</v>
      </c>
      <c r="AV299" s="31">
        <v>3.44</v>
      </c>
      <c r="AW299" s="31">
        <v>2.4900000000000002</v>
      </c>
      <c r="AX299" s="31">
        <v>2.6733333333333329</v>
      </c>
      <c r="AY299" s="4">
        <v>2.6733333333333329</v>
      </c>
      <c r="AZ299" s="4">
        <v>5.9671526619999993</v>
      </c>
      <c r="BG299">
        <v>4.7955012735211147E-2</v>
      </c>
      <c r="BH299">
        <v>9.5910025470422294E-2</v>
      </c>
      <c r="BI299">
        <v>4.7955012735211147E-2</v>
      </c>
      <c r="BJ299">
        <v>0</v>
      </c>
    </row>
    <row r="300" spans="1:62" x14ac:dyDescent="0.3">
      <c r="A300" s="4" t="s">
        <v>21</v>
      </c>
      <c r="B300" s="28" t="s">
        <v>707</v>
      </c>
      <c r="C300" s="29"/>
      <c r="D300" s="4"/>
      <c r="E300" s="4"/>
      <c r="F300" s="4">
        <v>2.82</v>
      </c>
      <c r="G300" s="4" t="s">
        <v>235</v>
      </c>
      <c r="H300" s="30">
        <v>-2</v>
      </c>
      <c r="I300" s="4" t="s">
        <v>1169</v>
      </c>
      <c r="J300" s="4"/>
      <c r="K300" s="4"/>
      <c r="L300" s="31">
        <v>0</v>
      </c>
      <c r="M300">
        <v>0</v>
      </c>
      <c r="N300">
        <v>4</v>
      </c>
      <c r="O300" s="4"/>
      <c r="P300" s="4"/>
      <c r="Q300" s="4"/>
      <c r="R300" s="4" t="s">
        <v>440</v>
      </c>
      <c r="S300" s="4"/>
      <c r="T300" s="31">
        <v>0</v>
      </c>
      <c r="U300" s="31"/>
      <c r="V300" s="31"/>
      <c r="W300">
        <v>0</v>
      </c>
      <c r="Z300">
        <v>25.574999999999999</v>
      </c>
      <c r="AA300">
        <v>5.5629999999999997</v>
      </c>
      <c r="AB300">
        <v>5.5629999999999997</v>
      </c>
      <c r="AC300" s="4"/>
      <c r="AD300" s="4">
        <v>18</v>
      </c>
      <c r="AE300" s="44">
        <f t="shared" si="16"/>
        <v>0</v>
      </c>
      <c r="AF300" s="46">
        <v>0</v>
      </c>
      <c r="AG300" s="44">
        <v>0</v>
      </c>
      <c r="AH300" s="44">
        <f t="shared" si="19"/>
        <v>791.4687321749999</v>
      </c>
      <c r="AJ300" s="40"/>
      <c r="AL300" s="56">
        <f t="shared" si="20"/>
        <v>9.0970112997565952E-2</v>
      </c>
      <c r="AM300" s="4">
        <v>1.8666666666666669</v>
      </c>
      <c r="AN300" s="4">
        <v>2.8</v>
      </c>
      <c r="AO300" s="4">
        <v>1.8666666666666669</v>
      </c>
      <c r="AP300" s="4">
        <v>1.8666666666666669</v>
      </c>
      <c r="AQ300" s="4">
        <v>0.22222222222222221</v>
      </c>
      <c r="AR300" s="4">
        <v>0.33333333333333331</v>
      </c>
      <c r="AS300" s="4">
        <v>0.22222222222222221</v>
      </c>
      <c r="AT300" s="4">
        <v>0.22222222222222221</v>
      </c>
      <c r="AU300" s="31">
        <v>0.89</v>
      </c>
      <c r="AV300" s="31">
        <v>3.44</v>
      </c>
      <c r="AW300" s="31">
        <v>2.5499999999999998</v>
      </c>
      <c r="AX300" s="31">
        <v>2.6653333333333342</v>
      </c>
      <c r="AY300" s="4">
        <v>2.6653333333333329</v>
      </c>
      <c r="AZ300" s="4">
        <v>5.9411098053333333</v>
      </c>
      <c r="BG300">
        <v>4.5485056498782983E-2</v>
      </c>
      <c r="BH300">
        <v>9.0970112997565952E-2</v>
      </c>
      <c r="BI300">
        <v>4.5485056498782983E-2</v>
      </c>
      <c r="BJ300">
        <v>0</v>
      </c>
    </row>
    <row r="301" spans="1:62" x14ac:dyDescent="0.3">
      <c r="A301" t="s">
        <v>19</v>
      </c>
      <c r="B301" s="27" t="s">
        <v>705</v>
      </c>
      <c r="C301" s="12"/>
      <c r="F301">
        <v>3.51</v>
      </c>
      <c r="G301" t="s">
        <v>235</v>
      </c>
      <c r="H301" s="8">
        <v>-1</v>
      </c>
      <c r="I301" t="s">
        <v>1167</v>
      </c>
      <c r="L301" s="20">
        <v>0</v>
      </c>
      <c r="M301">
        <v>0</v>
      </c>
      <c r="N301">
        <v>4</v>
      </c>
      <c r="R301" t="s">
        <v>450</v>
      </c>
      <c r="T301" s="20">
        <v>0</v>
      </c>
      <c r="U301" s="20"/>
      <c r="V301" s="20"/>
      <c r="W301">
        <v>0</v>
      </c>
      <c r="Z301">
        <v>24.8627</v>
      </c>
      <c r="AA301">
        <v>5.4355000000000002</v>
      </c>
      <c r="AB301">
        <v>5.4478</v>
      </c>
      <c r="AD301">
        <v>18</v>
      </c>
      <c r="AE301" s="44">
        <f t="shared" si="16"/>
        <v>0</v>
      </c>
      <c r="AF301" s="46">
        <v>0</v>
      </c>
      <c r="AG301" s="44">
        <v>0</v>
      </c>
      <c r="AH301" s="44">
        <f t="shared" si="19"/>
        <v>736.22226122963002</v>
      </c>
      <c r="AJ301" s="40"/>
      <c r="AL301" s="56">
        <f t="shared" si="20"/>
        <v>9.7796553828386576E-2</v>
      </c>
      <c r="AM301" s="23">
        <v>1.8666666666666669</v>
      </c>
      <c r="AN301" s="23">
        <v>2.8</v>
      </c>
      <c r="AO301" s="23">
        <v>1.8666666666666669</v>
      </c>
      <c r="AP301" s="23">
        <v>1.8666666666666669</v>
      </c>
      <c r="AQ301" s="23">
        <v>0.22222222222222221</v>
      </c>
      <c r="AR301" s="23">
        <v>0.33333333333333331</v>
      </c>
      <c r="AS301" s="23">
        <v>0.22222222222222221</v>
      </c>
      <c r="AT301" s="23">
        <v>0.22222222222222221</v>
      </c>
      <c r="AU301" s="20">
        <v>1</v>
      </c>
      <c r="AV301" s="20">
        <v>3.44</v>
      </c>
      <c r="AW301" s="20">
        <v>2.44</v>
      </c>
      <c r="AX301" s="20">
        <v>2.68</v>
      </c>
      <c r="AY301">
        <v>2.68</v>
      </c>
      <c r="AZ301">
        <v>5.9932041966666656</v>
      </c>
      <c r="BG301">
        <v>4.8898276914193288E-2</v>
      </c>
      <c r="BH301">
        <v>9.7796553828386576E-2</v>
      </c>
      <c r="BI301">
        <v>4.8898276914193288E-2</v>
      </c>
      <c r="BJ301">
        <v>0</v>
      </c>
    </row>
    <row r="302" spans="1:62" x14ac:dyDescent="0.3">
      <c r="A302" t="s">
        <v>20</v>
      </c>
      <c r="B302" s="27" t="s">
        <v>706</v>
      </c>
      <c r="C302" s="12"/>
      <c r="F302">
        <v>3.48</v>
      </c>
      <c r="G302" t="s">
        <v>235</v>
      </c>
      <c r="H302" s="8">
        <v>-1</v>
      </c>
      <c r="I302" t="s">
        <v>1168</v>
      </c>
      <c r="L302" s="20">
        <v>0</v>
      </c>
      <c r="M302">
        <v>0</v>
      </c>
      <c r="N302">
        <v>4</v>
      </c>
      <c r="R302" t="s">
        <v>450</v>
      </c>
      <c r="T302" s="20">
        <v>0</v>
      </c>
      <c r="U302" s="20"/>
      <c r="V302" s="20"/>
      <c r="W302">
        <v>0</v>
      </c>
      <c r="Z302">
        <v>24.556999999999999</v>
      </c>
      <c r="AA302">
        <v>5.5289999999999999</v>
      </c>
      <c r="AB302">
        <v>5.5289999999999999</v>
      </c>
      <c r="AD302">
        <v>18</v>
      </c>
      <c r="AE302" s="44">
        <f t="shared" si="16"/>
        <v>0</v>
      </c>
      <c r="AF302" s="46">
        <v>0</v>
      </c>
      <c r="AG302" s="44">
        <v>0</v>
      </c>
      <c r="AH302" s="44">
        <f t="shared" si="19"/>
        <v>750.7035854369999</v>
      </c>
      <c r="AJ302" s="40"/>
      <c r="AL302" s="56">
        <f t="shared" si="20"/>
        <v>9.5910025470422294E-2</v>
      </c>
      <c r="AM302" s="23">
        <v>1.8666666666666669</v>
      </c>
      <c r="AN302" s="23">
        <v>2.8</v>
      </c>
      <c r="AO302" s="23">
        <v>1.8666666666666669</v>
      </c>
      <c r="AP302" s="23">
        <v>1.8666666666666669</v>
      </c>
      <c r="AQ302" s="23">
        <v>0.22222222222222221</v>
      </c>
      <c r="AR302" s="23">
        <v>0.33333333333333331</v>
      </c>
      <c r="AS302" s="23">
        <v>0.22222222222222221</v>
      </c>
      <c r="AT302" s="23">
        <v>0.22222222222222221</v>
      </c>
      <c r="AU302" s="20">
        <v>0.95</v>
      </c>
      <c r="AV302" s="20">
        <v>3.44</v>
      </c>
      <c r="AW302" s="20">
        <v>2.4900000000000002</v>
      </c>
      <c r="AX302" s="20">
        <v>2.6733333333333329</v>
      </c>
      <c r="AY302">
        <v>2.6733333333333329</v>
      </c>
      <c r="AZ302">
        <v>5.9671526619999993</v>
      </c>
      <c r="BG302">
        <v>4.7955012735211147E-2</v>
      </c>
      <c r="BH302">
        <v>9.5910025470422294E-2</v>
      </c>
      <c r="BI302">
        <v>4.7955012735211147E-2</v>
      </c>
      <c r="BJ302">
        <v>0</v>
      </c>
    </row>
    <row r="303" spans="1:62" x14ac:dyDescent="0.3">
      <c r="A303" t="s">
        <v>21</v>
      </c>
      <c r="B303" s="27" t="s">
        <v>707</v>
      </c>
      <c r="C303" s="12"/>
      <c r="F303">
        <v>3.08</v>
      </c>
      <c r="G303" t="s">
        <v>235</v>
      </c>
      <c r="H303" s="8">
        <v>-1</v>
      </c>
      <c r="I303" t="s">
        <v>1169</v>
      </c>
      <c r="L303" s="20">
        <v>0</v>
      </c>
      <c r="M303">
        <v>0</v>
      </c>
      <c r="N303">
        <v>4</v>
      </c>
      <c r="R303" t="s">
        <v>440</v>
      </c>
      <c r="T303" s="20">
        <v>0</v>
      </c>
      <c r="U303" s="20"/>
      <c r="V303" s="20"/>
      <c r="W303">
        <v>0</v>
      </c>
      <c r="Z303">
        <v>25.574999999999999</v>
      </c>
      <c r="AA303">
        <v>5.5629999999999997</v>
      </c>
      <c r="AB303">
        <v>5.5629999999999997</v>
      </c>
      <c r="AD303">
        <v>18</v>
      </c>
      <c r="AE303" s="44">
        <f t="shared" si="16"/>
        <v>0</v>
      </c>
      <c r="AF303" s="46">
        <v>0</v>
      </c>
      <c r="AG303" s="44">
        <v>0</v>
      </c>
      <c r="AH303" s="44">
        <f t="shared" si="19"/>
        <v>791.4687321749999</v>
      </c>
      <c r="AJ303" s="40"/>
      <c r="AL303" s="56">
        <f t="shared" si="20"/>
        <v>9.0970112997565952E-2</v>
      </c>
      <c r="AM303" s="23">
        <v>1.8666666666666669</v>
      </c>
      <c r="AN303" s="23">
        <v>2.8</v>
      </c>
      <c r="AO303" s="23">
        <v>1.8666666666666669</v>
      </c>
      <c r="AP303" s="23">
        <v>1.8666666666666669</v>
      </c>
      <c r="AQ303" s="23">
        <v>0.22222222222222221</v>
      </c>
      <c r="AR303" s="23">
        <v>0.33333333333333331</v>
      </c>
      <c r="AS303" s="23">
        <v>0.22222222222222221</v>
      </c>
      <c r="AT303" s="23">
        <v>0.22222222222222221</v>
      </c>
      <c r="AU303" s="20">
        <v>0.89</v>
      </c>
      <c r="AV303" s="20">
        <v>3.44</v>
      </c>
      <c r="AW303" s="20">
        <v>2.5499999999999998</v>
      </c>
      <c r="AX303" s="20">
        <v>2.6653333333333342</v>
      </c>
      <c r="AY303">
        <v>2.6653333333333329</v>
      </c>
      <c r="AZ303">
        <v>5.9411098053333333</v>
      </c>
      <c r="BG303">
        <v>4.5485056498782983E-2</v>
      </c>
      <c r="BH303">
        <v>9.0970112997565952E-2</v>
      </c>
      <c r="BI303">
        <v>4.5485056498782983E-2</v>
      </c>
      <c r="BJ303">
        <v>0</v>
      </c>
    </row>
    <row r="304" spans="1:62" x14ac:dyDescent="0.3">
      <c r="A304" t="s">
        <v>236</v>
      </c>
      <c r="B304" s="12" t="s">
        <v>810</v>
      </c>
      <c r="C304" s="12"/>
      <c r="F304">
        <v>4.5999999999999996</v>
      </c>
      <c r="G304" t="s">
        <v>238</v>
      </c>
      <c r="H304" s="8" t="s">
        <v>586</v>
      </c>
      <c r="I304" t="s">
        <v>662</v>
      </c>
      <c r="L304" s="20">
        <v>8</v>
      </c>
      <c r="M304">
        <v>1</v>
      </c>
      <c r="N304">
        <v>0</v>
      </c>
      <c r="T304" s="20">
        <v>7.5714817599999993</v>
      </c>
      <c r="U304" s="20">
        <v>7.4441355800000002</v>
      </c>
      <c r="V304" s="20">
        <v>14.785262019999999</v>
      </c>
      <c r="W304">
        <v>10.442</v>
      </c>
      <c r="X304">
        <v>10.442</v>
      </c>
      <c r="Y304">
        <v>10.442</v>
      </c>
      <c r="Z304">
        <v>0</v>
      </c>
      <c r="AD304">
        <v>12</v>
      </c>
      <c r="AE304" s="44">
        <f t="shared" si="16"/>
        <v>0</v>
      </c>
      <c r="AF304" s="46">
        <v>583.54908217201648</v>
      </c>
      <c r="AG304" s="44">
        <v>1138.547270888</v>
      </c>
      <c r="AH304" s="44">
        <v>0</v>
      </c>
      <c r="AJ304" s="40">
        <v>0.1645105834845636</v>
      </c>
      <c r="AK304" s="41">
        <v>1.053974683953237E-2</v>
      </c>
      <c r="AM304" s="23">
        <v>1.8</v>
      </c>
      <c r="AN304" s="23">
        <v>2.4</v>
      </c>
      <c r="AO304" s="23">
        <v>0.6</v>
      </c>
      <c r="AP304" s="23">
        <v>2.8</v>
      </c>
      <c r="AQ304" s="23">
        <v>0.23684210526315791</v>
      </c>
      <c r="AR304" s="23">
        <v>0.31578947368421051</v>
      </c>
      <c r="AS304" s="23">
        <v>7.8947368421052627E-2</v>
      </c>
      <c r="AT304" s="23">
        <v>0.36842105263157893</v>
      </c>
      <c r="AU304" s="20">
        <v>0.93</v>
      </c>
      <c r="AV304" s="20">
        <v>3.44</v>
      </c>
      <c r="AW304" s="20">
        <v>2.5099999999999998</v>
      </c>
      <c r="AX304" s="20">
        <v>2.5499999999999998</v>
      </c>
      <c r="AY304">
        <v>2.5499999999999998</v>
      </c>
      <c r="AZ304">
        <v>5.8797175109999991</v>
      </c>
      <c r="BA304" s="64">
        <v>0.46150059156666667</v>
      </c>
      <c r="BE304">
        <v>8.2255291742281814E-2</v>
      </c>
      <c r="BF304">
        <v>5.2698734197661841E-3</v>
      </c>
      <c r="BH304">
        <v>8.7525165162047988E-2</v>
      </c>
      <c r="BI304">
        <v>4.3762582581024001E-2</v>
      </c>
      <c r="BJ304">
        <v>0.46150059156666667</v>
      </c>
    </row>
    <row r="305" spans="1:62" x14ac:dyDescent="0.3">
      <c r="A305" t="s">
        <v>237</v>
      </c>
      <c r="B305" s="12" t="s">
        <v>811</v>
      </c>
      <c r="C305" s="12"/>
      <c r="F305">
        <v>4.5</v>
      </c>
      <c r="G305" t="s">
        <v>238</v>
      </c>
      <c r="H305" s="8" t="s">
        <v>563</v>
      </c>
      <c r="I305">
        <v>-1</v>
      </c>
      <c r="L305" s="20">
        <v>1</v>
      </c>
      <c r="M305">
        <v>0</v>
      </c>
      <c r="N305">
        <v>0</v>
      </c>
      <c r="T305" s="20">
        <v>3.9948813699999999</v>
      </c>
      <c r="U305" s="20">
        <v>3.9948813699999999</v>
      </c>
      <c r="V305" s="20">
        <v>3.9948813699999999</v>
      </c>
      <c r="W305">
        <v>0</v>
      </c>
      <c r="Z305">
        <v>0</v>
      </c>
      <c r="AD305">
        <v>12</v>
      </c>
      <c r="AE305" s="44">
        <f t="shared" si="16"/>
        <v>0</v>
      </c>
      <c r="AF305" s="46">
        <v>63.754620030366901</v>
      </c>
      <c r="AG305" s="44">
        <v>0</v>
      </c>
      <c r="AH305" s="44">
        <v>0</v>
      </c>
      <c r="AJ305" s="40">
        <v>0.18822165349404149</v>
      </c>
      <c r="AM305" s="23">
        <v>1.8</v>
      </c>
      <c r="AN305" s="23">
        <v>2.4</v>
      </c>
      <c r="AO305" s="23">
        <v>0.6</v>
      </c>
      <c r="AP305" s="23">
        <v>2.8</v>
      </c>
      <c r="AQ305" s="23">
        <v>0.23684210526315791</v>
      </c>
      <c r="AR305" s="23">
        <v>0.31578947368421051</v>
      </c>
      <c r="AS305" s="23">
        <v>7.8947368421052627E-2</v>
      </c>
      <c r="AT305" s="23">
        <v>0.36842105263157893</v>
      </c>
      <c r="AU305" s="20">
        <v>0.82</v>
      </c>
      <c r="AV305" s="20">
        <v>3.44</v>
      </c>
      <c r="AW305" s="20">
        <v>2.62</v>
      </c>
      <c r="AX305" s="20">
        <v>2.528</v>
      </c>
      <c r="AY305">
        <v>2.528</v>
      </c>
      <c r="AZ305">
        <v>5.7952294759999994</v>
      </c>
      <c r="BA305" s="64">
        <v>0.65619545508850963</v>
      </c>
      <c r="BE305">
        <v>9.4110826747020773E-2</v>
      </c>
      <c r="BH305">
        <v>0.18822165349404149</v>
      </c>
      <c r="BI305">
        <v>9.4110826747020773E-2</v>
      </c>
      <c r="BJ305">
        <v>0.65619545508850963</v>
      </c>
    </row>
    <row r="306" spans="1:62" x14ac:dyDescent="0.3">
      <c r="A306" t="s">
        <v>239</v>
      </c>
      <c r="B306" s="12" t="s">
        <v>812</v>
      </c>
      <c r="C306" s="12"/>
      <c r="F306">
        <v>4.4000000000000004</v>
      </c>
      <c r="G306" t="s">
        <v>238</v>
      </c>
      <c r="H306" s="8" t="s">
        <v>590</v>
      </c>
      <c r="I306" t="s">
        <v>663</v>
      </c>
      <c r="L306" s="20">
        <v>16</v>
      </c>
      <c r="M306">
        <v>8</v>
      </c>
      <c r="N306">
        <v>0</v>
      </c>
      <c r="T306" s="20">
        <v>7.4248940299999999</v>
      </c>
      <c r="U306" s="20">
        <v>7.4248940300000008</v>
      </c>
      <c r="V306" s="20">
        <v>48.809404000000001</v>
      </c>
      <c r="W306">
        <v>10.37</v>
      </c>
      <c r="X306">
        <v>10.37</v>
      </c>
      <c r="Y306">
        <v>10.37</v>
      </c>
      <c r="Z306">
        <v>0</v>
      </c>
      <c r="AD306">
        <v>14</v>
      </c>
      <c r="AE306" s="44">
        <f t="shared" si="16"/>
        <v>0</v>
      </c>
      <c r="AF306" s="46">
        <v>2333.5692942103669</v>
      </c>
      <c r="AG306" s="44">
        <v>1115.157653</v>
      </c>
      <c r="AH306" s="44">
        <v>0</v>
      </c>
      <c r="AJ306" s="40">
        <v>9.5990292876988306E-2</v>
      </c>
      <c r="AK306" s="41">
        <v>0.10043422981378219</v>
      </c>
      <c r="AM306" s="23">
        <v>2</v>
      </c>
      <c r="AN306" s="23">
        <v>2.545454545454545</v>
      </c>
      <c r="AO306" s="23">
        <v>0.54545454545454541</v>
      </c>
      <c r="AP306" s="23">
        <v>2.545454545454545</v>
      </c>
      <c r="AQ306" s="23">
        <v>0.26190476190476192</v>
      </c>
      <c r="AR306" s="23">
        <v>0.33333333333333331</v>
      </c>
      <c r="AS306" s="23">
        <v>7.1428571428571425E-2</v>
      </c>
      <c r="AT306" s="23">
        <v>0.33333333333333331</v>
      </c>
      <c r="AU306" s="20">
        <v>1</v>
      </c>
      <c r="AV306" s="20">
        <v>3.44</v>
      </c>
      <c r="AW306" s="20">
        <v>2.44</v>
      </c>
      <c r="AX306" s="20">
        <v>2.643636363636364</v>
      </c>
      <c r="AY306">
        <v>2.643636363636364</v>
      </c>
      <c r="AZ306">
        <v>6.0715871381818181</v>
      </c>
      <c r="BA306" s="64">
        <v>0.51451783825131059</v>
      </c>
      <c r="BB306" s="64">
        <v>0.53833779709834217</v>
      </c>
      <c r="BE306">
        <v>4.7995146438494153E-2</v>
      </c>
      <c r="BF306">
        <v>5.0217114906891097E-2</v>
      </c>
      <c r="BH306">
        <v>9.8212261345385243E-2</v>
      </c>
      <c r="BI306">
        <v>4.9106130672692622E-2</v>
      </c>
      <c r="BJ306">
        <v>0.52642781767482638</v>
      </c>
    </row>
    <row r="307" spans="1:62" x14ac:dyDescent="0.3">
      <c r="A307" t="s">
        <v>48</v>
      </c>
      <c r="B307" s="12" t="s">
        <v>724</v>
      </c>
      <c r="C307" s="12"/>
      <c r="F307">
        <v>4.0999999999999996</v>
      </c>
      <c r="G307" t="s">
        <v>238</v>
      </c>
      <c r="H307" s="8" t="s">
        <v>552</v>
      </c>
      <c r="I307" t="s">
        <v>630</v>
      </c>
      <c r="L307" s="20">
        <v>2</v>
      </c>
      <c r="M307">
        <v>8</v>
      </c>
      <c r="N307">
        <v>0</v>
      </c>
      <c r="T307" s="20">
        <v>7.4836094600000003</v>
      </c>
      <c r="U307" s="20">
        <v>7.4836094600000003</v>
      </c>
      <c r="V307" s="20">
        <v>7.4836094600000003</v>
      </c>
      <c r="W307">
        <v>10.34</v>
      </c>
      <c r="X307">
        <v>10.34</v>
      </c>
      <c r="Y307">
        <v>10.34</v>
      </c>
      <c r="Z307">
        <v>0</v>
      </c>
      <c r="AD307">
        <v>14</v>
      </c>
      <c r="AE307" s="44">
        <f t="shared" si="16"/>
        <v>0</v>
      </c>
      <c r="AF307" s="46">
        <v>296.35915518228359</v>
      </c>
      <c r="AG307" s="44">
        <v>1105.507304</v>
      </c>
      <c r="AH307" s="44">
        <v>0</v>
      </c>
      <c r="AJ307" s="40">
        <v>9.4479956196318104E-2</v>
      </c>
      <c r="AK307" s="41">
        <v>0.1013109543417363</v>
      </c>
      <c r="AM307" s="23">
        <v>1.8181818181818179</v>
      </c>
      <c r="AN307" s="23">
        <v>2.545454545454545</v>
      </c>
      <c r="AO307" s="23">
        <v>0.72727272727272729</v>
      </c>
      <c r="AP307" s="23">
        <v>0</v>
      </c>
      <c r="AQ307" s="23">
        <v>0.35714285714285721</v>
      </c>
      <c r="AR307" s="23">
        <v>0.5</v>
      </c>
      <c r="AS307" s="23">
        <v>0.1428571428571429</v>
      </c>
      <c r="AT307" s="23">
        <v>0</v>
      </c>
      <c r="AU307" s="20">
        <v>1</v>
      </c>
      <c r="AV307" s="20">
        <v>3.44</v>
      </c>
      <c r="AW307" s="20">
        <v>2.44</v>
      </c>
      <c r="AX307" s="20">
        <v>2.6618181818181821</v>
      </c>
      <c r="AY307">
        <v>2.6618181818181821</v>
      </c>
      <c r="AZ307">
        <v>6.0537295018181814</v>
      </c>
      <c r="BA307" s="64">
        <v>0.50642227837041764</v>
      </c>
      <c r="BB307" s="64">
        <v>0.5430371307011983</v>
      </c>
      <c r="BE307">
        <v>4.7239978098159073E-2</v>
      </c>
      <c r="BF307">
        <v>5.0655477170868157E-2</v>
      </c>
      <c r="BH307">
        <v>9.789545526902721E-2</v>
      </c>
      <c r="BI307">
        <v>4.8947727634513619E-2</v>
      </c>
      <c r="BJ307">
        <v>0.52472970453580792</v>
      </c>
    </row>
    <row r="308" spans="1:62" x14ac:dyDescent="0.3">
      <c r="A308" t="s">
        <v>46</v>
      </c>
      <c r="B308" s="12" t="s">
        <v>722</v>
      </c>
      <c r="C308" s="12"/>
      <c r="F308">
        <v>3.31</v>
      </c>
      <c r="G308" t="s">
        <v>240</v>
      </c>
      <c r="H308" s="8" t="s">
        <v>551</v>
      </c>
      <c r="I308" t="s">
        <v>629</v>
      </c>
      <c r="L308" s="20">
        <v>2</v>
      </c>
      <c r="M308">
        <v>4</v>
      </c>
      <c r="N308">
        <v>0</v>
      </c>
      <c r="T308" s="20">
        <v>7.41544296</v>
      </c>
      <c r="U308" s="20">
        <v>7.4154429599999991</v>
      </c>
      <c r="V308" s="20">
        <v>7.41544296</v>
      </c>
      <c r="W308">
        <v>7.8</v>
      </c>
      <c r="X308">
        <v>13.010999999999999</v>
      </c>
      <c r="Y308">
        <v>5.5460000000000003</v>
      </c>
      <c r="Z308">
        <v>0</v>
      </c>
      <c r="AD308">
        <v>14</v>
      </c>
      <c r="AE308" s="44">
        <f t="shared" si="16"/>
        <v>0</v>
      </c>
      <c r="AF308" s="46">
        <v>288.33429290182369</v>
      </c>
      <c r="AG308" s="44">
        <v>556.51188553357167</v>
      </c>
      <c r="AH308" s="44">
        <v>0</v>
      </c>
      <c r="AJ308" s="40">
        <v>9.7109503410799117E-2</v>
      </c>
      <c r="AK308" s="41">
        <v>0.10062678166578309</v>
      </c>
      <c r="AM308" s="23">
        <v>2</v>
      </c>
      <c r="AN308" s="23">
        <v>2.545454545454545</v>
      </c>
      <c r="AO308" s="23">
        <v>0.54545454545454541</v>
      </c>
      <c r="AP308" s="23">
        <v>0</v>
      </c>
      <c r="AQ308" s="23">
        <v>0.39285714285714279</v>
      </c>
      <c r="AR308" s="23">
        <v>0.5</v>
      </c>
      <c r="AS308" s="23">
        <v>0.1071428571428571</v>
      </c>
      <c r="AT308" s="23">
        <v>0</v>
      </c>
      <c r="AU308" s="20">
        <v>1.1000000000000001</v>
      </c>
      <c r="AV308" s="20">
        <v>3.44</v>
      </c>
      <c r="AW308" s="20">
        <v>2.34</v>
      </c>
      <c r="AX308" s="20">
        <v>2.669090909090909</v>
      </c>
      <c r="AY308">
        <v>2.669090909090909</v>
      </c>
      <c r="AZ308">
        <v>5.9831974772727277</v>
      </c>
      <c r="BA308" s="64">
        <v>0.52442413903612473</v>
      </c>
      <c r="BB308" s="64">
        <v>0.54341863036636606</v>
      </c>
      <c r="BE308">
        <v>4.8554751705399558E-2</v>
      </c>
      <c r="BF308">
        <v>5.0313390832891547E-2</v>
      </c>
      <c r="BH308">
        <v>9.8868142538291098E-2</v>
      </c>
      <c r="BI308">
        <v>4.9434071269145549E-2</v>
      </c>
      <c r="BJ308">
        <v>0.53392138470124539</v>
      </c>
    </row>
    <row r="309" spans="1:62" x14ac:dyDescent="0.3">
      <c r="A309" t="s">
        <v>220</v>
      </c>
      <c r="B309" s="12" t="s">
        <v>807</v>
      </c>
      <c r="C309" s="12"/>
      <c r="F309">
        <v>4.5</v>
      </c>
      <c r="G309" t="s">
        <v>242</v>
      </c>
      <c r="H309" s="8" t="s">
        <v>588</v>
      </c>
      <c r="I309" t="s">
        <v>661</v>
      </c>
      <c r="L309" s="20">
        <v>1</v>
      </c>
      <c r="M309">
        <v>1</v>
      </c>
      <c r="N309">
        <v>0</v>
      </c>
      <c r="T309" s="20">
        <v>5.81978595</v>
      </c>
      <c r="U309" s="20">
        <v>5.81978595</v>
      </c>
      <c r="V309" s="20">
        <v>11.88463337</v>
      </c>
      <c r="W309">
        <v>5.7759999999999998</v>
      </c>
      <c r="X309">
        <v>5.7759999999999998</v>
      </c>
      <c r="Y309">
        <v>11.82</v>
      </c>
      <c r="Z309">
        <v>0</v>
      </c>
      <c r="AD309">
        <v>30</v>
      </c>
      <c r="AE309" s="44">
        <f t="shared" si="16"/>
        <v>0</v>
      </c>
      <c r="AF309" s="46">
        <v>348.60249769877402</v>
      </c>
      <c r="AG309" s="44">
        <v>341.5092547488552</v>
      </c>
      <c r="AH309" s="44">
        <v>0</v>
      </c>
      <c r="AJ309" s="40">
        <v>8.6057903193576313E-2</v>
      </c>
      <c r="AK309" s="41">
        <v>8.7845349965879851E-2</v>
      </c>
      <c r="AM309" s="23">
        <v>2</v>
      </c>
      <c r="AN309" s="23">
        <v>2.5</v>
      </c>
      <c r="AO309" s="23">
        <v>0.5</v>
      </c>
      <c r="AP309" s="23">
        <v>2.333333333333333</v>
      </c>
      <c r="AQ309" s="23">
        <v>0.27272727272727282</v>
      </c>
      <c r="AR309" s="23">
        <v>0.34090909090909088</v>
      </c>
      <c r="AS309" s="23">
        <v>6.8181818181818191E-2</v>
      </c>
      <c r="AT309" s="23">
        <v>0.31818181818181818</v>
      </c>
      <c r="AU309" s="20">
        <v>0.89</v>
      </c>
      <c r="AV309" s="20">
        <v>3.44</v>
      </c>
      <c r="AW309" s="20">
        <v>2.5499999999999998</v>
      </c>
      <c r="AX309" s="20">
        <v>2.5854166666666671</v>
      </c>
      <c r="AY309">
        <v>2.5854166666666671</v>
      </c>
      <c r="AZ309">
        <v>5.9262421145833333</v>
      </c>
      <c r="BA309" s="64">
        <v>0.58209579444379334</v>
      </c>
      <c r="BB309" s="64">
        <v>0.59418608726221844</v>
      </c>
      <c r="BE309">
        <v>4.3028951596788149E-2</v>
      </c>
      <c r="BF309">
        <v>4.3922674982939933E-2</v>
      </c>
      <c r="BH309">
        <v>8.6951626579728075E-2</v>
      </c>
      <c r="BI309">
        <v>4.3475813289864038E-2</v>
      </c>
      <c r="BJ309">
        <v>0.58814094085300583</v>
      </c>
    </row>
    <row r="310" spans="1:62" x14ac:dyDescent="0.3">
      <c r="A310" t="s">
        <v>241</v>
      </c>
      <c r="B310" s="12" t="s">
        <v>813</v>
      </c>
      <c r="C310" s="12"/>
      <c r="F310">
        <v>4.2</v>
      </c>
      <c r="G310" t="s">
        <v>242</v>
      </c>
      <c r="H310" s="8">
        <v>-1</v>
      </c>
      <c r="I310" t="s">
        <v>664</v>
      </c>
      <c r="J310" t="s">
        <v>1170</v>
      </c>
      <c r="L310" s="20">
        <v>0</v>
      </c>
      <c r="M310">
        <v>1</v>
      </c>
      <c r="N310">
        <v>0</v>
      </c>
      <c r="O310">
        <v>-1</v>
      </c>
      <c r="T310" s="20">
        <v>0</v>
      </c>
      <c r="U310" s="20"/>
      <c r="V310" s="20"/>
      <c r="W310">
        <v>5.7946999999999997</v>
      </c>
      <c r="X310">
        <v>5.7946999999999997</v>
      </c>
      <c r="Y310">
        <v>11.803000000000001</v>
      </c>
      <c r="Z310">
        <v>0</v>
      </c>
      <c r="AD310">
        <v>30</v>
      </c>
      <c r="AE310" s="44">
        <f t="shared" si="16"/>
        <v>0</v>
      </c>
      <c r="AF310" s="46">
        <v>0</v>
      </c>
      <c r="AG310" s="44">
        <v>343.22977251102628</v>
      </c>
      <c r="AH310" s="44">
        <v>0</v>
      </c>
      <c r="AJ310" s="40"/>
      <c r="AK310" s="41">
        <v>8.7405005051058762E-2</v>
      </c>
      <c r="AM310" s="23">
        <v>1.916666666666667</v>
      </c>
      <c r="AN310" s="23">
        <v>2.5</v>
      </c>
      <c r="AO310" s="23">
        <v>0.58333333333333337</v>
      </c>
      <c r="AP310" s="23">
        <v>1.166666666666667</v>
      </c>
      <c r="AQ310" s="23">
        <v>0.3108108108108108</v>
      </c>
      <c r="AR310" s="23">
        <v>0.40540540540540537</v>
      </c>
      <c r="AS310" s="23">
        <v>9.45945945945946E-2</v>
      </c>
      <c r="AT310" s="23">
        <v>0.1891891891891892</v>
      </c>
      <c r="AU310" s="20">
        <v>0.89</v>
      </c>
      <c r="AV310" s="20">
        <v>3.44</v>
      </c>
      <c r="AW310" s="20">
        <v>2.5499999999999998</v>
      </c>
      <c r="AX310" s="20">
        <v>2.59375</v>
      </c>
      <c r="AY310">
        <v>2.59375</v>
      </c>
      <c r="AZ310">
        <v>5.9180573645833334</v>
      </c>
      <c r="BB310" s="64">
        <v>0</v>
      </c>
      <c r="BF310">
        <v>4.3702502525529381E-2</v>
      </c>
      <c r="BH310">
        <v>8.7405005051058762E-2</v>
      </c>
      <c r="BI310">
        <v>4.3702502525529381E-2</v>
      </c>
      <c r="BJ310">
        <v>0</v>
      </c>
    </row>
    <row r="311" spans="1:62" x14ac:dyDescent="0.3">
      <c r="A311" t="s">
        <v>38</v>
      </c>
      <c r="B311" s="12" t="s">
        <v>714</v>
      </c>
      <c r="C311" s="12"/>
      <c r="F311">
        <v>3.9</v>
      </c>
      <c r="G311" t="s">
        <v>242</v>
      </c>
      <c r="H311" s="8" t="s">
        <v>545</v>
      </c>
      <c r="I311" t="s">
        <v>626</v>
      </c>
      <c r="L311" s="20">
        <v>1</v>
      </c>
      <c r="M311">
        <v>1</v>
      </c>
      <c r="N311">
        <v>0</v>
      </c>
      <c r="T311" s="20">
        <v>5.8532381300000003</v>
      </c>
      <c r="U311" s="20">
        <v>5.8532371599999999</v>
      </c>
      <c r="V311" s="20">
        <v>11.912811489999999</v>
      </c>
      <c r="W311">
        <v>5.7946</v>
      </c>
      <c r="X311">
        <v>5.7946</v>
      </c>
      <c r="Y311">
        <v>11.787599999999999</v>
      </c>
      <c r="Z311">
        <v>0</v>
      </c>
      <c r="AD311">
        <v>30</v>
      </c>
      <c r="AE311" s="44">
        <f t="shared" si="16"/>
        <v>0</v>
      </c>
      <c r="AF311" s="46">
        <v>353.45760058531442</v>
      </c>
      <c r="AG311" s="44">
        <v>342.77011164986573</v>
      </c>
      <c r="AH311" s="44">
        <v>0</v>
      </c>
      <c r="AJ311" s="40">
        <v>8.487580957467307E-2</v>
      </c>
      <c r="AK311" s="41">
        <v>8.752221672887435E-2</v>
      </c>
      <c r="AM311" s="23">
        <v>1.833333333333333</v>
      </c>
      <c r="AN311" s="23">
        <v>2.5</v>
      </c>
      <c r="AO311" s="23">
        <v>0.66666666666666663</v>
      </c>
      <c r="AP311" s="23">
        <v>0</v>
      </c>
      <c r="AQ311" s="23">
        <v>0.36666666666666659</v>
      </c>
      <c r="AR311" s="23">
        <v>0.5</v>
      </c>
      <c r="AS311" s="23">
        <v>0.1333333333333333</v>
      </c>
      <c r="AT311" s="23">
        <v>0</v>
      </c>
      <c r="AU311" s="20">
        <v>0.89</v>
      </c>
      <c r="AV311" s="20">
        <v>3.44</v>
      </c>
      <c r="AW311" s="20">
        <v>2.5499999999999998</v>
      </c>
      <c r="AX311" s="20">
        <v>2.6020833333333329</v>
      </c>
      <c r="AY311">
        <v>2.6020833333333329</v>
      </c>
      <c r="AZ311">
        <v>5.9098726145833336</v>
      </c>
      <c r="BA311" s="64">
        <v>0.57410011132036598</v>
      </c>
      <c r="BB311" s="64">
        <v>0.59200041353179045</v>
      </c>
      <c r="BE311">
        <v>4.2437904787336528E-2</v>
      </c>
      <c r="BF311">
        <v>4.3761108364437168E-2</v>
      </c>
      <c r="BH311">
        <v>8.619901315177371E-2</v>
      </c>
      <c r="BI311">
        <v>4.3099506575886848E-2</v>
      </c>
      <c r="BJ311">
        <v>0.58305026242607827</v>
      </c>
    </row>
    <row r="312" spans="1:62" x14ac:dyDescent="0.3">
      <c r="A312" t="s">
        <v>244</v>
      </c>
      <c r="B312" s="12" t="s">
        <v>814</v>
      </c>
      <c r="C312" s="12"/>
      <c r="F312">
        <v>3.03</v>
      </c>
      <c r="G312" t="s">
        <v>243</v>
      </c>
      <c r="H312" s="8" t="s">
        <v>591</v>
      </c>
      <c r="I312" t="s">
        <v>665</v>
      </c>
      <c r="L312" s="20">
        <v>40</v>
      </c>
      <c r="M312">
        <v>2</v>
      </c>
      <c r="N312">
        <v>0</v>
      </c>
      <c r="T312" s="20">
        <v>10.442762460000001</v>
      </c>
      <c r="U312" s="20">
        <v>9.9768317300000007</v>
      </c>
      <c r="V312" s="20">
        <v>10.791803529999999</v>
      </c>
      <c r="W312">
        <v>3.22</v>
      </c>
      <c r="X312">
        <v>3.22</v>
      </c>
      <c r="Y312">
        <v>5.2</v>
      </c>
      <c r="Z312">
        <v>0</v>
      </c>
      <c r="AD312">
        <v>2</v>
      </c>
      <c r="AE312" s="44">
        <f t="shared" si="16"/>
        <v>0</v>
      </c>
      <c r="AF312" s="46">
        <v>1118.3380703947059</v>
      </c>
      <c r="AG312" s="44">
        <v>46.692348542312601</v>
      </c>
      <c r="AH312" s="44">
        <v>0</v>
      </c>
      <c r="AJ312" s="40">
        <v>7.1534719346328615E-2</v>
      </c>
      <c r="AK312" s="41">
        <v>8.566714086731364E-2</v>
      </c>
      <c r="AM312" s="23">
        <v>2</v>
      </c>
      <c r="AN312" s="23">
        <v>2</v>
      </c>
      <c r="AO312" s="23">
        <v>5</v>
      </c>
      <c r="AP312" s="23">
        <v>0</v>
      </c>
      <c r="AQ312" s="23">
        <v>0.22222222222222221</v>
      </c>
      <c r="AR312" s="23">
        <v>0.22222222222222221</v>
      </c>
      <c r="AS312" s="23">
        <v>0.55555555555555558</v>
      </c>
      <c r="AT312" s="23">
        <v>0</v>
      </c>
      <c r="AU312" s="20">
        <v>1.65</v>
      </c>
      <c r="AV312" s="20">
        <v>3.44</v>
      </c>
      <c r="AW312" s="20">
        <v>1.79</v>
      </c>
      <c r="AX312" s="20">
        <v>2.5449999999999999</v>
      </c>
      <c r="AY312">
        <v>2.5449999999999999</v>
      </c>
      <c r="AZ312">
        <v>5.9633393249999997</v>
      </c>
      <c r="BA312" s="64">
        <v>0.40179973947095132</v>
      </c>
      <c r="BB312" s="64">
        <v>0.48117942163247568</v>
      </c>
      <c r="BE312">
        <v>3.5767359673164308E-2</v>
      </c>
      <c r="BF312">
        <v>4.283357043365682E-2</v>
      </c>
      <c r="BH312">
        <v>7.8600930106821121E-2</v>
      </c>
      <c r="BI312">
        <v>3.930046505341056E-2</v>
      </c>
      <c r="BJ312">
        <v>0.4414895805517135</v>
      </c>
    </row>
    <row r="313" spans="1:62" x14ac:dyDescent="0.3">
      <c r="A313" t="s">
        <v>244</v>
      </c>
      <c r="B313" s="12" t="s">
        <v>814</v>
      </c>
      <c r="C313" s="12"/>
      <c r="D313" t="s">
        <v>888</v>
      </c>
      <c r="E313">
        <v>1</v>
      </c>
      <c r="F313">
        <v>2.96</v>
      </c>
      <c r="G313" t="s">
        <v>243</v>
      </c>
      <c r="H313" s="8" t="s">
        <v>591</v>
      </c>
      <c r="I313" t="s">
        <v>665</v>
      </c>
      <c r="L313" s="20">
        <v>40</v>
      </c>
      <c r="M313">
        <v>2</v>
      </c>
      <c r="N313">
        <v>0</v>
      </c>
      <c r="T313" s="20">
        <v>10.442762460000001</v>
      </c>
      <c r="U313" s="20">
        <v>9.9768317300000007</v>
      </c>
      <c r="V313" s="20">
        <v>10.791803529999999</v>
      </c>
      <c r="W313">
        <v>3.22</v>
      </c>
      <c r="X313">
        <v>3.22</v>
      </c>
      <c r="Y313">
        <v>5.2</v>
      </c>
      <c r="Z313">
        <v>0</v>
      </c>
      <c r="AD313">
        <v>2</v>
      </c>
      <c r="AE313" s="44">
        <f t="shared" si="16"/>
        <v>0</v>
      </c>
      <c r="AF313" s="46">
        <v>1118.3380703947059</v>
      </c>
      <c r="AG313" s="44">
        <v>46.692348542312601</v>
      </c>
      <c r="AH313" s="44">
        <v>0</v>
      </c>
      <c r="AJ313" s="40">
        <v>7.1534719346328615E-2</v>
      </c>
      <c r="AK313" s="41">
        <v>8.566714086731364E-2</v>
      </c>
      <c r="AM313" s="23">
        <v>2</v>
      </c>
      <c r="AN313" s="23">
        <v>2</v>
      </c>
      <c r="AO313" s="23">
        <v>5</v>
      </c>
      <c r="AP313" s="23">
        <v>0</v>
      </c>
      <c r="AQ313" s="23">
        <v>0.22222222222222221</v>
      </c>
      <c r="AR313" s="23">
        <v>0.22222222222222221</v>
      </c>
      <c r="AS313" s="23">
        <v>0.55555555555555558</v>
      </c>
      <c r="AT313" s="23">
        <v>0</v>
      </c>
      <c r="AU313" s="20">
        <v>1.65</v>
      </c>
      <c r="AV313" s="20">
        <v>3.44</v>
      </c>
      <c r="AW313" s="20">
        <v>1.79</v>
      </c>
      <c r="AX313" s="20">
        <v>2.5449999999999999</v>
      </c>
      <c r="AY313">
        <v>2.5449999999999999</v>
      </c>
      <c r="AZ313">
        <v>5.9633393249999997</v>
      </c>
      <c r="BA313" s="64">
        <v>0.40179973947095132</v>
      </c>
      <c r="BB313" s="64">
        <v>0.48117942163247568</v>
      </c>
      <c r="BE313">
        <v>3.5767359673164308E-2</v>
      </c>
      <c r="BF313">
        <v>4.283357043365682E-2</v>
      </c>
      <c r="BH313">
        <v>7.8600930106821121E-2</v>
      </c>
      <c r="BI313">
        <v>3.930046505341056E-2</v>
      </c>
      <c r="BJ313">
        <v>0.4414895805517135</v>
      </c>
    </row>
    <row r="314" spans="1:62" x14ac:dyDescent="0.3">
      <c r="A314" t="s">
        <v>244</v>
      </c>
      <c r="B314" s="12" t="s">
        <v>814</v>
      </c>
      <c r="C314" s="12"/>
      <c r="D314" t="s">
        <v>888</v>
      </c>
      <c r="E314">
        <v>3</v>
      </c>
      <c r="F314">
        <v>3.14</v>
      </c>
      <c r="G314" t="s">
        <v>243</v>
      </c>
      <c r="H314" s="8" t="s">
        <v>591</v>
      </c>
      <c r="I314" t="s">
        <v>665</v>
      </c>
      <c r="L314" s="20">
        <v>40</v>
      </c>
      <c r="M314">
        <v>2</v>
      </c>
      <c r="N314">
        <v>0</v>
      </c>
      <c r="T314" s="20">
        <v>10.442762460000001</v>
      </c>
      <c r="U314" s="20">
        <v>9.9768317300000007</v>
      </c>
      <c r="V314" s="20">
        <v>10.791803529999999</v>
      </c>
      <c r="W314">
        <v>3.22</v>
      </c>
      <c r="X314">
        <v>3.22</v>
      </c>
      <c r="Y314">
        <v>5.2</v>
      </c>
      <c r="Z314">
        <v>0</v>
      </c>
      <c r="AD314">
        <v>2</v>
      </c>
      <c r="AE314" s="44">
        <f t="shared" si="16"/>
        <v>0</v>
      </c>
      <c r="AF314" s="46">
        <v>1118.3380703947059</v>
      </c>
      <c r="AG314" s="44">
        <v>46.692348542312601</v>
      </c>
      <c r="AH314" s="44">
        <v>0</v>
      </c>
      <c r="AJ314" s="40">
        <v>7.1534719346328615E-2</v>
      </c>
      <c r="AK314" s="41">
        <v>8.566714086731364E-2</v>
      </c>
      <c r="AM314" s="23">
        <v>2</v>
      </c>
      <c r="AN314" s="23">
        <v>2</v>
      </c>
      <c r="AO314" s="23">
        <v>5</v>
      </c>
      <c r="AP314" s="23">
        <v>0</v>
      </c>
      <c r="AQ314" s="23">
        <v>0.22222222222222221</v>
      </c>
      <c r="AR314" s="23">
        <v>0.22222222222222221</v>
      </c>
      <c r="AS314" s="23">
        <v>0.55555555555555558</v>
      </c>
      <c r="AT314" s="23">
        <v>0</v>
      </c>
      <c r="AU314" s="20">
        <v>1.65</v>
      </c>
      <c r="AV314" s="20">
        <v>3.44</v>
      </c>
      <c r="AW314" s="20">
        <v>1.79</v>
      </c>
      <c r="AX314" s="20">
        <v>2.5449999999999999</v>
      </c>
      <c r="AY314">
        <v>2.5449999999999999</v>
      </c>
      <c r="AZ314">
        <v>5.9633393249999997</v>
      </c>
      <c r="BA314" s="64">
        <v>0.40179973947095132</v>
      </c>
      <c r="BB314" s="64">
        <v>0.48117942163247568</v>
      </c>
      <c r="BE314">
        <v>3.5767359673164308E-2</v>
      </c>
      <c r="BF314">
        <v>4.283357043365682E-2</v>
      </c>
      <c r="BH314">
        <v>7.8600930106821121E-2</v>
      </c>
      <c r="BI314">
        <v>3.930046505341056E-2</v>
      </c>
      <c r="BJ314">
        <v>0.4414895805517135</v>
      </c>
    </row>
    <row r="315" spans="1:62" x14ac:dyDescent="0.3">
      <c r="A315" t="s">
        <v>246</v>
      </c>
      <c r="B315" s="12" t="s">
        <v>815</v>
      </c>
      <c r="C315" s="12"/>
      <c r="F315">
        <v>2.3199999999999998</v>
      </c>
      <c r="G315" t="s">
        <v>245</v>
      </c>
      <c r="H315" s="8" t="s">
        <v>592</v>
      </c>
      <c r="I315" t="s">
        <v>666</v>
      </c>
      <c r="J315" t="s">
        <v>1173</v>
      </c>
      <c r="L315" s="20">
        <v>1</v>
      </c>
      <c r="M315">
        <v>2</v>
      </c>
      <c r="N315">
        <v>2</v>
      </c>
      <c r="T315" s="20">
        <v>4.2561477500000002</v>
      </c>
      <c r="U315" s="20">
        <v>4.2561477500000002</v>
      </c>
      <c r="V315" s="20">
        <v>5.9211799999999997</v>
      </c>
      <c r="W315">
        <v>4.1500000000000004</v>
      </c>
      <c r="X315">
        <v>4.1500000000000004</v>
      </c>
      <c r="Y315">
        <v>6.7370000000000001</v>
      </c>
      <c r="Z315">
        <v>0</v>
      </c>
      <c r="AD315">
        <v>2</v>
      </c>
      <c r="AE315" s="44">
        <f t="shared" si="16"/>
        <v>0</v>
      </c>
      <c r="AF315" s="46">
        <v>92.890714642371009</v>
      </c>
      <c r="AG315" s="44">
        <v>100.4831803948563</v>
      </c>
      <c r="AH315" s="44">
        <v>100.1</v>
      </c>
      <c r="AJ315" s="40">
        <f>L315*AD315/AF315</f>
        <v>2.1530677287821442E-2</v>
      </c>
      <c r="AL315" s="56">
        <f>N315*AD315/AH315</f>
        <v>3.996003996003996E-2</v>
      </c>
      <c r="AM315" s="23">
        <v>2</v>
      </c>
      <c r="AN315" s="23">
        <v>2</v>
      </c>
      <c r="AO315" s="23">
        <v>5</v>
      </c>
      <c r="AP315" s="23">
        <v>0</v>
      </c>
      <c r="AQ315" s="23">
        <v>0.22222222222222221</v>
      </c>
      <c r="AR315" s="23">
        <v>0.22222222222222221</v>
      </c>
      <c r="AS315" s="23">
        <v>0.55555555555555558</v>
      </c>
      <c r="AT315" s="23">
        <v>0</v>
      </c>
      <c r="AU315" s="20">
        <v>1.69</v>
      </c>
      <c r="AV315" s="20">
        <v>2.58</v>
      </c>
      <c r="AW315" s="20">
        <v>0.89000000000000012</v>
      </c>
      <c r="AX315" s="20">
        <v>2.1349999999999998</v>
      </c>
      <c r="AY315">
        <v>2.1349999999999998</v>
      </c>
      <c r="AZ315">
        <v>5.1777336280000004</v>
      </c>
      <c r="BA315" s="64">
        <v>0.2799432770686035</v>
      </c>
      <c r="BB315" s="64">
        <v>0.51758176769574038</v>
      </c>
      <c r="BC315" s="64">
        <v>0.51949166816826697</v>
      </c>
      <c r="BE315">
        <v>0</v>
      </c>
      <c r="BF315">
        <v>0</v>
      </c>
      <c r="BG315">
        <v>0</v>
      </c>
      <c r="BH315">
        <v>3.0745358623930699E-2</v>
      </c>
      <c r="BI315">
        <v>0</v>
      </c>
      <c r="BJ315">
        <v>0.43900557097753701</v>
      </c>
    </row>
    <row r="316" spans="1:62" x14ac:dyDescent="0.3">
      <c r="A316" s="4" t="s">
        <v>247</v>
      </c>
      <c r="B316" s="36" t="s">
        <v>940</v>
      </c>
      <c r="C316" s="29"/>
      <c r="D316" s="4"/>
      <c r="E316" s="4"/>
      <c r="F316" s="4">
        <v>2.41</v>
      </c>
      <c r="G316" s="4" t="s">
        <v>245</v>
      </c>
      <c r="H316" s="30">
        <v>-2</v>
      </c>
      <c r="I316" s="4">
        <v>-1</v>
      </c>
      <c r="J316" s="4"/>
      <c r="K316" s="4"/>
      <c r="L316" s="31">
        <v>0</v>
      </c>
      <c r="M316">
        <v>0</v>
      </c>
      <c r="N316">
        <v>0</v>
      </c>
      <c r="O316" s="4">
        <v>-1</v>
      </c>
      <c r="P316" s="4"/>
      <c r="Q316" s="4"/>
      <c r="R316" s="4"/>
      <c r="S316" s="4"/>
      <c r="T316" s="31">
        <v>0</v>
      </c>
      <c r="U316" s="31"/>
      <c r="V316" s="31"/>
      <c r="W316">
        <v>0</v>
      </c>
      <c r="Z316">
        <v>0</v>
      </c>
      <c r="AC316" s="4"/>
      <c r="AD316" s="4">
        <v>0</v>
      </c>
      <c r="AE316" s="44">
        <f t="shared" si="16"/>
        <v>0</v>
      </c>
      <c r="AF316" s="46">
        <v>0</v>
      </c>
      <c r="AG316" s="44">
        <v>0</v>
      </c>
      <c r="AH316" s="44">
        <v>0</v>
      </c>
      <c r="AJ316" s="40"/>
      <c r="AM316" s="4">
        <v>2</v>
      </c>
      <c r="AN316" s="4">
        <v>0</v>
      </c>
      <c r="AO316" s="4">
        <v>10</v>
      </c>
      <c r="AP316" s="4">
        <v>0</v>
      </c>
      <c r="AQ316" s="4">
        <v>0.16666666666666671</v>
      </c>
      <c r="AR316" s="4">
        <v>0</v>
      </c>
      <c r="AS316" s="4">
        <v>0.83333333333333337</v>
      </c>
      <c r="AT316" s="4">
        <v>0</v>
      </c>
      <c r="AU316" s="31">
        <v>1.65</v>
      </c>
      <c r="AV316" s="31">
        <v>1.69</v>
      </c>
      <c r="AW316" s="31">
        <v>4.0000000000000042E-2</v>
      </c>
      <c r="AX316" s="31">
        <v>1.6859999999999999</v>
      </c>
      <c r="AY316" s="4">
        <v>1.6859999999999999</v>
      </c>
      <c r="AZ316" s="4">
        <v>4.1619288499999998</v>
      </c>
      <c r="BH316">
        <v>0</v>
      </c>
      <c r="BI316">
        <v>0</v>
      </c>
      <c r="BJ316">
        <v>0</v>
      </c>
    </row>
    <row r="317" spans="1:62" x14ac:dyDescent="0.3">
      <c r="A317" s="4" t="s">
        <v>252</v>
      </c>
      <c r="B317" s="36" t="s">
        <v>941</v>
      </c>
      <c r="C317" s="29"/>
      <c r="D317" s="4"/>
      <c r="E317" s="4"/>
      <c r="F317" s="4">
        <v>2.54</v>
      </c>
      <c r="G317" s="4" t="s">
        <v>245</v>
      </c>
      <c r="H317" s="30">
        <v>-2</v>
      </c>
      <c r="I317" s="4">
        <v>-1</v>
      </c>
      <c r="J317" s="4"/>
      <c r="K317" s="4"/>
      <c r="L317" s="31">
        <v>0</v>
      </c>
      <c r="M317">
        <v>0</v>
      </c>
      <c r="N317">
        <v>0</v>
      </c>
      <c r="O317" s="4">
        <v>-1</v>
      </c>
      <c r="P317" s="4"/>
      <c r="Q317" s="4"/>
      <c r="R317" s="4"/>
      <c r="S317" s="4"/>
      <c r="T317" s="31">
        <v>0</v>
      </c>
      <c r="U317" s="31"/>
      <c r="V317" s="31"/>
      <c r="W317">
        <v>0</v>
      </c>
      <c r="Z317">
        <v>0</v>
      </c>
      <c r="AC317" s="4"/>
      <c r="AD317" s="4">
        <v>0</v>
      </c>
      <c r="AE317" s="44">
        <f t="shared" si="16"/>
        <v>0</v>
      </c>
      <c r="AF317" s="46">
        <v>0</v>
      </c>
      <c r="AG317" s="44">
        <v>0</v>
      </c>
      <c r="AH317" s="44">
        <v>0</v>
      </c>
      <c r="AJ317" s="40"/>
      <c r="AM317" s="4">
        <v>2</v>
      </c>
      <c r="AN317" s="4">
        <v>0</v>
      </c>
      <c r="AO317" s="4">
        <v>10</v>
      </c>
      <c r="AP317" s="4">
        <v>0</v>
      </c>
      <c r="AQ317" s="4">
        <v>0.16666666666666671</v>
      </c>
      <c r="AR317" s="4">
        <v>0</v>
      </c>
      <c r="AS317" s="4">
        <v>0.83333333333333348</v>
      </c>
      <c r="AT317" s="4">
        <v>0</v>
      </c>
      <c r="AU317" s="31">
        <v>1.65</v>
      </c>
      <c r="AV317" s="31">
        <v>1.69</v>
      </c>
      <c r="AW317" s="31">
        <v>4.0000000000000042E-2</v>
      </c>
      <c r="AX317" s="31">
        <v>1.6779999999999999</v>
      </c>
      <c r="AY317" s="4">
        <v>1.6779999999999999</v>
      </c>
      <c r="AZ317" s="4">
        <v>4.2119665499999996</v>
      </c>
      <c r="BH317">
        <v>0</v>
      </c>
      <c r="BI317">
        <v>0</v>
      </c>
      <c r="BJ317">
        <v>0</v>
      </c>
    </row>
    <row r="318" spans="1:62" x14ac:dyDescent="0.3">
      <c r="A318" s="4" t="s">
        <v>251</v>
      </c>
      <c r="B318" s="36" t="s">
        <v>942</v>
      </c>
      <c r="C318" s="29"/>
      <c r="D318" s="4"/>
      <c r="E318" s="4"/>
      <c r="F318" s="4">
        <v>2.68</v>
      </c>
      <c r="G318" s="4" t="s">
        <v>245</v>
      </c>
      <c r="H318" s="30">
        <v>-2</v>
      </c>
      <c r="I318" s="4">
        <v>-1</v>
      </c>
      <c r="J318" s="4"/>
      <c r="K318" s="4"/>
      <c r="L318" s="31">
        <v>0</v>
      </c>
      <c r="M318">
        <v>0</v>
      </c>
      <c r="N318">
        <v>0</v>
      </c>
      <c r="O318" s="4">
        <v>-1</v>
      </c>
      <c r="P318" s="4"/>
      <c r="Q318" s="4"/>
      <c r="R318" s="4"/>
      <c r="S318" s="4"/>
      <c r="T318" s="31">
        <v>0</v>
      </c>
      <c r="U318" s="31"/>
      <c r="V318" s="31"/>
      <c r="W318">
        <v>0</v>
      </c>
      <c r="Z318">
        <v>0</v>
      </c>
      <c r="AC318" s="4"/>
      <c r="AD318" s="4">
        <v>0</v>
      </c>
      <c r="AE318" s="44">
        <f t="shared" si="16"/>
        <v>0</v>
      </c>
      <c r="AF318" s="46">
        <v>0</v>
      </c>
      <c r="AG318" s="44">
        <v>0</v>
      </c>
      <c r="AH318" s="44">
        <v>0</v>
      </c>
      <c r="AJ318" s="40"/>
      <c r="AM318" s="4">
        <v>2</v>
      </c>
      <c r="AN318" s="4">
        <v>0</v>
      </c>
      <c r="AO318" s="4">
        <v>10</v>
      </c>
      <c r="AP318" s="4">
        <v>0</v>
      </c>
      <c r="AQ318" s="4">
        <v>0.16666666666666671</v>
      </c>
      <c r="AR318" s="4">
        <v>0</v>
      </c>
      <c r="AS318" s="4">
        <v>0.83333333333333337</v>
      </c>
      <c r="AT318" s="4">
        <v>0</v>
      </c>
      <c r="AU318" s="31">
        <v>1.65</v>
      </c>
      <c r="AV318" s="31">
        <v>1.69</v>
      </c>
      <c r="AW318" s="31">
        <v>4.0000000000000042E-2</v>
      </c>
      <c r="AX318" s="31">
        <v>1.67</v>
      </c>
      <c r="AY318" s="4">
        <v>1.67</v>
      </c>
      <c r="AZ318" s="4">
        <v>4.2620042500000004</v>
      </c>
      <c r="BH318">
        <v>0</v>
      </c>
      <c r="BI318">
        <v>0</v>
      </c>
      <c r="BJ318">
        <v>0</v>
      </c>
    </row>
    <row r="319" spans="1:62" x14ac:dyDescent="0.3">
      <c r="A319" s="4" t="s">
        <v>250</v>
      </c>
      <c r="B319" s="36" t="s">
        <v>943</v>
      </c>
      <c r="C319" s="29"/>
      <c r="D319" s="4"/>
      <c r="E319" s="4"/>
      <c r="F319" s="4">
        <v>2.91</v>
      </c>
      <c r="G319" s="4" t="s">
        <v>245</v>
      </c>
      <c r="H319" s="30">
        <v>-2</v>
      </c>
      <c r="I319" s="4">
        <v>-1</v>
      </c>
      <c r="J319" s="4"/>
      <c r="K319" s="4"/>
      <c r="L319" s="31">
        <v>0</v>
      </c>
      <c r="M319">
        <v>0</v>
      </c>
      <c r="N319">
        <v>0</v>
      </c>
      <c r="O319" s="4">
        <v>-1</v>
      </c>
      <c r="P319" s="4"/>
      <c r="Q319" s="4"/>
      <c r="R319" s="4"/>
      <c r="S319" s="4"/>
      <c r="T319" s="31">
        <v>0</v>
      </c>
      <c r="U319" s="31"/>
      <c r="V319" s="31"/>
      <c r="W319">
        <v>0</v>
      </c>
      <c r="Z319">
        <v>0</v>
      </c>
      <c r="AC319" s="4"/>
      <c r="AD319" s="4">
        <v>0</v>
      </c>
      <c r="AE319" s="44">
        <f t="shared" si="16"/>
        <v>0</v>
      </c>
      <c r="AF319" s="46">
        <v>0</v>
      </c>
      <c r="AG319" s="44">
        <v>0</v>
      </c>
      <c r="AH319" s="44">
        <v>0</v>
      </c>
      <c r="AJ319" s="40"/>
      <c r="AM319" s="4">
        <v>2</v>
      </c>
      <c r="AN319" s="4">
        <v>0</v>
      </c>
      <c r="AO319" s="4">
        <v>10</v>
      </c>
      <c r="AP319" s="4">
        <v>0</v>
      </c>
      <c r="AQ319" s="4">
        <v>0.16666666666666671</v>
      </c>
      <c r="AR319" s="4">
        <v>0</v>
      </c>
      <c r="AS319" s="4">
        <v>0.83333333333333348</v>
      </c>
      <c r="AT319" s="4">
        <v>0</v>
      </c>
      <c r="AU319" s="31">
        <v>1.65</v>
      </c>
      <c r="AV319" s="31">
        <v>1.69</v>
      </c>
      <c r="AW319" s="31">
        <v>4.0000000000000042E-2</v>
      </c>
      <c r="AX319" s="31">
        <v>1.6619999999999999</v>
      </c>
      <c r="AY319" s="4">
        <v>1.6619999999999999</v>
      </c>
      <c r="AZ319" s="4">
        <v>4.3120419500000002</v>
      </c>
      <c r="BH319">
        <v>0</v>
      </c>
      <c r="BI319">
        <v>0</v>
      </c>
      <c r="BJ319">
        <v>0</v>
      </c>
    </row>
    <row r="320" spans="1:62" x14ac:dyDescent="0.3">
      <c r="A320" s="4" t="s">
        <v>249</v>
      </c>
      <c r="B320" s="36" t="s">
        <v>944</v>
      </c>
      <c r="C320" s="29"/>
      <c r="D320" s="4"/>
      <c r="E320" s="4"/>
      <c r="F320" s="4">
        <v>3.36</v>
      </c>
      <c r="G320" s="4" t="s">
        <v>245</v>
      </c>
      <c r="H320" s="30">
        <v>-2</v>
      </c>
      <c r="I320" s="4">
        <v>-1</v>
      </c>
      <c r="J320" s="4"/>
      <c r="K320" s="4"/>
      <c r="L320" s="31">
        <v>0</v>
      </c>
      <c r="M320">
        <v>0</v>
      </c>
      <c r="N320">
        <v>0</v>
      </c>
      <c r="O320" s="4">
        <v>-1</v>
      </c>
      <c r="P320" s="4"/>
      <c r="Q320" s="4"/>
      <c r="R320" s="4"/>
      <c r="S320" s="4"/>
      <c r="T320" s="31">
        <v>0</v>
      </c>
      <c r="U320" s="31"/>
      <c r="V320" s="31"/>
      <c r="W320">
        <v>0</v>
      </c>
      <c r="Z320">
        <v>0</v>
      </c>
      <c r="AC320" s="4"/>
      <c r="AD320" s="4">
        <v>0</v>
      </c>
      <c r="AE320" s="44">
        <f t="shared" si="16"/>
        <v>0</v>
      </c>
      <c r="AF320" s="46">
        <v>0</v>
      </c>
      <c r="AG320" s="44">
        <v>0</v>
      </c>
      <c r="AH320" s="44">
        <v>0</v>
      </c>
      <c r="AJ320" s="40"/>
      <c r="AM320" s="4">
        <v>2</v>
      </c>
      <c r="AN320" s="4">
        <v>0</v>
      </c>
      <c r="AO320" s="4">
        <v>10</v>
      </c>
      <c r="AP320" s="4">
        <v>0</v>
      </c>
      <c r="AQ320" s="4">
        <v>0.16666666666666671</v>
      </c>
      <c r="AR320" s="4">
        <v>0</v>
      </c>
      <c r="AS320" s="4">
        <v>0.83333333333333337</v>
      </c>
      <c r="AT320" s="4">
        <v>0</v>
      </c>
      <c r="AU320" s="31">
        <v>1.65</v>
      </c>
      <c r="AV320" s="31">
        <v>1.69</v>
      </c>
      <c r="AW320" s="31">
        <v>4.0000000000000042E-2</v>
      </c>
      <c r="AX320" s="31">
        <v>1.6539999999999999</v>
      </c>
      <c r="AY320" s="4">
        <v>1.6539999999999999</v>
      </c>
      <c r="AZ320" s="4">
        <v>4.3620796500000001</v>
      </c>
      <c r="BH320">
        <v>0</v>
      </c>
      <c r="BI320">
        <v>0</v>
      </c>
      <c r="BJ320">
        <v>0</v>
      </c>
    </row>
    <row r="321" spans="1:62" x14ac:dyDescent="0.3">
      <c r="A321" t="s">
        <v>248</v>
      </c>
      <c r="B321" s="12" t="s">
        <v>816</v>
      </c>
      <c r="C321" s="12"/>
      <c r="F321">
        <v>3.6</v>
      </c>
      <c r="G321" t="s">
        <v>245</v>
      </c>
      <c r="H321" s="8" t="s">
        <v>593</v>
      </c>
      <c r="I321" t="s">
        <v>667</v>
      </c>
      <c r="J321" t="s">
        <v>1172</v>
      </c>
      <c r="L321" s="20">
        <v>50</v>
      </c>
      <c r="M321">
        <v>2</v>
      </c>
      <c r="N321">
        <v>0</v>
      </c>
      <c r="T321" s="20">
        <v>12.345150759999999</v>
      </c>
      <c r="U321" s="20">
        <v>15.34169717</v>
      </c>
      <c r="V321" s="20">
        <v>13.410947439999999</v>
      </c>
      <c r="W321">
        <v>3.8</v>
      </c>
      <c r="X321">
        <v>3.8</v>
      </c>
      <c r="Y321">
        <v>6.23</v>
      </c>
      <c r="Z321">
        <v>0</v>
      </c>
      <c r="AD321">
        <v>0</v>
      </c>
      <c r="AE321" s="44">
        <f t="shared" si="16"/>
        <v>0</v>
      </c>
      <c r="AF321" s="46">
        <v>2502.9167389596269</v>
      </c>
      <c r="AG321" s="44">
        <v>77.908684554932648</v>
      </c>
      <c r="AH321" s="44">
        <v>0</v>
      </c>
      <c r="AJ321" s="40">
        <v>0</v>
      </c>
      <c r="AK321" s="41">
        <v>0</v>
      </c>
      <c r="AM321" s="23">
        <v>2</v>
      </c>
      <c r="AN321" s="23">
        <v>2</v>
      </c>
      <c r="AO321" s="23">
        <v>5</v>
      </c>
      <c r="AP321" s="23">
        <v>0</v>
      </c>
      <c r="AQ321" s="23">
        <v>0.22222222222222221</v>
      </c>
      <c r="AR321" s="23">
        <v>0.22222222222222221</v>
      </c>
      <c r="AS321" s="23">
        <v>0.55555555555555558</v>
      </c>
      <c r="AT321" s="23">
        <v>0</v>
      </c>
      <c r="AU321" s="20">
        <v>1.65</v>
      </c>
      <c r="AV321" s="20">
        <v>2.58</v>
      </c>
      <c r="AW321" s="20">
        <v>0.93000000000000016</v>
      </c>
      <c r="AX321" s="20">
        <v>2.1150000000000002</v>
      </c>
      <c r="AY321">
        <v>2.1150000000000002</v>
      </c>
      <c r="AZ321">
        <v>5.3028278780000004</v>
      </c>
      <c r="BA321" s="64">
        <v>0.46813521899838401</v>
      </c>
      <c r="BB321" s="64">
        <v>0.6015778510039812</v>
      </c>
      <c r="BE321">
        <v>0</v>
      </c>
      <c r="BF321">
        <v>0</v>
      </c>
      <c r="BH321">
        <v>0</v>
      </c>
      <c r="BI321">
        <v>0</v>
      </c>
      <c r="BJ321">
        <v>0.53485653500118258</v>
      </c>
    </row>
    <row r="322" spans="1:62" x14ac:dyDescent="0.3">
      <c r="A322" t="s">
        <v>15</v>
      </c>
      <c r="B322" s="12" t="s">
        <v>700</v>
      </c>
      <c r="C322" s="12"/>
      <c r="F322">
        <v>4.49</v>
      </c>
      <c r="G322" t="s">
        <v>253</v>
      </c>
      <c r="H322" s="8" t="s">
        <v>533</v>
      </c>
      <c r="I322" t="s">
        <v>614</v>
      </c>
      <c r="L322" s="20">
        <v>4</v>
      </c>
      <c r="M322">
        <v>4</v>
      </c>
      <c r="N322">
        <v>0</v>
      </c>
      <c r="T322" s="20">
        <v>5.63450966</v>
      </c>
      <c r="U322" s="20">
        <v>7.6422105</v>
      </c>
      <c r="V322" s="20">
        <v>11.066420430000001</v>
      </c>
      <c r="W322">
        <v>11.013</v>
      </c>
      <c r="X322">
        <v>7.6319999999999997</v>
      </c>
      <c r="Y322">
        <v>5.6210000000000004</v>
      </c>
      <c r="Z322">
        <v>0</v>
      </c>
      <c r="AD322">
        <v>12</v>
      </c>
      <c r="AE322" s="44">
        <f t="shared" si="16"/>
        <v>0</v>
      </c>
      <c r="AF322" s="46">
        <v>476.5212686940929</v>
      </c>
      <c r="AG322" s="44">
        <v>472.45188513599999</v>
      </c>
      <c r="AH322" s="44">
        <v>0</v>
      </c>
      <c r="AJ322" s="40">
        <v>0.1007300264509579</v>
      </c>
      <c r="AK322" s="41">
        <v>0.1015976473163669</v>
      </c>
      <c r="AM322" s="23">
        <v>2</v>
      </c>
      <c r="AN322" s="23">
        <v>2.666666666666667</v>
      </c>
      <c r="AO322" s="23">
        <v>0.66666666666666663</v>
      </c>
      <c r="AP322" s="23">
        <v>3.1111111111111112</v>
      </c>
      <c r="AQ322" s="23">
        <v>0.23684210526315791</v>
      </c>
      <c r="AR322" s="23">
        <v>0.31578947368421051</v>
      </c>
      <c r="AS322" s="23">
        <v>7.8947368421052627E-2</v>
      </c>
      <c r="AT322" s="23">
        <v>0.36842105263157893</v>
      </c>
      <c r="AU322" s="20">
        <v>0.95</v>
      </c>
      <c r="AV322" s="20">
        <v>3.44</v>
      </c>
      <c r="AW322" s="20">
        <v>2.4900000000000002</v>
      </c>
      <c r="AX322" s="20">
        <v>2.7322222222222221</v>
      </c>
      <c r="AY322">
        <v>2.7322222222222221</v>
      </c>
      <c r="AZ322">
        <v>6.2204042916666662</v>
      </c>
      <c r="BA322" s="64">
        <v>0.5362582325986015</v>
      </c>
      <c r="BB322" s="64">
        <v>0.54087720122437066</v>
      </c>
      <c r="BE322">
        <v>5.0365013225478962E-2</v>
      </c>
      <c r="BF322">
        <v>5.0798823658183438E-2</v>
      </c>
      <c r="BH322">
        <v>0.1011638368836624</v>
      </c>
      <c r="BI322">
        <v>5.05819184418312E-2</v>
      </c>
      <c r="BJ322">
        <v>0.53856771691148608</v>
      </c>
    </row>
    <row r="323" spans="1:62" x14ac:dyDescent="0.3">
      <c r="A323" t="s">
        <v>254</v>
      </c>
      <c r="B323" s="12" t="s">
        <v>817</v>
      </c>
      <c r="C323" s="12"/>
      <c r="F323">
        <v>4.8099999999999996</v>
      </c>
      <c r="G323" t="s">
        <v>253</v>
      </c>
      <c r="H323" s="8" t="s">
        <v>594</v>
      </c>
      <c r="I323">
        <v>-1</v>
      </c>
      <c r="L323" s="20">
        <v>4</v>
      </c>
      <c r="M323">
        <v>0</v>
      </c>
      <c r="N323">
        <v>0</v>
      </c>
      <c r="T323" s="20">
        <v>5.8119930000000002</v>
      </c>
      <c r="U323" s="20">
        <v>10.228956</v>
      </c>
      <c r="V323" s="20">
        <v>17.904929589999998</v>
      </c>
      <c r="W323">
        <v>0</v>
      </c>
      <c r="Z323">
        <v>0</v>
      </c>
      <c r="AD323">
        <v>18</v>
      </c>
      <c r="AE323" s="44">
        <f t="shared" ref="AE323:AE385" si="21">O323*P323*Q323</f>
        <v>0</v>
      </c>
      <c r="AF323" s="46">
        <v>882.26177591634428</v>
      </c>
      <c r="AG323" s="44">
        <v>0</v>
      </c>
      <c r="AH323" s="44">
        <v>0</v>
      </c>
      <c r="AJ323" s="40">
        <v>8.1608431834438916E-2</v>
      </c>
      <c r="AM323" s="23">
        <v>2</v>
      </c>
      <c r="AN323" s="23">
        <v>2.4</v>
      </c>
      <c r="AO323" s="23">
        <v>0.4</v>
      </c>
      <c r="AP323" s="23">
        <v>1.8666666666666669</v>
      </c>
      <c r="AQ323" s="23">
        <v>0.3</v>
      </c>
      <c r="AR323" s="23">
        <v>0.36</v>
      </c>
      <c r="AS323" s="23">
        <v>0.06</v>
      </c>
      <c r="AT323" s="23">
        <v>0.28000000000000003</v>
      </c>
      <c r="AU323" s="20">
        <v>0.95</v>
      </c>
      <c r="AV323" s="20">
        <v>3.44</v>
      </c>
      <c r="AW323" s="20">
        <v>2.4900000000000002</v>
      </c>
      <c r="AX323" s="20">
        <v>2.5173333333333332</v>
      </c>
      <c r="AY323">
        <v>2.5173333333333341</v>
      </c>
      <c r="AZ323">
        <v>5.8148519500000004</v>
      </c>
      <c r="BA323" s="64">
        <v>0.53464553504946077</v>
      </c>
      <c r="BE323">
        <v>4.0804215917219458E-2</v>
      </c>
      <c r="BH323">
        <v>8.1608431834438916E-2</v>
      </c>
      <c r="BI323">
        <v>4.0804215917219458E-2</v>
      </c>
      <c r="BJ323">
        <v>0.53464553504946077</v>
      </c>
    </row>
    <row r="324" spans="1:62" x14ac:dyDescent="0.3">
      <c r="A324" t="s">
        <v>221</v>
      </c>
      <c r="B324" s="12" t="s">
        <v>808</v>
      </c>
      <c r="C324" s="12"/>
      <c r="F324">
        <v>4.75</v>
      </c>
      <c r="G324" t="s">
        <v>253</v>
      </c>
      <c r="H324" s="8" t="s">
        <v>589</v>
      </c>
      <c r="I324">
        <v>-1</v>
      </c>
      <c r="L324" s="20">
        <v>1</v>
      </c>
      <c r="M324">
        <v>0</v>
      </c>
      <c r="N324">
        <v>0</v>
      </c>
      <c r="T324" s="20">
        <v>5.6694849300000003</v>
      </c>
      <c r="U324" s="20">
        <v>5.6694842000000003</v>
      </c>
      <c r="V324" s="20">
        <v>11.54266629</v>
      </c>
      <c r="W324">
        <v>0</v>
      </c>
      <c r="Z324">
        <v>0</v>
      </c>
      <c r="AD324">
        <v>30</v>
      </c>
      <c r="AE324" s="44">
        <f t="shared" si="21"/>
        <v>0</v>
      </c>
      <c r="AF324" s="46">
        <v>321.30962315738361</v>
      </c>
      <c r="AG324" s="44">
        <v>0</v>
      </c>
      <c r="AH324" s="44">
        <v>0</v>
      </c>
      <c r="AJ324" s="40">
        <v>9.3367885173191417E-2</v>
      </c>
      <c r="AM324" s="23">
        <v>2</v>
      </c>
      <c r="AN324" s="23">
        <v>2.5</v>
      </c>
      <c r="AO324" s="23">
        <v>0.5</v>
      </c>
      <c r="AP324" s="23">
        <v>2.333333333333333</v>
      </c>
      <c r="AQ324" s="23">
        <v>0.27272727272727282</v>
      </c>
      <c r="AR324" s="23">
        <v>0.34090909090909088</v>
      </c>
      <c r="AS324" s="23">
        <v>6.8181818181818191E-2</v>
      </c>
      <c r="AT324" s="23">
        <v>0.31818181818181818</v>
      </c>
      <c r="AU324" s="20">
        <v>0.95</v>
      </c>
      <c r="AV324" s="20">
        <v>3.44</v>
      </c>
      <c r="AW324" s="20">
        <v>2.4900000000000002</v>
      </c>
      <c r="AX324" s="20">
        <v>2.5979166666666669</v>
      </c>
      <c r="AY324">
        <v>2.597916666666666</v>
      </c>
      <c r="AZ324">
        <v>5.966934078125</v>
      </c>
      <c r="BA324" s="64">
        <v>0.56583721757051464</v>
      </c>
      <c r="BE324">
        <v>4.6683942586595709E-2</v>
      </c>
      <c r="BH324">
        <v>9.3367885173191417E-2</v>
      </c>
      <c r="BI324">
        <v>4.6683942586595709E-2</v>
      </c>
      <c r="BJ324">
        <v>0.56583721757051464</v>
      </c>
    </row>
    <row r="325" spans="1:62" x14ac:dyDescent="0.3">
      <c r="A325" t="s">
        <v>255</v>
      </c>
      <c r="B325" s="12" t="s">
        <v>818</v>
      </c>
      <c r="C325" s="12"/>
      <c r="F325">
        <v>1.55</v>
      </c>
      <c r="G325" t="s">
        <v>256</v>
      </c>
      <c r="H325" s="8" t="s">
        <v>595</v>
      </c>
      <c r="I325" t="s">
        <v>668</v>
      </c>
      <c r="L325" s="20">
        <v>2</v>
      </c>
      <c r="M325">
        <v>4</v>
      </c>
      <c r="N325">
        <v>0</v>
      </c>
      <c r="T325" s="20">
        <v>6.8866614799999999</v>
      </c>
      <c r="U325" s="20">
        <v>6.8866614799999999</v>
      </c>
      <c r="V325" s="20">
        <v>6.8866614799999999</v>
      </c>
      <c r="W325">
        <v>8.51</v>
      </c>
      <c r="X325">
        <v>8.51</v>
      </c>
      <c r="Y325">
        <v>5.8140000000000001</v>
      </c>
      <c r="Z325">
        <v>0</v>
      </c>
      <c r="AD325">
        <v>8</v>
      </c>
      <c r="AE325" s="44">
        <f t="shared" si="21"/>
        <v>0</v>
      </c>
      <c r="AF325" s="46">
        <v>222.33131811857061</v>
      </c>
      <c r="AG325" s="44">
        <v>421.05046140000002</v>
      </c>
      <c r="AH325" s="44">
        <v>0</v>
      </c>
      <c r="AJ325" s="40">
        <v>7.1964670274059672E-2</v>
      </c>
      <c r="AK325" s="41">
        <v>7.6000391719318994E-2</v>
      </c>
      <c r="AM325" s="23">
        <v>1.857142857142857</v>
      </c>
      <c r="AN325" s="23">
        <v>3.1428571428571428</v>
      </c>
      <c r="AO325" s="23">
        <v>4.2857142857142856</v>
      </c>
      <c r="AP325" s="23">
        <v>4</v>
      </c>
      <c r="AQ325" s="23">
        <v>0.1397849462365591</v>
      </c>
      <c r="AR325" s="23">
        <v>0.23655913978494619</v>
      </c>
      <c r="AS325" s="23">
        <v>0.32258064516129031</v>
      </c>
      <c r="AT325" s="23">
        <v>0.30107526881720431</v>
      </c>
      <c r="AU325" s="20">
        <v>1.9</v>
      </c>
      <c r="AV325" s="20">
        <v>3.44</v>
      </c>
      <c r="AW325" s="20">
        <v>1.54</v>
      </c>
      <c r="AX325" s="20">
        <v>2.8142857142857141</v>
      </c>
      <c r="AY325">
        <v>2.8142857142857141</v>
      </c>
      <c r="AZ325">
        <v>6.1238972471428568</v>
      </c>
      <c r="BA325" s="64">
        <v>0.44701389447074941</v>
      </c>
      <c r="BB325" s="64">
        <v>0.47208207797488139</v>
      </c>
      <c r="BE325">
        <v>3.5982335137029829E-2</v>
      </c>
      <c r="BF325">
        <v>3.800019585965949E-2</v>
      </c>
      <c r="BH325">
        <v>7.3982530996689333E-2</v>
      </c>
      <c r="BI325">
        <v>3.699126549834466E-2</v>
      </c>
      <c r="BJ325">
        <v>0.4595479862228154</v>
      </c>
    </row>
    <row r="326" spans="1:62" x14ac:dyDescent="0.3">
      <c r="A326" t="s">
        <v>0</v>
      </c>
      <c r="B326" s="12" t="s">
        <v>685</v>
      </c>
      <c r="C326" s="12"/>
      <c r="F326">
        <v>3.3</v>
      </c>
      <c r="G326" t="s">
        <v>257</v>
      </c>
      <c r="H326" s="8" t="s">
        <v>523</v>
      </c>
      <c r="I326" t="s">
        <v>606</v>
      </c>
      <c r="L326" s="20">
        <v>4</v>
      </c>
      <c r="M326">
        <v>4</v>
      </c>
      <c r="N326">
        <v>0</v>
      </c>
      <c r="T326" s="20">
        <v>6.6040679999999998</v>
      </c>
      <c r="U326" s="20">
        <v>7.9389519999999996</v>
      </c>
      <c r="V326" s="20">
        <v>33.703336</v>
      </c>
      <c r="W326">
        <v>7.83</v>
      </c>
      <c r="X326">
        <v>33.209989999999998</v>
      </c>
      <c r="Y326">
        <v>6.46</v>
      </c>
      <c r="Z326">
        <v>0</v>
      </c>
      <c r="AD326">
        <v>34</v>
      </c>
      <c r="AE326" s="44">
        <f t="shared" si="21"/>
        <v>0</v>
      </c>
      <c r="AF326" s="46">
        <v>1767.0449718798691</v>
      </c>
      <c r="AG326" s="44">
        <v>1679.8210721820001</v>
      </c>
      <c r="AH326" s="44">
        <v>0</v>
      </c>
      <c r="AJ326" s="40">
        <v>7.6964651247849417E-2</v>
      </c>
      <c r="AK326" s="41">
        <v>8.0961003676030277E-2</v>
      </c>
      <c r="AM326" s="23">
        <v>1.62962962962963</v>
      </c>
      <c r="AN326" s="23">
        <v>2.518518518518519</v>
      </c>
      <c r="AO326" s="23">
        <v>0.88888888888888884</v>
      </c>
      <c r="AP326" s="23">
        <v>0</v>
      </c>
      <c r="AQ326" s="23">
        <v>0.32352941176470579</v>
      </c>
      <c r="AR326" s="23">
        <v>0.5</v>
      </c>
      <c r="AS326" s="23">
        <v>0.1764705882352941</v>
      </c>
      <c r="AT326" s="23">
        <v>0</v>
      </c>
      <c r="AU326" s="20">
        <v>0.82</v>
      </c>
      <c r="AV326" s="20">
        <v>3.44</v>
      </c>
      <c r="AW326" s="20">
        <v>2.62</v>
      </c>
      <c r="AX326" s="20">
        <v>2.642962962962963</v>
      </c>
      <c r="AY326">
        <v>2.642962962962963</v>
      </c>
      <c r="AZ326">
        <v>5.9587362692592576</v>
      </c>
      <c r="BA326" s="64">
        <v>0.48264383878002159</v>
      </c>
      <c r="BB326" s="64">
        <v>0.50770488753139842</v>
      </c>
      <c r="BE326">
        <v>3.8482325623924708E-2</v>
      </c>
      <c r="BF326">
        <v>4.0480501838015132E-2</v>
      </c>
      <c r="BH326">
        <v>7.8962827461939847E-2</v>
      </c>
      <c r="BI326">
        <v>3.9481413730969923E-2</v>
      </c>
      <c r="BJ326">
        <v>0.49517436315571001</v>
      </c>
    </row>
    <row r="327" spans="1:62" x14ac:dyDescent="0.3">
      <c r="A327" t="s">
        <v>215</v>
      </c>
      <c r="B327" s="12" t="s">
        <v>734</v>
      </c>
      <c r="C327" s="12"/>
      <c r="F327">
        <v>4.13</v>
      </c>
      <c r="G327" t="s">
        <v>258</v>
      </c>
      <c r="H327" s="8" t="s">
        <v>587</v>
      </c>
      <c r="I327" t="s">
        <v>636</v>
      </c>
      <c r="L327" s="20">
        <v>1</v>
      </c>
      <c r="M327">
        <v>1</v>
      </c>
      <c r="N327">
        <v>0</v>
      </c>
      <c r="T327" s="20">
        <v>3.950634</v>
      </c>
      <c r="U327" s="20">
        <v>3.950634</v>
      </c>
      <c r="V327" s="20">
        <v>15.513552000000001</v>
      </c>
      <c r="W327">
        <v>3.8658999999999999</v>
      </c>
      <c r="X327">
        <v>3.8658999999999999</v>
      </c>
      <c r="Y327">
        <v>15.2538</v>
      </c>
      <c r="Z327">
        <v>0</v>
      </c>
      <c r="AD327">
        <v>20</v>
      </c>
      <c r="AE327" s="44">
        <f t="shared" si="21"/>
        <v>0</v>
      </c>
      <c r="AF327" s="46">
        <v>242.1279024923125</v>
      </c>
      <c r="AG327" s="44">
        <v>227.970829547178</v>
      </c>
      <c r="AH327" s="44">
        <v>0</v>
      </c>
      <c r="AJ327" s="40">
        <v>8.2600971611006269E-2</v>
      </c>
      <c r="AK327" s="41">
        <v>8.7730522539775438E-2</v>
      </c>
      <c r="AM327" s="23">
        <v>1.9375</v>
      </c>
      <c r="AN327" s="23">
        <v>2.5</v>
      </c>
      <c r="AO327" s="23">
        <v>0.5625</v>
      </c>
      <c r="AP327" s="23">
        <v>2.625</v>
      </c>
      <c r="AQ327" s="23">
        <v>0.25409836065573771</v>
      </c>
      <c r="AR327" s="23">
        <v>0.32786885245901642</v>
      </c>
      <c r="AS327" s="23">
        <v>7.3770491803278687E-2</v>
      </c>
      <c r="AT327" s="23">
        <v>0.34426229508196721</v>
      </c>
      <c r="AU327" s="20">
        <v>0.79</v>
      </c>
      <c r="AV327" s="20">
        <v>3.44</v>
      </c>
      <c r="AW327" s="20">
        <v>2.65</v>
      </c>
      <c r="AX327" s="20">
        <v>2.6056249999999999</v>
      </c>
      <c r="AY327">
        <v>2.6056249999999999</v>
      </c>
      <c r="AZ327">
        <v>5.9703320286696879</v>
      </c>
      <c r="BA327" s="64">
        <v>0.52453741991489755</v>
      </c>
      <c r="BB327" s="64">
        <v>0.55711138795694093</v>
      </c>
      <c r="BE327">
        <v>4.1300485805503127E-2</v>
      </c>
      <c r="BF327">
        <v>4.3865261269887712E-2</v>
      </c>
      <c r="BH327">
        <v>8.5165747075390846E-2</v>
      </c>
      <c r="BI327">
        <v>4.2582873537695423E-2</v>
      </c>
      <c r="BJ327">
        <v>0.54082440393591924</v>
      </c>
    </row>
    <row r="328" spans="1:62" x14ac:dyDescent="0.3">
      <c r="A328" t="s">
        <v>259</v>
      </c>
      <c r="B328" s="16" t="s">
        <v>734</v>
      </c>
      <c r="C328" s="12"/>
      <c r="D328" t="s">
        <v>676</v>
      </c>
      <c r="E328">
        <v>0.3</v>
      </c>
      <c r="F328">
        <v>2.17</v>
      </c>
      <c r="G328" t="s">
        <v>258</v>
      </c>
      <c r="H328" s="8" t="s">
        <v>587</v>
      </c>
      <c r="I328" t="s">
        <v>636</v>
      </c>
      <c r="L328" s="20">
        <v>1</v>
      </c>
      <c r="M328">
        <v>1</v>
      </c>
      <c r="N328">
        <v>0</v>
      </c>
      <c r="T328" s="20">
        <v>3.950634</v>
      </c>
      <c r="U328" s="20">
        <v>3.950634</v>
      </c>
      <c r="V328" s="20">
        <v>15.513552000000001</v>
      </c>
      <c r="W328">
        <v>3.8658999999999999</v>
      </c>
      <c r="X328">
        <v>3.8658999999999999</v>
      </c>
      <c r="Y328">
        <v>15.2538</v>
      </c>
      <c r="Z328">
        <v>0</v>
      </c>
      <c r="AD328">
        <v>20</v>
      </c>
      <c r="AE328" s="44">
        <f t="shared" si="21"/>
        <v>0</v>
      </c>
      <c r="AF328" s="46">
        <v>242.1279024923125</v>
      </c>
      <c r="AG328" s="44">
        <v>227.970829547178</v>
      </c>
      <c r="AH328" s="44">
        <v>0</v>
      </c>
      <c r="AJ328" s="40">
        <v>8.2600971611006269E-2</v>
      </c>
      <c r="AK328" s="41">
        <v>8.7730522539775438E-2</v>
      </c>
      <c r="AM328" s="23">
        <v>1.9375</v>
      </c>
      <c r="AN328" s="23">
        <v>2.5</v>
      </c>
      <c r="AO328" s="23">
        <v>0.5625</v>
      </c>
      <c r="AP328" s="23">
        <v>2.625</v>
      </c>
      <c r="AQ328" s="23">
        <v>0.25409836065573771</v>
      </c>
      <c r="AR328" s="23">
        <v>0.32786885245901642</v>
      </c>
      <c r="AS328" s="23">
        <v>7.3770491803278687E-2</v>
      </c>
      <c r="AT328" s="23">
        <v>0.34426229508196721</v>
      </c>
      <c r="AU328" s="20">
        <v>0.79</v>
      </c>
      <c r="AV328" s="20">
        <v>3.44</v>
      </c>
      <c r="AW328" s="20">
        <v>2.65</v>
      </c>
      <c r="AX328" s="20">
        <v>2.6056249999999999</v>
      </c>
      <c r="AY328">
        <v>2.6056249999999999</v>
      </c>
      <c r="AZ328">
        <v>5.9703320286696879</v>
      </c>
      <c r="BA328" s="64">
        <v>0.52453741991489755</v>
      </c>
      <c r="BB328" s="64">
        <v>0.55711138795694093</v>
      </c>
      <c r="BE328">
        <v>4.1300485805503127E-2</v>
      </c>
      <c r="BF328">
        <v>4.3865261269887712E-2</v>
      </c>
      <c r="BH328">
        <v>8.5165747075390846E-2</v>
      </c>
      <c r="BI328">
        <v>4.2582873537695423E-2</v>
      </c>
      <c r="BJ328">
        <v>0.54082440393591924</v>
      </c>
    </row>
    <row r="329" spans="1:62" x14ac:dyDescent="0.3">
      <c r="A329" t="s">
        <v>4</v>
      </c>
      <c r="B329" s="12" t="s">
        <v>689</v>
      </c>
      <c r="C329" s="12"/>
      <c r="F329">
        <v>3.35</v>
      </c>
      <c r="G329" t="s">
        <v>260</v>
      </c>
      <c r="H329" s="8" t="s">
        <v>527</v>
      </c>
      <c r="I329" t="s">
        <v>609</v>
      </c>
      <c r="L329" s="20">
        <v>4</v>
      </c>
      <c r="M329">
        <v>4</v>
      </c>
      <c r="N329">
        <v>0</v>
      </c>
      <c r="T329" s="20">
        <v>7.8084429999999996</v>
      </c>
      <c r="U329" s="20">
        <v>7.8548809999999998</v>
      </c>
      <c r="V329" s="20">
        <v>15.19056011</v>
      </c>
      <c r="W329">
        <v>3.8801999999999999</v>
      </c>
      <c r="X329">
        <v>29.507999999999999</v>
      </c>
      <c r="Y329">
        <v>7.7140000000000004</v>
      </c>
      <c r="Z329">
        <v>0</v>
      </c>
      <c r="AD329">
        <v>20</v>
      </c>
      <c r="AE329" s="44">
        <f t="shared" si="21"/>
        <v>0</v>
      </c>
      <c r="AF329" s="46">
        <v>924.74694800021894</v>
      </c>
      <c r="AG329" s="44">
        <v>883.22940750240002</v>
      </c>
      <c r="AH329" s="44">
        <v>0</v>
      </c>
      <c r="AJ329" s="40">
        <v>8.6510153045653584E-2</v>
      </c>
      <c r="AK329" s="41">
        <v>9.0576694254581439E-2</v>
      </c>
      <c r="AM329" s="23">
        <v>1.75</v>
      </c>
      <c r="AN329" s="23">
        <v>2.5</v>
      </c>
      <c r="AO329" s="23">
        <v>0.75</v>
      </c>
      <c r="AP329" s="23">
        <v>0</v>
      </c>
      <c r="AQ329" s="23">
        <v>0.35</v>
      </c>
      <c r="AR329" s="23">
        <v>0.5</v>
      </c>
      <c r="AS329" s="23">
        <v>0.15</v>
      </c>
      <c r="AT329" s="23">
        <v>0</v>
      </c>
      <c r="AU329" s="20">
        <v>0.82</v>
      </c>
      <c r="AV329" s="20">
        <v>3.44</v>
      </c>
      <c r="AW329" s="20">
        <v>2.62</v>
      </c>
      <c r="AX329" s="20">
        <v>2.6262500000000002</v>
      </c>
      <c r="AY329">
        <v>2.6262500000000002</v>
      </c>
      <c r="AZ329">
        <v>5.96680968125</v>
      </c>
      <c r="BA329" s="64">
        <v>0.50555206026575039</v>
      </c>
      <c r="BB329" s="64">
        <v>0</v>
      </c>
      <c r="BE329">
        <v>4.3255076522826792E-2</v>
      </c>
      <c r="BF329">
        <v>4.5288347127290719E-2</v>
      </c>
      <c r="BH329">
        <v>8.8543423650117511E-2</v>
      </c>
      <c r="BI329">
        <v>4.4271711825058763E-2</v>
      </c>
      <c r="BJ329">
        <v>0.2527760301328752</v>
      </c>
    </row>
    <row r="330" spans="1:62" x14ac:dyDescent="0.3">
      <c r="A330" t="s">
        <v>38</v>
      </c>
      <c r="B330" s="12" t="s">
        <v>714</v>
      </c>
      <c r="C330" s="12"/>
      <c r="F330">
        <v>3.92</v>
      </c>
      <c r="G330" t="s">
        <v>261</v>
      </c>
      <c r="H330" s="8" t="s">
        <v>545</v>
      </c>
      <c r="I330" t="s">
        <v>626</v>
      </c>
      <c r="L330" s="20">
        <v>1</v>
      </c>
      <c r="M330">
        <v>1</v>
      </c>
      <c r="N330">
        <v>0</v>
      </c>
      <c r="T330" s="20">
        <v>5.8532381300000003</v>
      </c>
      <c r="U330" s="20">
        <v>5.8532371599999999</v>
      </c>
      <c r="V330" s="20">
        <v>11.912811489999999</v>
      </c>
      <c r="W330">
        <v>5.7946</v>
      </c>
      <c r="X330">
        <v>5.7946</v>
      </c>
      <c r="Y330">
        <v>11.787599999999999</v>
      </c>
      <c r="Z330">
        <v>0</v>
      </c>
      <c r="AD330">
        <v>30</v>
      </c>
      <c r="AE330" s="44">
        <f t="shared" si="21"/>
        <v>0</v>
      </c>
      <c r="AF330" s="46">
        <v>353.45760058531442</v>
      </c>
      <c r="AG330" s="44">
        <v>342.77011164986573</v>
      </c>
      <c r="AH330" s="44">
        <v>0</v>
      </c>
      <c r="AJ330" s="40">
        <v>8.487580957467307E-2</v>
      </c>
      <c r="AK330" s="41">
        <v>8.752221672887435E-2</v>
      </c>
      <c r="AM330" s="23">
        <v>1.833333333333333</v>
      </c>
      <c r="AN330" s="23">
        <v>2.5</v>
      </c>
      <c r="AO330" s="23">
        <v>0.66666666666666663</v>
      </c>
      <c r="AP330" s="23">
        <v>0</v>
      </c>
      <c r="AQ330" s="23">
        <v>0.36666666666666659</v>
      </c>
      <c r="AR330" s="23">
        <v>0.5</v>
      </c>
      <c r="AS330" s="23">
        <v>0.1333333333333333</v>
      </c>
      <c r="AT330" s="23">
        <v>0</v>
      </c>
      <c r="AU330" s="20">
        <v>0.89</v>
      </c>
      <c r="AV330" s="20">
        <v>3.44</v>
      </c>
      <c r="AW330" s="20">
        <v>2.5499999999999998</v>
      </c>
      <c r="AX330" s="20">
        <v>2.6020833333333329</v>
      </c>
      <c r="AY330">
        <v>2.6020833333333329</v>
      </c>
      <c r="AZ330">
        <v>5.9098726145833336</v>
      </c>
      <c r="BA330" s="64">
        <v>0.57410011132036598</v>
      </c>
      <c r="BB330" s="64">
        <v>0.59200041353179045</v>
      </c>
      <c r="BE330">
        <v>4.2437904787336528E-2</v>
      </c>
      <c r="BF330">
        <v>4.3761108364437168E-2</v>
      </c>
      <c r="BH330">
        <v>8.619901315177371E-2</v>
      </c>
      <c r="BI330">
        <v>4.3099506575886848E-2</v>
      </c>
      <c r="BJ330">
        <v>0.58305026242607827</v>
      </c>
    </row>
    <row r="331" spans="1:62" x14ac:dyDescent="0.3">
      <c r="A331" t="s">
        <v>4</v>
      </c>
      <c r="B331" s="19" t="s">
        <v>689</v>
      </c>
      <c r="C331" s="12"/>
      <c r="F331">
        <v>3.55</v>
      </c>
      <c r="G331" t="s">
        <v>263</v>
      </c>
      <c r="H331" s="8">
        <v>-1</v>
      </c>
      <c r="I331">
        <v>-1</v>
      </c>
      <c r="K331">
        <v>4</v>
      </c>
      <c r="L331" s="20">
        <v>0</v>
      </c>
      <c r="M331">
        <v>0</v>
      </c>
      <c r="N331">
        <v>0</v>
      </c>
      <c r="O331">
        <v>3.8450000000000002</v>
      </c>
      <c r="P331">
        <v>29.35</v>
      </c>
      <c r="Q331">
        <v>7.6580000000000004</v>
      </c>
      <c r="R331" t="s">
        <v>472</v>
      </c>
      <c r="T331" s="20">
        <v>0</v>
      </c>
      <c r="U331" s="20"/>
      <c r="V331" s="20"/>
      <c r="W331">
        <v>0</v>
      </c>
      <c r="Z331">
        <v>0</v>
      </c>
      <c r="AD331">
        <v>20</v>
      </c>
      <c r="AE331" s="44">
        <f t="shared" si="21"/>
        <v>864.21104350000007</v>
      </c>
      <c r="AF331" s="46">
        <v>0</v>
      </c>
      <c r="AG331" s="44">
        <v>0</v>
      </c>
      <c r="AH331" s="44">
        <v>0</v>
      </c>
      <c r="AI331" s="41">
        <f t="shared" ref="AI331:AI332" si="22">K331*AD331/AE331</f>
        <v>9.256998114257492E-2</v>
      </c>
      <c r="AJ331" s="40"/>
      <c r="AM331" s="23">
        <v>1.75</v>
      </c>
      <c r="AN331" s="23">
        <v>2.5</v>
      </c>
      <c r="AO331" s="23">
        <v>0.75</v>
      </c>
      <c r="AP331" s="23">
        <v>0</v>
      </c>
      <c r="AQ331" s="23">
        <v>0.35</v>
      </c>
      <c r="AR331" s="23">
        <v>0.5</v>
      </c>
      <c r="AS331" s="23">
        <v>0.15</v>
      </c>
      <c r="AT331" s="23">
        <v>0</v>
      </c>
      <c r="AU331" s="20">
        <v>0.82</v>
      </c>
      <c r="AV331" s="20">
        <v>3.44</v>
      </c>
      <c r="AW331" s="20">
        <v>2.62</v>
      </c>
      <c r="AX331" s="20">
        <v>2.6262500000000002</v>
      </c>
      <c r="AY331">
        <v>2.7466666666666661</v>
      </c>
      <c r="AZ331">
        <v>6.2031928980000002</v>
      </c>
      <c r="BD331">
        <v>4.628499057128746E-2</v>
      </c>
      <c r="BH331">
        <v>9.256998114257492E-2</v>
      </c>
      <c r="BI331">
        <v>4.628499057128746E-2</v>
      </c>
      <c r="BJ331">
        <v>0</v>
      </c>
    </row>
    <row r="332" spans="1:62" x14ac:dyDescent="0.3">
      <c r="A332" t="s">
        <v>4</v>
      </c>
      <c r="B332" s="19" t="s">
        <v>689</v>
      </c>
      <c r="C332" s="12"/>
      <c r="D332" t="s">
        <v>676</v>
      </c>
      <c r="E332">
        <v>1.37</v>
      </c>
      <c r="F332">
        <v>3.03</v>
      </c>
      <c r="G332" t="s">
        <v>263</v>
      </c>
      <c r="H332" s="8">
        <v>-1</v>
      </c>
      <c r="I332">
        <v>-1</v>
      </c>
      <c r="K332">
        <v>4</v>
      </c>
      <c r="L332" s="20">
        <v>0</v>
      </c>
      <c r="M332">
        <v>0</v>
      </c>
      <c r="N332">
        <v>0</v>
      </c>
      <c r="O332">
        <v>3.8490000000000002</v>
      </c>
      <c r="P332">
        <v>29.42</v>
      </c>
      <c r="Q332">
        <v>7.6680000000000001</v>
      </c>
      <c r="R332" t="s">
        <v>472</v>
      </c>
      <c r="T332" s="20">
        <v>0</v>
      </c>
      <c r="U332" s="20"/>
      <c r="V332" s="20"/>
      <c r="W332">
        <v>0</v>
      </c>
      <c r="Z332">
        <v>0</v>
      </c>
      <c r="AD332">
        <v>20</v>
      </c>
      <c r="AE332" s="44">
        <f t="shared" si="21"/>
        <v>868.30576344000008</v>
      </c>
      <c r="AF332" s="46">
        <v>0</v>
      </c>
      <c r="AG332" s="44">
        <v>0</v>
      </c>
      <c r="AH332" s="44">
        <v>0</v>
      </c>
      <c r="AI332" s="41">
        <f t="shared" si="22"/>
        <v>9.2133443503888482E-2</v>
      </c>
      <c r="AJ332" s="40"/>
      <c r="AM332" s="23">
        <v>1.75</v>
      </c>
      <c r="AN332" s="23">
        <v>2.5</v>
      </c>
      <c r="AO332" s="23">
        <v>0.75</v>
      </c>
      <c r="AP332" s="23">
        <v>0</v>
      </c>
      <c r="AQ332" s="23">
        <v>0.35</v>
      </c>
      <c r="AR332" s="23">
        <v>0.5</v>
      </c>
      <c r="AS332" s="23">
        <v>0.15</v>
      </c>
      <c r="AT332" s="23">
        <v>0</v>
      </c>
      <c r="AU332" s="20">
        <v>0.82</v>
      </c>
      <c r="AV332" s="20">
        <v>3.44</v>
      </c>
      <c r="AW332" s="20">
        <v>2.62</v>
      </c>
      <c r="AX332" s="20">
        <v>2.6262500000000002</v>
      </c>
      <c r="AY332">
        <v>2.7466666666666661</v>
      </c>
      <c r="AZ332">
        <v>6.2031928980000002</v>
      </c>
      <c r="BD332">
        <v>4.6066721751944241E-2</v>
      </c>
      <c r="BH332">
        <v>9.2133443503888482E-2</v>
      </c>
      <c r="BI332">
        <v>4.6066721751944241E-2</v>
      </c>
      <c r="BJ332">
        <v>0</v>
      </c>
    </row>
    <row r="333" spans="1:62" x14ac:dyDescent="0.3">
      <c r="A333" t="s">
        <v>889</v>
      </c>
      <c r="B333" s="16" t="s">
        <v>945</v>
      </c>
      <c r="C333" s="12"/>
      <c r="D333" t="s">
        <v>676</v>
      </c>
      <c r="E333">
        <v>0.41</v>
      </c>
      <c r="F333">
        <v>2.1800000000000002</v>
      </c>
      <c r="G333" t="s">
        <v>264</v>
      </c>
      <c r="H333" s="8">
        <v>-1</v>
      </c>
      <c r="I333">
        <v>-1</v>
      </c>
      <c r="J333" t="s">
        <v>1174</v>
      </c>
      <c r="K333">
        <v>1</v>
      </c>
      <c r="L333" s="20">
        <v>0</v>
      </c>
      <c r="M333">
        <v>0</v>
      </c>
      <c r="N333">
        <v>1</v>
      </c>
      <c r="O333">
        <v>3.899</v>
      </c>
      <c r="P333">
        <v>3.899</v>
      </c>
      <c r="Q333">
        <v>15.5359</v>
      </c>
      <c r="T333" s="20">
        <v>0</v>
      </c>
      <c r="U333" s="20"/>
      <c r="V333" s="20"/>
      <c r="W333">
        <v>0</v>
      </c>
      <c r="Z333">
        <v>0</v>
      </c>
      <c r="AD333">
        <v>20</v>
      </c>
      <c r="AE333" s="44">
        <f t="shared" si="21"/>
        <v>236.1798745159</v>
      </c>
      <c r="AF333" s="46">
        <v>0</v>
      </c>
      <c r="AG333" s="44">
        <v>0</v>
      </c>
      <c r="AH333" s="44">
        <v>236.2</v>
      </c>
      <c r="AJ333" s="40"/>
      <c r="AL333" s="56">
        <f>N333*AD333/AH333</f>
        <v>8.4674005080440304E-2</v>
      </c>
      <c r="AM333" s="23">
        <v>1.9375</v>
      </c>
      <c r="AN333" s="23">
        <v>2.5</v>
      </c>
      <c r="AO333" s="23">
        <v>0.5625</v>
      </c>
      <c r="AP333" s="23">
        <v>2.625</v>
      </c>
      <c r="AQ333" s="23">
        <v>0.25409836065573771</v>
      </c>
      <c r="AR333" s="23">
        <v>0.32786885245901642</v>
      </c>
      <c r="AS333" s="23">
        <v>7.3770491803278687E-2</v>
      </c>
      <c r="AT333" s="23">
        <v>0.34426229508196721</v>
      </c>
      <c r="AU333" s="20">
        <v>0.79</v>
      </c>
      <c r="AV333" s="20">
        <v>3.44</v>
      </c>
      <c r="AW333" s="20">
        <v>2.65</v>
      </c>
      <c r="AX333" s="20">
        <v>2.5975000000000001</v>
      </c>
      <c r="AY333">
        <v>2.5975000000000001</v>
      </c>
      <c r="AZ333">
        <v>5.9398049203884389</v>
      </c>
      <c r="BC333" s="64">
        <v>0.56677800513792698</v>
      </c>
      <c r="BD333">
        <v>4.2340610183221959E-2</v>
      </c>
      <c r="BG333">
        <v>4.2337002540220152E-2</v>
      </c>
      <c r="BH333">
        <v>8.4674005080440304E-2</v>
      </c>
      <c r="BI333">
        <v>4.2338806361721062E-2</v>
      </c>
      <c r="BJ333">
        <v>0.56677800513792698</v>
      </c>
    </row>
    <row r="334" spans="1:62" x14ac:dyDescent="0.3">
      <c r="A334" t="s">
        <v>4</v>
      </c>
      <c r="B334" s="12" t="s">
        <v>689</v>
      </c>
      <c r="C334" s="12"/>
      <c r="D334" t="s">
        <v>890</v>
      </c>
      <c r="E334">
        <v>0.55000000000000004</v>
      </c>
      <c r="F334">
        <v>2.92</v>
      </c>
      <c r="G334" t="s">
        <v>265</v>
      </c>
      <c r="H334" s="8" t="s">
        <v>527</v>
      </c>
      <c r="I334" t="s">
        <v>609</v>
      </c>
      <c r="L334" s="20">
        <v>4</v>
      </c>
      <c r="M334">
        <v>4</v>
      </c>
      <c r="N334">
        <v>0</v>
      </c>
      <c r="T334" s="20">
        <v>7.8084429999999996</v>
      </c>
      <c r="U334" s="20">
        <v>7.8548809999999998</v>
      </c>
      <c r="V334" s="20">
        <v>15.19056011</v>
      </c>
      <c r="W334">
        <v>3.8801999999999999</v>
      </c>
      <c r="X334">
        <v>29.507999999999999</v>
      </c>
      <c r="Y334">
        <v>7.7140000000000004</v>
      </c>
      <c r="Z334">
        <v>0</v>
      </c>
      <c r="AD334">
        <v>20</v>
      </c>
      <c r="AE334" s="44">
        <f t="shared" si="21"/>
        <v>0</v>
      </c>
      <c r="AF334" s="46">
        <v>924.74694800021894</v>
      </c>
      <c r="AG334" s="44">
        <v>883.22940750240002</v>
      </c>
      <c r="AH334" s="44">
        <v>0</v>
      </c>
      <c r="AJ334" s="40">
        <v>8.6510153045653584E-2</v>
      </c>
      <c r="AK334" s="41">
        <v>9.0576694254581439E-2</v>
      </c>
      <c r="AM334" s="23">
        <v>1.75</v>
      </c>
      <c r="AN334" s="23">
        <v>2.5</v>
      </c>
      <c r="AO334" s="23">
        <v>0.75</v>
      </c>
      <c r="AP334" s="23">
        <v>0</v>
      </c>
      <c r="AQ334" s="23">
        <v>0.35</v>
      </c>
      <c r="AR334" s="23">
        <v>0.5</v>
      </c>
      <c r="AS334" s="23">
        <v>0.15</v>
      </c>
      <c r="AT334" s="23">
        <v>0</v>
      </c>
      <c r="AU334" s="20">
        <v>0.82</v>
      </c>
      <c r="AV334" s="20">
        <v>3.44</v>
      </c>
      <c r="AW334" s="20">
        <v>2.62</v>
      </c>
      <c r="AX334" s="20">
        <v>2.6262500000000002</v>
      </c>
      <c r="AY334">
        <v>2.6262500000000002</v>
      </c>
      <c r="AZ334">
        <v>5.96680968125</v>
      </c>
      <c r="BA334" s="64">
        <v>0.50555206026575039</v>
      </c>
      <c r="BB334" s="64">
        <v>0</v>
      </c>
      <c r="BE334">
        <v>4.3255076522826792E-2</v>
      </c>
      <c r="BF334">
        <v>4.5288347127290719E-2</v>
      </c>
      <c r="BH334">
        <v>8.8543423650117511E-2</v>
      </c>
      <c r="BI334">
        <v>4.4271711825058763E-2</v>
      </c>
      <c r="BJ334">
        <v>0.2527760301328752</v>
      </c>
    </row>
    <row r="335" spans="1:62" x14ac:dyDescent="0.3">
      <c r="A335" t="s">
        <v>4</v>
      </c>
      <c r="B335" s="12" t="s">
        <v>689</v>
      </c>
      <c r="C335" s="12"/>
      <c r="F335">
        <v>3.55</v>
      </c>
      <c r="G335" t="s">
        <v>265</v>
      </c>
      <c r="H335" s="8" t="s">
        <v>527</v>
      </c>
      <c r="I335" t="s">
        <v>609</v>
      </c>
      <c r="L335" s="20">
        <v>4</v>
      </c>
      <c r="M335">
        <v>4</v>
      </c>
      <c r="N335">
        <v>0</v>
      </c>
      <c r="T335" s="20">
        <v>7.8084429999999996</v>
      </c>
      <c r="U335" s="20">
        <v>7.8548809999999998</v>
      </c>
      <c r="V335" s="20">
        <v>15.19056011</v>
      </c>
      <c r="W335">
        <v>3.8801999999999999</v>
      </c>
      <c r="X335">
        <v>29.507999999999999</v>
      </c>
      <c r="Y335">
        <v>7.7140000000000004</v>
      </c>
      <c r="Z335">
        <v>0</v>
      </c>
      <c r="AD335">
        <v>20</v>
      </c>
      <c r="AE335" s="44">
        <f t="shared" si="21"/>
        <v>0</v>
      </c>
      <c r="AF335" s="46">
        <v>924.74694800021894</v>
      </c>
      <c r="AG335" s="44">
        <v>883.22940750240002</v>
      </c>
      <c r="AH335" s="44">
        <v>0</v>
      </c>
      <c r="AJ335" s="40">
        <v>8.6510153045653584E-2</v>
      </c>
      <c r="AK335" s="41">
        <v>9.0576694254581439E-2</v>
      </c>
      <c r="AM335" s="23">
        <v>1.75</v>
      </c>
      <c r="AN335" s="23">
        <v>2.5</v>
      </c>
      <c r="AO335" s="23">
        <v>0.75</v>
      </c>
      <c r="AP335" s="23">
        <v>0</v>
      </c>
      <c r="AQ335" s="23">
        <v>0.35</v>
      </c>
      <c r="AR335" s="23">
        <v>0.5</v>
      </c>
      <c r="AS335" s="23">
        <v>0.15</v>
      </c>
      <c r="AT335" s="23">
        <v>0</v>
      </c>
      <c r="AU335" s="20">
        <v>0.82</v>
      </c>
      <c r="AV335" s="20">
        <v>3.44</v>
      </c>
      <c r="AW335" s="20">
        <v>2.62</v>
      </c>
      <c r="AX335" s="20">
        <v>2.6262500000000002</v>
      </c>
      <c r="AY335">
        <v>2.6262500000000002</v>
      </c>
      <c r="AZ335">
        <v>5.96680968125</v>
      </c>
      <c r="BA335" s="64">
        <v>0.50555206026575039</v>
      </c>
      <c r="BB335" s="64">
        <v>0</v>
      </c>
      <c r="BE335">
        <v>4.3255076522826792E-2</v>
      </c>
      <c r="BF335">
        <v>4.5288347127290719E-2</v>
      </c>
      <c r="BH335">
        <v>8.8543423650117511E-2</v>
      </c>
      <c r="BI335">
        <v>4.4271711825058763E-2</v>
      </c>
      <c r="BJ335">
        <v>0.2527760301328752</v>
      </c>
    </row>
    <row r="336" spans="1:62" x14ac:dyDescent="0.3">
      <c r="A336" t="s">
        <v>266</v>
      </c>
      <c r="B336" s="12" t="s">
        <v>819</v>
      </c>
      <c r="C336" s="12"/>
      <c r="F336">
        <v>2.8</v>
      </c>
      <c r="G336" t="s">
        <v>267</v>
      </c>
      <c r="H336" s="8" t="s">
        <v>596</v>
      </c>
      <c r="I336" t="s">
        <v>669</v>
      </c>
      <c r="L336" s="20">
        <v>1</v>
      </c>
      <c r="M336">
        <v>1</v>
      </c>
      <c r="N336">
        <v>0</v>
      </c>
      <c r="O336">
        <v>3.97</v>
      </c>
      <c r="P336">
        <v>3.97</v>
      </c>
      <c r="Q336">
        <v>15.56</v>
      </c>
      <c r="R336" t="s">
        <v>519</v>
      </c>
      <c r="T336" s="20">
        <v>4.0290549999999996</v>
      </c>
      <c r="U336" s="20">
        <v>4.0290549999999996</v>
      </c>
      <c r="V336" s="20">
        <v>16.069894999999999</v>
      </c>
      <c r="W336">
        <v>3.9765999999999999</v>
      </c>
      <c r="X336">
        <v>3.9765999999999999</v>
      </c>
      <c r="Y336">
        <v>15.5792</v>
      </c>
      <c r="Z336">
        <v>0</v>
      </c>
      <c r="AD336">
        <v>20</v>
      </c>
      <c r="AE336" s="44">
        <f t="shared" si="21"/>
        <v>245.23960400000001</v>
      </c>
      <c r="AF336" s="46">
        <v>260.8671724870714</v>
      </c>
      <c r="AG336" s="44">
        <v>246.35930430675199</v>
      </c>
      <c r="AH336" s="44">
        <v>0</v>
      </c>
      <c r="AJ336" s="40">
        <v>7.6667369869971663E-2</v>
      </c>
      <c r="AK336" s="41">
        <v>8.1182239316186677E-2</v>
      </c>
      <c r="AM336" s="23">
        <v>1.75</v>
      </c>
      <c r="AN336" s="23">
        <v>2.5</v>
      </c>
      <c r="AO336" s="23">
        <v>0.75</v>
      </c>
      <c r="AP336" s="23">
        <v>0</v>
      </c>
      <c r="AQ336" s="23">
        <v>0.35</v>
      </c>
      <c r="AR336" s="23">
        <v>0.5</v>
      </c>
      <c r="AS336" s="23">
        <v>0.15</v>
      </c>
      <c r="AT336" s="23">
        <v>0</v>
      </c>
      <c r="AU336" s="20">
        <v>0.79</v>
      </c>
      <c r="AV336" s="20">
        <v>3.44</v>
      </c>
      <c r="AW336" s="20">
        <v>2.65</v>
      </c>
      <c r="AX336" s="20">
        <v>2.6106250000000002</v>
      </c>
      <c r="AY336">
        <v>2.6106250000000002</v>
      </c>
      <c r="AZ336">
        <v>5.9030778492946876</v>
      </c>
      <c r="BA336" s="64">
        <v>0.54551133687670861</v>
      </c>
      <c r="BB336" s="64">
        <v>0.57763598744977085</v>
      </c>
      <c r="BE336">
        <v>3.8333684934985832E-2</v>
      </c>
      <c r="BF336">
        <v>4.0591119658093339E-2</v>
      </c>
      <c r="BH336">
        <v>7.892480459307917E-2</v>
      </c>
      <c r="BI336">
        <v>3.9462402296539592E-2</v>
      </c>
      <c r="BJ336">
        <v>0.56157366216323967</v>
      </c>
    </row>
    <row r="337" spans="1:62" x14ac:dyDescent="0.3">
      <c r="A337" t="s">
        <v>268</v>
      </c>
      <c r="B337" s="12" t="s">
        <v>820</v>
      </c>
      <c r="C337" s="12"/>
      <c r="F337">
        <v>2.8</v>
      </c>
      <c r="G337" t="s">
        <v>267</v>
      </c>
      <c r="H337" s="8">
        <v>-1</v>
      </c>
      <c r="I337">
        <v>-1</v>
      </c>
      <c r="K337">
        <v>1</v>
      </c>
      <c r="L337" s="20">
        <v>0</v>
      </c>
      <c r="M337">
        <v>0</v>
      </c>
      <c r="N337">
        <v>0</v>
      </c>
      <c r="O337">
        <v>3.97</v>
      </c>
      <c r="P337">
        <v>3.97</v>
      </c>
      <c r="Q337">
        <v>15.56</v>
      </c>
      <c r="R337" t="s">
        <v>519</v>
      </c>
      <c r="T337" s="20">
        <v>0</v>
      </c>
      <c r="U337" s="20"/>
      <c r="V337" s="20"/>
      <c r="W337">
        <v>0</v>
      </c>
      <c r="Z337">
        <v>0</v>
      </c>
      <c r="AD337">
        <v>20</v>
      </c>
      <c r="AE337" s="44">
        <f t="shared" si="21"/>
        <v>245.23960400000001</v>
      </c>
      <c r="AF337" s="46">
        <v>0</v>
      </c>
      <c r="AG337" s="44">
        <v>0</v>
      </c>
      <c r="AH337" s="44">
        <v>0</v>
      </c>
      <c r="AI337" s="41">
        <f t="shared" ref="AI337:AI350" si="23">K337*AD337/AE337</f>
        <v>8.1552896325831611E-2</v>
      </c>
      <c r="AJ337" s="40"/>
      <c r="AM337" s="23">
        <v>1.75</v>
      </c>
      <c r="AN337" s="23">
        <v>2.5</v>
      </c>
      <c r="AO337" s="23">
        <v>0.75</v>
      </c>
      <c r="AP337" s="23">
        <v>0</v>
      </c>
      <c r="AQ337" s="23">
        <v>0.35</v>
      </c>
      <c r="AR337" s="23">
        <v>0.5</v>
      </c>
      <c r="AS337" s="23">
        <v>0.15</v>
      </c>
      <c r="AT337" s="23">
        <v>0</v>
      </c>
      <c r="AU337" s="20">
        <v>0.89</v>
      </c>
      <c r="AV337" s="20">
        <v>3.44</v>
      </c>
      <c r="AW337" s="20">
        <v>2.5499999999999998</v>
      </c>
      <c r="AX337" s="20">
        <v>2.69875</v>
      </c>
      <c r="AY337">
        <v>2.69875</v>
      </c>
      <c r="AZ337">
        <v>6.2151871187406877</v>
      </c>
      <c r="BD337">
        <v>4.0776448162915813E-2</v>
      </c>
      <c r="BH337">
        <v>8.1552896325831611E-2</v>
      </c>
      <c r="BI337">
        <v>4.0776448162915813E-2</v>
      </c>
      <c r="BJ337">
        <v>0</v>
      </c>
    </row>
    <row r="338" spans="1:62" x14ac:dyDescent="0.3">
      <c r="A338" t="s">
        <v>270</v>
      </c>
      <c r="B338" s="17" t="s">
        <v>977</v>
      </c>
      <c r="C338" s="12"/>
      <c r="F338">
        <v>3.29</v>
      </c>
      <c r="G338" t="s">
        <v>269</v>
      </c>
      <c r="H338" s="8">
        <v>-1</v>
      </c>
      <c r="I338">
        <v>-1</v>
      </c>
      <c r="K338">
        <v>1</v>
      </c>
      <c r="L338" s="20">
        <v>0</v>
      </c>
      <c r="M338">
        <v>0</v>
      </c>
      <c r="N338">
        <v>0</v>
      </c>
      <c r="O338">
        <v>3.89</v>
      </c>
      <c r="P338">
        <v>3.89</v>
      </c>
      <c r="Q338">
        <v>16.43</v>
      </c>
      <c r="R338" t="s">
        <v>519</v>
      </c>
      <c r="T338" s="20">
        <v>0</v>
      </c>
      <c r="U338" s="20"/>
      <c r="V338" s="20"/>
      <c r="W338">
        <v>0</v>
      </c>
      <c r="Z338">
        <v>0</v>
      </c>
      <c r="AD338">
        <v>38</v>
      </c>
      <c r="AE338" s="44">
        <f t="shared" si="21"/>
        <v>248.62040300000001</v>
      </c>
      <c r="AF338" s="46">
        <v>0</v>
      </c>
      <c r="AG338" s="44">
        <v>0</v>
      </c>
      <c r="AH338" s="44">
        <v>0</v>
      </c>
      <c r="AI338" s="41">
        <f t="shared" si="23"/>
        <v>0.15284344945736411</v>
      </c>
      <c r="AJ338" s="40"/>
      <c r="AM338" s="23">
        <v>1.84</v>
      </c>
      <c r="AN338" s="23">
        <v>3.04</v>
      </c>
      <c r="AO338" s="23">
        <v>0.48</v>
      </c>
      <c r="AP338" s="23">
        <v>0</v>
      </c>
      <c r="AQ338" s="23">
        <v>0.34328358208955218</v>
      </c>
      <c r="AR338" s="23">
        <v>0.56716417910447758</v>
      </c>
      <c r="AS338" s="23">
        <v>8.9552238805970144E-2</v>
      </c>
      <c r="AT338" s="23">
        <v>0</v>
      </c>
      <c r="AU338" s="20">
        <v>0.95</v>
      </c>
      <c r="AV338" s="20">
        <v>3.44</v>
      </c>
      <c r="AW338" s="20">
        <v>2.4900000000000002</v>
      </c>
      <c r="AX338" s="20">
        <v>2.9704000000000002</v>
      </c>
      <c r="AY338">
        <v>2.9704000000000002</v>
      </c>
      <c r="AZ338">
        <v>6.7075943239940399</v>
      </c>
      <c r="BD338">
        <v>7.6421724728682056E-2</v>
      </c>
      <c r="BH338">
        <v>0.15284344945736411</v>
      </c>
      <c r="BI338">
        <v>7.6421724728682056E-2</v>
      </c>
      <c r="BJ338">
        <v>0</v>
      </c>
    </row>
    <row r="339" spans="1:62" x14ac:dyDescent="0.3">
      <c r="A339" t="s">
        <v>271</v>
      </c>
      <c r="B339" s="17" t="s">
        <v>978</v>
      </c>
      <c r="C339" s="12"/>
      <c r="F339">
        <v>3.29</v>
      </c>
      <c r="G339" t="s">
        <v>269</v>
      </c>
      <c r="H339" s="8">
        <v>-1</v>
      </c>
      <c r="I339">
        <v>-1</v>
      </c>
      <c r="K339">
        <v>1</v>
      </c>
      <c r="L339" s="20">
        <v>0</v>
      </c>
      <c r="M339">
        <v>0</v>
      </c>
      <c r="N339">
        <v>0</v>
      </c>
      <c r="O339">
        <v>3.9</v>
      </c>
      <c r="P339">
        <v>3.9</v>
      </c>
      <c r="Q339">
        <v>16.54</v>
      </c>
      <c r="R339" t="s">
        <v>519</v>
      </c>
      <c r="T339" s="20">
        <v>0</v>
      </c>
      <c r="U339" s="20"/>
      <c r="V339" s="20"/>
      <c r="W339">
        <v>0</v>
      </c>
      <c r="Z339">
        <v>0</v>
      </c>
      <c r="AD339">
        <v>38</v>
      </c>
      <c r="AE339" s="44">
        <f t="shared" si="21"/>
        <v>251.57339999999996</v>
      </c>
      <c r="AF339" s="46">
        <v>0</v>
      </c>
      <c r="AG339" s="44">
        <v>0</v>
      </c>
      <c r="AH339" s="44">
        <v>0</v>
      </c>
      <c r="AI339" s="41">
        <f t="shared" si="23"/>
        <v>0.15104935577449766</v>
      </c>
      <c r="AJ339" s="40"/>
      <c r="AM339" s="23">
        <v>1.71875</v>
      </c>
      <c r="AN339" s="23">
        <v>2.53125</v>
      </c>
      <c r="AO339" s="23">
        <v>0.375</v>
      </c>
      <c r="AP339" s="23">
        <v>0</v>
      </c>
      <c r="AQ339" s="23">
        <v>0.3716216216216216</v>
      </c>
      <c r="AR339" s="23">
        <v>0.54729729729729726</v>
      </c>
      <c r="AS339" s="23">
        <v>8.1081081081081086E-2</v>
      </c>
      <c r="AT339" s="23">
        <v>0</v>
      </c>
      <c r="AU339" s="20">
        <v>0.95</v>
      </c>
      <c r="AV339" s="20">
        <v>3.44</v>
      </c>
      <c r="AW339" s="20">
        <v>2.4900000000000002</v>
      </c>
      <c r="AX339" s="20">
        <v>2.8390624999999998</v>
      </c>
      <c r="AY339">
        <v>2.8390624999999998</v>
      </c>
      <c r="AZ339">
        <v>6.7833032939095634</v>
      </c>
      <c r="BD339">
        <v>7.5524677887248828E-2</v>
      </c>
      <c r="BH339">
        <v>0.15104935577449771</v>
      </c>
      <c r="BI339">
        <v>7.5524677887248828E-2</v>
      </c>
      <c r="BJ339">
        <v>0</v>
      </c>
    </row>
    <row r="340" spans="1:62" x14ac:dyDescent="0.3">
      <c r="A340" t="s">
        <v>272</v>
      </c>
      <c r="B340" s="17" t="s">
        <v>983</v>
      </c>
      <c r="C340" s="12"/>
      <c r="F340">
        <v>3.3</v>
      </c>
      <c r="G340" t="s">
        <v>269</v>
      </c>
      <c r="H340" s="8">
        <v>-1</v>
      </c>
      <c r="I340">
        <v>-1</v>
      </c>
      <c r="K340">
        <v>1</v>
      </c>
      <c r="L340" s="20">
        <v>0</v>
      </c>
      <c r="M340">
        <v>0</v>
      </c>
      <c r="N340">
        <v>0</v>
      </c>
      <c r="O340">
        <v>3.9</v>
      </c>
      <c r="P340">
        <v>3.9</v>
      </c>
      <c r="Q340">
        <v>20.78</v>
      </c>
      <c r="R340" t="s">
        <v>519</v>
      </c>
      <c r="T340" s="20">
        <v>0</v>
      </c>
      <c r="U340" s="20"/>
      <c r="V340" s="20"/>
      <c r="W340">
        <v>0</v>
      </c>
      <c r="Z340">
        <v>0</v>
      </c>
      <c r="AD340">
        <v>38</v>
      </c>
      <c r="AE340" s="44">
        <f t="shared" si="21"/>
        <v>316.06380000000001</v>
      </c>
      <c r="AF340" s="46">
        <v>0</v>
      </c>
      <c r="AG340" s="44">
        <v>0</v>
      </c>
      <c r="AH340" s="44">
        <v>0</v>
      </c>
      <c r="AI340" s="41">
        <f t="shared" si="23"/>
        <v>0.12022889049615931</v>
      </c>
      <c r="AJ340" s="40"/>
      <c r="AM340" s="23">
        <v>1.6857142857142859</v>
      </c>
      <c r="AN340" s="23">
        <v>2.371428571428571</v>
      </c>
      <c r="AO340" s="23">
        <v>0.34285714285714292</v>
      </c>
      <c r="AP340" s="23">
        <v>0</v>
      </c>
      <c r="AQ340" s="23">
        <v>0.38311688311688308</v>
      </c>
      <c r="AR340" s="23">
        <v>0.53896103896103897</v>
      </c>
      <c r="AS340" s="23">
        <v>7.792207792207792E-2</v>
      </c>
      <c r="AT340" s="23">
        <v>0</v>
      </c>
      <c r="AU340" s="20">
        <v>0.95</v>
      </c>
      <c r="AV340" s="20">
        <v>3.44</v>
      </c>
      <c r="AW340" s="20">
        <v>2.4900000000000002</v>
      </c>
      <c r="AX340" s="20">
        <v>2.794285714285714</v>
      </c>
      <c r="AY340">
        <v>2.794285714285714</v>
      </c>
      <c r="AZ340">
        <v>6.7908553945945132</v>
      </c>
      <c r="BD340">
        <v>6.0114445248079663E-2</v>
      </c>
      <c r="BH340">
        <v>0.1202288904961593</v>
      </c>
      <c r="BI340">
        <v>6.0114445248079663E-2</v>
      </c>
      <c r="BJ340">
        <v>0</v>
      </c>
    </row>
    <row r="341" spans="1:62" x14ac:dyDescent="0.3">
      <c r="A341" t="s">
        <v>273</v>
      </c>
      <c r="B341" s="17" t="s">
        <v>982</v>
      </c>
      <c r="C341" s="12"/>
      <c r="F341">
        <v>3.31</v>
      </c>
      <c r="G341" t="s">
        <v>269</v>
      </c>
      <c r="H341" s="8">
        <v>-1</v>
      </c>
      <c r="I341">
        <v>-1</v>
      </c>
      <c r="K341">
        <v>1</v>
      </c>
      <c r="L341" s="20">
        <v>0</v>
      </c>
      <c r="M341">
        <v>0</v>
      </c>
      <c r="N341">
        <v>0</v>
      </c>
      <c r="O341">
        <v>3.89</v>
      </c>
      <c r="P341">
        <v>3.89</v>
      </c>
      <c r="Q341">
        <v>22.41</v>
      </c>
      <c r="R341" t="s">
        <v>519</v>
      </c>
      <c r="T341" s="20">
        <v>0</v>
      </c>
      <c r="U341" s="20"/>
      <c r="V341" s="20"/>
      <c r="W341">
        <v>0</v>
      </c>
      <c r="Z341">
        <v>0</v>
      </c>
      <c r="AD341">
        <v>38</v>
      </c>
      <c r="AE341" s="44">
        <f t="shared" si="21"/>
        <v>339.11036100000001</v>
      </c>
      <c r="AF341" s="46">
        <v>0</v>
      </c>
      <c r="AG341" s="44">
        <v>0</v>
      </c>
      <c r="AH341" s="44">
        <v>0</v>
      </c>
      <c r="AI341" s="41">
        <f t="shared" si="23"/>
        <v>0.11205791497476539</v>
      </c>
      <c r="AJ341" s="40"/>
      <c r="AM341" s="23">
        <v>1.6578947368421051</v>
      </c>
      <c r="AN341" s="23">
        <v>2.236842105263158</v>
      </c>
      <c r="AO341" s="23">
        <v>0.31578947368421051</v>
      </c>
      <c r="AP341" s="23">
        <v>0</v>
      </c>
      <c r="AQ341" s="23">
        <v>0.39374999999999999</v>
      </c>
      <c r="AR341" s="23">
        <v>0.53125</v>
      </c>
      <c r="AS341" s="23">
        <v>7.4999999999999997E-2</v>
      </c>
      <c r="AT341" s="23">
        <v>0</v>
      </c>
      <c r="AU341" s="20">
        <v>0.95</v>
      </c>
      <c r="AV341" s="20">
        <v>3.44</v>
      </c>
      <c r="AW341" s="20">
        <v>2.4900000000000002</v>
      </c>
      <c r="AX341" s="20">
        <v>2.7565789473684208</v>
      </c>
      <c r="AY341">
        <v>2.7565789473684208</v>
      </c>
      <c r="AZ341">
        <v>6.7972150583292086</v>
      </c>
      <c r="BD341">
        <v>5.6028957487382687E-2</v>
      </c>
      <c r="BH341">
        <v>0.1120579149747654</v>
      </c>
      <c r="BI341">
        <v>5.6028957487382687E-2</v>
      </c>
      <c r="BJ341">
        <v>0</v>
      </c>
    </row>
    <row r="342" spans="1:62" x14ac:dyDescent="0.3">
      <c r="A342" t="s">
        <v>274</v>
      </c>
      <c r="B342" s="17" t="s">
        <v>981</v>
      </c>
      <c r="C342" s="12"/>
      <c r="F342">
        <v>3.32</v>
      </c>
      <c r="G342" t="s">
        <v>269</v>
      </c>
      <c r="H342" s="8">
        <v>-1</v>
      </c>
      <c r="I342">
        <v>-1</v>
      </c>
      <c r="K342">
        <v>1</v>
      </c>
      <c r="L342" s="20">
        <v>0</v>
      </c>
      <c r="M342">
        <v>0</v>
      </c>
      <c r="N342">
        <v>0</v>
      </c>
      <c r="O342">
        <v>3.9</v>
      </c>
      <c r="P342">
        <v>3.9</v>
      </c>
      <c r="Q342">
        <v>25.55</v>
      </c>
      <c r="R342" t="s">
        <v>519</v>
      </c>
      <c r="T342" s="20">
        <v>0</v>
      </c>
      <c r="U342" s="20"/>
      <c r="V342" s="20"/>
      <c r="W342">
        <v>0</v>
      </c>
      <c r="Z342">
        <v>0</v>
      </c>
      <c r="AD342">
        <v>38</v>
      </c>
      <c r="AE342" s="44">
        <f t="shared" si="21"/>
        <v>388.6155</v>
      </c>
      <c r="AF342" s="46">
        <v>0</v>
      </c>
      <c r="AG342" s="44">
        <v>0</v>
      </c>
      <c r="AH342" s="44">
        <v>0</v>
      </c>
      <c r="AI342" s="41">
        <f t="shared" si="23"/>
        <v>9.7783027182394941E-2</v>
      </c>
      <c r="AJ342" s="40"/>
      <c r="AM342" s="23">
        <v>1.634146341463415</v>
      </c>
      <c r="AN342" s="23">
        <v>2.1219512195121948</v>
      </c>
      <c r="AO342" s="23">
        <v>0.29268292682926828</v>
      </c>
      <c r="AP342" s="23">
        <v>0</v>
      </c>
      <c r="AQ342" s="23">
        <v>0.40361445783132532</v>
      </c>
      <c r="AR342" s="23">
        <v>0.52409638554216864</v>
      </c>
      <c r="AS342" s="23">
        <v>7.2289156626506021E-2</v>
      </c>
      <c r="AT342" s="23">
        <v>0</v>
      </c>
      <c r="AU342" s="20">
        <v>0.95</v>
      </c>
      <c r="AV342" s="20">
        <v>3.44</v>
      </c>
      <c r="AW342" s="20">
        <v>2.4900000000000002</v>
      </c>
      <c r="AX342" s="20">
        <v>2.7243902439024388</v>
      </c>
      <c r="AY342">
        <v>2.7243902439024388</v>
      </c>
      <c r="AZ342">
        <v>6.8026440395661458</v>
      </c>
      <c r="BD342">
        <v>4.889151359119747E-2</v>
      </c>
      <c r="BH342">
        <v>9.7783027182394941E-2</v>
      </c>
      <c r="BI342">
        <v>4.889151359119747E-2</v>
      </c>
      <c r="BJ342">
        <v>0</v>
      </c>
    </row>
    <row r="343" spans="1:62" x14ac:dyDescent="0.3">
      <c r="A343" t="s">
        <v>275</v>
      </c>
      <c r="B343" s="17" t="s">
        <v>980</v>
      </c>
      <c r="C343" s="12"/>
      <c r="F343">
        <v>3.32</v>
      </c>
      <c r="G343" t="s">
        <v>269</v>
      </c>
      <c r="H343" s="8">
        <v>-1</v>
      </c>
      <c r="I343">
        <v>-1</v>
      </c>
      <c r="K343">
        <v>1</v>
      </c>
      <c r="L343" s="20">
        <v>0</v>
      </c>
      <c r="M343">
        <v>0</v>
      </c>
      <c r="N343">
        <v>0</v>
      </c>
      <c r="O343">
        <v>3.93</v>
      </c>
      <c r="P343">
        <v>3.93</v>
      </c>
      <c r="Q343">
        <v>29.52</v>
      </c>
      <c r="R343" t="s">
        <v>519</v>
      </c>
      <c r="T343" s="20">
        <v>0</v>
      </c>
      <c r="U343" s="20"/>
      <c r="V343" s="20"/>
      <c r="W343">
        <v>0</v>
      </c>
      <c r="Z343">
        <v>0</v>
      </c>
      <c r="AD343">
        <v>38</v>
      </c>
      <c r="AE343" s="44">
        <f t="shared" si="21"/>
        <v>455.933448</v>
      </c>
      <c r="AF343" s="46">
        <v>0</v>
      </c>
      <c r="AG343" s="44">
        <v>0</v>
      </c>
      <c r="AH343" s="44">
        <v>0</v>
      </c>
      <c r="AI343" s="41">
        <f t="shared" si="23"/>
        <v>8.3345497389347059E-2</v>
      </c>
      <c r="AJ343" s="40"/>
      <c r="AM343" s="23">
        <v>1.595744680851064</v>
      </c>
      <c r="AN343" s="23">
        <v>1.936170212765957</v>
      </c>
      <c r="AO343" s="23">
        <v>0.25531914893617019</v>
      </c>
      <c r="AP343" s="23">
        <v>0</v>
      </c>
      <c r="AQ343" s="23">
        <v>0.42134831460674149</v>
      </c>
      <c r="AR343" s="23">
        <v>0.5112359550561798</v>
      </c>
      <c r="AS343" s="23">
        <v>6.741573033707865E-2</v>
      </c>
      <c r="AT343" s="23">
        <v>0</v>
      </c>
      <c r="AU343" s="20">
        <v>0.95</v>
      </c>
      <c r="AV343" s="20">
        <v>3.44</v>
      </c>
      <c r="AW343" s="20">
        <v>2.4900000000000002</v>
      </c>
      <c r="AX343" s="20">
        <v>2.6723404255319152</v>
      </c>
      <c r="AY343">
        <v>2.6723404255319152</v>
      </c>
      <c r="AZ343">
        <v>6.8114228177365099</v>
      </c>
      <c r="BD343">
        <v>4.167274869467353E-2</v>
      </c>
      <c r="BH343">
        <v>8.3345497389347059E-2</v>
      </c>
      <c r="BI343">
        <v>4.167274869467353E-2</v>
      </c>
      <c r="BJ343">
        <v>0</v>
      </c>
    </row>
    <row r="344" spans="1:62" x14ac:dyDescent="0.3">
      <c r="A344" t="s">
        <v>276</v>
      </c>
      <c r="B344" s="17" t="s">
        <v>979</v>
      </c>
      <c r="C344" s="12"/>
      <c r="F344">
        <v>3.32</v>
      </c>
      <c r="G344" t="s">
        <v>269</v>
      </c>
      <c r="H344" s="8">
        <v>-1</v>
      </c>
      <c r="I344">
        <v>-1</v>
      </c>
      <c r="K344">
        <v>1</v>
      </c>
      <c r="L344" s="20">
        <v>0</v>
      </c>
      <c r="M344">
        <v>0</v>
      </c>
      <c r="N344">
        <v>0</v>
      </c>
      <c r="O344">
        <v>3.9</v>
      </c>
      <c r="P344">
        <v>3.9</v>
      </c>
      <c r="Q344">
        <v>33.729999999999997</v>
      </c>
      <c r="R344" t="s">
        <v>519</v>
      </c>
      <c r="T344" s="20">
        <v>0</v>
      </c>
      <c r="U344" s="20"/>
      <c r="V344" s="20"/>
      <c r="W344">
        <v>0</v>
      </c>
      <c r="Z344">
        <v>0</v>
      </c>
      <c r="AD344">
        <v>38</v>
      </c>
      <c r="AE344" s="44">
        <f t="shared" si="21"/>
        <v>513.03329999999994</v>
      </c>
      <c r="AF344" s="46">
        <v>0</v>
      </c>
      <c r="AG344" s="44">
        <v>0</v>
      </c>
      <c r="AH344" s="44">
        <v>0</v>
      </c>
      <c r="AI344" s="41">
        <f t="shared" si="23"/>
        <v>7.4069266069083636E-2</v>
      </c>
      <c r="AJ344" s="40"/>
      <c r="AM344" s="23">
        <v>1.5660377358490569</v>
      </c>
      <c r="AN344" s="23">
        <v>1.7924528301886791</v>
      </c>
      <c r="AO344" s="23">
        <v>0.22641509433962259</v>
      </c>
      <c r="AP344" s="23">
        <v>0</v>
      </c>
      <c r="AQ344" s="23">
        <v>0.43684210526315792</v>
      </c>
      <c r="AR344" s="23">
        <v>0.5</v>
      </c>
      <c r="AS344" s="23">
        <v>6.3157894736842107E-2</v>
      </c>
      <c r="AT344" s="23">
        <v>0</v>
      </c>
      <c r="AU344" s="20">
        <v>0.95</v>
      </c>
      <c r="AV344" s="20">
        <v>3.44</v>
      </c>
      <c r="AW344" s="20">
        <v>2.4900000000000002</v>
      </c>
      <c r="AX344" s="20">
        <v>2.6320754716981138</v>
      </c>
      <c r="AY344">
        <v>2.632075471698113</v>
      </c>
      <c r="AZ344">
        <v>6.8182139480192454</v>
      </c>
      <c r="BD344">
        <v>3.7034633034541818E-2</v>
      </c>
      <c r="BH344">
        <v>7.4069266069083636E-2</v>
      </c>
      <c r="BI344">
        <v>3.7034633034541818E-2</v>
      </c>
      <c r="BJ344">
        <v>0</v>
      </c>
    </row>
    <row r="345" spans="1:62" x14ac:dyDescent="0.3">
      <c r="A345" t="s">
        <v>277</v>
      </c>
      <c r="B345" s="17" t="s">
        <v>976</v>
      </c>
      <c r="C345" s="12"/>
      <c r="F345">
        <v>3.22</v>
      </c>
      <c r="G345" t="s">
        <v>269</v>
      </c>
      <c r="H345" s="8">
        <v>-1</v>
      </c>
      <c r="I345">
        <v>-1</v>
      </c>
      <c r="K345">
        <v>2</v>
      </c>
      <c r="L345" s="20">
        <v>0</v>
      </c>
      <c r="M345">
        <v>0</v>
      </c>
      <c r="N345">
        <v>0</v>
      </c>
      <c r="O345">
        <v>3.9</v>
      </c>
      <c r="P345">
        <v>3.9</v>
      </c>
      <c r="Q345">
        <v>31.44</v>
      </c>
      <c r="R345" t="s">
        <v>519</v>
      </c>
      <c r="T345" s="20">
        <v>0</v>
      </c>
      <c r="U345" s="20"/>
      <c r="V345" s="20"/>
      <c r="W345">
        <v>0</v>
      </c>
      <c r="Z345">
        <v>0</v>
      </c>
      <c r="AD345">
        <v>40</v>
      </c>
      <c r="AE345" s="44">
        <f t="shared" si="21"/>
        <v>478.20240000000001</v>
      </c>
      <c r="AF345" s="46">
        <v>0</v>
      </c>
      <c r="AG345" s="44">
        <v>0</v>
      </c>
      <c r="AH345" s="44">
        <v>0</v>
      </c>
      <c r="AI345" s="41">
        <f t="shared" si="23"/>
        <v>0.16729317962435988</v>
      </c>
      <c r="AJ345" s="40"/>
      <c r="AM345" s="23">
        <v>1.75</v>
      </c>
      <c r="AN345" s="23">
        <v>2.65625</v>
      </c>
      <c r="AO345" s="23">
        <v>0.375</v>
      </c>
      <c r="AP345" s="23">
        <v>0</v>
      </c>
      <c r="AQ345" s="23">
        <v>0.36601307189542481</v>
      </c>
      <c r="AR345" s="23">
        <v>0.55555555555555558</v>
      </c>
      <c r="AS345" s="23">
        <v>7.8431372549019607E-2</v>
      </c>
      <c r="AT345" s="23">
        <v>0</v>
      </c>
      <c r="AU345" s="20">
        <v>0.95</v>
      </c>
      <c r="AV345" s="20">
        <v>3.44</v>
      </c>
      <c r="AW345" s="20">
        <v>2.4900000000000002</v>
      </c>
      <c r="AX345" s="20">
        <v>2.8778125000000001</v>
      </c>
      <c r="AY345">
        <v>2.8778125000000001</v>
      </c>
      <c r="AZ345">
        <v>6.7946490392267176</v>
      </c>
      <c r="BD345">
        <v>8.3646589812179942E-2</v>
      </c>
      <c r="BH345">
        <v>0.16729317962435991</v>
      </c>
      <c r="BI345">
        <v>8.3646589812179942E-2</v>
      </c>
      <c r="BJ345">
        <v>0</v>
      </c>
    </row>
    <row r="346" spans="1:62" x14ac:dyDescent="0.3">
      <c r="A346" t="s">
        <v>278</v>
      </c>
      <c r="B346" s="17" t="s">
        <v>984</v>
      </c>
      <c r="C346" s="12"/>
      <c r="F346">
        <v>3.25</v>
      </c>
      <c r="G346" t="s">
        <v>269</v>
      </c>
      <c r="H346" s="8">
        <v>-1</v>
      </c>
      <c r="I346">
        <v>-1</v>
      </c>
      <c r="K346">
        <v>1</v>
      </c>
      <c r="L346" s="20">
        <v>0</v>
      </c>
      <c r="M346">
        <v>0</v>
      </c>
      <c r="N346">
        <v>0</v>
      </c>
      <c r="O346">
        <v>3.91</v>
      </c>
      <c r="P346">
        <v>3.91</v>
      </c>
      <c r="Q346">
        <v>18.2</v>
      </c>
      <c r="R346" t="s">
        <v>519</v>
      </c>
      <c r="T346" s="20">
        <v>0</v>
      </c>
      <c r="U346" s="20"/>
      <c r="V346" s="20"/>
      <c r="W346">
        <v>0</v>
      </c>
      <c r="Z346">
        <v>0</v>
      </c>
      <c r="AD346">
        <v>40</v>
      </c>
      <c r="AE346" s="44">
        <f t="shared" si="21"/>
        <v>278.24342000000001</v>
      </c>
      <c r="AF346" s="46">
        <v>0</v>
      </c>
      <c r="AG346" s="44">
        <v>0</v>
      </c>
      <c r="AH346" s="44">
        <v>0</v>
      </c>
      <c r="AI346" s="41">
        <f t="shared" si="23"/>
        <v>0.14375901503798363</v>
      </c>
      <c r="AJ346" s="40"/>
      <c r="AM346" s="23">
        <v>1.714285714285714</v>
      </c>
      <c r="AN346" s="23">
        <v>2.4857142857142862</v>
      </c>
      <c r="AO346" s="23">
        <v>0.34285714285714292</v>
      </c>
      <c r="AP346" s="23">
        <v>0</v>
      </c>
      <c r="AQ346" s="23">
        <v>0.37735849056603771</v>
      </c>
      <c r="AR346" s="23">
        <v>0.54716981132075471</v>
      </c>
      <c r="AS346" s="23">
        <v>7.5471698113207544E-2</v>
      </c>
      <c r="AT346" s="23">
        <v>0</v>
      </c>
      <c r="AU346" s="20">
        <v>0.95</v>
      </c>
      <c r="AV346" s="20">
        <v>3.44</v>
      </c>
      <c r="AW346" s="20">
        <v>2.4900000000000002</v>
      </c>
      <c r="AX346" s="20">
        <v>2.8297142857142861</v>
      </c>
      <c r="AY346">
        <v>2.8297142857142861</v>
      </c>
      <c r="AZ346">
        <v>6.8012286474559138</v>
      </c>
      <c r="BD346">
        <v>7.1879507518991817E-2</v>
      </c>
      <c r="BH346">
        <v>0.14375901503798361</v>
      </c>
      <c r="BI346">
        <v>7.1879507518991817E-2</v>
      </c>
      <c r="BJ346">
        <v>0</v>
      </c>
    </row>
    <row r="347" spans="1:62" x14ac:dyDescent="0.3">
      <c r="A347" t="s">
        <v>279</v>
      </c>
      <c r="B347" s="17" t="s">
        <v>985</v>
      </c>
      <c r="C347" s="12"/>
      <c r="F347">
        <v>3.27</v>
      </c>
      <c r="G347" t="s">
        <v>269</v>
      </c>
      <c r="H347" s="8">
        <v>-1</v>
      </c>
      <c r="I347">
        <v>-1</v>
      </c>
      <c r="K347">
        <v>1</v>
      </c>
      <c r="L347" s="20">
        <v>0</v>
      </c>
      <c r="M347">
        <v>0</v>
      </c>
      <c r="N347">
        <v>0</v>
      </c>
      <c r="O347">
        <v>3.9</v>
      </c>
      <c r="P347">
        <v>3.9</v>
      </c>
      <c r="Q347">
        <v>20.25</v>
      </c>
      <c r="R347" t="s">
        <v>519</v>
      </c>
      <c r="T347" s="20">
        <v>0</v>
      </c>
      <c r="U347" s="20"/>
      <c r="V347" s="20"/>
      <c r="W347">
        <v>0</v>
      </c>
      <c r="Z347">
        <v>0</v>
      </c>
      <c r="AD347">
        <v>40</v>
      </c>
      <c r="AE347" s="44">
        <f t="shared" si="21"/>
        <v>308.0025</v>
      </c>
      <c r="AF347" s="46">
        <v>0</v>
      </c>
      <c r="AG347" s="44">
        <v>0</v>
      </c>
      <c r="AH347" s="44">
        <v>0</v>
      </c>
      <c r="AI347" s="41">
        <f t="shared" si="23"/>
        <v>0.12986907573802162</v>
      </c>
      <c r="AJ347" s="40"/>
      <c r="AM347" s="23">
        <v>1.6842105263157889</v>
      </c>
      <c r="AN347" s="23">
        <v>2.3421052631578951</v>
      </c>
      <c r="AO347" s="23">
        <v>0.31578947368421051</v>
      </c>
      <c r="AP347" s="23">
        <v>0</v>
      </c>
      <c r="AQ347" s="23">
        <v>0.38787878787878788</v>
      </c>
      <c r="AR347" s="23">
        <v>0.53939393939393943</v>
      </c>
      <c r="AS347" s="23">
        <v>7.2727272727272724E-2</v>
      </c>
      <c r="AT347" s="23">
        <v>0</v>
      </c>
      <c r="AU347" s="20">
        <v>0.95</v>
      </c>
      <c r="AV347" s="20">
        <v>3.44</v>
      </c>
      <c r="AW347" s="20">
        <v>2.4900000000000002</v>
      </c>
      <c r="AX347" s="20">
        <v>2.7892105263157898</v>
      </c>
      <c r="AY347">
        <v>2.7892105263157889</v>
      </c>
      <c r="AZ347">
        <v>6.8067693701752354</v>
      </c>
      <c r="BD347">
        <v>6.4934537869010808E-2</v>
      </c>
      <c r="BH347">
        <v>0.12986907573802159</v>
      </c>
      <c r="BI347">
        <v>6.4934537869010808E-2</v>
      </c>
      <c r="BJ347">
        <v>0</v>
      </c>
    </row>
    <row r="348" spans="1:62" x14ac:dyDescent="0.3">
      <c r="A348" t="s">
        <v>280</v>
      </c>
      <c r="B348" s="17" t="s">
        <v>986</v>
      </c>
      <c r="C348" s="12"/>
      <c r="F348">
        <v>3.3</v>
      </c>
      <c r="G348" t="s">
        <v>269</v>
      </c>
      <c r="H348" s="8">
        <v>-1</v>
      </c>
      <c r="I348">
        <v>-1</v>
      </c>
      <c r="K348">
        <v>1</v>
      </c>
      <c r="L348" s="20">
        <v>0</v>
      </c>
      <c r="M348">
        <v>0</v>
      </c>
      <c r="N348">
        <v>0</v>
      </c>
      <c r="O348">
        <v>3.9</v>
      </c>
      <c r="P348">
        <v>3.9</v>
      </c>
      <c r="Q348">
        <v>22.01</v>
      </c>
      <c r="R348" t="s">
        <v>519</v>
      </c>
      <c r="T348" s="20">
        <v>0</v>
      </c>
      <c r="U348" s="20"/>
      <c r="V348" s="20"/>
      <c r="W348">
        <v>0</v>
      </c>
      <c r="Z348">
        <v>0</v>
      </c>
      <c r="AD348">
        <v>40</v>
      </c>
      <c r="AE348" s="44">
        <f t="shared" si="21"/>
        <v>334.77210000000002</v>
      </c>
      <c r="AF348" s="46">
        <v>0</v>
      </c>
      <c r="AG348" s="44">
        <v>0</v>
      </c>
      <c r="AH348" s="44">
        <v>0</v>
      </c>
      <c r="AI348" s="41">
        <f t="shared" si="23"/>
        <v>0.11948427004520387</v>
      </c>
      <c r="AJ348" s="40"/>
      <c r="AM348" s="23">
        <v>1.658536585365854</v>
      </c>
      <c r="AN348" s="23">
        <v>2.219512195121951</v>
      </c>
      <c r="AO348" s="23">
        <v>0.29268292682926828</v>
      </c>
      <c r="AP348" s="23">
        <v>0</v>
      </c>
      <c r="AQ348" s="23">
        <v>0.39766081871345033</v>
      </c>
      <c r="AR348" s="23">
        <v>0.53216374269005851</v>
      </c>
      <c r="AS348" s="23">
        <v>7.0175438596491224E-2</v>
      </c>
      <c r="AT348" s="23">
        <v>0</v>
      </c>
      <c r="AU348" s="20">
        <v>0.95</v>
      </c>
      <c r="AV348" s="20">
        <v>3.44</v>
      </c>
      <c r="AW348" s="20">
        <v>2.4900000000000002</v>
      </c>
      <c r="AX348" s="20">
        <v>2.7546341463414641</v>
      </c>
      <c r="AY348">
        <v>2.7546341463414632</v>
      </c>
      <c r="AZ348">
        <v>6.8114992554234393</v>
      </c>
      <c r="BD348">
        <v>5.9742135022601943E-2</v>
      </c>
      <c r="BH348">
        <v>0.1194842700452039</v>
      </c>
      <c r="BI348">
        <v>5.9742135022601943E-2</v>
      </c>
      <c r="BJ348">
        <v>0</v>
      </c>
    </row>
    <row r="349" spans="1:62" x14ac:dyDescent="0.3">
      <c r="A349" t="s">
        <v>281</v>
      </c>
      <c r="B349" s="17" t="s">
        <v>987</v>
      </c>
      <c r="C349" s="12"/>
      <c r="F349">
        <v>3.3</v>
      </c>
      <c r="G349" t="s">
        <v>269</v>
      </c>
      <c r="H349" s="8">
        <v>-1</v>
      </c>
      <c r="I349">
        <v>-1</v>
      </c>
      <c r="K349">
        <v>1</v>
      </c>
      <c r="L349" s="20">
        <v>0</v>
      </c>
      <c r="M349">
        <v>0</v>
      </c>
      <c r="N349">
        <v>0</v>
      </c>
      <c r="O349">
        <v>3.9</v>
      </c>
      <c r="P349">
        <v>3.9</v>
      </c>
      <c r="Q349">
        <v>25.65</v>
      </c>
      <c r="R349" t="s">
        <v>519</v>
      </c>
      <c r="T349" s="20">
        <v>0</v>
      </c>
      <c r="U349" s="20"/>
      <c r="V349" s="20"/>
      <c r="W349">
        <v>0</v>
      </c>
      <c r="Z349">
        <v>0</v>
      </c>
      <c r="AD349">
        <v>40</v>
      </c>
      <c r="AE349" s="44">
        <f t="shared" si="21"/>
        <v>390.13649999999996</v>
      </c>
      <c r="AF349" s="46">
        <v>0</v>
      </c>
      <c r="AG349" s="44">
        <v>0</v>
      </c>
      <c r="AH349" s="44">
        <v>0</v>
      </c>
      <c r="AI349" s="41">
        <f t="shared" si="23"/>
        <v>0.1025282176879118</v>
      </c>
      <c r="AJ349" s="40"/>
      <c r="AM349" s="23">
        <v>1.617021276595745</v>
      </c>
      <c r="AN349" s="23">
        <v>2.021276595744681</v>
      </c>
      <c r="AO349" s="23">
        <v>0.25531914893617019</v>
      </c>
      <c r="AP349" s="23">
        <v>0</v>
      </c>
      <c r="AQ349" s="23">
        <v>0.41530054644808739</v>
      </c>
      <c r="AR349" s="23">
        <v>0.51912568306010931</v>
      </c>
      <c r="AS349" s="23">
        <v>6.5573770491803268E-2</v>
      </c>
      <c r="AT349" s="23">
        <v>0</v>
      </c>
      <c r="AU349" s="20">
        <v>0.95</v>
      </c>
      <c r="AV349" s="20">
        <v>3.44</v>
      </c>
      <c r="AW349" s="20">
        <v>2.4900000000000002</v>
      </c>
      <c r="AX349" s="20">
        <v>2.6987234042553192</v>
      </c>
      <c r="AY349">
        <v>2.6987234042553192</v>
      </c>
      <c r="AZ349">
        <v>6.8191475805056392</v>
      </c>
      <c r="BD349">
        <v>5.1264108843955901E-2</v>
      </c>
      <c r="BH349">
        <v>0.1025282176879118</v>
      </c>
      <c r="BI349">
        <v>5.1264108843955901E-2</v>
      </c>
      <c r="BJ349">
        <v>0</v>
      </c>
    </row>
    <row r="350" spans="1:62" x14ac:dyDescent="0.3">
      <c r="A350" t="s">
        <v>276</v>
      </c>
      <c r="B350" s="17" t="s">
        <v>988</v>
      </c>
      <c r="C350" s="12"/>
      <c r="F350">
        <v>3.34</v>
      </c>
      <c r="G350" t="s">
        <v>269</v>
      </c>
      <c r="H350" s="8">
        <v>-1</v>
      </c>
      <c r="I350">
        <v>-1</v>
      </c>
      <c r="K350">
        <v>1</v>
      </c>
      <c r="L350" s="20">
        <v>0</v>
      </c>
      <c r="M350">
        <v>0</v>
      </c>
      <c r="N350">
        <v>0</v>
      </c>
      <c r="O350">
        <v>3.89</v>
      </c>
      <c r="P350">
        <v>3.89</v>
      </c>
      <c r="Q350">
        <v>33.799999999999997</v>
      </c>
      <c r="R350" t="s">
        <v>519</v>
      </c>
      <c r="T350" s="20">
        <v>0</v>
      </c>
      <c r="U350" s="20"/>
      <c r="V350" s="20"/>
      <c r="W350">
        <v>0</v>
      </c>
      <c r="Z350">
        <v>0</v>
      </c>
      <c r="AD350">
        <v>40</v>
      </c>
      <c r="AE350" s="44">
        <f t="shared" si="21"/>
        <v>511.46498000000003</v>
      </c>
      <c r="AF350" s="46">
        <v>0</v>
      </c>
      <c r="AG350" s="44">
        <v>0</v>
      </c>
      <c r="AH350" s="44">
        <v>0</v>
      </c>
      <c r="AI350" s="41">
        <f t="shared" si="23"/>
        <v>7.8206722970554116E-2</v>
      </c>
      <c r="AJ350" s="40"/>
      <c r="AM350" s="23">
        <v>1.584905660377359</v>
      </c>
      <c r="AN350" s="23">
        <v>1.867924528301887</v>
      </c>
      <c r="AO350" s="23">
        <v>0.22641509433962259</v>
      </c>
      <c r="AP350" s="23">
        <v>0</v>
      </c>
      <c r="AQ350" s="23">
        <v>0.43076923076923079</v>
      </c>
      <c r="AR350" s="23">
        <v>0.50769230769230778</v>
      </c>
      <c r="AS350" s="23">
        <v>6.1538461538461542E-2</v>
      </c>
      <c r="AT350" s="23">
        <v>0</v>
      </c>
      <c r="AU350" s="20">
        <v>0.95</v>
      </c>
      <c r="AV350" s="20">
        <v>3.44</v>
      </c>
      <c r="AW350" s="20">
        <v>2.4900000000000002</v>
      </c>
      <c r="AX350" s="20">
        <v>2.655471698113208</v>
      </c>
      <c r="AY350">
        <v>2.655471698113208</v>
      </c>
      <c r="AZ350">
        <v>6.8250642093428109</v>
      </c>
      <c r="BD350">
        <v>3.9103361485277058E-2</v>
      </c>
      <c r="BH350">
        <v>7.8206722970554116E-2</v>
      </c>
      <c r="BI350">
        <v>3.9103361485277058E-2</v>
      </c>
      <c r="BJ350">
        <v>0</v>
      </c>
    </row>
    <row r="351" spans="1:62" x14ac:dyDescent="0.3">
      <c r="A351" t="s">
        <v>282</v>
      </c>
      <c r="B351" s="12" t="s">
        <v>821</v>
      </c>
      <c r="C351" s="12"/>
      <c r="F351">
        <v>3.5</v>
      </c>
      <c r="G351" t="s">
        <v>283</v>
      </c>
      <c r="H351" s="8" t="s">
        <v>597</v>
      </c>
      <c r="I351">
        <v>-1</v>
      </c>
      <c r="L351" s="20">
        <v>1</v>
      </c>
      <c r="M351">
        <v>0</v>
      </c>
      <c r="N351">
        <v>0</v>
      </c>
      <c r="T351" s="20">
        <v>13.656835900000001</v>
      </c>
      <c r="U351" s="20">
        <v>13.656835900000001</v>
      </c>
      <c r="V351" s="20">
        <v>13.656835900000001</v>
      </c>
      <c r="W351">
        <v>0</v>
      </c>
      <c r="Z351">
        <v>0</v>
      </c>
      <c r="AD351">
        <v>20</v>
      </c>
      <c r="AE351" s="44">
        <f t="shared" si="21"/>
        <v>0</v>
      </c>
      <c r="AF351" s="46">
        <v>201.0880346354428</v>
      </c>
      <c r="AG351" s="44">
        <v>0</v>
      </c>
      <c r="AH351" s="44">
        <v>0</v>
      </c>
      <c r="AJ351" s="40">
        <v>9.9458926217357829E-2</v>
      </c>
      <c r="AM351" s="23">
        <v>1.882352941176471</v>
      </c>
      <c r="AN351" s="23">
        <v>2.3529411764705879</v>
      </c>
      <c r="AO351" s="23">
        <v>0.47058823529411759</v>
      </c>
      <c r="AP351" s="23">
        <v>0</v>
      </c>
      <c r="AQ351" s="23">
        <v>0.4</v>
      </c>
      <c r="AR351" s="23">
        <v>0.5</v>
      </c>
      <c r="AS351" s="23">
        <v>9.9999999999999992E-2</v>
      </c>
      <c r="AT351" s="23">
        <v>0</v>
      </c>
      <c r="AU351" s="20">
        <v>0.98</v>
      </c>
      <c r="AV351" s="20">
        <v>3.44</v>
      </c>
      <c r="AW351" s="20">
        <v>2.46</v>
      </c>
      <c r="AX351" s="20">
        <v>2.54</v>
      </c>
      <c r="AY351">
        <v>2.54</v>
      </c>
      <c r="AZ351">
        <v>5.758559377411764</v>
      </c>
      <c r="BA351" s="64">
        <v>0.53996993008785332</v>
      </c>
      <c r="BE351">
        <v>4.9729463108678908E-2</v>
      </c>
      <c r="BH351">
        <v>9.9458926217357829E-2</v>
      </c>
      <c r="BI351">
        <v>4.9729463108678908E-2</v>
      </c>
      <c r="BJ351">
        <v>0.53996993008785332</v>
      </c>
    </row>
    <row r="352" spans="1:62" x14ac:dyDescent="0.3">
      <c r="A352" t="s">
        <v>284</v>
      </c>
      <c r="B352" s="12" t="s">
        <v>822</v>
      </c>
      <c r="C352" s="12"/>
      <c r="F352">
        <v>3.3</v>
      </c>
      <c r="G352" t="s">
        <v>283</v>
      </c>
      <c r="H352" s="8" t="s">
        <v>598</v>
      </c>
      <c r="I352" t="s">
        <v>670</v>
      </c>
      <c r="L352" s="20">
        <v>1</v>
      </c>
      <c r="M352">
        <v>2</v>
      </c>
      <c r="N352">
        <v>0</v>
      </c>
      <c r="T352" s="20">
        <v>14.696413339999999</v>
      </c>
      <c r="U352" s="20">
        <v>14.696413339999999</v>
      </c>
      <c r="V352" s="20">
        <v>14.696413339999999</v>
      </c>
      <c r="W352">
        <v>3.83528</v>
      </c>
      <c r="X352">
        <v>3.83528</v>
      </c>
      <c r="Y352">
        <v>28.573699999999999</v>
      </c>
      <c r="Z352">
        <v>0</v>
      </c>
      <c r="AD352">
        <v>20</v>
      </c>
      <c r="AE352" s="44">
        <f t="shared" si="21"/>
        <v>0</v>
      </c>
      <c r="AF352" s="46">
        <v>216.40687730768099</v>
      </c>
      <c r="AG352" s="44">
        <v>420.30120210079798</v>
      </c>
      <c r="AH352" s="44">
        <v>0</v>
      </c>
      <c r="AJ352" s="40">
        <v>9.2418504665009241E-2</v>
      </c>
      <c r="AK352" s="41">
        <v>9.516984438794697E-2</v>
      </c>
      <c r="AM352" s="23">
        <v>1.882352941176471</v>
      </c>
      <c r="AN352" s="23">
        <v>2.3529411764705879</v>
      </c>
      <c r="AO352" s="23">
        <v>0.47058823529411759</v>
      </c>
      <c r="AP352" s="23">
        <v>0</v>
      </c>
      <c r="AQ352" s="23">
        <v>0.4</v>
      </c>
      <c r="AR352" s="23">
        <v>0.5</v>
      </c>
      <c r="AS352" s="23">
        <v>9.9999999999999992E-2</v>
      </c>
      <c r="AT352" s="23">
        <v>0</v>
      </c>
      <c r="AU352" s="20">
        <v>0.93</v>
      </c>
      <c r="AV352" s="20">
        <v>3.44</v>
      </c>
      <c r="AW352" s="20">
        <v>2.5099999999999998</v>
      </c>
      <c r="AX352" s="20">
        <v>2.534117647058824</v>
      </c>
      <c r="AY352">
        <v>2.534117647058824</v>
      </c>
      <c r="AZ352">
        <v>5.7395734358823516</v>
      </c>
      <c r="BA352" s="64">
        <v>0.5339514578906801</v>
      </c>
      <c r="BB352" s="64">
        <v>0.54984742874132453</v>
      </c>
      <c r="BE352">
        <v>4.6209252332504627E-2</v>
      </c>
      <c r="BF352">
        <v>4.7584922193973492E-2</v>
      </c>
      <c r="BH352">
        <v>9.3794174526478105E-2</v>
      </c>
      <c r="BI352">
        <v>4.689708726323906E-2</v>
      </c>
      <c r="BJ352">
        <v>0.54189944331600226</v>
      </c>
    </row>
    <row r="353" spans="1:62" x14ac:dyDescent="0.3">
      <c r="A353" t="s">
        <v>44</v>
      </c>
      <c r="B353" s="12" t="s">
        <v>720</v>
      </c>
      <c r="C353" s="12"/>
      <c r="F353">
        <v>3.2</v>
      </c>
      <c r="G353" t="s">
        <v>283</v>
      </c>
      <c r="H353" s="8" t="s">
        <v>549</v>
      </c>
      <c r="I353">
        <v>-1</v>
      </c>
      <c r="L353" s="20">
        <v>1</v>
      </c>
      <c r="M353">
        <v>0</v>
      </c>
      <c r="N353">
        <v>0</v>
      </c>
      <c r="T353" s="20">
        <v>15.28115725</v>
      </c>
      <c r="U353" s="20">
        <v>15.28115725</v>
      </c>
      <c r="V353" s="20">
        <v>15.28115725</v>
      </c>
      <c r="W353">
        <v>0</v>
      </c>
      <c r="Z353">
        <v>0</v>
      </c>
      <c r="AD353">
        <v>20</v>
      </c>
      <c r="AE353" s="44">
        <f t="shared" si="21"/>
        <v>0</v>
      </c>
      <c r="AF353" s="46">
        <v>229.90248606119221</v>
      </c>
      <c r="AG353" s="44">
        <v>0</v>
      </c>
      <c r="AH353" s="44">
        <v>0</v>
      </c>
      <c r="AJ353" s="40">
        <v>8.6993404650164072E-2</v>
      </c>
      <c r="AM353" s="23">
        <v>1.882352941176471</v>
      </c>
      <c r="AN353" s="23">
        <v>2.3529411764705879</v>
      </c>
      <c r="AO353" s="23">
        <v>0.47058823529411759</v>
      </c>
      <c r="AP353" s="23">
        <v>0</v>
      </c>
      <c r="AQ353" s="23">
        <v>0.4</v>
      </c>
      <c r="AR353" s="23">
        <v>0.5</v>
      </c>
      <c r="AS353" s="23">
        <v>9.9999999999999992E-2</v>
      </c>
      <c r="AT353" s="23">
        <v>0</v>
      </c>
      <c r="AU353" s="20">
        <v>0.82</v>
      </c>
      <c r="AV353" s="20">
        <v>3.44</v>
      </c>
      <c r="AW353" s="20">
        <v>2.62</v>
      </c>
      <c r="AX353" s="20">
        <v>2.5211764705882351</v>
      </c>
      <c r="AY353">
        <v>2.521176470588236</v>
      </c>
      <c r="AZ353">
        <v>5.6898745917647062</v>
      </c>
      <c r="BA353" s="64">
        <v>0.57369840599679445</v>
      </c>
      <c r="BE353">
        <v>4.3496702325082043E-2</v>
      </c>
      <c r="BH353">
        <v>8.6993404650164072E-2</v>
      </c>
      <c r="BI353">
        <v>4.3496702325082043E-2</v>
      </c>
      <c r="BJ353">
        <v>0.57369840599679445</v>
      </c>
    </row>
    <row r="354" spans="1:62" x14ac:dyDescent="0.3">
      <c r="A354" s="4" t="s">
        <v>285</v>
      </c>
      <c r="B354" s="29" t="s">
        <v>823</v>
      </c>
      <c r="C354" s="29"/>
      <c r="D354" s="4"/>
      <c r="E354" s="4"/>
      <c r="F354" s="4">
        <v>3.6</v>
      </c>
      <c r="G354" s="4" t="s">
        <v>283</v>
      </c>
      <c r="H354" s="30">
        <v>-2</v>
      </c>
      <c r="I354" s="4">
        <v>-1</v>
      </c>
      <c r="J354" s="4"/>
      <c r="K354" s="4"/>
      <c r="L354" s="31">
        <v>0</v>
      </c>
      <c r="M354">
        <v>0</v>
      </c>
      <c r="N354">
        <v>0</v>
      </c>
      <c r="O354" s="4">
        <v>-1</v>
      </c>
      <c r="P354" s="4"/>
      <c r="Q354" s="4"/>
      <c r="R354" s="4"/>
      <c r="S354" s="4"/>
      <c r="T354" s="31">
        <v>0</v>
      </c>
      <c r="U354" s="31"/>
      <c r="V354" s="31"/>
      <c r="W354">
        <v>0</v>
      </c>
      <c r="Z354">
        <v>0</v>
      </c>
      <c r="AC354" s="4"/>
      <c r="AD354" s="4">
        <v>20</v>
      </c>
      <c r="AE354" s="44">
        <f t="shared" si="21"/>
        <v>0</v>
      </c>
      <c r="AF354" s="46">
        <v>0</v>
      </c>
      <c r="AG354" s="44">
        <v>0</v>
      </c>
      <c r="AH354" s="44">
        <v>0</v>
      </c>
      <c r="AJ354" s="40"/>
      <c r="AM354" s="4">
        <v>1.882352941176471</v>
      </c>
      <c r="AN354" s="4">
        <v>2.3529411764705879</v>
      </c>
      <c r="AO354" s="4">
        <v>0.35294117647058831</v>
      </c>
      <c r="AP354" s="4">
        <v>0.47058823529411759</v>
      </c>
      <c r="AQ354" s="4">
        <v>0.37209302325581389</v>
      </c>
      <c r="AR354" s="4">
        <v>0.46511627906976749</v>
      </c>
      <c r="AS354" s="4">
        <v>6.9767441860465129E-2</v>
      </c>
      <c r="AT354" s="4">
        <v>9.3023255813953487E-2</v>
      </c>
      <c r="AU354" s="31">
        <v>0.98</v>
      </c>
      <c r="AV354" s="31">
        <v>3.44</v>
      </c>
      <c r="AW354" s="31">
        <v>2.46</v>
      </c>
      <c r="AX354" s="31">
        <v>2.5447058823529409</v>
      </c>
      <c r="AY354" s="4">
        <v>2.5447058823529409</v>
      </c>
      <c r="AZ354" s="4">
        <v>5.7284445009411762</v>
      </c>
      <c r="BH354">
        <v>0</v>
      </c>
      <c r="BI354">
        <v>0</v>
      </c>
      <c r="BJ354">
        <v>0</v>
      </c>
    </row>
    <row r="355" spans="1:62" x14ac:dyDescent="0.3">
      <c r="A355" t="s">
        <v>286</v>
      </c>
      <c r="B355" s="12" t="s">
        <v>824</v>
      </c>
      <c r="C355" s="12"/>
      <c r="F355">
        <v>3.4</v>
      </c>
      <c r="G355" t="s">
        <v>283</v>
      </c>
      <c r="H355" s="8" t="s">
        <v>599</v>
      </c>
      <c r="I355">
        <v>-1</v>
      </c>
      <c r="L355" s="20">
        <v>1</v>
      </c>
      <c r="M355">
        <v>0</v>
      </c>
      <c r="N355">
        <v>0</v>
      </c>
      <c r="T355" s="20">
        <v>14.64115209</v>
      </c>
      <c r="U355" s="20">
        <v>14.64115209</v>
      </c>
      <c r="V355" s="20">
        <v>14.64115209</v>
      </c>
      <c r="W355">
        <v>0</v>
      </c>
      <c r="Z355">
        <v>0</v>
      </c>
      <c r="AD355">
        <v>20</v>
      </c>
      <c r="AE355" s="44">
        <f t="shared" si="21"/>
        <v>0</v>
      </c>
      <c r="AF355" s="46">
        <v>213.3423200442661</v>
      </c>
      <c r="AG355" s="44">
        <v>0</v>
      </c>
      <c r="AH355" s="44">
        <v>0</v>
      </c>
      <c r="AJ355" s="40">
        <v>9.374605092815258E-2</v>
      </c>
      <c r="AM355" s="23">
        <v>1.882352941176471</v>
      </c>
      <c r="AN355" s="23">
        <v>2.3529411764705879</v>
      </c>
      <c r="AO355" s="23">
        <v>0.35294117647058831</v>
      </c>
      <c r="AP355" s="23">
        <v>0.47058823529411759</v>
      </c>
      <c r="AQ355" s="23">
        <v>0.37209302325581389</v>
      </c>
      <c r="AR355" s="23">
        <v>0.46511627906976749</v>
      </c>
      <c r="AS355" s="23">
        <v>6.9767441860465129E-2</v>
      </c>
      <c r="AT355" s="23">
        <v>9.3023255813953487E-2</v>
      </c>
      <c r="AU355" s="20">
        <v>0.93</v>
      </c>
      <c r="AV355" s="20">
        <v>3.44</v>
      </c>
      <c r="AW355" s="20">
        <v>2.5099999999999998</v>
      </c>
      <c r="AX355" s="20">
        <v>2.538823529411764</v>
      </c>
      <c r="AY355">
        <v>2.5388235294117649</v>
      </c>
      <c r="AZ355">
        <v>5.7094585594117646</v>
      </c>
      <c r="BA355" s="64">
        <v>0.53401936473899148</v>
      </c>
      <c r="BE355">
        <v>4.6873025464076297E-2</v>
      </c>
      <c r="BH355">
        <v>9.374605092815258E-2</v>
      </c>
      <c r="BI355">
        <v>4.6873025464076297E-2</v>
      </c>
      <c r="BJ355">
        <v>0.53401936473899148</v>
      </c>
    </row>
    <row r="356" spans="1:62" x14ac:dyDescent="0.3">
      <c r="A356" t="s">
        <v>287</v>
      </c>
      <c r="B356" s="12" t="s">
        <v>825</v>
      </c>
      <c r="C356" s="12"/>
      <c r="F356">
        <v>3.3</v>
      </c>
      <c r="G356" t="s">
        <v>283</v>
      </c>
      <c r="H356" s="8" t="s">
        <v>600</v>
      </c>
      <c r="I356" t="s">
        <v>671</v>
      </c>
      <c r="L356" s="20">
        <v>1</v>
      </c>
      <c r="M356">
        <v>2</v>
      </c>
      <c r="N356">
        <v>0</v>
      </c>
      <c r="T356" s="20">
        <v>15.19820412</v>
      </c>
      <c r="U356" s="20">
        <v>15.194836840000001</v>
      </c>
      <c r="V356" s="20">
        <v>3.9043439100000001</v>
      </c>
      <c r="W356">
        <v>3.8588</v>
      </c>
      <c r="X356">
        <v>3.8588</v>
      </c>
      <c r="Y356">
        <v>29.656099999999999</v>
      </c>
      <c r="Z356">
        <v>0</v>
      </c>
      <c r="AD356">
        <v>20</v>
      </c>
      <c r="AE356" s="44">
        <f t="shared" si="21"/>
        <v>0</v>
      </c>
      <c r="AF356" s="46">
        <v>227.79419475650769</v>
      </c>
      <c r="AG356" s="44">
        <v>441.58933615438389</v>
      </c>
      <c r="AH356" s="44">
        <v>0</v>
      </c>
      <c r="AJ356" s="40">
        <v>8.7798550008608742E-2</v>
      </c>
      <c r="AK356" s="41">
        <v>9.0581897534807332E-2</v>
      </c>
      <c r="AM356" s="23">
        <v>1.882352941176471</v>
      </c>
      <c r="AN356" s="23">
        <v>2.3529411764705879</v>
      </c>
      <c r="AO356" s="23">
        <v>0.35294117647058831</v>
      </c>
      <c r="AP356" s="23">
        <v>0.47058823529411759</v>
      </c>
      <c r="AQ356" s="23">
        <v>0.37209302325581389</v>
      </c>
      <c r="AR356" s="23">
        <v>0.46511627906976749</v>
      </c>
      <c r="AS356" s="23">
        <v>6.9767441860465129E-2</v>
      </c>
      <c r="AT356" s="23">
        <v>9.3023255813953487E-2</v>
      </c>
      <c r="AU356" s="20">
        <v>0.82</v>
      </c>
      <c r="AV356" s="20">
        <v>3.44</v>
      </c>
      <c r="AW356" s="20">
        <v>2.62</v>
      </c>
      <c r="AX356" s="20">
        <v>2.525882352941176</v>
      </c>
      <c r="AY356">
        <v>2.525882352941176</v>
      </c>
      <c r="AZ356">
        <v>5.6597597152941184</v>
      </c>
      <c r="BA356" s="64">
        <v>0.57188837719605823</v>
      </c>
      <c r="BB356" s="64">
        <v>0</v>
      </c>
      <c r="BE356">
        <v>4.3899275004304371E-2</v>
      </c>
      <c r="BF356">
        <v>4.5290948767403673E-2</v>
      </c>
      <c r="BH356">
        <v>8.9190223771708044E-2</v>
      </c>
      <c r="BI356">
        <v>4.4595111885854022E-2</v>
      </c>
      <c r="BJ356">
        <v>0.28594418859802911</v>
      </c>
    </row>
    <row r="357" spans="1:62" x14ac:dyDescent="0.3">
      <c r="A357" t="s">
        <v>4</v>
      </c>
      <c r="B357" s="12" t="s">
        <v>689</v>
      </c>
      <c r="C357" s="12"/>
      <c r="F357">
        <v>3.26</v>
      </c>
      <c r="G357" t="s">
        <v>290</v>
      </c>
      <c r="H357" s="8" t="s">
        <v>527</v>
      </c>
      <c r="I357" t="s">
        <v>609</v>
      </c>
      <c r="L357" s="20">
        <v>4</v>
      </c>
      <c r="M357">
        <v>4</v>
      </c>
      <c r="N357">
        <v>0</v>
      </c>
      <c r="T357" s="20">
        <v>7.8084429999999996</v>
      </c>
      <c r="U357" s="20">
        <v>7.8548809999999998</v>
      </c>
      <c r="V357" s="20">
        <v>15.19056011</v>
      </c>
      <c r="W357">
        <v>3.8801999999999999</v>
      </c>
      <c r="X357">
        <v>29.507999999999999</v>
      </c>
      <c r="Y357">
        <v>7.7140000000000004</v>
      </c>
      <c r="Z357">
        <v>0</v>
      </c>
      <c r="AD357">
        <v>20</v>
      </c>
      <c r="AE357" s="44">
        <f t="shared" si="21"/>
        <v>0</v>
      </c>
      <c r="AF357" s="46">
        <v>924.74694800021894</v>
      </c>
      <c r="AG357" s="44">
        <v>883.22940750240002</v>
      </c>
      <c r="AH357" s="44">
        <v>0</v>
      </c>
      <c r="AJ357" s="40">
        <v>8.6510153045653584E-2</v>
      </c>
      <c r="AK357" s="41">
        <v>9.0576694254581439E-2</v>
      </c>
      <c r="AM357" s="23">
        <v>1.75</v>
      </c>
      <c r="AN357" s="23">
        <v>2.5</v>
      </c>
      <c r="AO357" s="23">
        <v>0.75</v>
      </c>
      <c r="AP357" s="23">
        <v>0</v>
      </c>
      <c r="AQ357" s="23">
        <v>0.35</v>
      </c>
      <c r="AR357" s="23">
        <v>0.5</v>
      </c>
      <c r="AS357" s="23">
        <v>0.15</v>
      </c>
      <c r="AT357" s="23">
        <v>0</v>
      </c>
      <c r="AU357" s="20">
        <v>0.82</v>
      </c>
      <c r="AV357" s="20">
        <v>3.44</v>
      </c>
      <c r="AW357" s="20">
        <v>2.62</v>
      </c>
      <c r="AX357" s="20">
        <v>2.6262500000000002</v>
      </c>
      <c r="AY357">
        <v>2.6262500000000002</v>
      </c>
      <c r="AZ357">
        <v>5.96680968125</v>
      </c>
      <c r="BA357" s="64">
        <v>0.50555206026575039</v>
      </c>
      <c r="BB357" s="64">
        <v>0</v>
      </c>
      <c r="BE357">
        <v>4.3255076522826792E-2</v>
      </c>
      <c r="BF357">
        <v>4.5288347127290719E-2</v>
      </c>
      <c r="BH357">
        <v>8.8543423650117511E-2</v>
      </c>
      <c r="BI357">
        <v>4.4271711825058763E-2</v>
      </c>
      <c r="BJ357">
        <v>0.2527760301328752</v>
      </c>
    </row>
    <row r="358" spans="1:62" x14ac:dyDescent="0.3">
      <c r="A358" s="1" t="s">
        <v>288</v>
      </c>
      <c r="B358" s="12" t="s">
        <v>689</v>
      </c>
      <c r="C358" s="14"/>
      <c r="D358" s="1" t="s">
        <v>676</v>
      </c>
      <c r="E358" s="1" t="s">
        <v>1067</v>
      </c>
      <c r="F358" s="1">
        <v>2.4700000000000002</v>
      </c>
      <c r="G358" s="1" t="s">
        <v>290</v>
      </c>
      <c r="H358" s="8" t="s">
        <v>527</v>
      </c>
      <c r="I358" t="s">
        <v>609</v>
      </c>
      <c r="K358" s="1"/>
      <c r="L358" s="20">
        <v>4</v>
      </c>
      <c r="M358">
        <v>4</v>
      </c>
      <c r="N358">
        <v>0</v>
      </c>
      <c r="O358" s="1"/>
      <c r="P358" s="1"/>
      <c r="Q358" s="1"/>
      <c r="R358" s="1"/>
      <c r="S358" s="1"/>
      <c r="T358" s="20">
        <v>7.8084429999999996</v>
      </c>
      <c r="U358" s="20">
        <v>7.8548809999999998</v>
      </c>
      <c r="V358" s="20">
        <v>15.19056011</v>
      </c>
      <c r="W358">
        <v>3.8801999999999999</v>
      </c>
      <c r="X358">
        <v>29.507999999999999</v>
      </c>
      <c r="Y358">
        <v>7.7140000000000004</v>
      </c>
      <c r="Z358">
        <v>0</v>
      </c>
      <c r="AC358" s="1"/>
      <c r="AD358">
        <v>20</v>
      </c>
      <c r="AE358" s="44">
        <f t="shared" si="21"/>
        <v>0</v>
      </c>
      <c r="AF358" s="46">
        <v>924.74694800021894</v>
      </c>
      <c r="AG358" s="44">
        <v>883.22940750240002</v>
      </c>
      <c r="AH358" s="44">
        <v>0</v>
      </c>
      <c r="AJ358" s="40">
        <v>8.6510153045653584E-2</v>
      </c>
      <c r="AK358" s="41">
        <v>9.0576694254581439E-2</v>
      </c>
      <c r="AM358" s="23">
        <v>1.75</v>
      </c>
      <c r="AN358" s="23">
        <v>2.5</v>
      </c>
      <c r="AO358" s="23">
        <v>0.75</v>
      </c>
      <c r="AP358" s="23">
        <v>0</v>
      </c>
      <c r="AQ358" s="23">
        <v>0.35</v>
      </c>
      <c r="AR358" s="23">
        <v>0.5</v>
      </c>
      <c r="AS358" s="23">
        <v>0.15</v>
      </c>
      <c r="AT358" s="23">
        <v>0</v>
      </c>
      <c r="AU358" s="20">
        <v>0.82</v>
      </c>
      <c r="AV358" s="20">
        <v>3.44</v>
      </c>
      <c r="AW358" s="20">
        <v>2.62</v>
      </c>
      <c r="AX358" s="20">
        <v>2.6262500000000002</v>
      </c>
      <c r="AY358">
        <v>2.6262500000000002</v>
      </c>
      <c r="AZ358">
        <v>5.96680968125</v>
      </c>
      <c r="BA358" s="64">
        <v>0.50555206026575039</v>
      </c>
      <c r="BB358" s="64">
        <v>0</v>
      </c>
      <c r="BE358">
        <v>4.3255076522826792E-2</v>
      </c>
      <c r="BF358">
        <v>4.5288347127290719E-2</v>
      </c>
      <c r="BH358">
        <v>8.8543423650117511E-2</v>
      </c>
      <c r="BI358">
        <v>4.4271711825058763E-2</v>
      </c>
      <c r="BJ358">
        <v>0.2527760301328752</v>
      </c>
    </row>
    <row r="359" spans="1:62" x14ac:dyDescent="0.3">
      <c r="A359" s="1" t="s">
        <v>289</v>
      </c>
      <c r="B359" s="12" t="s">
        <v>689</v>
      </c>
      <c r="C359" s="14"/>
      <c r="D359" s="1" t="s">
        <v>946</v>
      </c>
      <c r="E359" s="1" t="s">
        <v>1067</v>
      </c>
      <c r="F359" s="1">
        <v>2.4700000000000002</v>
      </c>
      <c r="G359" s="1" t="s">
        <v>290</v>
      </c>
      <c r="H359" s="8" t="s">
        <v>527</v>
      </c>
      <c r="I359" t="s">
        <v>609</v>
      </c>
      <c r="K359" s="1"/>
      <c r="L359" s="20">
        <v>4</v>
      </c>
      <c r="M359">
        <v>4</v>
      </c>
      <c r="N359">
        <v>0</v>
      </c>
      <c r="O359" s="1"/>
      <c r="P359" s="1"/>
      <c r="Q359" s="1"/>
      <c r="R359" s="1"/>
      <c r="S359" s="1"/>
      <c r="T359" s="20">
        <v>7.8084429999999996</v>
      </c>
      <c r="U359" s="20">
        <v>7.8548809999999998</v>
      </c>
      <c r="V359" s="20">
        <v>15.19056011</v>
      </c>
      <c r="W359">
        <v>3.8801999999999999</v>
      </c>
      <c r="X359">
        <v>29.507999999999999</v>
      </c>
      <c r="Y359">
        <v>7.7140000000000004</v>
      </c>
      <c r="Z359">
        <v>0</v>
      </c>
      <c r="AC359" s="1"/>
      <c r="AD359">
        <v>20</v>
      </c>
      <c r="AE359" s="44">
        <f t="shared" si="21"/>
        <v>0</v>
      </c>
      <c r="AF359" s="46">
        <v>924.74694800021894</v>
      </c>
      <c r="AG359" s="44">
        <v>883.22940750240002</v>
      </c>
      <c r="AH359" s="44">
        <v>0</v>
      </c>
      <c r="AJ359" s="40">
        <v>8.6510153045653584E-2</v>
      </c>
      <c r="AK359" s="41">
        <v>9.0576694254581439E-2</v>
      </c>
      <c r="AM359" s="23">
        <v>1.75</v>
      </c>
      <c r="AN359" s="23">
        <v>2.5</v>
      </c>
      <c r="AO359" s="23">
        <v>0.75</v>
      </c>
      <c r="AP359" s="23">
        <v>0</v>
      </c>
      <c r="AQ359" s="23">
        <v>0.35</v>
      </c>
      <c r="AR359" s="23">
        <v>0.5</v>
      </c>
      <c r="AS359" s="23">
        <v>0.15</v>
      </c>
      <c r="AT359" s="23">
        <v>0</v>
      </c>
      <c r="AU359" s="20">
        <v>0.82</v>
      </c>
      <c r="AV359" s="20">
        <v>3.44</v>
      </c>
      <c r="AW359" s="20">
        <v>2.62</v>
      </c>
      <c r="AX359" s="20">
        <v>2.6262500000000002</v>
      </c>
      <c r="AY359">
        <v>2.6262500000000002</v>
      </c>
      <c r="AZ359">
        <v>5.96680968125</v>
      </c>
      <c r="BA359" s="64">
        <v>0.50555206026575039</v>
      </c>
      <c r="BB359" s="64">
        <v>0</v>
      </c>
      <c r="BE359">
        <v>4.3255076522826792E-2</v>
      </c>
      <c r="BF359">
        <v>4.5288347127290719E-2</v>
      </c>
      <c r="BH359">
        <v>8.8543423650117511E-2</v>
      </c>
      <c r="BI359">
        <v>4.4271711825058763E-2</v>
      </c>
      <c r="BJ359">
        <v>0.2527760301328752</v>
      </c>
    </row>
    <row r="360" spans="1:62" x14ac:dyDescent="0.3">
      <c r="A360" t="s">
        <v>10</v>
      </c>
      <c r="B360" s="12" t="s">
        <v>695</v>
      </c>
      <c r="C360" s="12"/>
      <c r="F360">
        <v>4.26</v>
      </c>
      <c r="G360" t="s">
        <v>291</v>
      </c>
      <c r="H360" s="8" t="s">
        <v>531</v>
      </c>
      <c r="I360">
        <v>-1</v>
      </c>
      <c r="L360" s="20">
        <v>1</v>
      </c>
      <c r="M360">
        <v>0</v>
      </c>
      <c r="N360">
        <v>0</v>
      </c>
      <c r="T360" s="20">
        <v>3.9103940000000001</v>
      </c>
      <c r="U360" s="20">
        <v>3.9103940000000001</v>
      </c>
      <c r="V360" s="20">
        <v>11.314458</v>
      </c>
      <c r="W360">
        <v>0</v>
      </c>
      <c r="Z360">
        <v>0</v>
      </c>
      <c r="AD360">
        <v>14</v>
      </c>
      <c r="AE360" s="44">
        <f t="shared" si="21"/>
        <v>0</v>
      </c>
      <c r="AF360" s="46">
        <v>173.0114278564659</v>
      </c>
      <c r="AG360" s="44">
        <v>0</v>
      </c>
      <c r="AH360" s="44">
        <v>0</v>
      </c>
      <c r="AJ360" s="40">
        <v>8.0919510193365449E-2</v>
      </c>
      <c r="AM360" s="23">
        <v>1.9090909090909089</v>
      </c>
      <c r="AN360" s="23">
        <v>2.545454545454545</v>
      </c>
      <c r="AO360" s="23">
        <v>0.63636363636363635</v>
      </c>
      <c r="AP360" s="23">
        <v>2.545454545454545</v>
      </c>
      <c r="AQ360" s="23">
        <v>0.25</v>
      </c>
      <c r="AR360" s="23">
        <v>0.33333333333333331</v>
      </c>
      <c r="AS360" s="23">
        <v>8.3333333333333329E-2</v>
      </c>
      <c r="AT360" s="23">
        <v>0.33333333333333331</v>
      </c>
      <c r="AU360" s="20">
        <v>0.82</v>
      </c>
      <c r="AV360" s="20">
        <v>3.44</v>
      </c>
      <c r="AW360" s="20">
        <v>2.62</v>
      </c>
      <c r="AX360" s="20">
        <v>2.6363636363636358</v>
      </c>
      <c r="AY360">
        <v>2.6363636363636371</v>
      </c>
      <c r="AZ360">
        <v>6.0044088459090901</v>
      </c>
      <c r="BA360" s="64">
        <v>0.5117218936152963</v>
      </c>
      <c r="BE360">
        <v>4.0459755096682717E-2</v>
      </c>
      <c r="BH360">
        <v>8.0919510193365449E-2</v>
      </c>
      <c r="BI360">
        <v>4.0459755096682717E-2</v>
      </c>
      <c r="BJ360">
        <v>0.5117218936152963</v>
      </c>
    </row>
    <row r="361" spans="1:62" x14ac:dyDescent="0.3">
      <c r="A361" t="s">
        <v>10</v>
      </c>
      <c r="B361" s="12" t="s">
        <v>695</v>
      </c>
      <c r="C361" s="12"/>
      <c r="D361" t="s">
        <v>676</v>
      </c>
      <c r="E361">
        <v>0.3</v>
      </c>
      <c r="F361">
        <v>2.16</v>
      </c>
      <c r="G361" t="s">
        <v>291</v>
      </c>
      <c r="H361" s="8" t="s">
        <v>531</v>
      </c>
      <c r="I361">
        <v>-1</v>
      </c>
      <c r="L361" s="20">
        <v>1</v>
      </c>
      <c r="M361">
        <v>0</v>
      </c>
      <c r="N361">
        <v>0</v>
      </c>
      <c r="T361" s="20">
        <v>3.9103940000000001</v>
      </c>
      <c r="U361" s="20">
        <v>3.9103940000000001</v>
      </c>
      <c r="V361" s="20">
        <v>11.314458</v>
      </c>
      <c r="W361">
        <v>0</v>
      </c>
      <c r="Z361">
        <v>0</v>
      </c>
      <c r="AD361">
        <v>14</v>
      </c>
      <c r="AE361" s="44">
        <f t="shared" si="21"/>
        <v>0</v>
      </c>
      <c r="AF361" s="46">
        <v>173.0114278564659</v>
      </c>
      <c r="AG361" s="44">
        <v>0</v>
      </c>
      <c r="AH361" s="44">
        <v>0</v>
      </c>
      <c r="AJ361" s="40">
        <v>8.0919510193365449E-2</v>
      </c>
      <c r="AM361" s="23">
        <v>1.9090909090909089</v>
      </c>
      <c r="AN361" s="23">
        <v>2.545454545454545</v>
      </c>
      <c r="AO361" s="23">
        <v>0.63636363636363635</v>
      </c>
      <c r="AP361" s="23">
        <v>2.545454545454545</v>
      </c>
      <c r="AQ361" s="23">
        <v>0.25</v>
      </c>
      <c r="AR361" s="23">
        <v>0.33333333333333331</v>
      </c>
      <c r="AS361" s="23">
        <v>8.3333333333333329E-2</v>
      </c>
      <c r="AT361" s="23">
        <v>0.33333333333333331</v>
      </c>
      <c r="AU361" s="20">
        <v>0.82</v>
      </c>
      <c r="AV361" s="20">
        <v>3.44</v>
      </c>
      <c r="AW361" s="20">
        <v>2.62</v>
      </c>
      <c r="AX361" s="20">
        <v>2.6363636363636358</v>
      </c>
      <c r="AY361">
        <v>2.6363636363636371</v>
      </c>
      <c r="AZ361">
        <v>6.0044088459090901</v>
      </c>
      <c r="BA361" s="64">
        <v>0.5117218936152963</v>
      </c>
      <c r="BE361">
        <v>4.0459755096682717E-2</v>
      </c>
      <c r="BH361">
        <v>8.0919510193365449E-2</v>
      </c>
      <c r="BI361">
        <v>4.0459755096682717E-2</v>
      </c>
      <c r="BJ361">
        <v>0.5117218936152963</v>
      </c>
    </row>
    <row r="362" spans="1:62" x14ac:dyDescent="0.3">
      <c r="A362" t="s">
        <v>4</v>
      </c>
      <c r="B362" s="12" t="s">
        <v>689</v>
      </c>
      <c r="C362" s="12"/>
      <c r="F362">
        <v>3.22</v>
      </c>
      <c r="G362" t="s">
        <v>292</v>
      </c>
      <c r="H362" s="59" t="s">
        <v>527</v>
      </c>
      <c r="I362">
        <v>-1</v>
      </c>
      <c r="K362">
        <v>4</v>
      </c>
      <c r="L362" s="20">
        <v>4</v>
      </c>
      <c r="M362">
        <v>0</v>
      </c>
      <c r="N362">
        <v>0</v>
      </c>
      <c r="O362">
        <v>-1</v>
      </c>
      <c r="T362" s="20">
        <v>7.8084429999999996</v>
      </c>
      <c r="U362" s="20">
        <v>7.8548809999999998</v>
      </c>
      <c r="V362" s="20">
        <v>15.19056011</v>
      </c>
      <c r="W362">
        <v>0</v>
      </c>
      <c r="Z362">
        <v>0</v>
      </c>
      <c r="AD362">
        <v>20</v>
      </c>
      <c r="AE362" s="44">
        <v>850</v>
      </c>
      <c r="AF362" s="46">
        <v>924.74694795000005</v>
      </c>
      <c r="AG362" s="44">
        <v>0</v>
      </c>
      <c r="AH362" s="44">
        <v>0</v>
      </c>
      <c r="AI362" s="41">
        <f t="shared" ref="AI362:AI373" si="24">K362*AD362/AE362</f>
        <v>9.4117647058823528E-2</v>
      </c>
      <c r="AJ362" s="40">
        <f>L362*AD362/AF362</f>
        <v>8.6510153050351563E-2</v>
      </c>
      <c r="AM362" s="23">
        <v>1.75</v>
      </c>
      <c r="AN362" s="23">
        <v>2.5</v>
      </c>
      <c r="AO362" s="23">
        <v>0.75</v>
      </c>
      <c r="AP362" s="23">
        <v>0</v>
      </c>
      <c r="AQ362" s="23">
        <v>0.35</v>
      </c>
      <c r="AR362" s="23">
        <v>0.5</v>
      </c>
      <c r="AS362" s="23">
        <v>0.15</v>
      </c>
      <c r="AT362" s="23">
        <v>0</v>
      </c>
      <c r="AU362" s="20">
        <v>0.82</v>
      </c>
      <c r="AV362" s="20">
        <v>3.44</v>
      </c>
      <c r="AW362" s="20">
        <v>2.62</v>
      </c>
      <c r="AX362" s="20">
        <v>2.6262500000000002</v>
      </c>
      <c r="AY362">
        <v>2.6262500000000002</v>
      </c>
      <c r="AZ362">
        <v>5.96680968125</v>
      </c>
      <c r="BA362" s="64">
        <v>0.50555206026575039</v>
      </c>
      <c r="BD362">
        <v>4.7058823529411757E-2</v>
      </c>
      <c r="BE362">
        <v>4.3255076525175781E-2</v>
      </c>
      <c r="BH362">
        <v>9.0313900054587545E-2</v>
      </c>
      <c r="BI362">
        <v>4.5156950027293773E-2</v>
      </c>
      <c r="BJ362">
        <v>0.50555206026575039</v>
      </c>
    </row>
    <row r="363" spans="1:62" x14ac:dyDescent="0.3">
      <c r="A363" s="32" t="s">
        <v>991</v>
      </c>
      <c r="B363" s="17" t="s">
        <v>693</v>
      </c>
      <c r="C363" s="12"/>
      <c r="F363">
        <v>3.1</v>
      </c>
      <c r="G363" t="s">
        <v>292</v>
      </c>
      <c r="H363" s="8">
        <v>-1</v>
      </c>
      <c r="I363">
        <v>-1</v>
      </c>
      <c r="K363">
        <v>4</v>
      </c>
      <c r="L363" s="20">
        <v>0</v>
      </c>
      <c r="M363">
        <v>0</v>
      </c>
      <c r="N363">
        <v>0</v>
      </c>
      <c r="O363">
        <v>3.8759999999999999</v>
      </c>
      <c r="P363">
        <v>3.8849999999999998</v>
      </c>
      <c r="Q363">
        <v>37.359000000000002</v>
      </c>
      <c r="R363" t="s">
        <v>1175</v>
      </c>
      <c r="T363" s="20">
        <v>0</v>
      </c>
      <c r="U363" s="20"/>
      <c r="V363" s="20"/>
      <c r="W363">
        <v>0</v>
      </c>
      <c r="Z363">
        <v>0</v>
      </c>
      <c r="AD363">
        <v>26</v>
      </c>
      <c r="AE363" s="44">
        <v>1100</v>
      </c>
      <c r="AF363" s="46">
        <v>0</v>
      </c>
      <c r="AG363" s="44">
        <v>0</v>
      </c>
      <c r="AH363" s="44">
        <v>0</v>
      </c>
      <c r="AI363" s="41">
        <f t="shared" si="24"/>
        <v>9.4545454545454544E-2</v>
      </c>
      <c r="AJ363" s="40"/>
      <c r="AM363" s="23">
        <v>1.714285714285714</v>
      </c>
      <c r="AN363" s="23">
        <v>2.4761904761904758</v>
      </c>
      <c r="AO363" s="23">
        <v>0.76190476190476186</v>
      </c>
      <c r="AP363" s="23">
        <v>0</v>
      </c>
      <c r="AQ363" s="23">
        <v>0.34615384615384609</v>
      </c>
      <c r="AR363" s="23">
        <v>0.5</v>
      </c>
      <c r="AS363" s="23">
        <v>0.1538461538461538</v>
      </c>
      <c r="AT363" s="23">
        <v>0</v>
      </c>
      <c r="AU363" s="20">
        <v>0.82</v>
      </c>
      <c r="AV363" s="20">
        <v>3.44</v>
      </c>
      <c r="AW363" s="20">
        <v>2.62</v>
      </c>
      <c r="AX363" s="20">
        <v>2.612857142857143</v>
      </c>
      <c r="AY363">
        <v>2.612857142857143</v>
      </c>
      <c r="AZ363">
        <v>5.9413964502380949</v>
      </c>
      <c r="BD363">
        <v>4.7272727272727272E-2</v>
      </c>
      <c r="BH363">
        <v>9.4545454545454544E-2</v>
      </c>
      <c r="BI363">
        <v>4.7272727272727272E-2</v>
      </c>
      <c r="BJ363">
        <v>0</v>
      </c>
    </row>
    <row r="364" spans="1:62" x14ac:dyDescent="0.3">
      <c r="A364" s="4" t="s">
        <v>992</v>
      </c>
      <c r="B364" s="33" t="s">
        <v>989</v>
      </c>
      <c r="C364" s="29"/>
      <c r="D364" s="4"/>
      <c r="E364" s="4"/>
      <c r="F364" s="4">
        <v>3.08</v>
      </c>
      <c r="G364" s="4" t="s">
        <v>292</v>
      </c>
      <c r="H364" s="30">
        <v>-2</v>
      </c>
      <c r="I364" s="4">
        <v>-1</v>
      </c>
      <c r="J364" s="4"/>
      <c r="K364" s="4">
        <v>4</v>
      </c>
      <c r="L364" s="31">
        <v>0</v>
      </c>
      <c r="M364">
        <v>0</v>
      </c>
      <c r="N364">
        <v>0</v>
      </c>
      <c r="O364" s="4">
        <v>-1</v>
      </c>
      <c r="P364" s="4"/>
      <c r="Q364" s="4"/>
      <c r="R364" s="4"/>
      <c r="S364" s="4"/>
      <c r="T364" s="31">
        <v>0</v>
      </c>
      <c r="U364" s="31"/>
      <c r="V364" s="31"/>
      <c r="W364">
        <v>0</v>
      </c>
      <c r="Z364">
        <v>0</v>
      </c>
      <c r="AC364" s="4"/>
      <c r="AD364" s="4">
        <v>32</v>
      </c>
      <c r="AE364" s="44">
        <v>1350</v>
      </c>
      <c r="AF364" s="46">
        <v>0</v>
      </c>
      <c r="AG364" s="44">
        <v>0</v>
      </c>
      <c r="AH364" s="44">
        <v>0</v>
      </c>
      <c r="AI364" s="41">
        <f t="shared" si="24"/>
        <v>9.481481481481481E-2</v>
      </c>
      <c r="AJ364" s="40"/>
      <c r="AM364" s="4">
        <v>1.6923076923076921</v>
      </c>
      <c r="AN364" s="4">
        <v>2.4615384615384621</v>
      </c>
      <c r="AO364" s="4">
        <v>0.76923076923076927</v>
      </c>
      <c r="AP364" s="4">
        <v>0</v>
      </c>
      <c r="AQ364" s="4">
        <v>0.34375</v>
      </c>
      <c r="AR364" s="4">
        <v>0.5</v>
      </c>
      <c r="AS364" s="4">
        <v>0.15625</v>
      </c>
      <c r="AT364" s="4">
        <v>0</v>
      </c>
      <c r="AU364" s="31">
        <v>0.82</v>
      </c>
      <c r="AV364" s="31">
        <v>3.44</v>
      </c>
      <c r="AW364" s="31">
        <v>2.62</v>
      </c>
      <c r="AX364" s="31">
        <v>2.6046153846153852</v>
      </c>
      <c r="AY364" s="4">
        <v>2.6046153846153852</v>
      </c>
      <c r="AZ364" s="4">
        <v>5.9257575388461543</v>
      </c>
      <c r="BD364">
        <v>4.7407407407407412E-2</v>
      </c>
      <c r="BH364">
        <v>9.481481481481481E-2</v>
      </c>
      <c r="BI364">
        <v>4.7407407407407412E-2</v>
      </c>
      <c r="BJ364">
        <v>0</v>
      </c>
    </row>
    <row r="365" spans="1:62" x14ac:dyDescent="0.3">
      <c r="A365" s="4" t="s">
        <v>993</v>
      </c>
      <c r="B365" s="33" t="s">
        <v>990</v>
      </c>
      <c r="C365" s="29"/>
      <c r="D365" s="4"/>
      <c r="E365" s="4"/>
      <c r="F365" s="4">
        <v>3.06</v>
      </c>
      <c r="G365" s="4" t="s">
        <v>292</v>
      </c>
      <c r="H365" s="30">
        <v>-2</v>
      </c>
      <c r="I365" s="4">
        <v>-1</v>
      </c>
      <c r="J365" s="4"/>
      <c r="K365" s="4">
        <v>4</v>
      </c>
      <c r="L365" s="31">
        <v>0</v>
      </c>
      <c r="M365">
        <v>0</v>
      </c>
      <c r="N365">
        <v>0</v>
      </c>
      <c r="O365" s="4">
        <v>-1</v>
      </c>
      <c r="P365" s="4"/>
      <c r="Q365" s="4"/>
      <c r="R365" s="4"/>
      <c r="S365" s="4"/>
      <c r="T365" s="31">
        <v>0</v>
      </c>
      <c r="U365" s="31"/>
      <c r="V365" s="31"/>
      <c r="W365">
        <v>0</v>
      </c>
      <c r="Z365">
        <v>0</v>
      </c>
      <c r="AC365" s="4"/>
      <c r="AD365" s="4">
        <v>38</v>
      </c>
      <c r="AE365" s="44">
        <v>1600</v>
      </c>
      <c r="AF365" s="46">
        <v>0</v>
      </c>
      <c r="AG365" s="44">
        <v>0</v>
      </c>
      <c r="AH365" s="44">
        <v>0</v>
      </c>
      <c r="AI365" s="41">
        <f t="shared" si="24"/>
        <v>9.5000000000000001E-2</v>
      </c>
      <c r="AJ365" s="40"/>
      <c r="AM365" s="4">
        <v>1.67741935483871</v>
      </c>
      <c r="AN365" s="4">
        <v>2.4516129032258061</v>
      </c>
      <c r="AO365" s="4">
        <v>0.77419354838709675</v>
      </c>
      <c r="AP365" s="4">
        <v>0</v>
      </c>
      <c r="AQ365" s="4">
        <v>0.34210526315789469</v>
      </c>
      <c r="AR365" s="4">
        <v>0.5</v>
      </c>
      <c r="AS365" s="4">
        <v>0.15789473684210531</v>
      </c>
      <c r="AT365" s="4">
        <v>0</v>
      </c>
      <c r="AU365" s="31">
        <v>0.82</v>
      </c>
      <c r="AV365" s="31">
        <v>3.44</v>
      </c>
      <c r="AW365" s="31">
        <v>2.62</v>
      </c>
      <c r="AX365" s="31">
        <v>2.5990322580645162</v>
      </c>
      <c r="AY365" s="4">
        <v>2.5990322580645162</v>
      </c>
      <c r="AZ365" s="4">
        <v>5.9151634375806452</v>
      </c>
      <c r="BD365">
        <v>4.7500000000000001E-2</v>
      </c>
      <c r="BH365">
        <v>9.5000000000000001E-2</v>
      </c>
      <c r="BI365">
        <v>4.7500000000000001E-2</v>
      </c>
      <c r="BJ365">
        <v>0</v>
      </c>
    </row>
    <row r="366" spans="1:62" x14ac:dyDescent="0.3">
      <c r="A366" s="34" t="s">
        <v>63</v>
      </c>
      <c r="B366" s="12" t="s">
        <v>773</v>
      </c>
      <c r="C366" s="12"/>
      <c r="F366">
        <v>3.59</v>
      </c>
      <c r="G366" t="s">
        <v>295</v>
      </c>
      <c r="H366" s="8">
        <v>-1</v>
      </c>
      <c r="I366">
        <v>-1</v>
      </c>
      <c r="J366" t="s">
        <v>1179</v>
      </c>
      <c r="K366">
        <v>1</v>
      </c>
      <c r="L366" s="20">
        <v>1</v>
      </c>
      <c r="M366">
        <v>0</v>
      </c>
      <c r="N366">
        <v>1</v>
      </c>
      <c r="O366" s="20">
        <v>3.86</v>
      </c>
      <c r="P366" s="20">
        <v>3.86</v>
      </c>
      <c r="Q366">
        <v>14.995541551467477</v>
      </c>
      <c r="T366" s="20">
        <v>3.86</v>
      </c>
      <c r="U366" s="20">
        <v>3.86</v>
      </c>
      <c r="V366" s="20">
        <v>14.97</v>
      </c>
      <c r="W366">
        <v>3.8504999999999998</v>
      </c>
      <c r="X366">
        <v>3.8504999999999998</v>
      </c>
      <c r="Y366">
        <v>14.379</v>
      </c>
      <c r="AD366">
        <v>20</v>
      </c>
      <c r="AE366" s="44">
        <f t="shared" si="21"/>
        <v>223.4275709002448</v>
      </c>
      <c r="AF366" s="46">
        <v>0</v>
      </c>
      <c r="AH366" s="44">
        <v>213.2</v>
      </c>
      <c r="AI366" s="41">
        <f t="shared" si="24"/>
        <v>8.9514467348031701E-2</v>
      </c>
      <c r="AJ366" s="40"/>
      <c r="AL366" s="56">
        <f>N366*AD366/AH366</f>
        <v>9.3808630393996256E-2</v>
      </c>
      <c r="AM366" s="23">
        <v>1.75</v>
      </c>
      <c r="AN366" s="23">
        <v>2.5</v>
      </c>
      <c r="AO366" s="23">
        <v>0.75</v>
      </c>
      <c r="AP366" s="23">
        <v>0</v>
      </c>
      <c r="AQ366" s="23">
        <v>0.35</v>
      </c>
      <c r="AR366" s="23">
        <v>0.5</v>
      </c>
      <c r="AS366" s="23">
        <v>0.15</v>
      </c>
      <c r="AT366" s="23">
        <v>0</v>
      </c>
      <c r="AU366" s="20">
        <v>1</v>
      </c>
      <c r="AV366" s="20">
        <v>3.44</v>
      </c>
      <c r="AW366" s="20">
        <v>2.44</v>
      </c>
      <c r="AX366" s="20">
        <v>2.7124999999999999</v>
      </c>
      <c r="AY366">
        <v>2.7124999999999999</v>
      </c>
      <c r="AZ366">
        <v>6.264025610615688</v>
      </c>
      <c r="BC366" s="64">
        <v>0</v>
      </c>
      <c r="BD366">
        <v>4.4757233674015851E-2</v>
      </c>
      <c r="BE366" t="s">
        <v>459</v>
      </c>
      <c r="BG366">
        <v>4.6904315196998128E-2</v>
      </c>
      <c r="BH366">
        <v>9.1661548871013979E-2</v>
      </c>
      <c r="BI366" t="s">
        <v>459</v>
      </c>
      <c r="BJ366">
        <v>0</v>
      </c>
    </row>
    <row r="367" spans="1:62" x14ac:dyDescent="0.3">
      <c r="A367" t="s">
        <v>296</v>
      </c>
      <c r="B367" s="16" t="s">
        <v>947</v>
      </c>
      <c r="C367" s="12"/>
      <c r="F367">
        <v>3.55</v>
      </c>
      <c r="G367" t="s">
        <v>295</v>
      </c>
      <c r="H367" s="8">
        <v>-1</v>
      </c>
      <c r="I367">
        <v>-1</v>
      </c>
      <c r="K367">
        <v>1</v>
      </c>
      <c r="L367" s="20">
        <v>1</v>
      </c>
      <c r="M367">
        <v>0</v>
      </c>
      <c r="N367">
        <v>0</v>
      </c>
      <c r="O367" s="20">
        <v>3.86</v>
      </c>
      <c r="P367" s="20">
        <v>3.86</v>
      </c>
      <c r="Q367">
        <v>15.615511227317649</v>
      </c>
      <c r="T367" s="20">
        <v>3.86</v>
      </c>
      <c r="U367" s="20">
        <v>3.86</v>
      </c>
      <c r="V367" s="20">
        <f>(V366+V368)/2</f>
        <v>15.342750000000001</v>
      </c>
      <c r="W367">
        <v>0</v>
      </c>
      <c r="AD367">
        <v>20</v>
      </c>
      <c r="AE367" s="44">
        <f t="shared" si="21"/>
        <v>232.66487108254202</v>
      </c>
      <c r="AF367" s="46">
        <v>0</v>
      </c>
      <c r="AI367" s="41">
        <f t="shared" si="24"/>
        <v>8.5960548779642126E-2</v>
      </c>
      <c r="AJ367" s="40"/>
      <c r="AM367" s="23">
        <v>1.75</v>
      </c>
      <c r="AN367" s="23">
        <v>2.5</v>
      </c>
      <c r="AO367" s="23">
        <v>0.75</v>
      </c>
      <c r="AP367" s="23">
        <v>0</v>
      </c>
      <c r="AQ367" s="23">
        <v>0.35</v>
      </c>
      <c r="AR367" s="23">
        <v>0.5</v>
      </c>
      <c r="AS367" s="23">
        <v>0.15</v>
      </c>
      <c r="AT367" s="23">
        <v>0</v>
      </c>
      <c r="AU367" s="20">
        <v>0.95</v>
      </c>
      <c r="AV367" s="20">
        <v>3.44</v>
      </c>
      <c r="AW367" s="20">
        <v>2.4900000000000002</v>
      </c>
      <c r="AX367" s="20">
        <v>2.7109375</v>
      </c>
      <c r="AY367">
        <v>2.7109375</v>
      </c>
      <c r="AZ367">
        <v>6.2579197821781882</v>
      </c>
      <c r="BD367">
        <v>4.2980274389821063E-2</v>
      </c>
      <c r="BE367" t="s">
        <v>459</v>
      </c>
      <c r="BH367">
        <v>8.5960548779642126E-2</v>
      </c>
      <c r="BI367" t="s">
        <v>459</v>
      </c>
      <c r="BJ367">
        <v>0</v>
      </c>
    </row>
    <row r="368" spans="1:62" s="4" customFormat="1" x14ac:dyDescent="0.3">
      <c r="A368" t="s">
        <v>297</v>
      </c>
      <c r="B368" s="12" t="s">
        <v>827</v>
      </c>
      <c r="C368" s="12"/>
      <c r="D368"/>
      <c r="E368"/>
      <c r="F368">
        <v>3.5</v>
      </c>
      <c r="G368" t="s">
        <v>295</v>
      </c>
      <c r="H368" s="8">
        <v>-1</v>
      </c>
      <c r="I368">
        <v>-1</v>
      </c>
      <c r="J368"/>
      <c r="K368">
        <v>1</v>
      </c>
      <c r="L368" s="20">
        <v>1</v>
      </c>
      <c r="M368">
        <v>0</v>
      </c>
      <c r="N368">
        <v>0</v>
      </c>
      <c r="O368" s="20">
        <v>3.86</v>
      </c>
      <c r="P368" s="20">
        <v>3.86</v>
      </c>
      <c r="Q368">
        <v>15.994210692250023</v>
      </c>
      <c r="R368"/>
      <c r="S368"/>
      <c r="T368" s="20">
        <v>3.86</v>
      </c>
      <c r="U368" s="20">
        <v>3.86</v>
      </c>
      <c r="V368" s="20">
        <v>15.7155</v>
      </c>
      <c r="W368">
        <v>0</v>
      </c>
      <c r="X368"/>
      <c r="Y368"/>
      <c r="Z368">
        <v>0</v>
      </c>
      <c r="AA368"/>
      <c r="AB368"/>
      <c r="AC368"/>
      <c r="AD368">
        <v>20</v>
      </c>
      <c r="AE368" s="44">
        <f t="shared" si="21"/>
        <v>238.30734163024843</v>
      </c>
      <c r="AF368" s="46">
        <v>0</v>
      </c>
      <c r="AG368" s="44"/>
      <c r="AH368" s="44">
        <v>0</v>
      </c>
      <c r="AI368" s="41">
        <f t="shared" si="24"/>
        <v>8.3925236474801893E-2</v>
      </c>
      <c r="AJ368" s="40"/>
      <c r="AK368" s="41"/>
      <c r="AL368" s="41"/>
      <c r="AM368" s="23">
        <v>1.75</v>
      </c>
      <c r="AN368" s="23">
        <v>2.5</v>
      </c>
      <c r="AO368" s="23">
        <v>0.75</v>
      </c>
      <c r="AP368" s="23">
        <v>0</v>
      </c>
      <c r="AQ368" s="23">
        <v>0.35</v>
      </c>
      <c r="AR368" s="23">
        <v>0.5</v>
      </c>
      <c r="AS368" s="23">
        <v>0.15</v>
      </c>
      <c r="AT368" s="23">
        <v>0</v>
      </c>
      <c r="AU368" s="20">
        <v>0.95</v>
      </c>
      <c r="AV368" s="20">
        <v>3.44</v>
      </c>
      <c r="AW368" s="20">
        <v>2.4900000000000002</v>
      </c>
      <c r="AX368" s="20">
        <v>2.7093750000000001</v>
      </c>
      <c r="AY368">
        <v>2.7093750000000001</v>
      </c>
      <c r="AZ368">
        <v>6.2518139537406876</v>
      </c>
      <c r="BA368" s="64"/>
      <c r="BB368" s="64"/>
      <c r="BC368" s="64"/>
      <c r="BD368">
        <v>4.1962618237400953E-2</v>
      </c>
      <c r="BE368" t="s">
        <v>459</v>
      </c>
      <c r="BF368"/>
      <c r="BG368"/>
      <c r="BH368">
        <v>8.3925236474801893E-2</v>
      </c>
      <c r="BI368" t="s">
        <v>459</v>
      </c>
      <c r="BJ368">
        <v>0</v>
      </c>
    </row>
    <row r="369" spans="1:62" s="4" customFormat="1" x14ac:dyDescent="0.3">
      <c r="A369" t="s">
        <v>298</v>
      </c>
      <c r="B369" s="16" t="s">
        <v>948</v>
      </c>
      <c r="C369" s="12"/>
      <c r="D369"/>
      <c r="E369"/>
      <c r="F369">
        <v>3.45</v>
      </c>
      <c r="G369" t="s">
        <v>295</v>
      </c>
      <c r="H369" s="8">
        <v>-1</v>
      </c>
      <c r="I369">
        <v>-1</v>
      </c>
      <c r="J369"/>
      <c r="K369">
        <v>1</v>
      </c>
      <c r="L369" s="20">
        <v>1</v>
      </c>
      <c r="M369">
        <v>0</v>
      </c>
      <c r="N369">
        <v>0</v>
      </c>
      <c r="O369" s="20">
        <v>3.86</v>
      </c>
      <c r="P369" s="20">
        <v>3.86</v>
      </c>
      <c r="Q369">
        <v>16.28902613653251</v>
      </c>
      <c r="R369"/>
      <c r="S369"/>
      <c r="T369" s="20">
        <v>3.86</v>
      </c>
      <c r="U369" s="20">
        <v>3.86</v>
      </c>
      <c r="V369" s="20">
        <v>16.312000000000001</v>
      </c>
      <c r="W369">
        <v>0</v>
      </c>
      <c r="X369"/>
      <c r="Y369"/>
      <c r="Z369">
        <v>0</v>
      </c>
      <c r="AA369"/>
      <c r="AB369"/>
      <c r="AC369"/>
      <c r="AD369">
        <v>20</v>
      </c>
      <c r="AE369" s="44">
        <f t="shared" si="21"/>
        <v>242.69997382387976</v>
      </c>
      <c r="AF369" s="46">
        <v>0</v>
      </c>
      <c r="AG369" s="44"/>
      <c r="AH369" s="44">
        <v>0</v>
      </c>
      <c r="AI369" s="41">
        <f t="shared" si="24"/>
        <v>8.2406271763809144E-2</v>
      </c>
      <c r="AJ369" s="40"/>
      <c r="AK369" s="41"/>
      <c r="AL369" s="41"/>
      <c r="AM369" s="23">
        <v>1.75</v>
      </c>
      <c r="AN369" s="23">
        <v>2.5</v>
      </c>
      <c r="AO369" s="23">
        <v>0.75</v>
      </c>
      <c r="AP369" s="23">
        <v>0</v>
      </c>
      <c r="AQ369" s="23">
        <v>0.35</v>
      </c>
      <c r="AR369" s="23">
        <v>0.5</v>
      </c>
      <c r="AS369" s="23">
        <v>0.15</v>
      </c>
      <c r="AT369" s="23">
        <v>0</v>
      </c>
      <c r="AU369" s="20">
        <v>0.95</v>
      </c>
      <c r="AV369" s="20">
        <v>3.44</v>
      </c>
      <c r="AW369" s="20">
        <v>2.4900000000000002</v>
      </c>
      <c r="AX369" s="20">
        <v>2.7078125000000002</v>
      </c>
      <c r="AY369">
        <v>2.7078125000000002</v>
      </c>
      <c r="AZ369">
        <v>6.245708125303187</v>
      </c>
      <c r="BA369" s="64"/>
      <c r="BB369" s="64"/>
      <c r="BC369" s="64"/>
      <c r="BD369">
        <v>4.1203135881904572E-2</v>
      </c>
      <c r="BE369" t="s">
        <v>459</v>
      </c>
      <c r="BF369"/>
      <c r="BG369"/>
      <c r="BH369">
        <v>8.2406271763809144E-2</v>
      </c>
      <c r="BI369" t="s">
        <v>459</v>
      </c>
      <c r="BJ369">
        <v>0</v>
      </c>
    </row>
    <row r="370" spans="1:62" s="4" customFormat="1" x14ac:dyDescent="0.3">
      <c r="A370" t="s">
        <v>151</v>
      </c>
      <c r="B370" s="12" t="s">
        <v>774</v>
      </c>
      <c r="C370" s="12"/>
      <c r="D370"/>
      <c r="E370"/>
      <c r="F370">
        <v>3.4</v>
      </c>
      <c r="G370" t="s">
        <v>295</v>
      </c>
      <c r="H370" s="8">
        <v>-1</v>
      </c>
      <c r="I370">
        <v>-1</v>
      </c>
      <c r="J370"/>
      <c r="K370">
        <v>1</v>
      </c>
      <c r="L370" s="20">
        <v>1</v>
      </c>
      <c r="M370">
        <v>0</v>
      </c>
      <c r="N370">
        <v>0</v>
      </c>
      <c r="O370" s="20">
        <v>3.86</v>
      </c>
      <c r="P370" s="20">
        <v>3.86</v>
      </c>
      <c r="Q370">
        <v>17.505628149549622</v>
      </c>
      <c r="R370"/>
      <c r="S370"/>
      <c r="T370" s="20">
        <v>3.86</v>
      </c>
      <c r="U370" s="20">
        <v>3.86</v>
      </c>
      <c r="V370" s="20">
        <v>17.599</v>
      </c>
      <c r="W370">
        <v>0</v>
      </c>
      <c r="X370"/>
      <c r="Y370"/>
      <c r="Z370">
        <v>0</v>
      </c>
      <c r="AA370"/>
      <c r="AB370"/>
      <c r="AC370"/>
      <c r="AD370">
        <v>20</v>
      </c>
      <c r="AE370" s="44">
        <f t="shared" si="21"/>
        <v>260.82685717702952</v>
      </c>
      <c r="AF370" s="46">
        <v>0</v>
      </c>
      <c r="AG370" s="44"/>
      <c r="AH370" s="44">
        <v>0</v>
      </c>
      <c r="AI370" s="41">
        <f t="shared" si="24"/>
        <v>7.667922014037655E-2</v>
      </c>
      <c r="AJ370" s="40"/>
      <c r="AK370" s="41"/>
      <c r="AL370" s="41"/>
      <c r="AM370" s="23">
        <v>1.75</v>
      </c>
      <c r="AN370" s="23">
        <v>2.5</v>
      </c>
      <c r="AO370" s="23">
        <v>0.75</v>
      </c>
      <c r="AP370" s="23">
        <v>0</v>
      </c>
      <c r="AQ370" s="23">
        <v>0.35</v>
      </c>
      <c r="AR370" s="23">
        <v>0.5</v>
      </c>
      <c r="AS370" s="23">
        <v>0.15</v>
      </c>
      <c r="AT370" s="23">
        <v>0</v>
      </c>
      <c r="AU370" s="20">
        <v>0.95</v>
      </c>
      <c r="AV370" s="20">
        <v>3.44</v>
      </c>
      <c r="AW370" s="20">
        <v>2.4900000000000002</v>
      </c>
      <c r="AX370" s="20">
        <v>2.7062499999999998</v>
      </c>
      <c r="AY370">
        <v>2.7062499999999998</v>
      </c>
      <c r="AZ370">
        <v>6.2396022968656872</v>
      </c>
      <c r="BA370" s="64"/>
      <c r="BB370" s="64"/>
      <c r="BC370" s="64"/>
      <c r="BD370">
        <v>3.8339610070188268E-2</v>
      </c>
      <c r="BE370" t="s">
        <v>459</v>
      </c>
      <c r="BF370"/>
      <c r="BG370"/>
      <c r="BH370">
        <v>7.667922014037655E-2</v>
      </c>
      <c r="BI370" t="s">
        <v>459</v>
      </c>
      <c r="BJ370">
        <v>0</v>
      </c>
    </row>
    <row r="371" spans="1:62" s="4" customFormat="1" x14ac:dyDescent="0.3">
      <c r="A371" t="s">
        <v>299</v>
      </c>
      <c r="B371" s="16" t="s">
        <v>949</v>
      </c>
      <c r="C371" s="12"/>
      <c r="D371"/>
      <c r="E371"/>
      <c r="F371">
        <v>3.65</v>
      </c>
      <c r="G371" t="s">
        <v>295</v>
      </c>
      <c r="H371" s="8">
        <v>-1</v>
      </c>
      <c r="I371">
        <v>-1</v>
      </c>
      <c r="J371"/>
      <c r="K371">
        <v>1</v>
      </c>
      <c r="L371" s="20">
        <v>1</v>
      </c>
      <c r="M371">
        <v>0</v>
      </c>
      <c r="N371">
        <v>0</v>
      </c>
      <c r="O371" s="20">
        <v>3.86</v>
      </c>
      <c r="P371" s="20">
        <v>3.86</v>
      </c>
      <c r="Q371">
        <v>14.582394405034421</v>
      </c>
      <c r="R371"/>
      <c r="S371"/>
      <c r="T371" s="20">
        <v>3.86</v>
      </c>
      <c r="U371" s="20">
        <v>3.86</v>
      </c>
      <c r="V371" s="20">
        <v>14.85</v>
      </c>
      <c r="W371">
        <v>0</v>
      </c>
      <c r="X371"/>
      <c r="Y371"/>
      <c r="Z371">
        <v>0</v>
      </c>
      <c r="AA371"/>
      <c r="AB371"/>
      <c r="AC371"/>
      <c r="AD371">
        <v>20</v>
      </c>
      <c r="AE371" s="44">
        <f t="shared" si="21"/>
        <v>217.27184367725084</v>
      </c>
      <c r="AF371" s="46">
        <v>0</v>
      </c>
      <c r="AG371" s="44"/>
      <c r="AH371" s="44">
        <v>0</v>
      </c>
      <c r="AI371" s="41">
        <f t="shared" si="24"/>
        <v>9.2050583552414869E-2</v>
      </c>
      <c r="AJ371" s="40"/>
      <c r="AK371" s="41"/>
      <c r="AL371" s="41"/>
      <c r="AM371" s="23">
        <v>1.76875</v>
      </c>
      <c r="AN371" s="23">
        <v>2.5</v>
      </c>
      <c r="AO371" s="23">
        <v>0.73125000000000007</v>
      </c>
      <c r="AP371" s="23">
        <v>0.26250000000000001</v>
      </c>
      <c r="AQ371" s="23">
        <v>0.33610451306413303</v>
      </c>
      <c r="AR371" s="23">
        <v>0.47505938242280282</v>
      </c>
      <c r="AS371" s="23">
        <v>0.13895486935866991</v>
      </c>
      <c r="AT371" s="23">
        <v>4.9881235154394299E-2</v>
      </c>
      <c r="AU371" s="20">
        <v>1</v>
      </c>
      <c r="AV371" s="20">
        <v>3.44</v>
      </c>
      <c r="AW371" s="20">
        <v>2.44</v>
      </c>
      <c r="AX371" s="20">
        <v>2.7106249999999998</v>
      </c>
      <c r="AY371">
        <v>2.7106249999999998</v>
      </c>
      <c r="AZ371">
        <v>6.2658671793656886</v>
      </c>
      <c r="BA371" s="64"/>
      <c r="BB371" s="64"/>
      <c r="BC371" s="64"/>
      <c r="BD371">
        <v>4.6025291776207428E-2</v>
      </c>
      <c r="BE371" t="s">
        <v>459</v>
      </c>
      <c r="BF371"/>
      <c r="BG371"/>
      <c r="BH371">
        <v>9.2050583552414869E-2</v>
      </c>
      <c r="BI371" t="s">
        <v>459</v>
      </c>
      <c r="BJ371">
        <v>0</v>
      </c>
    </row>
    <row r="372" spans="1:62" s="4" customFormat="1" x14ac:dyDescent="0.3">
      <c r="A372" t="s">
        <v>300</v>
      </c>
      <c r="B372" s="12" t="s">
        <v>809</v>
      </c>
      <c r="C372" s="12"/>
      <c r="D372"/>
      <c r="E372"/>
      <c r="F372">
        <v>3.26</v>
      </c>
      <c r="G372" t="s">
        <v>295</v>
      </c>
      <c r="H372" s="8">
        <v>-1</v>
      </c>
      <c r="I372">
        <v>-1</v>
      </c>
      <c r="J372"/>
      <c r="K372">
        <v>1</v>
      </c>
      <c r="L372" s="20">
        <v>1</v>
      </c>
      <c r="M372">
        <v>0</v>
      </c>
      <c r="N372">
        <v>0</v>
      </c>
      <c r="O372" s="20">
        <v>3.86</v>
      </c>
      <c r="P372" s="20">
        <v>3.86</v>
      </c>
      <c r="Q372">
        <v>14.909538142748223</v>
      </c>
      <c r="R372"/>
      <c r="S372"/>
      <c r="T372" s="20">
        <v>3.86</v>
      </c>
      <c r="U372" s="20">
        <v>3.86</v>
      </c>
      <c r="V372" s="20">
        <v>15.022</v>
      </c>
      <c r="W372">
        <v>0</v>
      </c>
      <c r="X372"/>
      <c r="Y372"/>
      <c r="Z372">
        <v>0</v>
      </c>
      <c r="AA372"/>
      <c r="AB372"/>
      <c r="AC372"/>
      <c r="AD372">
        <v>20</v>
      </c>
      <c r="AE372" s="44">
        <f t="shared" si="21"/>
        <v>222.14615451169144</v>
      </c>
      <c r="AF372" s="46">
        <v>0</v>
      </c>
      <c r="AG372" s="44"/>
      <c r="AH372" s="44">
        <v>0</v>
      </c>
      <c r="AI372" s="41">
        <f t="shared" si="24"/>
        <v>9.0030817971901517E-2</v>
      </c>
      <c r="AJ372" s="40"/>
      <c r="AK372" s="41"/>
      <c r="AL372" s="41"/>
      <c r="AM372" s="23">
        <v>1.8125</v>
      </c>
      <c r="AN372" s="23">
        <v>2.5</v>
      </c>
      <c r="AO372" s="23">
        <v>0.6875</v>
      </c>
      <c r="AP372" s="23">
        <v>0.875</v>
      </c>
      <c r="AQ372" s="23">
        <v>0.30851063829787229</v>
      </c>
      <c r="AR372" s="23">
        <v>0.42553191489361702</v>
      </c>
      <c r="AS372" s="23">
        <v>0.1170212765957447</v>
      </c>
      <c r="AT372" s="23">
        <v>0.14893617021276601</v>
      </c>
      <c r="AU372" s="20">
        <v>1</v>
      </c>
      <c r="AV372" s="20">
        <v>3.44</v>
      </c>
      <c r="AW372" s="20">
        <v>2.44</v>
      </c>
      <c r="AX372" s="20">
        <v>2.7062499999999998</v>
      </c>
      <c r="AY372">
        <v>2.7062499999999998</v>
      </c>
      <c r="AZ372">
        <v>6.2701641731156874</v>
      </c>
      <c r="BA372" s="64"/>
      <c r="BB372" s="64"/>
      <c r="BC372" s="64"/>
      <c r="BD372">
        <v>4.5015408985950758E-2</v>
      </c>
      <c r="BE372" t="s">
        <v>459</v>
      </c>
      <c r="BF372"/>
      <c r="BG372"/>
      <c r="BH372">
        <v>9.0030817971901517E-2</v>
      </c>
      <c r="BI372" t="s">
        <v>459</v>
      </c>
      <c r="BJ372">
        <v>0</v>
      </c>
    </row>
    <row r="373" spans="1:62" s="4" customFormat="1" x14ac:dyDescent="0.3">
      <c r="A373" t="s">
        <v>301</v>
      </c>
      <c r="B373" s="16" t="s">
        <v>950</v>
      </c>
      <c r="C373" s="12"/>
      <c r="D373"/>
      <c r="E373"/>
      <c r="F373">
        <v>3.2</v>
      </c>
      <c r="G373" t="s">
        <v>295</v>
      </c>
      <c r="H373" s="8">
        <v>-1</v>
      </c>
      <c r="I373">
        <v>-1</v>
      </c>
      <c r="J373"/>
      <c r="K373">
        <v>1</v>
      </c>
      <c r="L373" s="20">
        <v>1</v>
      </c>
      <c r="M373">
        <v>0</v>
      </c>
      <c r="N373">
        <v>0</v>
      </c>
      <c r="O373" s="20">
        <v>3.86</v>
      </c>
      <c r="P373" s="20">
        <v>3.86</v>
      </c>
      <c r="Q373">
        <v>15.013371612679299</v>
      </c>
      <c r="R373"/>
      <c r="S373"/>
      <c r="T373" s="20">
        <v>3.86</v>
      </c>
      <c r="U373" s="20">
        <v>3.86</v>
      </c>
      <c r="V373" s="35">
        <v>15.380100000000001</v>
      </c>
      <c r="W373">
        <v>0</v>
      </c>
      <c r="X373"/>
      <c r="Y373"/>
      <c r="Z373">
        <v>0</v>
      </c>
      <c r="AA373"/>
      <c r="AB373"/>
      <c r="AC373"/>
      <c r="AD373">
        <v>20</v>
      </c>
      <c r="AE373" s="44">
        <f t="shared" si="21"/>
        <v>223.69323168027648</v>
      </c>
      <c r="AF373" s="46">
        <v>0</v>
      </c>
      <c r="AG373" s="44"/>
      <c r="AH373" s="44">
        <v>0</v>
      </c>
      <c r="AI373" s="41">
        <f t="shared" si="24"/>
        <v>8.9408158886925521E-2</v>
      </c>
      <c r="AJ373" s="40"/>
      <c r="AK373" s="41"/>
      <c r="AL373" s="41"/>
      <c r="AM373" s="23">
        <v>1.84375</v>
      </c>
      <c r="AN373" s="23">
        <v>2.5</v>
      </c>
      <c r="AO373" s="23">
        <v>0.65625</v>
      </c>
      <c r="AP373" s="23">
        <v>1.3125</v>
      </c>
      <c r="AQ373" s="23">
        <v>0.29207920792079212</v>
      </c>
      <c r="AR373" s="23">
        <v>0.39603960396039611</v>
      </c>
      <c r="AS373" s="23">
        <v>0.103960396039604</v>
      </c>
      <c r="AT373" s="23">
        <v>0.20792079207920791</v>
      </c>
      <c r="AU373" s="20">
        <v>1</v>
      </c>
      <c r="AV373" s="20">
        <v>3.44</v>
      </c>
      <c r="AW373" s="20">
        <v>2.44</v>
      </c>
      <c r="AX373" s="20">
        <v>2.703125</v>
      </c>
      <c r="AY373">
        <v>2.703125</v>
      </c>
      <c r="AZ373">
        <v>6.2732334543656876</v>
      </c>
      <c r="BA373" s="64"/>
      <c r="BB373" s="64"/>
      <c r="BC373" s="64"/>
      <c r="BD373">
        <v>4.470407944346276E-2</v>
      </c>
      <c r="BE373" t="s">
        <v>459</v>
      </c>
      <c r="BF373"/>
      <c r="BG373"/>
      <c r="BH373">
        <v>8.9408158886925521E-2</v>
      </c>
      <c r="BI373" t="s">
        <v>459</v>
      </c>
      <c r="BJ373">
        <v>0</v>
      </c>
    </row>
    <row r="374" spans="1:62" x14ac:dyDescent="0.3">
      <c r="A374" t="s">
        <v>4</v>
      </c>
      <c r="B374" s="12" t="s">
        <v>689</v>
      </c>
      <c r="C374" s="12"/>
      <c r="F374">
        <v>3.5</v>
      </c>
      <c r="G374" t="s">
        <v>302</v>
      </c>
      <c r="H374" s="8" t="s">
        <v>527</v>
      </c>
      <c r="I374" t="s">
        <v>609</v>
      </c>
      <c r="L374" s="20">
        <v>4</v>
      </c>
      <c r="M374">
        <v>4</v>
      </c>
      <c r="N374">
        <v>0</v>
      </c>
      <c r="T374" s="20">
        <v>3.86</v>
      </c>
      <c r="U374" s="20">
        <v>3.86</v>
      </c>
      <c r="V374" s="20">
        <v>15.19056011</v>
      </c>
      <c r="W374">
        <v>3.8801999999999999</v>
      </c>
      <c r="X374">
        <v>29.507999999999999</v>
      </c>
      <c r="Y374">
        <v>7.7140000000000004</v>
      </c>
      <c r="Z374">
        <v>0</v>
      </c>
      <c r="AD374">
        <v>20</v>
      </c>
      <c r="AE374" s="44">
        <f t="shared" si="21"/>
        <v>0</v>
      </c>
      <c r="AF374" s="46">
        <v>924.74694800021894</v>
      </c>
      <c r="AG374" s="44">
        <v>883.22940750240002</v>
      </c>
      <c r="AH374" s="44">
        <v>0</v>
      </c>
      <c r="AJ374" s="40">
        <v>8.6510153045653584E-2</v>
      </c>
      <c r="AK374" s="41">
        <v>9.0576694254581439E-2</v>
      </c>
      <c r="AM374" s="23">
        <v>1.75</v>
      </c>
      <c r="AN374" s="23">
        <v>2.5</v>
      </c>
      <c r="AO374" s="23">
        <v>0.75</v>
      </c>
      <c r="AP374" s="23">
        <v>0</v>
      </c>
      <c r="AQ374" s="23">
        <v>0.35</v>
      </c>
      <c r="AR374" s="23">
        <v>0.5</v>
      </c>
      <c r="AS374" s="23">
        <v>0.15</v>
      </c>
      <c r="AT374" s="23">
        <v>0</v>
      </c>
      <c r="AU374" s="20">
        <v>0.82</v>
      </c>
      <c r="AV374" s="20">
        <v>3.44</v>
      </c>
      <c r="AW374" s="20">
        <v>2.62</v>
      </c>
      <c r="AX374" s="20">
        <v>2.6262500000000002</v>
      </c>
      <c r="AY374">
        <v>2.6262500000000002</v>
      </c>
      <c r="AZ374">
        <v>5.96680968125</v>
      </c>
      <c r="BA374" s="64">
        <v>0.50555206026575039</v>
      </c>
      <c r="BB374" s="64">
        <v>0</v>
      </c>
      <c r="BE374">
        <v>4.3255076522826792E-2</v>
      </c>
      <c r="BF374">
        <v>4.5288347127290719E-2</v>
      </c>
      <c r="BH374">
        <v>8.8543423650117511E-2</v>
      </c>
      <c r="BI374">
        <v>4.4271711825058763E-2</v>
      </c>
      <c r="BJ374">
        <v>0.2527760301328752</v>
      </c>
    </row>
    <row r="375" spans="1:62" x14ac:dyDescent="0.3">
      <c r="A375" t="s">
        <v>303</v>
      </c>
      <c r="B375" s="12" t="s">
        <v>828</v>
      </c>
      <c r="C375" s="12"/>
      <c r="F375">
        <v>3.4</v>
      </c>
      <c r="G375" t="s">
        <v>302</v>
      </c>
      <c r="H375" s="25" t="s">
        <v>527</v>
      </c>
      <c r="I375" s="1" t="s">
        <v>609</v>
      </c>
      <c r="L375" s="20">
        <v>0</v>
      </c>
      <c r="M375">
        <v>4</v>
      </c>
      <c r="N375">
        <v>0</v>
      </c>
      <c r="O375">
        <v>-1</v>
      </c>
      <c r="T375" s="26">
        <v>3.86</v>
      </c>
      <c r="U375" s="26">
        <v>3.86</v>
      </c>
      <c r="V375" s="26">
        <v>15.19056011</v>
      </c>
      <c r="W375">
        <v>3.8801999999999999</v>
      </c>
      <c r="X375">
        <v>29.507999999999999</v>
      </c>
      <c r="Y375">
        <v>7.7140000000000004</v>
      </c>
      <c r="Z375">
        <v>0</v>
      </c>
      <c r="AD375">
        <v>20</v>
      </c>
      <c r="AE375" s="44">
        <f t="shared" si="21"/>
        <v>0</v>
      </c>
      <c r="AF375" s="46">
        <v>0</v>
      </c>
      <c r="AG375" s="44">
        <v>883.22940750240002</v>
      </c>
      <c r="AH375" s="44">
        <v>0</v>
      </c>
      <c r="AJ375" s="40"/>
      <c r="AK375" s="41">
        <v>9.0576694254581439E-2</v>
      </c>
      <c r="AM375" s="23">
        <v>1.75</v>
      </c>
      <c r="AN375" s="23">
        <v>2.5</v>
      </c>
      <c r="AO375" s="23">
        <v>0.75</v>
      </c>
      <c r="AP375" s="23">
        <v>0</v>
      </c>
      <c r="AQ375" s="23">
        <v>0.35</v>
      </c>
      <c r="AR375" s="23">
        <v>0.5</v>
      </c>
      <c r="AS375" s="23">
        <v>0.15</v>
      </c>
      <c r="AT375" s="23">
        <v>0</v>
      </c>
      <c r="AU375" s="20">
        <v>0.82</v>
      </c>
      <c r="AV375" s="20">
        <v>3.44</v>
      </c>
      <c r="AW375" s="20">
        <v>2.62</v>
      </c>
      <c r="AX375" s="20">
        <v>2.6231249999999999</v>
      </c>
      <c r="AY375">
        <v>2.6231249999999999</v>
      </c>
      <c r="AZ375">
        <v>5.9545980243750014</v>
      </c>
      <c r="BA375" s="64">
        <v>0.50555206026575039</v>
      </c>
      <c r="BB375" s="64">
        <v>0</v>
      </c>
      <c r="BF375">
        <v>4.5288347127290719E-2</v>
      </c>
      <c r="BH375">
        <v>9.0576694254581439E-2</v>
      </c>
      <c r="BI375">
        <v>4.5288347127290719E-2</v>
      </c>
      <c r="BJ375">
        <v>0.2527760301328752</v>
      </c>
    </row>
    <row r="376" spans="1:62" x14ac:dyDescent="0.3">
      <c r="A376" t="s">
        <v>7</v>
      </c>
      <c r="B376" s="12" t="s">
        <v>692</v>
      </c>
      <c r="C376" s="12"/>
      <c r="F376">
        <v>3.3</v>
      </c>
      <c r="G376" t="s">
        <v>302</v>
      </c>
      <c r="H376" s="25" t="s">
        <v>527</v>
      </c>
      <c r="I376" s="1" t="s">
        <v>609</v>
      </c>
      <c r="L376" s="20">
        <v>0</v>
      </c>
      <c r="M376">
        <v>4</v>
      </c>
      <c r="N376">
        <v>0</v>
      </c>
      <c r="O376">
        <v>-1</v>
      </c>
      <c r="T376" s="26">
        <v>3.86</v>
      </c>
      <c r="U376" s="26">
        <v>3.86</v>
      </c>
      <c r="V376" s="26">
        <v>15.19056011</v>
      </c>
      <c r="W376">
        <v>3.8801999999999999</v>
      </c>
      <c r="X376">
        <v>29.507999999999999</v>
      </c>
      <c r="Y376">
        <v>7.7140000000000004</v>
      </c>
      <c r="Z376">
        <v>0</v>
      </c>
      <c r="AD376">
        <v>20</v>
      </c>
      <c r="AE376" s="44">
        <f t="shared" si="21"/>
        <v>0</v>
      </c>
      <c r="AF376" s="46">
        <v>0</v>
      </c>
      <c r="AG376" s="44">
        <v>883.22940750240002</v>
      </c>
      <c r="AH376" s="44">
        <v>0</v>
      </c>
      <c r="AJ376" s="40"/>
      <c r="AK376" s="41">
        <v>9.0576694254581439E-2</v>
      </c>
      <c r="AM376" s="23">
        <v>1.75</v>
      </c>
      <c r="AN376" s="23">
        <v>2.5</v>
      </c>
      <c r="AO376" s="23">
        <v>0.75</v>
      </c>
      <c r="AP376" s="23">
        <v>0</v>
      </c>
      <c r="AQ376" s="23">
        <v>0.35</v>
      </c>
      <c r="AR376" s="23">
        <v>0.5</v>
      </c>
      <c r="AS376" s="23">
        <v>0.15</v>
      </c>
      <c r="AT376" s="23">
        <v>0</v>
      </c>
      <c r="AU376" s="20">
        <v>0.82</v>
      </c>
      <c r="AV376" s="20">
        <v>3.44</v>
      </c>
      <c r="AW376" s="20">
        <v>2.62</v>
      </c>
      <c r="AX376" s="20">
        <v>2.62</v>
      </c>
      <c r="AY376">
        <v>2.62</v>
      </c>
      <c r="AZ376">
        <v>5.9423863675000002</v>
      </c>
      <c r="BA376" s="64">
        <v>0.50555206026575039</v>
      </c>
      <c r="BB376" s="64">
        <v>0</v>
      </c>
      <c r="BF376">
        <v>4.5288347127290719E-2</v>
      </c>
      <c r="BH376">
        <v>9.0576694254581439E-2</v>
      </c>
      <c r="BI376">
        <v>4.5288347127290719E-2</v>
      </c>
      <c r="BJ376">
        <v>0.2527760301328752</v>
      </c>
    </row>
    <row r="377" spans="1:62" x14ac:dyDescent="0.3">
      <c r="A377" t="s">
        <v>63</v>
      </c>
      <c r="B377" s="12" t="s">
        <v>773</v>
      </c>
      <c r="C377" s="12"/>
      <c r="F377">
        <v>3.5</v>
      </c>
      <c r="G377" t="s">
        <v>305</v>
      </c>
      <c r="H377" s="8">
        <v>-1</v>
      </c>
      <c r="I377">
        <v>-1</v>
      </c>
      <c r="J377" t="s">
        <v>1179</v>
      </c>
      <c r="K377">
        <v>1</v>
      </c>
      <c r="L377" s="20">
        <v>0</v>
      </c>
      <c r="M377">
        <v>0</v>
      </c>
      <c r="N377">
        <v>1</v>
      </c>
      <c r="O377">
        <v>-1</v>
      </c>
      <c r="T377" s="20">
        <v>3.84</v>
      </c>
      <c r="U377" s="20">
        <v>3.84</v>
      </c>
      <c r="V377" s="20">
        <v>13.97</v>
      </c>
      <c r="W377">
        <v>3.8504999999999998</v>
      </c>
      <c r="X377">
        <v>3.8504999999999998</v>
      </c>
      <c r="Y377">
        <v>14.379</v>
      </c>
      <c r="AD377">
        <v>20</v>
      </c>
      <c r="AE377" s="44">
        <f t="shared" si="21"/>
        <v>0</v>
      </c>
      <c r="AF377" s="46">
        <v>0</v>
      </c>
      <c r="AG377" s="44">
        <v>0</v>
      </c>
      <c r="AH377" s="44">
        <v>213.2</v>
      </c>
      <c r="AJ377" s="40"/>
      <c r="AL377" s="56">
        <f>N377*AD377/AH377</f>
        <v>9.3808630393996256E-2</v>
      </c>
      <c r="AM377" s="23">
        <v>1.75</v>
      </c>
      <c r="AN377" s="23">
        <v>2.5</v>
      </c>
      <c r="AO377" s="23">
        <v>0.75</v>
      </c>
      <c r="AP377" s="23">
        <v>0</v>
      </c>
      <c r="AQ377" s="23">
        <v>0.35</v>
      </c>
      <c r="AR377" s="23">
        <v>0.5</v>
      </c>
      <c r="AS377" s="23">
        <v>0.15</v>
      </c>
      <c r="AT377" s="23">
        <v>0</v>
      </c>
      <c r="AU377" s="20">
        <v>1</v>
      </c>
      <c r="AV377" s="20">
        <v>3.44</v>
      </c>
      <c r="AW377" s="20">
        <v>2.44</v>
      </c>
      <c r="AX377" s="20">
        <v>2.7124999999999999</v>
      </c>
      <c r="AY377">
        <v>2.7124999999999999</v>
      </c>
      <c r="AZ377">
        <v>6.264025610615688</v>
      </c>
      <c r="BC377" s="64">
        <v>0</v>
      </c>
      <c r="BD377" t="s">
        <v>459</v>
      </c>
      <c r="BG377">
        <v>4.6904315196998128E-2</v>
      </c>
      <c r="BH377">
        <v>9.3808630393996256E-2</v>
      </c>
      <c r="BI377" t="s">
        <v>459</v>
      </c>
      <c r="BJ377">
        <v>0</v>
      </c>
    </row>
    <row r="378" spans="1:62" x14ac:dyDescent="0.3">
      <c r="A378" t="s">
        <v>304</v>
      </c>
      <c r="B378" s="12" t="s">
        <v>829</v>
      </c>
      <c r="C378" s="12"/>
      <c r="F378">
        <v>3.33</v>
      </c>
      <c r="G378" t="s">
        <v>305</v>
      </c>
      <c r="H378" s="8">
        <v>-1</v>
      </c>
      <c r="I378">
        <v>-1</v>
      </c>
      <c r="K378">
        <v>4</v>
      </c>
      <c r="L378" s="20">
        <v>0</v>
      </c>
      <c r="M378">
        <v>0</v>
      </c>
      <c r="N378">
        <v>0</v>
      </c>
      <c r="O378">
        <v>6.47</v>
      </c>
      <c r="P378">
        <v>6.47</v>
      </c>
      <c r="Q378">
        <v>30.69</v>
      </c>
      <c r="T378" s="20">
        <v>0</v>
      </c>
      <c r="U378" s="20"/>
      <c r="V378" s="20"/>
      <c r="W378">
        <v>0</v>
      </c>
      <c r="Z378">
        <v>0</v>
      </c>
      <c r="AD378">
        <v>34</v>
      </c>
      <c r="AE378" s="44">
        <f t="shared" si="21"/>
        <v>1284.7110209999998</v>
      </c>
      <c r="AF378" s="46">
        <v>0</v>
      </c>
      <c r="AG378" s="44">
        <v>0</v>
      </c>
      <c r="AH378" s="44">
        <v>0</v>
      </c>
      <c r="AI378" s="41">
        <f t="shared" ref="AI378:AI380" si="25">K378*AD378/AE378</f>
        <v>0.1058603824338174</v>
      </c>
      <c r="AJ378" s="40"/>
      <c r="AM378">
        <v>1.62962962962963</v>
      </c>
      <c r="AN378">
        <v>2.518518518518519</v>
      </c>
      <c r="AO378">
        <v>0.88888888888888884</v>
      </c>
      <c r="AP378">
        <v>0</v>
      </c>
      <c r="AQ378">
        <v>0.32352941176470579</v>
      </c>
      <c r="AR378">
        <v>0.5</v>
      </c>
      <c r="AS378">
        <v>0.1764705882352941</v>
      </c>
      <c r="AT378">
        <v>0</v>
      </c>
      <c r="AU378" s="20">
        <v>1.6</v>
      </c>
      <c r="AV378" s="20">
        <v>3.44</v>
      </c>
      <c r="AW378" s="20">
        <v>1.84</v>
      </c>
      <c r="AX378" s="20">
        <v>2.8474074074074069</v>
      </c>
      <c r="AY378">
        <v>2.8474074074074069</v>
      </c>
      <c r="AZ378">
        <v>6.6632481018297778</v>
      </c>
      <c r="BD378">
        <v>5.2930191216908701E-2</v>
      </c>
      <c r="BH378">
        <v>0.1058603824338174</v>
      </c>
      <c r="BI378">
        <v>5.2930191216908701E-2</v>
      </c>
      <c r="BJ378">
        <v>0</v>
      </c>
    </row>
    <row r="379" spans="1:62" s="4" customFormat="1" x14ac:dyDescent="0.3">
      <c r="A379" t="s">
        <v>299</v>
      </c>
      <c r="B379" s="16" t="s">
        <v>949</v>
      </c>
      <c r="C379" s="12"/>
      <c r="D379"/>
      <c r="E379"/>
      <c r="F379">
        <v>3.65</v>
      </c>
      <c r="G379" t="s">
        <v>306</v>
      </c>
      <c r="H379" s="8">
        <v>-1</v>
      </c>
      <c r="I379">
        <v>-1</v>
      </c>
      <c r="J379"/>
      <c r="K379">
        <v>1</v>
      </c>
      <c r="L379" s="20">
        <v>0</v>
      </c>
      <c r="M379">
        <v>0</v>
      </c>
      <c r="N379">
        <v>0</v>
      </c>
      <c r="O379">
        <v>3.8531</v>
      </c>
      <c r="P379">
        <v>3.8531</v>
      </c>
      <c r="Q379">
        <v>16.2151</v>
      </c>
      <c r="R379"/>
      <c r="S379"/>
      <c r="T379" s="20">
        <v>0</v>
      </c>
      <c r="U379" s="20"/>
      <c r="V379" s="20"/>
      <c r="W379">
        <v>0</v>
      </c>
      <c r="X379"/>
      <c r="Y379"/>
      <c r="Z379">
        <v>0</v>
      </c>
      <c r="AA379"/>
      <c r="AB379"/>
      <c r="AC379"/>
      <c r="AD379">
        <v>20</v>
      </c>
      <c r="AE379" s="44">
        <f t="shared" si="21"/>
        <v>240.73553001411099</v>
      </c>
      <c r="AF379" s="46">
        <v>0</v>
      </c>
      <c r="AG379" s="44">
        <v>0</v>
      </c>
      <c r="AH379" s="44">
        <v>0</v>
      </c>
      <c r="AI379" s="41">
        <f t="shared" si="25"/>
        <v>8.3078721279022161E-2</v>
      </c>
      <c r="AJ379" s="40"/>
      <c r="AK379" s="41"/>
      <c r="AL379" s="41"/>
      <c r="AM379">
        <v>1.76875</v>
      </c>
      <c r="AN379">
        <v>2.5</v>
      </c>
      <c r="AO379">
        <v>0.73125000000000007</v>
      </c>
      <c r="AP379">
        <v>0.26250000000000001</v>
      </c>
      <c r="AQ379">
        <v>0.33610451306413303</v>
      </c>
      <c r="AR379">
        <v>0.47505938242280282</v>
      </c>
      <c r="AS379">
        <v>0.13895486935866991</v>
      </c>
      <c r="AT379">
        <v>4.9881235154394299E-2</v>
      </c>
      <c r="AU379" s="20">
        <v>1</v>
      </c>
      <c r="AV379" s="20">
        <v>3.44</v>
      </c>
      <c r="AW379" s="20">
        <v>2.44</v>
      </c>
      <c r="AX379" s="20">
        <v>2.7106249999999998</v>
      </c>
      <c r="AY379">
        <v>2.7106249999999998</v>
      </c>
      <c r="AZ379">
        <v>6.2658671793656886</v>
      </c>
      <c r="BA379" s="64"/>
      <c r="BB379" s="64"/>
      <c r="BC379" s="64"/>
      <c r="BD379">
        <v>4.153936063951108E-2</v>
      </c>
      <c r="BE379"/>
      <c r="BF379"/>
      <c r="BG379"/>
      <c r="BH379">
        <v>8.3078721279022161E-2</v>
      </c>
      <c r="BI379">
        <v>4.153936063951108E-2</v>
      </c>
      <c r="BJ379">
        <v>0</v>
      </c>
    </row>
    <row r="380" spans="1:62" s="4" customFormat="1" x14ac:dyDescent="0.3">
      <c r="A380" t="s">
        <v>301</v>
      </c>
      <c r="B380" s="16" t="s">
        <v>950</v>
      </c>
      <c r="C380" s="12"/>
      <c r="D380"/>
      <c r="E380"/>
      <c r="F380">
        <v>3.8</v>
      </c>
      <c r="G380" t="s">
        <v>306</v>
      </c>
      <c r="H380" s="8">
        <v>-1</v>
      </c>
      <c r="I380">
        <v>-1</v>
      </c>
      <c r="J380"/>
      <c r="K380">
        <v>1</v>
      </c>
      <c r="L380" s="20">
        <v>0</v>
      </c>
      <c r="M380">
        <v>0</v>
      </c>
      <c r="N380">
        <v>0</v>
      </c>
      <c r="O380">
        <v>3.8531</v>
      </c>
      <c r="P380">
        <v>3.8531</v>
      </c>
      <c r="Q380">
        <v>16.2151</v>
      </c>
      <c r="R380"/>
      <c r="S380"/>
      <c r="T380" s="20">
        <v>0</v>
      </c>
      <c r="U380" s="20"/>
      <c r="V380" s="20"/>
      <c r="W380">
        <v>0</v>
      </c>
      <c r="X380"/>
      <c r="Y380"/>
      <c r="Z380">
        <v>0</v>
      </c>
      <c r="AA380"/>
      <c r="AB380"/>
      <c r="AC380"/>
      <c r="AD380">
        <v>20</v>
      </c>
      <c r="AE380" s="44">
        <f t="shared" si="21"/>
        <v>240.73553001411099</v>
      </c>
      <c r="AF380" s="46">
        <v>0</v>
      </c>
      <c r="AG380" s="44">
        <v>0</v>
      </c>
      <c r="AH380" s="44">
        <v>0</v>
      </c>
      <c r="AI380" s="41">
        <f t="shared" si="25"/>
        <v>8.3078721279022161E-2</v>
      </c>
      <c r="AJ380" s="40"/>
      <c r="AK380" s="41"/>
      <c r="AL380" s="41"/>
      <c r="AM380">
        <v>1.84375</v>
      </c>
      <c r="AN380">
        <v>2.5</v>
      </c>
      <c r="AO380">
        <v>0.65625</v>
      </c>
      <c r="AP380">
        <v>1.3125</v>
      </c>
      <c r="AQ380">
        <v>0.29207920792079212</v>
      </c>
      <c r="AR380">
        <v>0.39603960396039611</v>
      </c>
      <c r="AS380">
        <v>0.103960396039604</v>
      </c>
      <c r="AT380">
        <v>0.20792079207920791</v>
      </c>
      <c r="AU380" s="20">
        <v>1</v>
      </c>
      <c r="AV380" s="20">
        <v>3.44</v>
      </c>
      <c r="AW380" s="20">
        <v>2.44</v>
      </c>
      <c r="AX380" s="20">
        <v>2.703125</v>
      </c>
      <c r="AY380">
        <v>2.703125</v>
      </c>
      <c r="AZ380">
        <v>6.2732334543656876</v>
      </c>
      <c r="BA380" s="64"/>
      <c r="BB380" s="64"/>
      <c r="BC380" s="64"/>
      <c r="BD380">
        <v>4.153936063951108E-2</v>
      </c>
      <c r="BE380"/>
      <c r="BF380"/>
      <c r="BG380"/>
      <c r="BH380">
        <v>8.3078721279022161E-2</v>
      </c>
      <c r="BI380">
        <v>4.153936063951108E-2</v>
      </c>
      <c r="BJ380">
        <v>0</v>
      </c>
    </row>
    <row r="381" spans="1:62" x14ac:dyDescent="0.3">
      <c r="A381" t="s">
        <v>46</v>
      </c>
      <c r="B381" s="12" t="s">
        <v>722</v>
      </c>
      <c r="C381" s="12"/>
      <c r="F381">
        <v>3.34</v>
      </c>
      <c r="G381" t="s">
        <v>307</v>
      </c>
      <c r="H381" s="8" t="s">
        <v>551</v>
      </c>
      <c r="I381" t="s">
        <v>629</v>
      </c>
      <c r="L381" s="20">
        <v>2</v>
      </c>
      <c r="M381">
        <v>4</v>
      </c>
      <c r="N381">
        <v>0</v>
      </c>
      <c r="T381" s="20">
        <v>7.41544296</v>
      </c>
      <c r="U381" s="20">
        <v>7.4154429599999991</v>
      </c>
      <c r="V381" s="20">
        <v>7.41544296</v>
      </c>
      <c r="W381">
        <v>7.8</v>
      </c>
      <c r="X381">
        <v>13.010999999999999</v>
      </c>
      <c r="Y381">
        <v>5.5460000000000003</v>
      </c>
      <c r="Z381">
        <v>0</v>
      </c>
      <c r="AD381" t="s">
        <v>1241</v>
      </c>
      <c r="AE381" s="44">
        <f t="shared" si="21"/>
        <v>0</v>
      </c>
      <c r="AF381" s="46">
        <v>288.33429290182369</v>
      </c>
      <c r="AG381" s="44">
        <v>556.51188553357167</v>
      </c>
      <c r="AH381" s="44">
        <v>0</v>
      </c>
      <c r="AJ381" s="40">
        <v>9.7109503410799117E-2</v>
      </c>
      <c r="AK381" s="41">
        <v>0.10062678166578309</v>
      </c>
      <c r="AM381">
        <v>2</v>
      </c>
      <c r="AN381">
        <v>2.545454545454545</v>
      </c>
      <c r="AO381">
        <v>0.54545454545454541</v>
      </c>
      <c r="AP381">
        <v>0</v>
      </c>
      <c r="AQ381">
        <v>0.39285714285714279</v>
      </c>
      <c r="AR381">
        <v>0.5</v>
      </c>
      <c r="AS381">
        <v>0.1071428571428571</v>
      </c>
      <c r="AT381">
        <v>0</v>
      </c>
      <c r="AU381" s="20">
        <v>1.1000000000000001</v>
      </c>
      <c r="AV381" s="20">
        <v>3.44</v>
      </c>
      <c r="AW381" s="20">
        <v>2.34</v>
      </c>
      <c r="AX381" s="20">
        <v>2.669090909090909</v>
      </c>
      <c r="AY381">
        <v>2.669090909090909</v>
      </c>
      <c r="AZ381">
        <v>5.9831974772727277</v>
      </c>
      <c r="BA381" s="64">
        <v>0.52442413903612473</v>
      </c>
      <c r="BB381" s="64">
        <v>0.54341863036636606</v>
      </c>
      <c r="BE381">
        <v>4.8554751705399558E-2</v>
      </c>
      <c r="BF381">
        <v>5.0313390832891547E-2</v>
      </c>
      <c r="BH381">
        <v>9.8868142538291098E-2</v>
      </c>
      <c r="BI381">
        <v>4.9434071269145549E-2</v>
      </c>
      <c r="BJ381">
        <v>0.53392138470124539</v>
      </c>
    </row>
    <row r="382" spans="1:62" x14ac:dyDescent="0.3">
      <c r="A382" t="s">
        <v>891</v>
      </c>
      <c r="B382" s="12" t="s">
        <v>722</v>
      </c>
      <c r="C382" s="12"/>
      <c r="D382" t="s">
        <v>676</v>
      </c>
      <c r="E382">
        <v>0.22</v>
      </c>
      <c r="F382">
        <v>3.17</v>
      </c>
      <c r="G382" t="s">
        <v>307</v>
      </c>
      <c r="H382" s="8" t="s">
        <v>551</v>
      </c>
      <c r="I382" t="s">
        <v>629</v>
      </c>
      <c r="L382" s="20">
        <v>2</v>
      </c>
      <c r="M382">
        <v>4</v>
      </c>
      <c r="N382">
        <v>0</v>
      </c>
      <c r="T382" s="20">
        <v>7.41544296</v>
      </c>
      <c r="U382" s="20">
        <v>7.4154429599999991</v>
      </c>
      <c r="V382" s="20">
        <v>7.41544296</v>
      </c>
      <c r="W382">
        <v>7.8</v>
      </c>
      <c r="X382">
        <v>13.010999999999999</v>
      </c>
      <c r="Y382">
        <v>5.5460000000000003</v>
      </c>
      <c r="Z382">
        <v>0</v>
      </c>
      <c r="AD382">
        <v>14</v>
      </c>
      <c r="AE382" s="44">
        <f t="shared" si="21"/>
        <v>0</v>
      </c>
      <c r="AF382" s="46">
        <v>288.33429290182369</v>
      </c>
      <c r="AG382" s="44">
        <v>556.51188553357167</v>
      </c>
      <c r="AH382" s="44">
        <v>0</v>
      </c>
      <c r="AJ382" s="40">
        <v>9.7109503410799117E-2</v>
      </c>
      <c r="AK382" s="41">
        <v>0.10062678166578309</v>
      </c>
      <c r="AM382">
        <v>2</v>
      </c>
      <c r="AN382">
        <v>2.545454545454545</v>
      </c>
      <c r="AO382">
        <v>0.54545454545454541</v>
      </c>
      <c r="AP382">
        <v>0</v>
      </c>
      <c r="AQ382">
        <v>0.39285714285714279</v>
      </c>
      <c r="AR382">
        <v>0.5</v>
      </c>
      <c r="AS382">
        <v>0.1071428571428571</v>
      </c>
      <c r="AT382">
        <v>0</v>
      </c>
      <c r="AU382" s="20">
        <v>1.1000000000000001</v>
      </c>
      <c r="AV382" s="20">
        <v>3.44</v>
      </c>
      <c r="AW382" s="20">
        <v>2.34</v>
      </c>
      <c r="AX382" s="20">
        <v>2.669090909090909</v>
      </c>
      <c r="AY382">
        <v>2.669090909090909</v>
      </c>
      <c r="AZ382">
        <v>5.9831974772727277</v>
      </c>
      <c r="BA382" s="64">
        <v>0.52442413903612473</v>
      </c>
      <c r="BB382" s="64">
        <v>0.54341863036636606</v>
      </c>
      <c r="BE382">
        <v>4.8554751705399558E-2</v>
      </c>
      <c r="BF382">
        <v>5.0313390832891547E-2</v>
      </c>
      <c r="BH382">
        <v>9.8868142538291098E-2</v>
      </c>
      <c r="BI382">
        <v>4.9434071269145549E-2</v>
      </c>
      <c r="BJ382">
        <v>0.53392138470124539</v>
      </c>
    </row>
    <row r="383" spans="1:62" x14ac:dyDescent="0.3">
      <c r="A383" t="s">
        <v>308</v>
      </c>
      <c r="B383" s="12" t="s">
        <v>830</v>
      </c>
      <c r="C383" s="12"/>
      <c r="F383">
        <v>3.44</v>
      </c>
      <c r="G383" t="s">
        <v>309</v>
      </c>
      <c r="H383" s="8" t="s">
        <v>601</v>
      </c>
      <c r="I383" t="s">
        <v>672</v>
      </c>
      <c r="L383" s="20">
        <v>1</v>
      </c>
      <c r="M383">
        <v>2</v>
      </c>
      <c r="N383">
        <v>0</v>
      </c>
      <c r="T383" s="20">
        <v>3.9408639999999999</v>
      </c>
      <c r="U383" s="20">
        <v>3.9455239999999989</v>
      </c>
      <c r="V383" s="20">
        <v>15.25730117</v>
      </c>
      <c r="W383">
        <v>3.8656999999999999</v>
      </c>
      <c r="X383">
        <v>29.777000000000001</v>
      </c>
      <c r="Y383">
        <v>3.8519999999999999</v>
      </c>
      <c r="Z383">
        <v>0</v>
      </c>
      <c r="AD383">
        <v>20</v>
      </c>
      <c r="AE383" s="44">
        <f t="shared" si="21"/>
        <v>0</v>
      </c>
      <c r="AF383" s="46">
        <v>235.24089263777751</v>
      </c>
      <c r="AG383" s="44">
        <v>443.39967116280002</v>
      </c>
      <c r="AH383" s="44">
        <v>0</v>
      </c>
      <c r="AJ383" s="40">
        <v>8.5019231884976218E-2</v>
      </c>
      <c r="AK383" s="41">
        <v>9.0212065099420147E-2</v>
      </c>
      <c r="AM383">
        <v>1.9375</v>
      </c>
      <c r="AN383">
        <v>2.5</v>
      </c>
      <c r="AO383">
        <v>0.5625</v>
      </c>
      <c r="AP383">
        <v>2.625</v>
      </c>
      <c r="AQ383">
        <v>0.25409836065573771</v>
      </c>
      <c r="AR383">
        <v>0.32786885245901642</v>
      </c>
      <c r="AS383">
        <v>7.3770491803278687E-2</v>
      </c>
      <c r="AT383">
        <v>0.34426229508196721</v>
      </c>
      <c r="AU383" s="20">
        <v>0.82</v>
      </c>
      <c r="AV383" s="20">
        <v>3.44</v>
      </c>
      <c r="AW383" s="20">
        <v>2.62</v>
      </c>
      <c r="AX383" s="20">
        <v>2.6074999999999999</v>
      </c>
      <c r="AY383">
        <v>2.6074999999999999</v>
      </c>
      <c r="AZ383">
        <v>5.9852253687500001</v>
      </c>
      <c r="BA383" s="64">
        <v>0.49683934576995548</v>
      </c>
      <c r="BB383" s="64">
        <v>0</v>
      </c>
      <c r="BE383">
        <v>4.2509615942488109E-2</v>
      </c>
      <c r="BF383">
        <v>4.5106032549710073E-2</v>
      </c>
      <c r="BH383">
        <v>8.7615648492198189E-2</v>
      </c>
      <c r="BI383">
        <v>4.3807824246099088E-2</v>
      </c>
      <c r="BJ383">
        <v>0.24841967288497771</v>
      </c>
    </row>
    <row r="384" spans="1:62" x14ac:dyDescent="0.3">
      <c r="A384" t="s">
        <v>63</v>
      </c>
      <c r="B384" s="12" t="s">
        <v>773</v>
      </c>
      <c r="C384" s="12"/>
      <c r="F384">
        <v>3.4</v>
      </c>
      <c r="G384" t="s">
        <v>310</v>
      </c>
      <c r="H384" s="8">
        <v>-1</v>
      </c>
      <c r="I384">
        <v>-1</v>
      </c>
      <c r="K384">
        <v>1</v>
      </c>
      <c r="L384" s="20">
        <v>0</v>
      </c>
      <c r="M384">
        <v>0</v>
      </c>
      <c r="N384">
        <v>0</v>
      </c>
      <c r="O384">
        <v>3.8531</v>
      </c>
      <c r="P384">
        <v>3.8531</v>
      </c>
      <c r="Q384">
        <v>16.2151</v>
      </c>
      <c r="T384" s="20">
        <v>0</v>
      </c>
      <c r="U384" s="20"/>
      <c r="V384" s="20"/>
      <c r="W384">
        <v>0</v>
      </c>
      <c r="Z384">
        <v>0</v>
      </c>
      <c r="AD384">
        <v>20</v>
      </c>
      <c r="AE384" s="44">
        <f t="shared" si="21"/>
        <v>240.73553001411099</v>
      </c>
      <c r="AF384" s="46">
        <v>0</v>
      </c>
      <c r="AG384" s="44">
        <v>0</v>
      </c>
      <c r="AH384" s="44">
        <v>0</v>
      </c>
      <c r="AI384" s="41">
        <f t="shared" ref="AI384:AI386" si="26">K384*AD384/AE384</f>
        <v>8.3078721279022161E-2</v>
      </c>
      <c r="AJ384" s="40"/>
      <c r="AM384">
        <v>1.75</v>
      </c>
      <c r="AN384">
        <v>2.5</v>
      </c>
      <c r="AO384">
        <v>0.75</v>
      </c>
      <c r="AP384">
        <v>0</v>
      </c>
      <c r="AQ384">
        <v>0.35</v>
      </c>
      <c r="AR384">
        <v>0.5</v>
      </c>
      <c r="AS384">
        <v>0.15</v>
      </c>
      <c r="AT384">
        <v>0</v>
      </c>
      <c r="AU384" s="20">
        <v>1</v>
      </c>
      <c r="AV384" s="20">
        <v>3.44</v>
      </c>
      <c r="AW384" s="20">
        <v>2.44</v>
      </c>
      <c r="AX384" s="20">
        <v>2.7124999999999999</v>
      </c>
      <c r="AY384">
        <v>2.7124999999999999</v>
      </c>
      <c r="AZ384">
        <v>6.264025610615688</v>
      </c>
      <c r="BD384">
        <v>4.153936063951108E-2</v>
      </c>
      <c r="BH384">
        <v>8.3078721279022161E-2</v>
      </c>
      <c r="BI384">
        <v>4.153936063951108E-2</v>
      </c>
      <c r="BJ384">
        <v>0</v>
      </c>
    </row>
    <row r="385" spans="1:62" x14ac:dyDescent="0.3">
      <c r="A385" t="s">
        <v>63</v>
      </c>
      <c r="B385" s="12" t="s">
        <v>773</v>
      </c>
      <c r="C385" s="12"/>
      <c r="D385" t="s">
        <v>246</v>
      </c>
      <c r="E385">
        <v>0.7</v>
      </c>
      <c r="F385">
        <v>2.15</v>
      </c>
      <c r="G385" t="s">
        <v>310</v>
      </c>
      <c r="H385" s="8">
        <v>-1</v>
      </c>
      <c r="I385">
        <v>-1</v>
      </c>
      <c r="K385">
        <v>1</v>
      </c>
      <c r="L385" s="20">
        <v>0</v>
      </c>
      <c r="M385">
        <v>0</v>
      </c>
      <c r="N385">
        <v>0</v>
      </c>
      <c r="O385">
        <v>3.8531</v>
      </c>
      <c r="P385">
        <v>3.8531</v>
      </c>
      <c r="Q385">
        <v>16.2151</v>
      </c>
      <c r="T385" s="20">
        <v>0</v>
      </c>
      <c r="U385" s="20"/>
      <c r="V385" s="20"/>
      <c r="W385">
        <v>0</v>
      </c>
      <c r="Z385">
        <v>0</v>
      </c>
      <c r="AD385">
        <v>20</v>
      </c>
      <c r="AE385" s="44">
        <f t="shared" si="21"/>
        <v>240.73553001411099</v>
      </c>
      <c r="AF385" s="46">
        <v>0</v>
      </c>
      <c r="AG385" s="44">
        <v>0</v>
      </c>
      <c r="AH385" s="44">
        <v>0</v>
      </c>
      <c r="AI385" s="41">
        <f t="shared" si="26"/>
        <v>8.3078721279022161E-2</v>
      </c>
      <c r="AJ385" s="40"/>
      <c r="AM385">
        <v>1.75</v>
      </c>
      <c r="AN385">
        <v>2.5</v>
      </c>
      <c r="AO385">
        <v>0.75</v>
      </c>
      <c r="AP385">
        <v>0</v>
      </c>
      <c r="AQ385">
        <v>0.35</v>
      </c>
      <c r="AR385">
        <v>0.5</v>
      </c>
      <c r="AS385">
        <v>0.15</v>
      </c>
      <c r="AT385">
        <v>0</v>
      </c>
      <c r="AU385" s="20">
        <v>1</v>
      </c>
      <c r="AV385" s="20">
        <v>3.44</v>
      </c>
      <c r="AW385" s="20">
        <v>2.44</v>
      </c>
      <c r="AX385" s="20">
        <v>2.7124999999999999</v>
      </c>
      <c r="AY385">
        <v>2.7124999999999999</v>
      </c>
      <c r="AZ385">
        <v>6.264025610615688</v>
      </c>
      <c r="BD385">
        <v>4.153936063951108E-2</v>
      </c>
      <c r="BH385">
        <v>8.3078721279022161E-2</v>
      </c>
      <c r="BI385">
        <v>4.153936063951108E-2</v>
      </c>
      <c r="BJ385">
        <v>0</v>
      </c>
    </row>
    <row r="386" spans="1:62" x14ac:dyDescent="0.3">
      <c r="A386" t="s">
        <v>311</v>
      </c>
      <c r="B386" s="12" t="s">
        <v>831</v>
      </c>
      <c r="C386" s="12"/>
      <c r="F386">
        <v>3.54</v>
      </c>
      <c r="G386" t="s">
        <v>312</v>
      </c>
      <c r="H386" s="8">
        <v>-1</v>
      </c>
      <c r="I386">
        <v>-1</v>
      </c>
      <c r="K386">
        <v>1</v>
      </c>
      <c r="L386" s="20">
        <v>0</v>
      </c>
      <c r="M386">
        <v>0</v>
      </c>
      <c r="N386">
        <v>0</v>
      </c>
      <c r="O386">
        <v>3.9647999999999999</v>
      </c>
      <c r="P386">
        <v>3.9647999999999999</v>
      </c>
      <c r="Q386">
        <v>15.7392</v>
      </c>
      <c r="R386" t="s">
        <v>439</v>
      </c>
      <c r="T386" s="20">
        <v>0</v>
      </c>
      <c r="U386" s="20"/>
      <c r="V386" s="20"/>
      <c r="W386">
        <v>0</v>
      </c>
      <c r="Z386">
        <v>0</v>
      </c>
      <c r="AD386">
        <v>20</v>
      </c>
      <c r="AE386" s="44">
        <f t="shared" ref="AE386:AE449" si="27">O386*P386*Q386</f>
        <v>247.41454277836797</v>
      </c>
      <c r="AF386" s="46">
        <v>0</v>
      </c>
      <c r="AG386" s="44">
        <v>0</v>
      </c>
      <c r="AH386" s="44">
        <v>0</v>
      </c>
      <c r="AI386" s="41">
        <f t="shared" si="26"/>
        <v>8.0835991997106837E-2</v>
      </c>
      <c r="AJ386" s="40"/>
      <c r="AM386" s="23">
        <v>1.9375</v>
      </c>
      <c r="AN386" s="23">
        <v>2.5</v>
      </c>
      <c r="AO386" s="23">
        <v>0.5625</v>
      </c>
      <c r="AP386" s="23">
        <v>2.625</v>
      </c>
      <c r="AQ386" s="23">
        <v>0.25409836065573771</v>
      </c>
      <c r="AR386" s="23">
        <v>0.32786885245901642</v>
      </c>
      <c r="AS386" s="23">
        <v>7.3770491803278687E-2</v>
      </c>
      <c r="AT386" s="23">
        <v>0.34426229508196721</v>
      </c>
      <c r="AU386" s="20">
        <v>0.79</v>
      </c>
      <c r="AV386" s="20">
        <v>3.44</v>
      </c>
      <c r="AW386" s="20">
        <v>2.65</v>
      </c>
      <c r="AX386" s="20">
        <v>2.5918749999999999</v>
      </c>
      <c r="AY386">
        <v>2.5918749999999999</v>
      </c>
      <c r="AZ386">
        <v>5.9214935367946877</v>
      </c>
      <c r="BD386">
        <v>4.0417995998553419E-2</v>
      </c>
      <c r="BH386">
        <v>8.0835991997106837E-2</v>
      </c>
      <c r="BI386">
        <v>4.0417995998553419E-2</v>
      </c>
      <c r="BJ386">
        <v>0</v>
      </c>
    </row>
    <row r="387" spans="1:62" x14ac:dyDescent="0.3">
      <c r="A387" t="s">
        <v>313</v>
      </c>
      <c r="B387" s="12" t="s">
        <v>720</v>
      </c>
      <c r="C387" s="12"/>
      <c r="F387">
        <v>3.5</v>
      </c>
      <c r="G387" t="s">
        <v>314</v>
      </c>
      <c r="H387" s="8" t="s">
        <v>549</v>
      </c>
      <c r="I387">
        <v>-1</v>
      </c>
      <c r="L387" s="20">
        <v>1</v>
      </c>
      <c r="M387">
        <v>0</v>
      </c>
      <c r="N387">
        <v>0</v>
      </c>
      <c r="O387">
        <v>-1</v>
      </c>
      <c r="T387" s="20">
        <v>15.28115725</v>
      </c>
      <c r="U387" s="20">
        <v>15.28115725</v>
      </c>
      <c r="V387" s="20">
        <v>15.28115725</v>
      </c>
      <c r="W387">
        <v>0</v>
      </c>
      <c r="Z387">
        <v>0</v>
      </c>
      <c r="AD387">
        <v>20</v>
      </c>
      <c r="AE387" s="44">
        <f t="shared" si="27"/>
        <v>0</v>
      </c>
      <c r="AF387" s="46">
        <v>229.90248606119221</v>
      </c>
      <c r="AG387" s="44">
        <v>0</v>
      </c>
      <c r="AH387" s="44">
        <v>0</v>
      </c>
      <c r="AJ387" s="40">
        <v>8.6993404650164072E-2</v>
      </c>
      <c r="AM387" s="23">
        <v>1.882352941176471</v>
      </c>
      <c r="AN387" s="23">
        <v>2.3529411764705879</v>
      </c>
      <c r="AO387" s="23">
        <v>0.47058823529411759</v>
      </c>
      <c r="AP387" s="23">
        <v>0</v>
      </c>
      <c r="AQ387" s="23">
        <v>0.4</v>
      </c>
      <c r="AR387" s="23">
        <v>0.5</v>
      </c>
      <c r="AS387" s="23">
        <v>9.9999999999999992E-2</v>
      </c>
      <c r="AT387" s="23">
        <v>0</v>
      </c>
      <c r="AU387" s="20">
        <v>0.82</v>
      </c>
      <c r="AV387" s="20">
        <v>3.44</v>
      </c>
      <c r="AW387" s="20">
        <v>2.62</v>
      </c>
      <c r="AX387" s="20">
        <v>2.5211764705882351</v>
      </c>
      <c r="AY387">
        <v>2.521176470588236</v>
      </c>
      <c r="AZ387">
        <v>5.6898745917647062</v>
      </c>
      <c r="BA387" s="64">
        <v>0.57369840599679445</v>
      </c>
      <c r="BE387">
        <v>4.3496702325082043E-2</v>
      </c>
      <c r="BH387">
        <v>8.6993404650164072E-2</v>
      </c>
      <c r="BI387">
        <v>4.3496702325082043E-2</v>
      </c>
      <c r="BJ387">
        <v>0.57369840599679445</v>
      </c>
    </row>
    <row r="388" spans="1:62" x14ac:dyDescent="0.3">
      <c r="A388" t="s">
        <v>44</v>
      </c>
      <c r="B388" s="12" t="s">
        <v>720</v>
      </c>
      <c r="C388" s="12"/>
      <c r="D388" t="s">
        <v>246</v>
      </c>
      <c r="E388" t="s">
        <v>1067</v>
      </c>
      <c r="F388">
        <v>2.2599999999999998</v>
      </c>
      <c r="G388" t="s">
        <v>314</v>
      </c>
      <c r="H388" s="8" t="s">
        <v>549</v>
      </c>
      <c r="I388">
        <v>-1</v>
      </c>
      <c r="L388" s="20">
        <v>1</v>
      </c>
      <c r="M388">
        <v>0</v>
      </c>
      <c r="N388">
        <v>0</v>
      </c>
      <c r="O388">
        <v>-1</v>
      </c>
      <c r="T388" s="20">
        <v>15.28115725</v>
      </c>
      <c r="U388" s="20">
        <v>15.28115725</v>
      </c>
      <c r="V388" s="20">
        <v>15.28115725</v>
      </c>
      <c r="W388">
        <v>0</v>
      </c>
      <c r="Z388">
        <v>0</v>
      </c>
      <c r="AD388">
        <v>20</v>
      </c>
      <c r="AE388" s="44">
        <f t="shared" si="27"/>
        <v>0</v>
      </c>
      <c r="AF388" s="46">
        <v>229.90248606119221</v>
      </c>
      <c r="AG388" s="44">
        <v>0</v>
      </c>
      <c r="AH388" s="44">
        <v>0</v>
      </c>
      <c r="AJ388" s="40">
        <v>8.6993404650164072E-2</v>
      </c>
      <c r="AM388" s="23">
        <v>1.882352941176471</v>
      </c>
      <c r="AN388" s="23">
        <v>2.3529411764705879</v>
      </c>
      <c r="AO388" s="23">
        <v>0.47058823529411759</v>
      </c>
      <c r="AP388" s="23">
        <v>0</v>
      </c>
      <c r="AQ388" s="23">
        <v>0.4</v>
      </c>
      <c r="AR388" s="23">
        <v>0.5</v>
      </c>
      <c r="AS388" s="23">
        <v>9.9999999999999992E-2</v>
      </c>
      <c r="AT388" s="23">
        <v>0</v>
      </c>
      <c r="AU388" s="20">
        <v>0.82</v>
      </c>
      <c r="AV388" s="20">
        <v>3.44</v>
      </c>
      <c r="AW388" s="20">
        <v>2.62</v>
      </c>
      <c r="AX388" s="20">
        <v>2.5211764705882351</v>
      </c>
      <c r="AY388">
        <v>2.521176470588236</v>
      </c>
      <c r="AZ388">
        <v>5.6898745917647062</v>
      </c>
      <c r="BA388" s="64">
        <v>0.57369840599679445</v>
      </c>
      <c r="BE388">
        <v>4.3496702325082043E-2</v>
      </c>
      <c r="BH388">
        <v>8.6993404650164072E-2</v>
      </c>
      <c r="BI388">
        <v>4.3496702325082043E-2</v>
      </c>
      <c r="BJ388">
        <v>0.57369840599679445</v>
      </c>
    </row>
    <row r="389" spans="1:62" ht="15" x14ac:dyDescent="0.35">
      <c r="A389" t="s">
        <v>69</v>
      </c>
      <c r="B389" s="12" t="s">
        <v>738</v>
      </c>
      <c r="C389" s="12"/>
      <c r="F389">
        <v>2.82</v>
      </c>
      <c r="G389" s="7" t="s">
        <v>315</v>
      </c>
      <c r="H389" s="8" t="s">
        <v>560</v>
      </c>
      <c r="I389" t="s">
        <v>638</v>
      </c>
      <c r="K389" s="7"/>
      <c r="L389" s="20">
        <v>2</v>
      </c>
      <c r="M389">
        <v>4</v>
      </c>
      <c r="N389">
        <v>0</v>
      </c>
      <c r="O389">
        <v>-1</v>
      </c>
      <c r="T389" s="20">
        <v>8.3195821399999996</v>
      </c>
      <c r="U389" s="20">
        <v>8.3195821399999996</v>
      </c>
      <c r="V389" s="20">
        <v>8.2425581700000006</v>
      </c>
      <c r="W389">
        <v>5.5339970000000003</v>
      </c>
      <c r="X389">
        <v>5.4998300000000002</v>
      </c>
      <c r="Y389">
        <v>16.550709999999999</v>
      </c>
      <c r="Z389">
        <v>0</v>
      </c>
      <c r="AD389">
        <v>12</v>
      </c>
      <c r="AE389" s="44">
        <f t="shared" si="27"/>
        <v>0</v>
      </c>
      <c r="AF389" s="46">
        <v>248.80917443900231</v>
      </c>
      <c r="AG389" s="44">
        <v>503.73811661477208</v>
      </c>
      <c r="AH389" s="44">
        <v>0</v>
      </c>
      <c r="AJ389" s="40">
        <v>9.6459465588893734E-2</v>
      </c>
      <c r="AK389" s="41">
        <v>9.5287607621536111E-2</v>
      </c>
      <c r="AM389" s="23">
        <v>2</v>
      </c>
      <c r="AN389" s="23">
        <v>3.333333333333333</v>
      </c>
      <c r="AO389" s="23">
        <v>2.666666666666667</v>
      </c>
      <c r="AP389" s="23">
        <v>4.666666666666667</v>
      </c>
      <c r="AQ389" s="23">
        <v>0.15789473684210531</v>
      </c>
      <c r="AR389" s="23">
        <v>0.26315789473684209</v>
      </c>
      <c r="AS389" s="23">
        <v>0.2105263157894737</v>
      </c>
      <c r="AT389" s="23">
        <v>0.36842105263157898</v>
      </c>
      <c r="AU389" s="20">
        <v>2.02</v>
      </c>
      <c r="AV389" s="20">
        <v>3.44</v>
      </c>
      <c r="AW389" s="20">
        <v>1.42</v>
      </c>
      <c r="AX389" s="20">
        <v>3.0044444444444438</v>
      </c>
      <c r="AY389">
        <v>3.0044444444444438</v>
      </c>
      <c r="AZ389">
        <v>6.4228342255555546</v>
      </c>
      <c r="BA389" s="64">
        <v>0.52562348257484404</v>
      </c>
      <c r="BB389" s="64">
        <v>0.51923783589802341</v>
      </c>
      <c r="BE389">
        <v>4.8229732794446867E-2</v>
      </c>
      <c r="BF389">
        <v>4.7643803810768062E-2</v>
      </c>
      <c r="BH389">
        <v>9.5873536605214915E-2</v>
      </c>
      <c r="BI389">
        <v>4.7936768302607458E-2</v>
      </c>
      <c r="BJ389">
        <v>0.52243065923643373</v>
      </c>
    </row>
    <row r="390" spans="1:62" x14ac:dyDescent="0.3">
      <c r="A390" t="s">
        <v>316</v>
      </c>
      <c r="B390" s="16" t="s">
        <v>951</v>
      </c>
      <c r="C390" s="12"/>
      <c r="F390">
        <v>3.6</v>
      </c>
      <c r="G390" t="s">
        <v>317</v>
      </c>
      <c r="H390" s="8">
        <v>-1</v>
      </c>
      <c r="I390">
        <v>-1</v>
      </c>
      <c r="K390">
        <v>2</v>
      </c>
      <c r="L390" s="20">
        <v>0</v>
      </c>
      <c r="M390">
        <v>0</v>
      </c>
      <c r="N390">
        <v>0</v>
      </c>
      <c r="O390">
        <v>3.823</v>
      </c>
      <c r="P390">
        <v>17.215</v>
      </c>
      <c r="Q390">
        <v>2.9550000000000001</v>
      </c>
      <c r="R390" t="s">
        <v>519</v>
      </c>
      <c r="T390" s="20">
        <v>0</v>
      </c>
      <c r="U390" s="20"/>
      <c r="V390" s="20"/>
      <c r="W390">
        <v>0</v>
      </c>
      <c r="Z390">
        <v>0</v>
      </c>
      <c r="AD390">
        <v>8</v>
      </c>
      <c r="AE390" s="44">
        <f t="shared" si="27"/>
        <v>194.477252475</v>
      </c>
      <c r="AF390" s="46">
        <v>0</v>
      </c>
      <c r="AG390" s="44">
        <v>0</v>
      </c>
      <c r="AH390" s="44">
        <v>0</v>
      </c>
      <c r="AI390" s="41">
        <f t="shared" ref="AI390:AI399" si="28">K390*AD390/AE390</f>
        <v>8.2271832805005288E-2</v>
      </c>
      <c r="AJ390" s="40"/>
      <c r="AM390" s="23">
        <v>1.8969230769230769</v>
      </c>
      <c r="AN390" s="23">
        <v>2.4615384615384621</v>
      </c>
      <c r="AO390" s="23">
        <v>0.56307692307692314</v>
      </c>
      <c r="AP390" s="23">
        <v>0</v>
      </c>
      <c r="AQ390" s="23">
        <v>0.38543294779618631</v>
      </c>
      <c r="AR390" s="23">
        <v>0.50015629884338852</v>
      </c>
      <c r="AS390" s="23">
        <v>0.1144107533604251</v>
      </c>
      <c r="AT390" s="23">
        <v>0</v>
      </c>
      <c r="AU390" s="20">
        <v>0.79</v>
      </c>
      <c r="AV390" s="20">
        <v>3.44</v>
      </c>
      <c r="AW390" s="20">
        <v>2.65</v>
      </c>
      <c r="AX390" s="20">
        <v>2.6319230769230768</v>
      </c>
      <c r="AY390">
        <v>2.6319230769230768</v>
      </c>
      <c r="AZ390">
        <v>5.8365582503752389</v>
      </c>
      <c r="BD390">
        <v>4.1135916402502637E-2</v>
      </c>
      <c r="BH390">
        <v>8.2271832805005288E-2</v>
      </c>
      <c r="BI390">
        <v>4.1135916402502637E-2</v>
      </c>
      <c r="BJ390">
        <v>0</v>
      </c>
    </row>
    <row r="391" spans="1:62" x14ac:dyDescent="0.3">
      <c r="A391" t="s">
        <v>318</v>
      </c>
      <c r="B391" s="12" t="s">
        <v>832</v>
      </c>
      <c r="C391" s="12"/>
      <c r="F391">
        <v>3.45</v>
      </c>
      <c r="G391" t="s">
        <v>319</v>
      </c>
      <c r="H391" s="8">
        <v>-1</v>
      </c>
      <c r="I391">
        <v>-1</v>
      </c>
      <c r="J391" t="s">
        <v>1173</v>
      </c>
      <c r="K391">
        <v>2</v>
      </c>
      <c r="L391" s="20">
        <v>0</v>
      </c>
      <c r="M391">
        <v>0</v>
      </c>
      <c r="N391">
        <v>2</v>
      </c>
      <c r="O391" s="60">
        <v>3.71</v>
      </c>
      <c r="P391" s="60">
        <v>3.71</v>
      </c>
      <c r="Q391" s="60">
        <v>12.2</v>
      </c>
      <c r="R391" t="s">
        <v>519</v>
      </c>
      <c r="T391" s="20">
        <v>0</v>
      </c>
      <c r="U391" s="20"/>
      <c r="V391" s="20"/>
      <c r="W391">
        <v>0</v>
      </c>
      <c r="Z391">
        <v>3.72</v>
      </c>
      <c r="AA391">
        <v>3.72</v>
      </c>
      <c r="AB391">
        <v>12.3012</v>
      </c>
      <c r="AD391">
        <v>8</v>
      </c>
      <c r="AE391" s="44">
        <f t="shared" si="27"/>
        <v>167.92201999999997</v>
      </c>
      <c r="AF391" s="46">
        <v>0</v>
      </c>
      <c r="AG391" s="44">
        <v>0</v>
      </c>
      <c r="AH391" s="44">
        <v>170.2</v>
      </c>
      <c r="AI391" s="41">
        <f t="shared" si="28"/>
        <v>9.5282322115944076E-2</v>
      </c>
      <c r="AJ391" s="40"/>
      <c r="AL391" s="56">
        <f>N391*AD391/AH391</f>
        <v>9.400705052878966E-2</v>
      </c>
      <c r="AM391" s="23">
        <v>1.857142857142857</v>
      </c>
      <c r="AN391" s="23">
        <v>2.285714285714286</v>
      </c>
      <c r="AO391" s="23">
        <v>0.42857142857142849</v>
      </c>
      <c r="AP391" s="23">
        <v>0</v>
      </c>
      <c r="AQ391" s="23">
        <v>0.40625000000000011</v>
      </c>
      <c r="AR391" s="23">
        <v>0.5</v>
      </c>
      <c r="AS391" s="23">
        <v>9.375E-2</v>
      </c>
      <c r="AT391" s="23">
        <v>0</v>
      </c>
      <c r="AU391" s="20">
        <v>1.1000000000000001</v>
      </c>
      <c r="AV391" s="20">
        <v>3.44</v>
      </c>
      <c r="AW391" s="20">
        <v>2.34</v>
      </c>
      <c r="AX391" s="20">
        <v>2.657142857142857</v>
      </c>
      <c r="AY391">
        <v>2.657142857142857</v>
      </c>
      <c r="AZ391">
        <v>6.2648417856930001</v>
      </c>
      <c r="BC391" s="64">
        <v>0.51949166816826697</v>
      </c>
      <c r="BD391">
        <v>4.7641161057972038E-2</v>
      </c>
      <c r="BG391">
        <v>4.700352526439483E-2</v>
      </c>
      <c r="BH391">
        <v>9.4644686322366861E-2</v>
      </c>
      <c r="BI391">
        <v>4.7322343161183431E-2</v>
      </c>
      <c r="BJ391">
        <v>0.51949166816826697</v>
      </c>
    </row>
    <row r="392" spans="1:62" x14ac:dyDescent="0.3">
      <c r="A392" t="s">
        <v>320</v>
      </c>
      <c r="B392" s="17" t="s">
        <v>994</v>
      </c>
      <c r="C392" s="12"/>
      <c r="F392">
        <v>3.58</v>
      </c>
      <c r="G392" t="s">
        <v>319</v>
      </c>
      <c r="H392" s="8">
        <v>-1</v>
      </c>
      <c r="I392">
        <v>-1</v>
      </c>
      <c r="K392">
        <v>4</v>
      </c>
      <c r="L392" s="20">
        <v>0</v>
      </c>
      <c r="M392">
        <v>0</v>
      </c>
      <c r="N392">
        <v>0</v>
      </c>
      <c r="O392">
        <v>3.77</v>
      </c>
      <c r="P392">
        <v>3.77</v>
      </c>
      <c r="Q392">
        <v>33.299999999999997</v>
      </c>
      <c r="R392" t="s">
        <v>519</v>
      </c>
      <c r="T392" s="20">
        <v>0</v>
      </c>
      <c r="U392" s="20"/>
      <c r="V392" s="20"/>
      <c r="W392">
        <v>0</v>
      </c>
      <c r="Z392">
        <v>0</v>
      </c>
      <c r="AD392">
        <v>8</v>
      </c>
      <c r="AE392" s="44">
        <f t="shared" si="27"/>
        <v>473.28956999999991</v>
      </c>
      <c r="AF392" s="46">
        <v>0</v>
      </c>
      <c r="AG392" s="44">
        <v>0</v>
      </c>
      <c r="AH392" s="44">
        <v>0</v>
      </c>
      <c r="AI392" s="41">
        <f t="shared" si="28"/>
        <v>6.7611885045343392E-2</v>
      </c>
      <c r="AJ392" s="40"/>
      <c r="AM392" s="23">
        <v>1.571428571428571</v>
      </c>
      <c r="AN392" s="23">
        <v>1.5</v>
      </c>
      <c r="AO392" s="23">
        <v>0.2142857142857143</v>
      </c>
      <c r="AP392" s="23">
        <v>0</v>
      </c>
      <c r="AQ392" s="23">
        <v>0.47826086956521741</v>
      </c>
      <c r="AR392" s="23">
        <v>0.45652173913043481</v>
      </c>
      <c r="AS392" s="23">
        <v>6.5217391304347824E-2</v>
      </c>
      <c r="AT392" s="23">
        <v>0</v>
      </c>
      <c r="AU392" s="20">
        <v>1.1000000000000001</v>
      </c>
      <c r="AV392" s="20">
        <v>3.44</v>
      </c>
      <c r="AW392" s="20">
        <v>2.34</v>
      </c>
      <c r="AX392" s="20">
        <v>2.5135714285714279</v>
      </c>
      <c r="AY392">
        <v>2.5135714285714279</v>
      </c>
      <c r="AZ392">
        <v>6.6592671289361416</v>
      </c>
      <c r="BD392">
        <v>3.3805942522671703E-2</v>
      </c>
      <c r="BH392">
        <v>6.7611885045343392E-2</v>
      </c>
      <c r="BI392">
        <v>3.3805942522671703E-2</v>
      </c>
      <c r="BJ392">
        <v>0</v>
      </c>
    </row>
    <row r="393" spans="1:62" x14ac:dyDescent="0.3">
      <c r="A393" t="s">
        <v>321</v>
      </c>
      <c r="B393" s="17" t="s">
        <v>995</v>
      </c>
      <c r="C393" s="12"/>
      <c r="F393">
        <v>3.48</v>
      </c>
      <c r="G393" t="s">
        <v>319</v>
      </c>
      <c r="H393" s="8">
        <v>-1</v>
      </c>
      <c r="I393">
        <v>-1</v>
      </c>
      <c r="K393">
        <v>4</v>
      </c>
      <c r="L393" s="20">
        <v>0</v>
      </c>
      <c r="M393">
        <v>0</v>
      </c>
      <c r="N393">
        <v>0</v>
      </c>
      <c r="O393">
        <v>3.75</v>
      </c>
      <c r="P393">
        <v>3.75</v>
      </c>
      <c r="Q393">
        <v>37.299999999999997</v>
      </c>
      <c r="R393" t="s">
        <v>519</v>
      </c>
      <c r="T393" s="20">
        <v>0</v>
      </c>
      <c r="U393" s="20"/>
      <c r="V393" s="20"/>
      <c r="W393">
        <v>0</v>
      </c>
      <c r="Z393">
        <v>0</v>
      </c>
      <c r="AD393">
        <v>8</v>
      </c>
      <c r="AE393" s="44">
        <f t="shared" si="27"/>
        <v>524.53125</v>
      </c>
      <c r="AF393" s="46">
        <v>0</v>
      </c>
      <c r="AG393" s="44">
        <v>0</v>
      </c>
      <c r="AH393" s="44">
        <v>0</v>
      </c>
      <c r="AI393" s="41">
        <f t="shared" si="28"/>
        <v>6.1006851355376826E-2</v>
      </c>
      <c r="AJ393" s="40"/>
      <c r="AM393" s="23">
        <v>1.529411764705882</v>
      </c>
      <c r="AN393" s="23">
        <v>1.3529411764705881</v>
      </c>
      <c r="AO393" s="23">
        <v>0.1764705882352941</v>
      </c>
      <c r="AP393" s="23">
        <v>0</v>
      </c>
      <c r="AQ393" s="23">
        <v>0.5</v>
      </c>
      <c r="AR393" s="23">
        <v>0.44230769230769229</v>
      </c>
      <c r="AS393" s="23">
        <v>5.7692307692307702E-2</v>
      </c>
      <c r="AT393" s="23">
        <v>0</v>
      </c>
      <c r="AU393" s="20">
        <v>1.1000000000000001</v>
      </c>
      <c r="AV393" s="20">
        <v>3.44</v>
      </c>
      <c r="AW393" s="20">
        <v>2.34</v>
      </c>
      <c r="AX393" s="20">
        <v>2.4788235294117649</v>
      </c>
      <c r="AY393">
        <v>2.4788235294117649</v>
      </c>
      <c r="AZ393">
        <v>6.6967043065181171</v>
      </c>
      <c r="BD393">
        <v>3.050342567768841E-2</v>
      </c>
      <c r="BH393">
        <v>6.1006851355376833E-2</v>
      </c>
      <c r="BI393">
        <v>3.050342567768841E-2</v>
      </c>
      <c r="BJ393">
        <v>0</v>
      </c>
    </row>
    <row r="394" spans="1:62" x14ac:dyDescent="0.3">
      <c r="A394" t="s">
        <v>322</v>
      </c>
      <c r="B394" s="17" t="s">
        <v>996</v>
      </c>
      <c r="C394" s="12"/>
      <c r="F394">
        <v>3.5</v>
      </c>
      <c r="G394" t="s">
        <v>319</v>
      </c>
      <c r="H394" s="8">
        <v>-1</v>
      </c>
      <c r="I394">
        <v>-1</v>
      </c>
      <c r="K394">
        <v>4</v>
      </c>
      <c r="L394" s="20">
        <v>0</v>
      </c>
      <c r="M394">
        <v>0</v>
      </c>
      <c r="N394">
        <v>0</v>
      </c>
      <c r="O394">
        <v>3.76</v>
      </c>
      <c r="P394">
        <v>3.76</v>
      </c>
      <c r="Q394">
        <v>41.2</v>
      </c>
      <c r="R394" t="s">
        <v>519</v>
      </c>
      <c r="T394" s="20">
        <v>0</v>
      </c>
      <c r="U394" s="20"/>
      <c r="V394" s="20"/>
      <c r="W394">
        <v>0</v>
      </c>
      <c r="Z394">
        <v>0</v>
      </c>
      <c r="AD394">
        <v>8</v>
      </c>
      <c r="AE394" s="44">
        <f t="shared" si="27"/>
        <v>582.46911999999998</v>
      </c>
      <c r="AF394" s="46">
        <v>0</v>
      </c>
      <c r="AG394" s="44">
        <v>0</v>
      </c>
      <c r="AH394" s="44">
        <v>0</v>
      </c>
      <c r="AI394" s="41">
        <f t="shared" si="28"/>
        <v>5.4938534767302344E-2</v>
      </c>
      <c r="AJ394" s="40"/>
      <c r="AM394" s="23">
        <v>1.5</v>
      </c>
      <c r="AN394" s="23">
        <v>1.25</v>
      </c>
      <c r="AO394" s="23">
        <v>0.15</v>
      </c>
      <c r="AP394" s="23">
        <v>0</v>
      </c>
      <c r="AQ394" s="23">
        <v>0.51724137931034486</v>
      </c>
      <c r="AR394" s="23">
        <v>0.43103448275862072</v>
      </c>
      <c r="AS394" s="23">
        <v>5.1724137931034482E-2</v>
      </c>
      <c r="AT394" s="23">
        <v>0</v>
      </c>
      <c r="AU394" s="20">
        <v>1.1000000000000001</v>
      </c>
      <c r="AV394" s="20">
        <v>3.44</v>
      </c>
      <c r="AW394" s="20">
        <v>2.34</v>
      </c>
      <c r="AX394" s="20">
        <v>2.4544999999999999</v>
      </c>
      <c r="AY394">
        <v>2.4544999999999999</v>
      </c>
      <c r="AZ394">
        <v>6.7229103308255</v>
      </c>
      <c r="BD394">
        <v>2.7469267383651168E-2</v>
      </c>
      <c r="BH394">
        <v>5.4938534767302337E-2</v>
      </c>
      <c r="BI394">
        <v>2.7469267383651168E-2</v>
      </c>
      <c r="BJ394">
        <v>0</v>
      </c>
    </row>
    <row r="395" spans="1:62" x14ac:dyDescent="0.3">
      <c r="A395" t="s">
        <v>323</v>
      </c>
      <c r="B395" s="17" t="s">
        <v>997</v>
      </c>
      <c r="C395" s="12"/>
      <c r="F395">
        <v>3.61</v>
      </c>
      <c r="G395" t="s">
        <v>319</v>
      </c>
      <c r="H395" s="8">
        <v>-1</v>
      </c>
      <c r="I395">
        <v>-1</v>
      </c>
      <c r="K395">
        <v>4</v>
      </c>
      <c r="L395" s="20">
        <v>0</v>
      </c>
      <c r="M395">
        <v>0</v>
      </c>
      <c r="N395">
        <v>0</v>
      </c>
      <c r="O395">
        <v>3.76</v>
      </c>
      <c r="P395">
        <v>3.76</v>
      </c>
      <c r="Q395">
        <v>47.8</v>
      </c>
      <c r="R395" t="s">
        <v>519</v>
      </c>
      <c r="T395" s="20">
        <v>0</v>
      </c>
      <c r="U395" s="20"/>
      <c r="V395" s="20"/>
      <c r="W395">
        <v>0</v>
      </c>
      <c r="Z395">
        <v>0</v>
      </c>
      <c r="AD395">
        <v>8</v>
      </c>
      <c r="AE395" s="44">
        <f t="shared" si="27"/>
        <v>675.77727999999991</v>
      </c>
      <c r="AF395" s="46">
        <v>0</v>
      </c>
      <c r="AG395" s="44">
        <v>0</v>
      </c>
      <c r="AH395" s="44">
        <v>0</v>
      </c>
      <c r="AI395" s="41">
        <f t="shared" si="28"/>
        <v>4.7352879339181107E-2</v>
      </c>
      <c r="AJ395" s="40"/>
      <c r="AM395" s="23">
        <v>1.4782608695652171</v>
      </c>
      <c r="AN395" s="23">
        <v>1.173913043478261</v>
      </c>
      <c r="AO395" s="23">
        <v>0.13043478260869559</v>
      </c>
      <c r="AP395" s="23">
        <v>0</v>
      </c>
      <c r="AQ395" s="23">
        <v>0.53125</v>
      </c>
      <c r="AR395" s="23">
        <v>0.42187500000000011</v>
      </c>
      <c r="AS395" s="23">
        <v>4.6875E-2</v>
      </c>
      <c r="AT395" s="23">
        <v>0</v>
      </c>
      <c r="AU395" s="20">
        <v>1.1000000000000001</v>
      </c>
      <c r="AV395" s="20">
        <v>3.44</v>
      </c>
      <c r="AW395" s="20">
        <v>2.34</v>
      </c>
      <c r="AX395" s="20">
        <v>2.436521739130435</v>
      </c>
      <c r="AY395">
        <v>2.436521739130435</v>
      </c>
      <c r="AZ395">
        <v>6.7422800009657378</v>
      </c>
      <c r="BD395">
        <v>2.367643966959055E-2</v>
      </c>
      <c r="BH395">
        <v>4.7352879339181107E-2</v>
      </c>
      <c r="BI395">
        <v>2.367643966959055E-2</v>
      </c>
      <c r="BJ395">
        <v>0</v>
      </c>
    </row>
    <row r="396" spans="1:62" x14ac:dyDescent="0.3">
      <c r="A396" t="s">
        <v>324</v>
      </c>
      <c r="B396" s="17" t="s">
        <v>999</v>
      </c>
      <c r="C396" s="12"/>
      <c r="F396">
        <v>3.47</v>
      </c>
      <c r="G396" t="s">
        <v>319</v>
      </c>
      <c r="H396" s="8">
        <v>-1</v>
      </c>
      <c r="I396">
        <v>-1</v>
      </c>
      <c r="K396">
        <v>4</v>
      </c>
      <c r="L396" s="20">
        <v>0</v>
      </c>
      <c r="M396">
        <v>0</v>
      </c>
      <c r="N396">
        <v>0</v>
      </c>
      <c r="O396">
        <v>3.76</v>
      </c>
      <c r="P396">
        <v>3.76</v>
      </c>
      <c r="Q396">
        <v>54.9</v>
      </c>
      <c r="R396" t="s">
        <v>519</v>
      </c>
      <c r="T396" s="20">
        <v>0</v>
      </c>
      <c r="U396" s="20"/>
      <c r="V396" s="20"/>
      <c r="W396">
        <v>0</v>
      </c>
      <c r="Z396">
        <v>0</v>
      </c>
      <c r="AD396">
        <v>8</v>
      </c>
      <c r="AE396" s="44">
        <f t="shared" si="27"/>
        <v>776.15423999999996</v>
      </c>
      <c r="AF396" s="46">
        <v>0</v>
      </c>
      <c r="AG396" s="44">
        <v>0</v>
      </c>
      <c r="AH396" s="44">
        <v>0</v>
      </c>
      <c r="AI396" s="41">
        <f t="shared" si="28"/>
        <v>4.1228918623185E-2</v>
      </c>
      <c r="AJ396" s="40"/>
      <c r="AM396" s="23">
        <v>1.448275862068966</v>
      </c>
      <c r="AN396" s="23">
        <v>1.068965517241379</v>
      </c>
      <c r="AO396" s="23">
        <v>0.10344827586206901</v>
      </c>
      <c r="AP396" s="23">
        <v>0</v>
      </c>
      <c r="AQ396" s="23">
        <v>0.55263157894736847</v>
      </c>
      <c r="AR396" s="23">
        <v>0.40789473684210531</v>
      </c>
      <c r="AS396" s="23">
        <v>3.9473684210526307E-2</v>
      </c>
      <c r="AT396" s="23">
        <v>0</v>
      </c>
      <c r="AU396" s="20">
        <v>1.1000000000000001</v>
      </c>
      <c r="AV396" s="20">
        <v>3.44</v>
      </c>
      <c r="AW396" s="20">
        <v>2.34</v>
      </c>
      <c r="AX396" s="20">
        <v>2.411724137931035</v>
      </c>
      <c r="AY396">
        <v>2.4117241379310341</v>
      </c>
      <c r="AZ396">
        <v>6.7689967873660688</v>
      </c>
      <c r="BD396">
        <v>2.06144593115925E-2</v>
      </c>
      <c r="BH396">
        <v>4.1228918623185E-2</v>
      </c>
      <c r="BI396">
        <v>2.06144593115925E-2</v>
      </c>
      <c r="BJ396">
        <v>0</v>
      </c>
    </row>
    <row r="397" spans="1:62" x14ac:dyDescent="0.3">
      <c r="A397" t="s">
        <v>325</v>
      </c>
      <c r="B397" s="17" t="s">
        <v>998</v>
      </c>
      <c r="C397" s="12"/>
      <c r="F397">
        <v>3.49</v>
      </c>
      <c r="G397" t="s">
        <v>319</v>
      </c>
      <c r="H397" s="8">
        <v>-1</v>
      </c>
      <c r="I397">
        <v>-1</v>
      </c>
      <c r="K397">
        <v>4</v>
      </c>
      <c r="L397" s="20">
        <v>0</v>
      </c>
      <c r="M397">
        <v>0</v>
      </c>
      <c r="N397">
        <v>0</v>
      </c>
      <c r="O397">
        <v>3.78</v>
      </c>
      <c r="P397">
        <v>3.78</v>
      </c>
      <c r="Q397">
        <v>66.3</v>
      </c>
      <c r="R397" t="s">
        <v>519</v>
      </c>
      <c r="T397" s="20">
        <v>0</v>
      </c>
      <c r="U397" s="20"/>
      <c r="V397" s="20"/>
      <c r="W397">
        <v>0</v>
      </c>
      <c r="Z397">
        <v>0</v>
      </c>
      <c r="AD397">
        <v>8</v>
      </c>
      <c r="AE397" s="44">
        <f t="shared" si="27"/>
        <v>947.32091999999989</v>
      </c>
      <c r="AF397" s="46">
        <v>0</v>
      </c>
      <c r="AG397" s="44">
        <v>0</v>
      </c>
      <c r="AH397" s="44">
        <v>0</v>
      </c>
      <c r="AI397" s="41">
        <f t="shared" si="28"/>
        <v>3.3779471480477816E-2</v>
      </c>
      <c r="AJ397" s="40"/>
      <c r="AM397" s="23">
        <v>1.428571428571429</v>
      </c>
      <c r="AN397" s="23">
        <v>1</v>
      </c>
      <c r="AO397" s="23">
        <v>8.5714285714285715E-2</v>
      </c>
      <c r="AP397" s="23">
        <v>0</v>
      </c>
      <c r="AQ397" s="23">
        <v>0.56818181818181823</v>
      </c>
      <c r="AR397" s="23">
        <v>0.39772727272727282</v>
      </c>
      <c r="AS397" s="23">
        <v>3.4090909090909102E-2</v>
      </c>
      <c r="AT397" s="23">
        <v>0</v>
      </c>
      <c r="AU397" s="20">
        <v>1.1000000000000001</v>
      </c>
      <c r="AV397" s="20">
        <v>3.44</v>
      </c>
      <c r="AW397" s="20">
        <v>2.34</v>
      </c>
      <c r="AX397" s="20">
        <v>2.3954285714285719</v>
      </c>
      <c r="AY397">
        <v>2.395428571428571</v>
      </c>
      <c r="AZ397">
        <v>6.7865535327148558</v>
      </c>
      <c r="BD397">
        <v>1.6889735740238911E-2</v>
      </c>
      <c r="BH397">
        <v>3.3779471480477823E-2</v>
      </c>
      <c r="BI397">
        <v>1.6889735740238911E-2</v>
      </c>
      <c r="BJ397">
        <v>0</v>
      </c>
    </row>
    <row r="398" spans="1:62" x14ac:dyDescent="0.3">
      <c r="A398" t="s">
        <v>326</v>
      </c>
      <c r="B398" s="17" t="s">
        <v>1005</v>
      </c>
      <c r="C398" s="12"/>
      <c r="F398">
        <v>3.47</v>
      </c>
      <c r="G398" t="s">
        <v>319</v>
      </c>
      <c r="H398" s="8">
        <v>-1</v>
      </c>
      <c r="I398">
        <v>-1</v>
      </c>
      <c r="K398">
        <v>4</v>
      </c>
      <c r="L398" s="20">
        <v>0</v>
      </c>
      <c r="M398">
        <v>0</v>
      </c>
      <c r="N398">
        <v>0</v>
      </c>
      <c r="O398">
        <v>3.72</v>
      </c>
      <c r="P398">
        <v>3.72</v>
      </c>
      <c r="Q398">
        <v>32.299999999999997</v>
      </c>
      <c r="R398" t="s">
        <v>519</v>
      </c>
      <c r="T398" s="20">
        <v>0</v>
      </c>
      <c r="U398" s="20"/>
      <c r="V398" s="20"/>
      <c r="W398">
        <v>0</v>
      </c>
      <c r="Z398">
        <v>0</v>
      </c>
      <c r="AD398">
        <v>10</v>
      </c>
      <c r="AE398" s="44">
        <f t="shared" si="27"/>
        <v>446.98032000000001</v>
      </c>
      <c r="AF398" s="46">
        <v>0</v>
      </c>
      <c r="AG398" s="44">
        <v>0</v>
      </c>
      <c r="AH398" s="44">
        <v>0</v>
      </c>
      <c r="AI398" s="41">
        <f t="shared" si="28"/>
        <v>8.9489398548911497E-2</v>
      </c>
      <c r="AJ398" s="40"/>
      <c r="AM398" s="23">
        <v>1.615384615384615</v>
      </c>
      <c r="AN398" s="23">
        <v>1.6923076923076921</v>
      </c>
      <c r="AO398" s="23">
        <v>0.23076923076923081</v>
      </c>
      <c r="AP398" s="23">
        <v>0</v>
      </c>
      <c r="AQ398" s="23">
        <v>0.45652173913043481</v>
      </c>
      <c r="AR398" s="23">
        <v>0.47826086956521741</v>
      </c>
      <c r="AS398" s="23">
        <v>6.5217391304347838E-2</v>
      </c>
      <c r="AT398" s="23">
        <v>0</v>
      </c>
      <c r="AU398" s="20">
        <v>1.1000000000000001</v>
      </c>
      <c r="AV398" s="20">
        <v>3.44</v>
      </c>
      <c r="AW398" s="20">
        <v>2.34</v>
      </c>
      <c r="AX398" s="20">
        <v>2.568461538461539</v>
      </c>
      <c r="AY398">
        <v>2.568461538461539</v>
      </c>
      <c r="AZ398">
        <v>6.6431337427119228</v>
      </c>
      <c r="BD398">
        <v>4.4744699274455749E-2</v>
      </c>
      <c r="BH398">
        <v>8.9489398548911497E-2</v>
      </c>
      <c r="BI398">
        <v>4.4744699274455749E-2</v>
      </c>
      <c r="BJ398">
        <v>0</v>
      </c>
    </row>
    <row r="399" spans="1:62" x14ac:dyDescent="0.3">
      <c r="A399" t="s">
        <v>327</v>
      </c>
      <c r="B399" s="17" t="s">
        <v>1004</v>
      </c>
      <c r="C399" s="12"/>
      <c r="F399">
        <v>3.47</v>
      </c>
      <c r="G399" t="s">
        <v>319</v>
      </c>
      <c r="H399" s="8">
        <v>-1</v>
      </c>
      <c r="I399">
        <v>-1</v>
      </c>
      <c r="K399">
        <v>4</v>
      </c>
      <c r="L399" s="20">
        <v>0</v>
      </c>
      <c r="M399">
        <v>0</v>
      </c>
      <c r="N399">
        <v>0</v>
      </c>
      <c r="O399">
        <v>3.72</v>
      </c>
      <c r="P399">
        <v>3.72</v>
      </c>
      <c r="Q399">
        <v>36.6</v>
      </c>
      <c r="R399" t="s">
        <v>519</v>
      </c>
      <c r="T399" s="20">
        <v>0</v>
      </c>
      <c r="W399">
        <v>0</v>
      </c>
      <c r="Z399">
        <v>0</v>
      </c>
      <c r="AD399">
        <v>10</v>
      </c>
      <c r="AE399" s="44">
        <f t="shared" si="27"/>
        <v>506.4854400000001</v>
      </c>
      <c r="AF399" s="46">
        <v>0</v>
      </c>
      <c r="AG399" s="44">
        <v>0</v>
      </c>
      <c r="AH399" s="44">
        <v>0</v>
      </c>
      <c r="AI399" s="41">
        <f t="shared" si="28"/>
        <v>7.8975616752181454E-2</v>
      </c>
      <c r="AM399" s="23">
        <v>1.5625</v>
      </c>
      <c r="AN399" s="23">
        <v>1.5</v>
      </c>
      <c r="AO399" s="23">
        <v>0.1875</v>
      </c>
      <c r="AP399" s="23">
        <v>0</v>
      </c>
      <c r="AQ399" s="23">
        <v>0.48076923076923078</v>
      </c>
      <c r="AR399" s="23">
        <v>0.46153846153846162</v>
      </c>
      <c r="AS399" s="23">
        <v>5.7692307692307702E-2</v>
      </c>
      <c r="AT399" s="23">
        <v>0</v>
      </c>
      <c r="AU399" s="20">
        <v>1.1000000000000001</v>
      </c>
      <c r="AV399" s="20">
        <v>3.44</v>
      </c>
      <c r="AW399" s="20">
        <v>2.34</v>
      </c>
      <c r="AX399" s="20">
        <v>2.5212500000000002</v>
      </c>
      <c r="AY399">
        <v>2.5212500000000002</v>
      </c>
      <c r="AZ399">
        <v>6.6859357538098134</v>
      </c>
      <c r="BD399">
        <v>3.9487808376090727E-2</v>
      </c>
      <c r="BH399">
        <v>7.8975616752181454E-2</v>
      </c>
      <c r="BI399">
        <v>3.9487808376090727E-2</v>
      </c>
      <c r="BJ399">
        <v>0</v>
      </c>
    </row>
    <row r="400" spans="1:62" x14ac:dyDescent="0.3">
      <c r="A400" t="s">
        <v>328</v>
      </c>
      <c r="B400" s="17" t="s">
        <v>1003</v>
      </c>
      <c r="C400" s="12"/>
      <c r="F400">
        <v>3.45</v>
      </c>
      <c r="G400" t="s">
        <v>319</v>
      </c>
      <c r="H400" s="8">
        <v>-1</v>
      </c>
      <c r="I400">
        <v>-1</v>
      </c>
      <c r="K400">
        <v>4</v>
      </c>
      <c r="L400" s="20">
        <v>0</v>
      </c>
      <c r="M400">
        <v>0</v>
      </c>
      <c r="N400">
        <v>0</v>
      </c>
      <c r="O400">
        <v>3.73</v>
      </c>
      <c r="P400">
        <v>3.73</v>
      </c>
      <c r="Q400">
        <v>41.6</v>
      </c>
      <c r="R400" t="s">
        <v>519</v>
      </c>
      <c r="T400" s="20">
        <v>0</v>
      </c>
      <c r="W400">
        <v>0</v>
      </c>
      <c r="Z400">
        <v>0</v>
      </c>
      <c r="AD400">
        <v>10</v>
      </c>
      <c r="AE400" s="44">
        <f t="shared" si="27"/>
        <v>578.77664000000004</v>
      </c>
      <c r="AF400" s="46">
        <v>0</v>
      </c>
      <c r="AG400" s="44">
        <v>0</v>
      </c>
      <c r="AH400" s="44">
        <v>0</v>
      </c>
      <c r="AI400" s="41">
        <f t="shared" ref="AI400:AI431" si="29">K400*AD400/AE400</f>
        <v>6.9111289633251263E-2</v>
      </c>
      <c r="AM400" s="23">
        <v>1.5263157894736841</v>
      </c>
      <c r="AN400" s="23">
        <v>1.368421052631579</v>
      </c>
      <c r="AO400" s="23">
        <v>0.15789473684210531</v>
      </c>
      <c r="AP400" s="23">
        <v>0</v>
      </c>
      <c r="AQ400" s="23">
        <v>0.5</v>
      </c>
      <c r="AR400" s="23">
        <v>0.44827586206896552</v>
      </c>
      <c r="AS400" s="23">
        <v>5.1724137931034482E-2</v>
      </c>
      <c r="AT400" s="23">
        <v>0</v>
      </c>
      <c r="AU400" s="20">
        <v>1.1000000000000001</v>
      </c>
      <c r="AV400" s="20">
        <v>3.44</v>
      </c>
      <c r="AW400" s="20">
        <v>2.34</v>
      </c>
      <c r="AX400" s="20">
        <v>2.4889473684210528</v>
      </c>
      <c r="AY400">
        <v>2.4889473684210528</v>
      </c>
      <c r="AZ400">
        <v>6.7152213403504719</v>
      </c>
      <c r="BD400">
        <v>3.4555644816625632E-2</v>
      </c>
      <c r="BH400">
        <v>6.9111289633251263E-2</v>
      </c>
      <c r="BI400">
        <v>3.4555644816625632E-2</v>
      </c>
      <c r="BJ400">
        <v>0</v>
      </c>
    </row>
    <row r="401" spans="1:62" x14ac:dyDescent="0.3">
      <c r="A401" t="s">
        <v>329</v>
      </c>
      <c r="B401" s="17" t="s">
        <v>1002</v>
      </c>
      <c r="C401" s="12"/>
      <c r="F401">
        <v>3.45</v>
      </c>
      <c r="G401" t="s">
        <v>319</v>
      </c>
      <c r="H401" s="8">
        <v>-1</v>
      </c>
      <c r="I401">
        <v>-1</v>
      </c>
      <c r="K401">
        <v>4</v>
      </c>
      <c r="L401" s="20">
        <v>0</v>
      </c>
      <c r="M401">
        <v>0</v>
      </c>
      <c r="N401">
        <v>0</v>
      </c>
      <c r="O401">
        <v>3.73</v>
      </c>
      <c r="P401">
        <v>3.73</v>
      </c>
      <c r="Q401">
        <v>45.6</v>
      </c>
      <c r="R401" t="s">
        <v>519</v>
      </c>
      <c r="T401" s="20">
        <v>0</v>
      </c>
      <c r="W401">
        <v>0</v>
      </c>
      <c r="Z401">
        <v>0</v>
      </c>
      <c r="AD401">
        <v>10</v>
      </c>
      <c r="AE401" s="44">
        <f t="shared" si="27"/>
        <v>634.42824000000007</v>
      </c>
      <c r="AF401" s="46">
        <v>0</v>
      </c>
      <c r="AG401" s="44">
        <v>0</v>
      </c>
      <c r="AH401" s="44">
        <v>0</v>
      </c>
      <c r="AI401" s="41">
        <f t="shared" si="29"/>
        <v>6.3048895805773081E-2</v>
      </c>
      <c r="AM401" s="23">
        <v>1.5</v>
      </c>
      <c r="AN401" s="23">
        <v>1.2727272727272729</v>
      </c>
      <c r="AO401" s="23">
        <v>0.13636363636363641</v>
      </c>
      <c r="AP401" s="23">
        <v>0</v>
      </c>
      <c r="AQ401" s="23">
        <v>0.515625</v>
      </c>
      <c r="AR401" s="23">
        <v>0.4375</v>
      </c>
      <c r="AS401" s="23">
        <v>4.6874999999999993E-2</v>
      </c>
      <c r="AT401" s="23">
        <v>0</v>
      </c>
      <c r="AU401" s="20">
        <v>1.1000000000000001</v>
      </c>
      <c r="AV401" s="20">
        <v>3.44</v>
      </c>
      <c r="AW401" s="20">
        <v>2.34</v>
      </c>
      <c r="AX401" s="20">
        <v>2.4654545454545449</v>
      </c>
      <c r="AY401">
        <v>2.4654545454545449</v>
      </c>
      <c r="AZ401">
        <v>6.7365199487436813</v>
      </c>
      <c r="BD401">
        <v>3.152444790288654E-2</v>
      </c>
      <c r="BH401">
        <v>6.3048895805773081E-2</v>
      </c>
      <c r="BI401">
        <v>3.152444790288654E-2</v>
      </c>
      <c r="BJ401">
        <v>0</v>
      </c>
    </row>
    <row r="402" spans="1:62" x14ac:dyDescent="0.3">
      <c r="A402" t="s">
        <v>330</v>
      </c>
      <c r="B402" s="17" t="s">
        <v>1001</v>
      </c>
      <c r="C402" s="12"/>
      <c r="F402">
        <v>3.46</v>
      </c>
      <c r="G402" t="s">
        <v>319</v>
      </c>
      <c r="H402" s="8">
        <v>-1</v>
      </c>
      <c r="I402">
        <v>-1</v>
      </c>
      <c r="K402">
        <v>4</v>
      </c>
      <c r="L402" s="20">
        <v>0</v>
      </c>
      <c r="M402">
        <v>0</v>
      </c>
      <c r="N402">
        <v>0</v>
      </c>
      <c r="O402">
        <v>3.74</v>
      </c>
      <c r="P402">
        <v>3.74</v>
      </c>
      <c r="Q402">
        <v>55.4</v>
      </c>
      <c r="R402" t="s">
        <v>519</v>
      </c>
      <c r="T402" s="20">
        <v>0</v>
      </c>
      <c r="W402">
        <v>0</v>
      </c>
      <c r="Z402">
        <v>0</v>
      </c>
      <c r="AD402">
        <v>10</v>
      </c>
      <c r="AE402" s="44">
        <f t="shared" si="27"/>
        <v>774.91304000000014</v>
      </c>
      <c r="AF402" s="46">
        <v>0</v>
      </c>
      <c r="AG402" s="44">
        <v>0</v>
      </c>
      <c r="AH402" s="44">
        <v>0</v>
      </c>
      <c r="AI402" s="41">
        <f t="shared" si="29"/>
        <v>5.1618695176429079E-2</v>
      </c>
      <c r="AM402" s="23">
        <v>1.464285714285714</v>
      </c>
      <c r="AN402" s="23">
        <v>1.142857142857143</v>
      </c>
      <c r="AO402" s="23">
        <v>0.1071428571428571</v>
      </c>
      <c r="AP402" s="23">
        <v>0</v>
      </c>
      <c r="AQ402" s="23">
        <v>0.53947368421052622</v>
      </c>
      <c r="AR402" s="23">
        <v>0.42105263157894729</v>
      </c>
      <c r="AS402" s="23">
        <v>3.9473684210526307E-2</v>
      </c>
      <c r="AT402" s="23">
        <v>0</v>
      </c>
      <c r="AU402" s="20">
        <v>1.1000000000000001</v>
      </c>
      <c r="AV402" s="20">
        <v>3.44</v>
      </c>
      <c r="AW402" s="20">
        <v>2.34</v>
      </c>
      <c r="AX402" s="20">
        <v>2.4335714285714292</v>
      </c>
      <c r="AY402">
        <v>2.4335714285714292</v>
      </c>
      <c r="AZ402">
        <v>6.7654252029916062</v>
      </c>
      <c r="BD402">
        <v>2.5809347588214539E-2</v>
      </c>
      <c r="BH402">
        <v>5.1618695176429079E-2</v>
      </c>
      <c r="BI402">
        <v>2.5809347588214539E-2</v>
      </c>
      <c r="BJ402">
        <v>0</v>
      </c>
    </row>
    <row r="403" spans="1:62" x14ac:dyDescent="0.3">
      <c r="A403" t="s">
        <v>331</v>
      </c>
      <c r="B403" s="17" t="s">
        <v>1000</v>
      </c>
      <c r="C403" s="12"/>
      <c r="F403">
        <v>3.46</v>
      </c>
      <c r="G403" t="s">
        <v>319</v>
      </c>
      <c r="H403" s="8">
        <v>-1</v>
      </c>
      <c r="I403">
        <v>-1</v>
      </c>
      <c r="K403">
        <v>4</v>
      </c>
      <c r="L403" s="20">
        <v>0</v>
      </c>
      <c r="M403">
        <v>0</v>
      </c>
      <c r="N403">
        <v>0</v>
      </c>
      <c r="O403">
        <v>3.73</v>
      </c>
      <c r="P403">
        <v>3.73</v>
      </c>
      <c r="Q403">
        <v>56.8</v>
      </c>
      <c r="R403" t="s">
        <v>519</v>
      </c>
      <c r="T403" s="20">
        <v>0</v>
      </c>
      <c r="W403">
        <v>0</v>
      </c>
      <c r="Z403">
        <v>0</v>
      </c>
      <c r="AD403">
        <v>10</v>
      </c>
      <c r="AE403" s="44">
        <f t="shared" si="27"/>
        <v>790.25271999999995</v>
      </c>
      <c r="AF403" s="46">
        <v>0</v>
      </c>
      <c r="AG403" s="44">
        <v>0</v>
      </c>
      <c r="AH403" s="44">
        <v>0</v>
      </c>
      <c r="AI403" s="41">
        <f t="shared" si="29"/>
        <v>5.0616719168015016E-2</v>
      </c>
      <c r="AM403" s="23">
        <v>1.4411764705882351</v>
      </c>
      <c r="AN403" s="23">
        <v>1.0588235294117649</v>
      </c>
      <c r="AO403" s="23">
        <v>8.8235294117647065E-2</v>
      </c>
      <c r="AP403" s="23">
        <v>0</v>
      </c>
      <c r="AQ403" s="23">
        <v>0.55681818181818177</v>
      </c>
      <c r="AR403" s="23">
        <v>0.40909090909090912</v>
      </c>
      <c r="AS403" s="23">
        <v>3.4090909090909088E-2</v>
      </c>
      <c r="AT403" s="23">
        <v>0</v>
      </c>
      <c r="AU403" s="20">
        <v>1.1000000000000001</v>
      </c>
      <c r="AV403" s="20">
        <v>3.44</v>
      </c>
      <c r="AW403" s="20">
        <v>2.34</v>
      </c>
      <c r="AX403" s="20">
        <v>2.4129411764705879</v>
      </c>
      <c r="AY403">
        <v>2.4129411764705888</v>
      </c>
      <c r="AZ403">
        <v>6.7841286027990879</v>
      </c>
      <c r="BD403">
        <v>2.5308359584007512E-2</v>
      </c>
      <c r="BH403">
        <v>5.0616719168015023E-2</v>
      </c>
      <c r="BI403">
        <v>2.5308359584007512E-2</v>
      </c>
      <c r="BJ403">
        <v>0</v>
      </c>
    </row>
    <row r="404" spans="1:62" x14ac:dyDescent="0.3">
      <c r="A404" t="s">
        <v>332</v>
      </c>
      <c r="B404" s="17" t="s">
        <v>833</v>
      </c>
      <c r="C404" s="12"/>
      <c r="F404">
        <v>3.48</v>
      </c>
      <c r="G404" t="s">
        <v>319</v>
      </c>
      <c r="H404" s="8">
        <v>-1</v>
      </c>
      <c r="I404">
        <v>-1</v>
      </c>
      <c r="K404">
        <v>2</v>
      </c>
      <c r="L404" s="20">
        <v>0</v>
      </c>
      <c r="M404">
        <v>0</v>
      </c>
      <c r="N404">
        <v>2</v>
      </c>
      <c r="O404">
        <v>3.68</v>
      </c>
      <c r="P404">
        <v>3.68</v>
      </c>
      <c r="Q404">
        <v>12.1</v>
      </c>
      <c r="R404" t="s">
        <v>519</v>
      </c>
      <c r="T404" s="20">
        <v>0</v>
      </c>
      <c r="W404">
        <v>0</v>
      </c>
      <c r="Z404">
        <v>3.6970999999999998</v>
      </c>
      <c r="AA404">
        <v>3.6970999999999998</v>
      </c>
      <c r="AB404">
        <v>12.0928</v>
      </c>
      <c r="AD404">
        <v>8</v>
      </c>
      <c r="AE404" s="44">
        <f t="shared" si="27"/>
        <v>163.86304000000001</v>
      </c>
      <c r="AF404" s="46">
        <v>0</v>
      </c>
      <c r="AG404" s="44">
        <v>0</v>
      </c>
      <c r="AH404" s="44">
        <v>165.3</v>
      </c>
      <c r="AI404" s="41">
        <f t="shared" si="29"/>
        <v>9.7642519020762694E-2</v>
      </c>
      <c r="AL404" s="56">
        <f>N404*AD404/AH404</f>
        <v>9.6793708408953405E-2</v>
      </c>
      <c r="AM404" s="23">
        <v>1.857142857142857</v>
      </c>
      <c r="AN404" s="23">
        <v>2.285714285714286</v>
      </c>
      <c r="AO404" s="23">
        <v>0.2857142857142857</v>
      </c>
      <c r="AP404" s="23">
        <v>0.5714285714285714</v>
      </c>
      <c r="AQ404" s="23">
        <v>0.37142857142857139</v>
      </c>
      <c r="AR404" s="23">
        <v>0.45714285714285707</v>
      </c>
      <c r="AS404" s="23">
        <v>5.7142857142857141E-2</v>
      </c>
      <c r="AT404" s="23">
        <v>0.1142857142857143</v>
      </c>
      <c r="AU404" s="20">
        <v>1.1399999999999999</v>
      </c>
      <c r="AV404" s="20">
        <v>3.44</v>
      </c>
      <c r="AW404" s="20">
        <v>2.2999999999999998</v>
      </c>
      <c r="AX404" s="20">
        <v>2.6628571428571428</v>
      </c>
      <c r="AY404">
        <v>2.6628571428571428</v>
      </c>
      <c r="AZ404">
        <v>6.2282737214072856</v>
      </c>
      <c r="BD404">
        <v>4.8821259510381347E-2</v>
      </c>
      <c r="BG404">
        <v>4.8396854204476702E-2</v>
      </c>
      <c r="BH404">
        <v>9.7218113714858057E-2</v>
      </c>
      <c r="BI404">
        <v>4.8609056857429028E-2</v>
      </c>
      <c r="BJ404">
        <v>0</v>
      </c>
    </row>
    <row r="405" spans="1:62" x14ac:dyDescent="0.3">
      <c r="A405" t="s">
        <v>333</v>
      </c>
      <c r="B405" s="17" t="s">
        <v>1006</v>
      </c>
      <c r="C405" s="12"/>
      <c r="F405">
        <v>3.41</v>
      </c>
      <c r="G405" t="s">
        <v>319</v>
      </c>
      <c r="H405" s="8">
        <v>-1</v>
      </c>
      <c r="I405">
        <v>-1</v>
      </c>
      <c r="K405">
        <v>4</v>
      </c>
      <c r="L405" s="20">
        <v>0</v>
      </c>
      <c r="M405">
        <v>0</v>
      </c>
      <c r="N405">
        <v>0</v>
      </c>
      <c r="O405">
        <v>3.74</v>
      </c>
      <c r="P405">
        <v>3.74</v>
      </c>
      <c r="Q405">
        <v>33.1</v>
      </c>
      <c r="R405" t="s">
        <v>519</v>
      </c>
      <c r="T405" s="20">
        <v>0</v>
      </c>
      <c r="W405">
        <v>0</v>
      </c>
      <c r="Z405">
        <v>0</v>
      </c>
      <c r="AD405">
        <v>8</v>
      </c>
      <c r="AE405" s="44">
        <f t="shared" si="27"/>
        <v>462.9895600000001</v>
      </c>
      <c r="AF405" s="46">
        <v>0</v>
      </c>
      <c r="AG405" s="44">
        <v>0</v>
      </c>
      <c r="AH405" s="44">
        <v>0</v>
      </c>
      <c r="AI405" s="41">
        <f t="shared" si="29"/>
        <v>6.9116029311762431E-2</v>
      </c>
      <c r="AM405" s="23">
        <v>1.571428571428571</v>
      </c>
      <c r="AN405" s="23">
        <v>1.5</v>
      </c>
      <c r="AO405" s="23">
        <v>0.14285714285714279</v>
      </c>
      <c r="AP405" s="23">
        <v>0.2857142857142857</v>
      </c>
      <c r="AQ405" s="23">
        <v>0.44897959183673469</v>
      </c>
      <c r="AR405" s="23">
        <v>0.42857142857142849</v>
      </c>
      <c r="AS405" s="23">
        <v>4.0816326530612242E-2</v>
      </c>
      <c r="AT405" s="23">
        <v>8.1632653061224483E-2</v>
      </c>
      <c r="AU405" s="20">
        <v>1.1399999999999999</v>
      </c>
      <c r="AV405" s="20">
        <v>3.44</v>
      </c>
      <c r="AW405" s="20">
        <v>2.2999999999999998</v>
      </c>
      <c r="AX405" s="20">
        <v>2.516428571428571</v>
      </c>
      <c r="AY405">
        <v>2.516428571428571</v>
      </c>
      <c r="AZ405">
        <v>6.6409830967932857</v>
      </c>
      <c r="BD405">
        <v>3.4558014655881222E-2</v>
      </c>
      <c r="BH405">
        <v>6.9116029311762431E-2</v>
      </c>
      <c r="BI405">
        <v>3.4558014655881222E-2</v>
      </c>
      <c r="BJ405">
        <v>0</v>
      </c>
    </row>
    <row r="406" spans="1:62" x14ac:dyDescent="0.3">
      <c r="A406" t="s">
        <v>334</v>
      </c>
      <c r="B406" s="17" t="s">
        <v>1007</v>
      </c>
      <c r="C406" s="12"/>
      <c r="F406">
        <v>3.5</v>
      </c>
      <c r="G406" t="s">
        <v>319</v>
      </c>
      <c r="H406" s="8">
        <v>-1</v>
      </c>
      <c r="I406">
        <v>-1</v>
      </c>
      <c r="K406">
        <v>4</v>
      </c>
      <c r="L406" s="20">
        <v>0</v>
      </c>
      <c r="M406">
        <v>0</v>
      </c>
      <c r="N406">
        <v>0</v>
      </c>
      <c r="O406">
        <v>3.74</v>
      </c>
      <c r="P406">
        <v>3.74</v>
      </c>
      <c r="Q406">
        <v>37.6</v>
      </c>
      <c r="R406" t="s">
        <v>519</v>
      </c>
      <c r="T406" s="20">
        <v>0</v>
      </c>
      <c r="W406">
        <v>0</v>
      </c>
      <c r="Z406">
        <v>0</v>
      </c>
      <c r="AD406">
        <v>8</v>
      </c>
      <c r="AE406" s="44">
        <f t="shared" si="27"/>
        <v>525.93376000000012</v>
      </c>
      <c r="AF406" s="46">
        <v>0</v>
      </c>
      <c r="AG406" s="44">
        <v>0</v>
      </c>
      <c r="AH406" s="44">
        <v>0</v>
      </c>
      <c r="AI406" s="41">
        <f t="shared" si="29"/>
        <v>6.0844164101578099E-2</v>
      </c>
      <c r="AM406" s="23">
        <v>1.529411764705882</v>
      </c>
      <c r="AN406" s="23">
        <v>1.3529411764705881</v>
      </c>
      <c r="AO406" s="23">
        <v>0.1176470588235294</v>
      </c>
      <c r="AP406" s="23">
        <v>0.23529411764705879</v>
      </c>
      <c r="AQ406" s="23">
        <v>0.47272727272727272</v>
      </c>
      <c r="AR406" s="23">
        <v>0.41818181818181821</v>
      </c>
      <c r="AS406" s="23">
        <v>3.6363636363636362E-2</v>
      </c>
      <c r="AT406" s="23">
        <v>7.2727272727272724E-2</v>
      </c>
      <c r="AU406" s="20">
        <v>1.1399999999999999</v>
      </c>
      <c r="AV406" s="20">
        <v>3.44</v>
      </c>
      <c r="AW406" s="20">
        <v>2.2999999999999998</v>
      </c>
      <c r="AX406" s="20">
        <v>2.4811764705882351</v>
      </c>
      <c r="AY406">
        <v>2.481176470588236</v>
      </c>
      <c r="AZ406">
        <v>6.6816468682828232</v>
      </c>
      <c r="BD406">
        <v>3.042208205078905E-2</v>
      </c>
      <c r="BH406">
        <v>6.0844164101578099E-2</v>
      </c>
      <c r="BI406">
        <v>3.042208205078905E-2</v>
      </c>
      <c r="BJ406">
        <v>0</v>
      </c>
    </row>
    <row r="407" spans="1:62" x14ac:dyDescent="0.3">
      <c r="A407" t="s">
        <v>335</v>
      </c>
      <c r="B407" s="17" t="s">
        <v>1008</v>
      </c>
      <c r="C407" s="12"/>
      <c r="F407">
        <v>3.43</v>
      </c>
      <c r="G407" t="s">
        <v>319</v>
      </c>
      <c r="H407" s="8">
        <v>-1</v>
      </c>
      <c r="I407">
        <v>-1</v>
      </c>
      <c r="K407">
        <v>4</v>
      </c>
      <c r="L407" s="20">
        <v>0</v>
      </c>
      <c r="M407">
        <v>0</v>
      </c>
      <c r="N407">
        <v>0</v>
      </c>
      <c r="O407">
        <v>3.74</v>
      </c>
      <c r="P407">
        <v>3.74</v>
      </c>
      <c r="Q407">
        <v>40.4</v>
      </c>
      <c r="R407" t="s">
        <v>519</v>
      </c>
      <c r="T407" s="20">
        <v>0</v>
      </c>
      <c r="W407">
        <v>0</v>
      </c>
      <c r="Z407">
        <v>0</v>
      </c>
      <c r="AD407">
        <v>8</v>
      </c>
      <c r="AE407" s="44">
        <f t="shared" si="27"/>
        <v>565.09904000000006</v>
      </c>
      <c r="AF407" s="46">
        <v>0</v>
      </c>
      <c r="AG407" s="44">
        <v>0</v>
      </c>
      <c r="AH407" s="44">
        <v>0</v>
      </c>
      <c r="AI407" s="41">
        <f t="shared" si="29"/>
        <v>5.6627241837112298E-2</v>
      </c>
      <c r="AM407" s="23">
        <v>1.5</v>
      </c>
      <c r="AN407" s="23">
        <v>1.25</v>
      </c>
      <c r="AO407" s="23">
        <v>0.1</v>
      </c>
      <c r="AP407" s="23">
        <v>0.2</v>
      </c>
      <c r="AQ407" s="23">
        <v>0.49180327868852458</v>
      </c>
      <c r="AR407" s="23">
        <v>0.4098360655737705</v>
      </c>
      <c r="AS407" s="23">
        <v>3.2786885245901641E-2</v>
      </c>
      <c r="AT407" s="23">
        <v>6.5573770491803282E-2</v>
      </c>
      <c r="AU407" s="20">
        <v>1.1399999999999999</v>
      </c>
      <c r="AV407" s="20">
        <v>3.44</v>
      </c>
      <c r="AW407" s="20">
        <v>2.2999999999999998</v>
      </c>
      <c r="AX407" s="20">
        <v>2.4565000000000001</v>
      </c>
      <c r="AY407">
        <v>2.4565000000000001</v>
      </c>
      <c r="AZ407">
        <v>6.7101115083254994</v>
      </c>
      <c r="BD407">
        <v>2.8313620918556149E-2</v>
      </c>
      <c r="BH407">
        <v>5.6627241837112298E-2</v>
      </c>
      <c r="BI407">
        <v>2.8313620918556149E-2</v>
      </c>
      <c r="BJ407">
        <v>0</v>
      </c>
    </row>
    <row r="408" spans="1:62" x14ac:dyDescent="0.3">
      <c r="A408" t="s">
        <v>336</v>
      </c>
      <c r="B408" s="17" t="s">
        <v>1009</v>
      </c>
      <c r="C408" s="12"/>
      <c r="F408">
        <v>3.5</v>
      </c>
      <c r="G408" t="s">
        <v>319</v>
      </c>
      <c r="H408" s="8">
        <v>-1</v>
      </c>
      <c r="I408">
        <v>-1</v>
      </c>
      <c r="K408">
        <v>4</v>
      </c>
      <c r="L408" s="20">
        <v>0</v>
      </c>
      <c r="M408">
        <v>0</v>
      </c>
      <c r="N408">
        <v>0</v>
      </c>
      <c r="O408">
        <v>3.74</v>
      </c>
      <c r="P408">
        <v>3.74</v>
      </c>
      <c r="Q408">
        <v>47.7</v>
      </c>
      <c r="R408" t="s">
        <v>519</v>
      </c>
      <c r="T408" s="20">
        <v>0</v>
      </c>
      <c r="W408">
        <v>0</v>
      </c>
      <c r="Z408">
        <v>0</v>
      </c>
      <c r="AD408">
        <v>8</v>
      </c>
      <c r="AE408" s="44">
        <f t="shared" si="27"/>
        <v>667.20852000000014</v>
      </c>
      <c r="AF408" s="46">
        <v>0</v>
      </c>
      <c r="AG408" s="44">
        <v>0</v>
      </c>
      <c r="AH408" s="44">
        <v>0</v>
      </c>
      <c r="AI408" s="41">
        <f t="shared" si="29"/>
        <v>4.796101824359196E-2</v>
      </c>
      <c r="AM408" s="23">
        <v>1.4782608695652171</v>
      </c>
      <c r="AN408" s="23">
        <v>1.173913043478261</v>
      </c>
      <c r="AO408" s="23">
        <v>8.6956521739130432E-2</v>
      </c>
      <c r="AP408" s="23">
        <v>0.17391304347826089</v>
      </c>
      <c r="AQ408" s="23">
        <v>0.50746268656716409</v>
      </c>
      <c r="AR408" s="23">
        <v>0.40298507462686572</v>
      </c>
      <c r="AS408" s="23">
        <v>2.9850746268656719E-2</v>
      </c>
      <c r="AT408" s="23">
        <v>5.9701492537313432E-2</v>
      </c>
      <c r="AU408" s="20">
        <v>1.1399999999999999</v>
      </c>
      <c r="AV408" s="20">
        <v>3.44</v>
      </c>
      <c r="AW408" s="20">
        <v>2.2999999999999998</v>
      </c>
      <c r="AX408" s="20">
        <v>2.4382608695652168</v>
      </c>
      <c r="AY408">
        <v>2.4382608695652168</v>
      </c>
      <c r="AZ408">
        <v>6.7311505900961732</v>
      </c>
      <c r="BD408">
        <v>2.398050912179598E-2</v>
      </c>
      <c r="BH408">
        <v>4.796101824359196E-2</v>
      </c>
      <c r="BI408">
        <v>2.398050912179598E-2</v>
      </c>
      <c r="BJ408">
        <v>0</v>
      </c>
    </row>
    <row r="409" spans="1:62" x14ac:dyDescent="0.3">
      <c r="A409" t="s">
        <v>337</v>
      </c>
      <c r="B409" s="17" t="s">
        <v>1010</v>
      </c>
      <c r="C409" s="12"/>
      <c r="F409">
        <v>3.42</v>
      </c>
      <c r="G409" t="s">
        <v>319</v>
      </c>
      <c r="H409" s="8">
        <v>-1</v>
      </c>
      <c r="I409">
        <v>-1</v>
      </c>
      <c r="K409">
        <v>4</v>
      </c>
      <c r="L409" s="20">
        <v>0</v>
      </c>
      <c r="M409">
        <v>0</v>
      </c>
      <c r="N409">
        <v>0</v>
      </c>
      <c r="O409">
        <v>3.72</v>
      </c>
      <c r="P409">
        <v>3.72</v>
      </c>
      <c r="Q409">
        <v>54</v>
      </c>
      <c r="R409" t="s">
        <v>519</v>
      </c>
      <c r="T409" s="20">
        <v>0</v>
      </c>
      <c r="W409">
        <v>0</v>
      </c>
      <c r="Z409">
        <v>0</v>
      </c>
      <c r="AD409">
        <v>8</v>
      </c>
      <c r="AE409" s="44">
        <f t="shared" si="27"/>
        <v>747.2736000000001</v>
      </c>
      <c r="AF409" s="46">
        <v>0</v>
      </c>
      <c r="AG409" s="44">
        <v>0</v>
      </c>
      <c r="AH409" s="44">
        <v>0</v>
      </c>
      <c r="AI409" s="41">
        <f t="shared" si="29"/>
        <v>4.282233441673839E-2</v>
      </c>
      <c r="AM409" s="23">
        <v>1.448275862068966</v>
      </c>
      <c r="AN409" s="23">
        <v>1.068965517241379</v>
      </c>
      <c r="AO409" s="23">
        <v>6.8965517241379309E-2</v>
      </c>
      <c r="AP409" s="23">
        <v>0.13793103448275859</v>
      </c>
      <c r="AQ409" s="23">
        <v>0.53164556962025322</v>
      </c>
      <c r="AR409" s="23">
        <v>0.39240506329113922</v>
      </c>
      <c r="AS409" s="23">
        <v>2.5316455696202531E-2</v>
      </c>
      <c r="AT409" s="23">
        <v>5.0632911392405063E-2</v>
      </c>
      <c r="AU409" s="20">
        <v>1.1399999999999999</v>
      </c>
      <c r="AV409" s="20">
        <v>3.44</v>
      </c>
      <c r="AW409" s="20">
        <v>2.2999999999999998</v>
      </c>
      <c r="AX409" s="20">
        <v>2.4131034482758622</v>
      </c>
      <c r="AY409">
        <v>2.4131034482758622</v>
      </c>
      <c r="AZ409">
        <v>6.7601700132281373</v>
      </c>
      <c r="BD409">
        <v>2.1411167208369199E-2</v>
      </c>
      <c r="BH409">
        <v>4.282233441673839E-2</v>
      </c>
      <c r="BI409">
        <v>2.1411167208369199E-2</v>
      </c>
      <c r="BJ409">
        <v>0</v>
      </c>
    </row>
    <row r="410" spans="1:62" x14ac:dyDescent="0.3">
      <c r="A410" t="s">
        <v>338</v>
      </c>
      <c r="B410" s="17" t="s">
        <v>1011</v>
      </c>
      <c r="C410" s="12"/>
      <c r="F410">
        <v>3.45</v>
      </c>
      <c r="G410" t="s">
        <v>319</v>
      </c>
      <c r="H410" s="8">
        <v>-1</v>
      </c>
      <c r="I410">
        <v>-1</v>
      </c>
      <c r="K410">
        <v>4</v>
      </c>
      <c r="L410" s="20">
        <v>0</v>
      </c>
      <c r="M410">
        <v>0</v>
      </c>
      <c r="N410">
        <v>0</v>
      </c>
      <c r="O410">
        <v>3.81</v>
      </c>
      <c r="P410">
        <v>3.81</v>
      </c>
      <c r="Q410">
        <v>65.400000000000006</v>
      </c>
      <c r="R410" t="s">
        <v>519</v>
      </c>
      <c r="T410" s="20">
        <v>0</v>
      </c>
      <c r="W410">
        <v>0</v>
      </c>
      <c r="Z410">
        <v>0</v>
      </c>
      <c r="AD410">
        <v>8</v>
      </c>
      <c r="AE410" s="44">
        <f t="shared" si="27"/>
        <v>949.3529400000001</v>
      </c>
      <c r="AF410" s="46">
        <v>0</v>
      </c>
      <c r="AG410" s="44">
        <v>0</v>
      </c>
      <c r="AH410" s="44">
        <v>0</v>
      </c>
      <c r="AI410" s="41">
        <f t="shared" si="29"/>
        <v>3.3707169011347876E-2</v>
      </c>
      <c r="AM410" s="23">
        <v>1.428571428571429</v>
      </c>
      <c r="AN410" s="23">
        <v>1</v>
      </c>
      <c r="AO410" s="23">
        <v>5.7142857142857141E-2</v>
      </c>
      <c r="AP410" s="23">
        <v>0.1142857142857143</v>
      </c>
      <c r="AQ410" s="23">
        <v>0.5494505494505495</v>
      </c>
      <c r="AR410" s="23">
        <v>0.38461538461538458</v>
      </c>
      <c r="AS410" s="23">
        <v>2.197802197802198E-2</v>
      </c>
      <c r="AT410" s="23">
        <v>4.3956043956043953E-2</v>
      </c>
      <c r="AU410" s="20">
        <v>1.1399999999999999</v>
      </c>
      <c r="AV410" s="20">
        <v>3.44</v>
      </c>
      <c r="AW410" s="20">
        <v>2.2999999999999998</v>
      </c>
      <c r="AX410" s="20">
        <v>2.3965714285714288</v>
      </c>
      <c r="AY410">
        <v>2.3965714285714279</v>
      </c>
      <c r="AZ410">
        <v>6.7792399198577131</v>
      </c>
      <c r="BD410">
        <v>1.6853584505673942E-2</v>
      </c>
      <c r="BH410">
        <v>3.3707169011347883E-2</v>
      </c>
      <c r="BI410">
        <v>1.6853584505673942E-2</v>
      </c>
      <c r="BJ410">
        <v>0</v>
      </c>
    </row>
    <row r="411" spans="1:62" x14ac:dyDescent="0.3">
      <c r="A411" t="s">
        <v>339</v>
      </c>
      <c r="B411" s="17" t="s">
        <v>1012</v>
      </c>
      <c r="C411" s="12"/>
      <c r="F411">
        <v>3.42</v>
      </c>
      <c r="G411" t="s">
        <v>319</v>
      </c>
      <c r="H411" s="8">
        <v>-1</v>
      </c>
      <c r="I411">
        <v>-1</v>
      </c>
      <c r="K411">
        <v>4</v>
      </c>
      <c r="L411" s="20">
        <v>0</v>
      </c>
      <c r="M411">
        <v>0</v>
      </c>
      <c r="N411">
        <v>0</v>
      </c>
      <c r="O411">
        <v>3.71</v>
      </c>
      <c r="P411">
        <v>3.71</v>
      </c>
      <c r="Q411">
        <v>32</v>
      </c>
      <c r="R411" t="s">
        <v>519</v>
      </c>
      <c r="T411" s="20">
        <v>0</v>
      </c>
      <c r="W411">
        <v>0</v>
      </c>
      <c r="Z411">
        <v>0</v>
      </c>
      <c r="AD411">
        <v>10</v>
      </c>
      <c r="AE411" s="44">
        <f t="shared" si="27"/>
        <v>440.45119999999997</v>
      </c>
      <c r="AF411" s="46">
        <v>0</v>
      </c>
      <c r="AG411" s="44">
        <v>0</v>
      </c>
      <c r="AH411" s="44">
        <v>0</v>
      </c>
      <c r="AI411" s="41">
        <f t="shared" si="29"/>
        <v>9.0815963266759184E-2</v>
      </c>
      <c r="AM411" s="23">
        <v>1.615384615384615</v>
      </c>
      <c r="AN411" s="23">
        <v>1.6923076923076921</v>
      </c>
      <c r="AO411" s="23">
        <v>0.15384615384615391</v>
      </c>
      <c r="AP411" s="23">
        <v>0.30769230769230771</v>
      </c>
      <c r="AQ411" s="23">
        <v>0.4285714285714286</v>
      </c>
      <c r="AR411" s="23">
        <v>0.44897959183673469</v>
      </c>
      <c r="AS411" s="23">
        <v>4.0816326530612249E-2</v>
      </c>
      <c r="AT411" s="23">
        <v>8.1632653061224497E-2</v>
      </c>
      <c r="AU411" s="20">
        <v>1.1399999999999999</v>
      </c>
      <c r="AV411" s="20">
        <v>3.44</v>
      </c>
      <c r="AW411" s="20">
        <v>2.2999999999999998</v>
      </c>
      <c r="AX411" s="20">
        <v>2.571538461538462</v>
      </c>
      <c r="AY411">
        <v>2.571538461538462</v>
      </c>
      <c r="AZ411">
        <v>6.623443246558077</v>
      </c>
      <c r="BD411">
        <v>4.5407981633379592E-2</v>
      </c>
      <c r="BH411">
        <v>9.0815963266759184E-2</v>
      </c>
      <c r="BI411">
        <v>4.5407981633379592E-2</v>
      </c>
      <c r="BJ411">
        <v>0</v>
      </c>
    </row>
    <row r="412" spans="1:62" x14ac:dyDescent="0.3">
      <c r="A412" t="s">
        <v>340</v>
      </c>
      <c r="B412" s="17" t="s">
        <v>1013</v>
      </c>
      <c r="C412" s="12"/>
      <c r="F412">
        <v>3.39</v>
      </c>
      <c r="G412" t="s">
        <v>319</v>
      </c>
      <c r="H412" s="8">
        <v>-1</v>
      </c>
      <c r="I412">
        <v>-1</v>
      </c>
      <c r="K412">
        <v>4</v>
      </c>
      <c r="L412" s="20">
        <v>0</v>
      </c>
      <c r="M412">
        <v>0</v>
      </c>
      <c r="N412">
        <v>0</v>
      </c>
      <c r="O412">
        <v>3.7</v>
      </c>
      <c r="P412">
        <v>3.7</v>
      </c>
      <c r="Q412">
        <v>36.4</v>
      </c>
      <c r="R412" t="s">
        <v>519</v>
      </c>
      <c r="T412" s="20">
        <v>0</v>
      </c>
      <c r="W412">
        <v>0</v>
      </c>
      <c r="Z412">
        <v>0</v>
      </c>
      <c r="AD412">
        <v>10</v>
      </c>
      <c r="AE412" s="44">
        <f t="shared" si="27"/>
        <v>498.31600000000003</v>
      </c>
      <c r="AF412" s="46">
        <v>0</v>
      </c>
      <c r="AG412" s="44">
        <v>0</v>
      </c>
      <c r="AH412" s="44">
        <v>0</v>
      </c>
      <c r="AI412" s="41">
        <f t="shared" si="29"/>
        <v>8.0270350540620802E-2</v>
      </c>
      <c r="AM412" s="23">
        <v>1.5625</v>
      </c>
      <c r="AN412" s="23">
        <v>1.5</v>
      </c>
      <c r="AO412" s="23">
        <v>0.125</v>
      </c>
      <c r="AP412" s="23">
        <v>0.25</v>
      </c>
      <c r="AQ412" s="23">
        <v>0.45454545454545447</v>
      </c>
      <c r="AR412" s="23">
        <v>0.43636363636363629</v>
      </c>
      <c r="AS412" s="23">
        <v>3.6363636363636362E-2</v>
      </c>
      <c r="AT412" s="23">
        <v>7.2727272727272724E-2</v>
      </c>
      <c r="AU412" s="20">
        <v>1.1399999999999999</v>
      </c>
      <c r="AV412" s="20">
        <v>3.44</v>
      </c>
      <c r="AW412" s="20">
        <v>2.2999999999999998</v>
      </c>
      <c r="AX412" s="20">
        <v>2.5237500000000002</v>
      </c>
      <c r="AY412">
        <v>2.5237500000000002</v>
      </c>
      <c r="AZ412">
        <v>6.6699372256848122</v>
      </c>
      <c r="BD412">
        <v>4.0135175270310401E-2</v>
      </c>
      <c r="BH412">
        <v>8.0270350540620802E-2</v>
      </c>
      <c r="BI412">
        <v>4.0135175270310401E-2</v>
      </c>
      <c r="BJ412">
        <v>0</v>
      </c>
    </row>
    <row r="413" spans="1:62" x14ac:dyDescent="0.3">
      <c r="A413" t="s">
        <v>341</v>
      </c>
      <c r="B413" s="17" t="s">
        <v>1014</v>
      </c>
      <c r="C413" s="12"/>
      <c r="F413">
        <v>3.45</v>
      </c>
      <c r="G413" t="s">
        <v>319</v>
      </c>
      <c r="H413" s="8">
        <v>-1</v>
      </c>
      <c r="I413">
        <v>-1</v>
      </c>
      <c r="K413">
        <v>4</v>
      </c>
      <c r="L413" s="20">
        <v>0</v>
      </c>
      <c r="M413">
        <v>0</v>
      </c>
      <c r="N413">
        <v>0</v>
      </c>
      <c r="O413">
        <v>3.72</v>
      </c>
      <c r="P413">
        <v>3.72</v>
      </c>
      <c r="Q413">
        <v>41.1</v>
      </c>
      <c r="R413" t="s">
        <v>519</v>
      </c>
      <c r="T413" s="20">
        <v>0</v>
      </c>
      <c r="W413">
        <v>0</v>
      </c>
      <c r="Z413">
        <v>0</v>
      </c>
      <c r="AD413">
        <v>10</v>
      </c>
      <c r="AE413" s="44">
        <f t="shared" si="27"/>
        <v>568.75824000000011</v>
      </c>
      <c r="AF413" s="46">
        <v>0</v>
      </c>
      <c r="AG413" s="44">
        <v>0</v>
      </c>
      <c r="AH413" s="44">
        <v>0</v>
      </c>
      <c r="AI413" s="41">
        <f t="shared" si="29"/>
        <v>7.0328651414351365E-2</v>
      </c>
      <c r="AM413" s="23">
        <v>1.5263157894736841</v>
      </c>
      <c r="AN413" s="23">
        <v>1.368421052631579</v>
      </c>
      <c r="AO413" s="23">
        <v>0.10526315789473679</v>
      </c>
      <c r="AP413" s="23">
        <v>0.2105263157894737</v>
      </c>
      <c r="AQ413" s="23">
        <v>0.47540983606557369</v>
      </c>
      <c r="AR413" s="23">
        <v>0.42622950819672129</v>
      </c>
      <c r="AS413" s="23">
        <v>3.2786885245901627E-2</v>
      </c>
      <c r="AT413" s="23">
        <v>6.5573770491803268E-2</v>
      </c>
      <c r="AU413" s="20">
        <v>1.1399999999999999</v>
      </c>
      <c r="AV413" s="20">
        <v>3.44</v>
      </c>
      <c r="AW413" s="20">
        <v>2.2999999999999998</v>
      </c>
      <c r="AX413" s="20">
        <v>2.4910526315789472</v>
      </c>
      <c r="AY413">
        <v>2.4910526315789481</v>
      </c>
      <c r="AZ413">
        <v>6.7017488956136306</v>
      </c>
      <c r="BD413">
        <v>3.5164325707175682E-2</v>
      </c>
      <c r="BH413">
        <v>7.0328651414351365E-2</v>
      </c>
      <c r="BI413">
        <v>3.5164325707175682E-2</v>
      </c>
      <c r="BJ413">
        <v>0</v>
      </c>
    </row>
    <row r="414" spans="1:62" x14ac:dyDescent="0.3">
      <c r="A414" t="s">
        <v>342</v>
      </c>
      <c r="B414" s="17" t="s">
        <v>1015</v>
      </c>
      <c r="C414" s="12"/>
      <c r="F414">
        <v>3.45</v>
      </c>
      <c r="G414" t="s">
        <v>319</v>
      </c>
      <c r="H414" s="8">
        <v>-1</v>
      </c>
      <c r="I414">
        <v>-1</v>
      </c>
      <c r="K414">
        <v>4</v>
      </c>
      <c r="L414" s="20">
        <v>0</v>
      </c>
      <c r="M414">
        <v>0</v>
      </c>
      <c r="N414">
        <v>0</v>
      </c>
      <c r="O414">
        <v>3.71</v>
      </c>
      <c r="P414">
        <v>3.71</v>
      </c>
      <c r="Q414">
        <v>44.5</v>
      </c>
      <c r="R414" t="s">
        <v>519</v>
      </c>
      <c r="T414" s="20">
        <v>0</v>
      </c>
      <c r="W414">
        <v>0</v>
      </c>
      <c r="Z414">
        <v>0</v>
      </c>
      <c r="AD414">
        <v>10</v>
      </c>
      <c r="AE414" s="44">
        <f t="shared" si="27"/>
        <v>612.50244999999995</v>
      </c>
      <c r="AF414" s="46">
        <v>0</v>
      </c>
      <c r="AG414" s="44">
        <v>0</v>
      </c>
      <c r="AH414" s="44">
        <v>0</v>
      </c>
      <c r="AI414" s="41">
        <f t="shared" si="29"/>
        <v>6.5305861225534695E-2</v>
      </c>
      <c r="AM414" s="23">
        <v>1.5</v>
      </c>
      <c r="AN414" s="23">
        <v>1.2727272727272729</v>
      </c>
      <c r="AO414" s="23">
        <v>9.0909090909090912E-2</v>
      </c>
      <c r="AP414" s="23">
        <v>0.1818181818181818</v>
      </c>
      <c r="AQ414" s="23">
        <v>0.49253731343283591</v>
      </c>
      <c r="AR414" s="23">
        <v>0.41791044776119401</v>
      </c>
      <c r="AS414" s="23">
        <v>2.9850746268656719E-2</v>
      </c>
      <c r="AT414" s="23">
        <v>5.9701492537313439E-2</v>
      </c>
      <c r="AU414" s="20">
        <v>1.1399999999999999</v>
      </c>
      <c r="AV414" s="20">
        <v>3.44</v>
      </c>
      <c r="AW414" s="20">
        <v>2.2999999999999998</v>
      </c>
      <c r="AX414" s="20">
        <v>2.4672727272727282</v>
      </c>
      <c r="AY414">
        <v>2.4672727272727268</v>
      </c>
      <c r="AZ414">
        <v>6.7248846555618629</v>
      </c>
      <c r="BD414">
        <v>3.2652930612767347E-2</v>
      </c>
      <c r="BH414">
        <v>6.5305861225534695E-2</v>
      </c>
      <c r="BI414">
        <v>3.2652930612767347E-2</v>
      </c>
      <c r="BJ414">
        <v>0</v>
      </c>
    </row>
    <row r="415" spans="1:62" x14ac:dyDescent="0.3">
      <c r="A415" t="s">
        <v>343</v>
      </c>
      <c r="B415" s="17" t="s">
        <v>1016</v>
      </c>
      <c r="C415" s="12"/>
      <c r="F415">
        <v>3.41</v>
      </c>
      <c r="G415" t="s">
        <v>319</v>
      </c>
      <c r="H415" s="8">
        <v>-1</v>
      </c>
      <c r="I415">
        <v>-1</v>
      </c>
      <c r="K415">
        <v>4</v>
      </c>
      <c r="L415" s="20">
        <v>0</v>
      </c>
      <c r="M415">
        <v>0</v>
      </c>
      <c r="N415">
        <v>0</v>
      </c>
      <c r="O415">
        <v>3.71</v>
      </c>
      <c r="P415">
        <v>3.71</v>
      </c>
      <c r="Q415">
        <v>54.9</v>
      </c>
      <c r="R415" t="s">
        <v>519</v>
      </c>
      <c r="T415" s="20">
        <v>0</v>
      </c>
      <c r="U415" s="20"/>
      <c r="V415" s="20"/>
      <c r="W415">
        <v>0</v>
      </c>
      <c r="Z415">
        <v>0</v>
      </c>
      <c r="AD415">
        <v>10</v>
      </c>
      <c r="AE415" s="44">
        <f t="shared" si="27"/>
        <v>755.64908999999989</v>
      </c>
      <c r="AF415" s="46">
        <v>0</v>
      </c>
      <c r="AG415" s="44">
        <v>0</v>
      </c>
      <c r="AH415" s="44">
        <v>0</v>
      </c>
      <c r="AI415" s="41">
        <f t="shared" si="29"/>
        <v>5.2934623397746704E-2</v>
      </c>
      <c r="AJ415" s="40"/>
      <c r="AM415" s="23">
        <v>1.464285714285714</v>
      </c>
      <c r="AN415" s="23">
        <v>1.142857142857143</v>
      </c>
      <c r="AO415" s="23">
        <v>7.1428571428571425E-2</v>
      </c>
      <c r="AP415" s="23">
        <v>0.14285714285714279</v>
      </c>
      <c r="AQ415" s="23">
        <v>0.51898734177215178</v>
      </c>
      <c r="AR415" s="23">
        <v>0.40506329113924039</v>
      </c>
      <c r="AS415" s="23">
        <v>2.5316455696202531E-2</v>
      </c>
      <c r="AT415" s="23">
        <v>5.0632911392405063E-2</v>
      </c>
      <c r="AU415" s="20">
        <v>1.1399999999999999</v>
      </c>
      <c r="AV415" s="20">
        <v>3.44</v>
      </c>
      <c r="AW415" s="20">
        <v>2.2999999999999998</v>
      </c>
      <c r="AX415" s="20">
        <v>2.4350000000000001</v>
      </c>
      <c r="AY415">
        <v>2.4350000000000001</v>
      </c>
      <c r="AZ415">
        <v>6.7562831869201787</v>
      </c>
      <c r="BD415">
        <v>2.6467311698873348E-2</v>
      </c>
      <c r="BH415">
        <v>5.2934623397746697E-2</v>
      </c>
      <c r="BI415">
        <v>2.6467311698873348E-2</v>
      </c>
      <c r="BJ415">
        <v>0</v>
      </c>
    </row>
    <row r="416" spans="1:62" x14ac:dyDescent="0.3">
      <c r="A416" t="s">
        <v>344</v>
      </c>
      <c r="B416" s="17" t="s">
        <v>1017</v>
      </c>
      <c r="C416" s="12"/>
      <c r="F416">
        <v>3.41</v>
      </c>
      <c r="G416" t="s">
        <v>319</v>
      </c>
      <c r="H416" s="8">
        <v>-1</v>
      </c>
      <c r="I416">
        <v>-1</v>
      </c>
      <c r="K416">
        <v>4</v>
      </c>
      <c r="L416" s="20">
        <v>0</v>
      </c>
      <c r="M416">
        <v>0</v>
      </c>
      <c r="N416">
        <v>0</v>
      </c>
      <c r="O416">
        <v>3.71</v>
      </c>
      <c r="P416">
        <v>3.71</v>
      </c>
      <c r="Q416">
        <v>58</v>
      </c>
      <c r="R416" t="s">
        <v>519</v>
      </c>
      <c r="T416" s="20">
        <v>0</v>
      </c>
      <c r="U416" s="20"/>
      <c r="V416" s="20"/>
      <c r="W416">
        <v>0</v>
      </c>
      <c r="Z416">
        <v>0</v>
      </c>
      <c r="AD416">
        <v>10</v>
      </c>
      <c r="AE416" s="44">
        <f t="shared" si="27"/>
        <v>798.31779999999992</v>
      </c>
      <c r="AF416" s="46">
        <v>0</v>
      </c>
      <c r="AG416" s="44">
        <v>0</v>
      </c>
      <c r="AH416" s="44">
        <v>0</v>
      </c>
      <c r="AI416" s="41">
        <f t="shared" si="29"/>
        <v>5.010535904372921E-2</v>
      </c>
      <c r="AJ416" s="40"/>
      <c r="AM416" s="23">
        <v>1.4411764705882351</v>
      </c>
      <c r="AN416" s="23">
        <v>1.0588235294117649</v>
      </c>
      <c r="AO416" s="23">
        <v>5.8823529411764712E-2</v>
      </c>
      <c r="AP416" s="23">
        <v>0.1176470588235294</v>
      </c>
      <c r="AQ416" s="23">
        <v>0.53846153846153855</v>
      </c>
      <c r="AR416" s="23">
        <v>0.39560439560439559</v>
      </c>
      <c r="AS416" s="23">
        <v>2.197802197802198E-2</v>
      </c>
      <c r="AT416" s="23">
        <v>4.3956043956043959E-2</v>
      </c>
      <c r="AU416" s="20">
        <v>1.1399999999999999</v>
      </c>
      <c r="AV416" s="20">
        <v>3.44</v>
      </c>
      <c r="AW416" s="20">
        <v>2.2999999999999998</v>
      </c>
      <c r="AX416" s="20">
        <v>2.4141176470588239</v>
      </c>
      <c r="AY416">
        <v>2.4141176470588239</v>
      </c>
      <c r="AZ416">
        <v>6.776599883681441</v>
      </c>
      <c r="BD416">
        <v>2.5052679521864601E-2</v>
      </c>
      <c r="BH416">
        <v>5.010535904372921E-2</v>
      </c>
      <c r="BI416">
        <v>2.5052679521864601E-2</v>
      </c>
      <c r="BJ416">
        <v>0</v>
      </c>
    </row>
    <row r="417" spans="1:62" x14ac:dyDescent="0.3">
      <c r="A417" t="s">
        <v>151</v>
      </c>
      <c r="B417" s="12" t="s">
        <v>774</v>
      </c>
      <c r="C417" s="12"/>
      <c r="F417">
        <v>3.26</v>
      </c>
      <c r="G417" t="s">
        <v>345</v>
      </c>
      <c r="H417" s="8">
        <v>-1</v>
      </c>
      <c r="I417">
        <v>-1</v>
      </c>
      <c r="L417" s="20">
        <v>0</v>
      </c>
      <c r="M417">
        <v>0</v>
      </c>
      <c r="N417">
        <v>0</v>
      </c>
      <c r="O417">
        <v>3.89</v>
      </c>
      <c r="P417">
        <v>3.89</v>
      </c>
      <c r="Q417">
        <v>16.399999999999999</v>
      </c>
      <c r="T417" s="20">
        <v>0</v>
      </c>
      <c r="U417" s="20"/>
      <c r="V417" s="20"/>
      <c r="W417">
        <v>0</v>
      </c>
      <c r="Z417">
        <v>0</v>
      </c>
      <c r="AD417">
        <v>20</v>
      </c>
      <c r="AE417" s="44">
        <f t="shared" si="27"/>
        <v>248.16643999999999</v>
      </c>
      <c r="AF417" s="46">
        <v>0</v>
      </c>
      <c r="AG417" s="44">
        <v>0</v>
      </c>
      <c r="AH417" s="44">
        <v>0</v>
      </c>
      <c r="AJ417" s="40"/>
      <c r="AM417" s="23">
        <v>1.75</v>
      </c>
      <c r="AN417" s="23">
        <v>2.5</v>
      </c>
      <c r="AO417" s="23">
        <v>0.75</v>
      </c>
      <c r="AP417" s="23">
        <v>0</v>
      </c>
      <c r="AQ417" s="23">
        <v>0.35</v>
      </c>
      <c r="AR417" s="23">
        <v>0.5</v>
      </c>
      <c r="AS417" s="23">
        <v>0.15</v>
      </c>
      <c r="AT417" s="23">
        <v>0</v>
      </c>
      <c r="AU417" s="20">
        <v>0.95</v>
      </c>
      <c r="AV417" s="20">
        <v>3.44</v>
      </c>
      <c r="AW417" s="20">
        <v>2.4900000000000002</v>
      </c>
      <c r="AX417" s="20">
        <v>2.7062499999999998</v>
      </c>
      <c r="AY417">
        <v>2.7062499999999998</v>
      </c>
      <c r="AZ417">
        <v>6.2396022968656872</v>
      </c>
      <c r="BH417">
        <v>0</v>
      </c>
      <c r="BI417">
        <v>0</v>
      </c>
      <c r="BJ417">
        <v>0</v>
      </c>
    </row>
    <row r="418" spans="1:62" x14ac:dyDescent="0.3">
      <c r="A418" t="s">
        <v>63</v>
      </c>
      <c r="B418" s="12" t="s">
        <v>773</v>
      </c>
      <c r="C418" s="12"/>
      <c r="F418">
        <v>3.5</v>
      </c>
      <c r="G418" t="s">
        <v>345</v>
      </c>
      <c r="H418" s="8">
        <v>-1</v>
      </c>
      <c r="I418">
        <v>-1</v>
      </c>
      <c r="K418">
        <v>1</v>
      </c>
      <c r="L418" s="20">
        <v>0</v>
      </c>
      <c r="M418">
        <v>0</v>
      </c>
      <c r="N418">
        <v>0</v>
      </c>
      <c r="O418">
        <v>3.82</v>
      </c>
      <c r="P418">
        <v>3.82</v>
      </c>
      <c r="Q418">
        <v>16</v>
      </c>
      <c r="T418" s="20">
        <v>0</v>
      </c>
      <c r="U418" s="20"/>
      <c r="V418" s="20"/>
      <c r="W418">
        <v>0</v>
      </c>
      <c r="Z418">
        <v>0</v>
      </c>
      <c r="AD418">
        <v>20</v>
      </c>
      <c r="AE418" s="44">
        <f t="shared" si="27"/>
        <v>233.47839999999999</v>
      </c>
      <c r="AF418" s="46">
        <v>0</v>
      </c>
      <c r="AG418" s="44">
        <v>0</v>
      </c>
      <c r="AH418" s="44">
        <v>0</v>
      </c>
      <c r="AI418" s="41">
        <f t="shared" si="29"/>
        <v>8.5661029028809524E-2</v>
      </c>
      <c r="AJ418" s="40"/>
      <c r="AM418" s="23">
        <v>1.75</v>
      </c>
      <c r="AN418" s="23">
        <v>2.5</v>
      </c>
      <c r="AO418" s="23">
        <v>0.75</v>
      </c>
      <c r="AP418" s="23">
        <v>0</v>
      </c>
      <c r="AQ418" s="23">
        <v>0.35</v>
      </c>
      <c r="AR418" s="23">
        <v>0.5</v>
      </c>
      <c r="AS418" s="23">
        <v>0.15</v>
      </c>
      <c r="AT418" s="23">
        <v>0</v>
      </c>
      <c r="AU418" s="20">
        <v>1</v>
      </c>
      <c r="AV418" s="20">
        <v>3.44</v>
      </c>
      <c r="AW418" s="20">
        <v>2.44</v>
      </c>
      <c r="AX418" s="20">
        <v>2.7124999999999999</v>
      </c>
      <c r="AY418">
        <v>2.7124999999999999</v>
      </c>
      <c r="AZ418">
        <v>6.264025610615688</v>
      </c>
      <c r="BD418">
        <v>4.2830514514404762E-2</v>
      </c>
      <c r="BH418">
        <v>8.5661029028809524E-2</v>
      </c>
      <c r="BI418">
        <v>4.2830514514404762E-2</v>
      </c>
      <c r="BJ418">
        <v>0</v>
      </c>
    </row>
    <row r="419" spans="1:62" x14ac:dyDescent="0.3">
      <c r="A419" t="s">
        <v>4</v>
      </c>
      <c r="B419" s="12" t="s">
        <v>689</v>
      </c>
      <c r="C419" s="12"/>
      <c r="F419">
        <v>3.54</v>
      </c>
      <c r="G419" t="s">
        <v>352</v>
      </c>
      <c r="H419" s="8" t="s">
        <v>527</v>
      </c>
      <c r="I419" t="s">
        <v>609</v>
      </c>
      <c r="K419">
        <v>2</v>
      </c>
      <c r="L419" s="20">
        <v>4</v>
      </c>
      <c r="M419">
        <v>4</v>
      </c>
      <c r="N419">
        <v>0</v>
      </c>
      <c r="O419">
        <v>3.86</v>
      </c>
      <c r="P419">
        <v>3.86</v>
      </c>
      <c r="Q419">
        <v>29.4</v>
      </c>
      <c r="T419" s="20">
        <v>7.8084429999999996</v>
      </c>
      <c r="U419" s="20">
        <v>7.8548809999999998</v>
      </c>
      <c r="V419" s="20">
        <v>15.19056011</v>
      </c>
      <c r="W419">
        <v>3.8801999999999999</v>
      </c>
      <c r="X419">
        <v>29.507999999999999</v>
      </c>
      <c r="Y419">
        <v>7.7140000000000004</v>
      </c>
      <c r="Z419">
        <v>0</v>
      </c>
      <c r="AD419">
        <v>20</v>
      </c>
      <c r="AE419" s="44">
        <f t="shared" si="27"/>
        <v>438.04823999999996</v>
      </c>
      <c r="AF419" s="46">
        <v>924.74694800021894</v>
      </c>
      <c r="AG419" s="44">
        <v>883.22940750240002</v>
      </c>
      <c r="AH419" s="44">
        <v>0</v>
      </c>
      <c r="AI419" s="41">
        <f t="shared" si="29"/>
        <v>9.1314143848631832E-2</v>
      </c>
      <c r="AJ419" s="40">
        <v>8.6510153045653584E-2</v>
      </c>
      <c r="AK419" s="41">
        <v>9.0576694254581439E-2</v>
      </c>
      <c r="AM419" s="23">
        <v>1.75</v>
      </c>
      <c r="AN419" s="23">
        <v>2.5</v>
      </c>
      <c r="AO419" s="23">
        <v>0.75</v>
      </c>
      <c r="AP419" s="23">
        <v>0</v>
      </c>
      <c r="AQ419" s="23">
        <v>0.35</v>
      </c>
      <c r="AR419" s="23">
        <v>0.5</v>
      </c>
      <c r="AS419" s="23">
        <v>0.15</v>
      </c>
      <c r="AT419" s="23">
        <v>0</v>
      </c>
      <c r="AU419" s="20">
        <v>0.82</v>
      </c>
      <c r="AV419" s="20">
        <v>3.44</v>
      </c>
      <c r="AW419" s="20">
        <v>2.62</v>
      </c>
      <c r="AX419" s="20">
        <v>2.6262500000000002</v>
      </c>
      <c r="AY419">
        <v>2.6262500000000002</v>
      </c>
      <c r="AZ419">
        <v>5.96680968125</v>
      </c>
      <c r="BA419" s="64">
        <v>0.50555206026575039</v>
      </c>
      <c r="BB419" s="64">
        <v>0</v>
      </c>
      <c r="BD419">
        <v>4.5657071924315923E-2</v>
      </c>
      <c r="BE419">
        <v>4.3255076522826792E-2</v>
      </c>
      <c r="BF419">
        <v>4.5288347127290719E-2</v>
      </c>
      <c r="BH419">
        <v>8.9466997049622285E-2</v>
      </c>
      <c r="BI419">
        <v>4.4733498524811142E-2</v>
      </c>
      <c r="BJ419">
        <v>0.2527760301328752</v>
      </c>
    </row>
    <row r="420" spans="1:62" x14ac:dyDescent="0.3">
      <c r="A420" t="s">
        <v>63</v>
      </c>
      <c r="B420" s="12" t="s">
        <v>773</v>
      </c>
      <c r="C420" s="12"/>
      <c r="F420">
        <v>3.5</v>
      </c>
      <c r="G420" t="s">
        <v>352</v>
      </c>
      <c r="H420" s="8">
        <v>-1</v>
      </c>
      <c r="I420">
        <v>-1</v>
      </c>
      <c r="K420">
        <v>1</v>
      </c>
      <c r="L420" s="20">
        <v>0</v>
      </c>
      <c r="M420">
        <v>0</v>
      </c>
      <c r="N420">
        <v>0</v>
      </c>
      <c r="O420">
        <v>3.82</v>
      </c>
      <c r="P420">
        <v>3.82</v>
      </c>
      <c r="Q420">
        <v>16</v>
      </c>
      <c r="T420" s="20">
        <v>0</v>
      </c>
      <c r="U420" s="20"/>
      <c r="V420" s="20"/>
      <c r="W420">
        <v>0</v>
      </c>
      <c r="Z420">
        <v>0</v>
      </c>
      <c r="AD420">
        <v>20</v>
      </c>
      <c r="AE420" s="44">
        <f t="shared" si="27"/>
        <v>233.47839999999999</v>
      </c>
      <c r="AF420" s="46">
        <v>0</v>
      </c>
      <c r="AG420" s="44">
        <v>0</v>
      </c>
      <c r="AH420" s="44">
        <v>0</v>
      </c>
      <c r="AI420" s="41">
        <f t="shared" si="29"/>
        <v>8.5661029028809524E-2</v>
      </c>
      <c r="AJ420" s="40"/>
      <c r="AM420" s="23">
        <v>1.75</v>
      </c>
      <c r="AN420" s="23">
        <v>2.5</v>
      </c>
      <c r="AO420" s="23">
        <v>0.75</v>
      </c>
      <c r="AP420" s="23">
        <v>0</v>
      </c>
      <c r="AQ420" s="23">
        <v>0.35</v>
      </c>
      <c r="AR420" s="23">
        <v>0.5</v>
      </c>
      <c r="AS420" s="23">
        <v>0.15</v>
      </c>
      <c r="AT420" s="23">
        <v>0</v>
      </c>
      <c r="AU420" s="20">
        <v>1</v>
      </c>
      <c r="AV420" s="20">
        <v>3.44</v>
      </c>
      <c r="AW420" s="20">
        <v>2.44</v>
      </c>
      <c r="AX420" s="20">
        <v>2.7124999999999999</v>
      </c>
      <c r="AY420">
        <v>2.7124999999999999</v>
      </c>
      <c r="AZ420">
        <v>6.264025610615688</v>
      </c>
      <c r="BD420">
        <v>4.2830514514404762E-2</v>
      </c>
      <c r="BH420">
        <v>8.5661029028809524E-2</v>
      </c>
      <c r="BI420">
        <v>4.2830514514404762E-2</v>
      </c>
      <c r="BJ420">
        <v>0</v>
      </c>
    </row>
    <row r="421" spans="1:62" x14ac:dyDescent="0.3">
      <c r="A421" t="s">
        <v>346</v>
      </c>
      <c r="B421" s="17" t="s">
        <v>1018</v>
      </c>
      <c r="C421" s="12"/>
      <c r="F421">
        <v>3.45</v>
      </c>
      <c r="G421" t="s">
        <v>352</v>
      </c>
      <c r="H421" s="8">
        <v>-1</v>
      </c>
      <c r="I421">
        <v>-1</v>
      </c>
      <c r="K421">
        <v>1</v>
      </c>
      <c r="L421" s="20">
        <v>0</v>
      </c>
      <c r="M421">
        <v>0</v>
      </c>
      <c r="N421">
        <v>0</v>
      </c>
      <c r="O421">
        <v>3.86</v>
      </c>
      <c r="P421">
        <v>3.86</v>
      </c>
      <c r="Q421">
        <v>20.9</v>
      </c>
      <c r="T421" s="20">
        <v>0</v>
      </c>
      <c r="U421" s="20"/>
      <c r="V421" s="20"/>
      <c r="W421">
        <v>0</v>
      </c>
      <c r="Z421">
        <v>0</v>
      </c>
      <c r="AD421">
        <v>20</v>
      </c>
      <c r="AE421" s="44">
        <f t="shared" si="27"/>
        <v>311.40163999999999</v>
      </c>
      <c r="AF421" s="46">
        <v>0</v>
      </c>
      <c r="AG421" s="44">
        <v>0</v>
      </c>
      <c r="AH421" s="44">
        <v>0</v>
      </c>
      <c r="AI421" s="41">
        <f t="shared" si="29"/>
        <v>6.4225737539468322E-2</v>
      </c>
      <c r="AJ421" s="40"/>
      <c r="AM421" s="23">
        <v>1.6190476190476191</v>
      </c>
      <c r="AN421" s="23">
        <v>2</v>
      </c>
      <c r="AO421" s="23">
        <v>0.5714285714285714</v>
      </c>
      <c r="AP421" s="23">
        <v>0</v>
      </c>
      <c r="AQ421" s="23">
        <v>0.38636363636363641</v>
      </c>
      <c r="AR421" s="23">
        <v>0.47727272727272718</v>
      </c>
      <c r="AS421" s="23">
        <v>0.13636363636363641</v>
      </c>
      <c r="AT421" s="23">
        <v>0</v>
      </c>
      <c r="AU421" s="20">
        <v>1</v>
      </c>
      <c r="AV421" s="20">
        <v>3.44</v>
      </c>
      <c r="AW421" s="20">
        <v>2.44</v>
      </c>
      <c r="AX421" s="20">
        <v>2.6071428571428572</v>
      </c>
      <c r="AY421">
        <v>2.6071428571428572</v>
      </c>
      <c r="AZ421">
        <v>6.4376988464407141</v>
      </c>
      <c r="BD421">
        <v>3.2112868769734161E-2</v>
      </c>
      <c r="BH421">
        <v>6.4225737539468322E-2</v>
      </c>
      <c r="BI421">
        <v>3.2112868769734161E-2</v>
      </c>
      <c r="BJ421">
        <v>0</v>
      </c>
    </row>
    <row r="422" spans="1:62" x14ac:dyDescent="0.3">
      <c r="A422" t="s">
        <v>347</v>
      </c>
      <c r="B422" s="17" t="s">
        <v>1019</v>
      </c>
      <c r="C422" s="12"/>
      <c r="F422">
        <v>3.5</v>
      </c>
      <c r="G422" t="s">
        <v>352</v>
      </c>
      <c r="H422" s="8">
        <v>-1</v>
      </c>
      <c r="I422">
        <v>-1</v>
      </c>
      <c r="K422">
        <v>1</v>
      </c>
      <c r="L422" s="20">
        <v>0</v>
      </c>
      <c r="M422">
        <v>0</v>
      </c>
      <c r="N422">
        <v>0</v>
      </c>
      <c r="O422">
        <v>3.86</v>
      </c>
      <c r="P422">
        <v>3.86</v>
      </c>
      <c r="Q422">
        <v>17.899999999999999</v>
      </c>
      <c r="T422" s="20">
        <v>0</v>
      </c>
      <c r="U422" s="20"/>
      <c r="V422" s="20"/>
      <c r="W422">
        <v>0</v>
      </c>
      <c r="Z422">
        <v>0</v>
      </c>
      <c r="AD422">
        <v>20</v>
      </c>
      <c r="AE422" s="44">
        <f t="shared" si="27"/>
        <v>266.70283999999998</v>
      </c>
      <c r="AF422" s="46">
        <v>0</v>
      </c>
      <c r="AG422" s="44">
        <v>0</v>
      </c>
      <c r="AH422" s="44">
        <v>0</v>
      </c>
      <c r="AI422" s="41">
        <f t="shared" si="29"/>
        <v>7.4989827629882017E-2</v>
      </c>
      <c r="AJ422" s="40"/>
      <c r="AM422" s="23">
        <v>1.583333333333333</v>
      </c>
      <c r="AN422" s="23">
        <v>1.833333333333333</v>
      </c>
      <c r="AO422" s="23">
        <v>0.5</v>
      </c>
      <c r="AP422" s="23">
        <v>0</v>
      </c>
      <c r="AQ422" s="23">
        <v>0.40425531914893609</v>
      </c>
      <c r="AR422" s="23">
        <v>0.46808510638297868</v>
      </c>
      <c r="AS422" s="23">
        <v>0.1276595744680851</v>
      </c>
      <c r="AT422" s="23">
        <v>0</v>
      </c>
      <c r="AU422" s="20">
        <v>1</v>
      </c>
      <c r="AV422" s="20">
        <v>3.44</v>
      </c>
      <c r="AW422" s="20">
        <v>2.44</v>
      </c>
      <c r="AX422" s="20">
        <v>2.5708333333333329</v>
      </c>
      <c r="AY422">
        <v>2.5708333333333329</v>
      </c>
      <c r="AZ422">
        <v>6.4919128825398751</v>
      </c>
      <c r="BD422">
        <v>3.7494913814941008E-2</v>
      </c>
      <c r="BH422">
        <v>7.4989827629882017E-2</v>
      </c>
      <c r="BI422">
        <v>3.7494913814941008E-2</v>
      </c>
      <c r="BJ422">
        <v>0</v>
      </c>
    </row>
    <row r="423" spans="1:62" x14ac:dyDescent="0.3">
      <c r="A423" t="s">
        <v>348</v>
      </c>
      <c r="B423" s="17" t="s">
        <v>1020</v>
      </c>
      <c r="C423" s="12"/>
      <c r="F423">
        <v>3.53</v>
      </c>
      <c r="G423" t="s">
        <v>352</v>
      </c>
      <c r="H423" s="8">
        <v>-1</v>
      </c>
      <c r="I423">
        <v>-1</v>
      </c>
      <c r="K423">
        <v>1</v>
      </c>
      <c r="L423" s="20">
        <v>0</v>
      </c>
      <c r="M423">
        <v>0</v>
      </c>
      <c r="N423">
        <v>0</v>
      </c>
      <c r="O423">
        <v>3.86</v>
      </c>
      <c r="P423">
        <v>3.86</v>
      </c>
      <c r="Q423">
        <v>19.899999999999999</v>
      </c>
      <c r="T423" s="20">
        <v>0</v>
      </c>
      <c r="U423" s="20"/>
      <c r="V423" s="20"/>
      <c r="W423">
        <v>0</v>
      </c>
      <c r="Z423">
        <v>0</v>
      </c>
      <c r="AD423">
        <v>20</v>
      </c>
      <c r="AE423" s="44">
        <f t="shared" si="27"/>
        <v>296.50203999999997</v>
      </c>
      <c r="AF423" s="46">
        <v>0</v>
      </c>
      <c r="AG423" s="44">
        <v>0</v>
      </c>
      <c r="AH423" s="44">
        <v>0</v>
      </c>
      <c r="AI423" s="41">
        <f t="shared" si="29"/>
        <v>6.745316153642654E-2</v>
      </c>
      <c r="AJ423" s="40"/>
      <c r="AM423" s="23">
        <v>1.555555555555556</v>
      </c>
      <c r="AN423" s="23">
        <v>1.7037037037037039</v>
      </c>
      <c r="AO423" s="23">
        <v>0.44444444444444442</v>
      </c>
      <c r="AP423" s="23">
        <v>0</v>
      </c>
      <c r="AQ423" s="23">
        <v>0.42</v>
      </c>
      <c r="AR423" s="23">
        <v>0.46</v>
      </c>
      <c r="AS423" s="23">
        <v>0.12</v>
      </c>
      <c r="AT423" s="23">
        <v>0</v>
      </c>
      <c r="AU423" s="20">
        <v>1</v>
      </c>
      <c r="AV423" s="20">
        <v>3.44</v>
      </c>
      <c r="AW423" s="20">
        <v>2.44</v>
      </c>
      <c r="AX423" s="20">
        <v>2.5425925925925932</v>
      </c>
      <c r="AY423">
        <v>2.5425925925925932</v>
      </c>
      <c r="AZ423">
        <v>6.5340793550614444</v>
      </c>
      <c r="BD423">
        <v>3.372658076821327E-2</v>
      </c>
      <c r="BH423">
        <v>6.745316153642654E-2</v>
      </c>
      <c r="BI423">
        <v>3.372658076821327E-2</v>
      </c>
      <c r="BJ423">
        <v>0</v>
      </c>
    </row>
    <row r="424" spans="1:62" x14ac:dyDescent="0.3">
      <c r="A424" t="s">
        <v>349</v>
      </c>
      <c r="B424" s="17" t="s">
        <v>1021</v>
      </c>
      <c r="C424" s="12"/>
      <c r="F424">
        <v>3.5</v>
      </c>
      <c r="G424" t="s">
        <v>352</v>
      </c>
      <c r="H424" s="8">
        <v>-1</v>
      </c>
      <c r="I424">
        <v>-1</v>
      </c>
      <c r="K424">
        <v>1</v>
      </c>
      <c r="L424" s="20">
        <v>0</v>
      </c>
      <c r="M424">
        <v>0</v>
      </c>
      <c r="N424">
        <v>0</v>
      </c>
      <c r="O424">
        <v>3.87</v>
      </c>
      <c r="P424">
        <v>3.87</v>
      </c>
      <c r="Q424">
        <v>22.1</v>
      </c>
      <c r="T424" s="20">
        <v>0</v>
      </c>
      <c r="U424" s="20"/>
      <c r="V424" s="20"/>
      <c r="W424">
        <v>0</v>
      </c>
      <c r="Z424">
        <v>0</v>
      </c>
      <c r="AD424">
        <v>20</v>
      </c>
      <c r="AE424" s="44">
        <f t="shared" si="27"/>
        <v>330.98949000000005</v>
      </c>
      <c r="AF424" s="46">
        <v>0</v>
      </c>
      <c r="AG424" s="44">
        <v>0</v>
      </c>
      <c r="AH424" s="44">
        <v>0</v>
      </c>
      <c r="AI424" s="41">
        <f t="shared" si="29"/>
        <v>6.0424879351909322E-2</v>
      </c>
      <c r="AJ424" s="40"/>
      <c r="AM424" s="23">
        <v>1.533333333333333</v>
      </c>
      <c r="AN424" s="23">
        <v>1.6</v>
      </c>
      <c r="AO424" s="23">
        <v>0.4</v>
      </c>
      <c r="AP424" s="23">
        <v>0</v>
      </c>
      <c r="AQ424" s="23">
        <v>0.43396226415094352</v>
      </c>
      <c r="AR424" s="23">
        <v>0.45283018867924529</v>
      </c>
      <c r="AS424" s="23">
        <v>0.1132075471698113</v>
      </c>
      <c r="AT424" s="23">
        <v>0</v>
      </c>
      <c r="AU424" s="20">
        <v>1</v>
      </c>
      <c r="AV424" s="20">
        <v>3.44</v>
      </c>
      <c r="AW424" s="20">
        <v>2.44</v>
      </c>
      <c r="AX424" s="20">
        <v>2.52</v>
      </c>
      <c r="AY424">
        <v>2.52</v>
      </c>
      <c r="AZ424">
        <v>6.5678125330786994</v>
      </c>
      <c r="BD424">
        <v>3.0212439675954661E-2</v>
      </c>
      <c r="BH424">
        <v>6.0424879351909322E-2</v>
      </c>
      <c r="BI424">
        <v>3.0212439675954661E-2</v>
      </c>
      <c r="BJ424">
        <v>0</v>
      </c>
    </row>
    <row r="425" spans="1:62" x14ac:dyDescent="0.3">
      <c r="A425" t="s">
        <v>350</v>
      </c>
      <c r="B425" s="17" t="s">
        <v>1022</v>
      </c>
      <c r="C425" s="12"/>
      <c r="F425">
        <v>3.47</v>
      </c>
      <c r="G425" t="s">
        <v>352</v>
      </c>
      <c r="H425" s="8">
        <v>-1</v>
      </c>
      <c r="I425">
        <v>-1</v>
      </c>
      <c r="K425">
        <v>1</v>
      </c>
      <c r="L425" s="20">
        <v>0</v>
      </c>
      <c r="M425">
        <v>0</v>
      </c>
      <c r="N425">
        <v>0</v>
      </c>
      <c r="O425">
        <v>3.87</v>
      </c>
      <c r="P425">
        <v>3.87</v>
      </c>
      <c r="Q425">
        <v>26.4</v>
      </c>
      <c r="T425" s="20">
        <v>0</v>
      </c>
      <c r="U425" s="20"/>
      <c r="V425" s="20"/>
      <c r="W425">
        <v>0</v>
      </c>
      <c r="Z425">
        <v>0</v>
      </c>
      <c r="AD425">
        <v>20</v>
      </c>
      <c r="AE425" s="44">
        <f t="shared" si="27"/>
        <v>395.39015999999998</v>
      </c>
      <c r="AF425" s="46">
        <v>0</v>
      </c>
      <c r="AG425" s="44">
        <v>0</v>
      </c>
      <c r="AH425" s="44">
        <v>0</v>
      </c>
      <c r="AI425" s="41">
        <f t="shared" si="29"/>
        <v>5.0582948245348341E-2</v>
      </c>
      <c r="AJ425" s="40"/>
      <c r="AM425" s="23">
        <v>1.5</v>
      </c>
      <c r="AN425" s="23">
        <v>1.444444444444444</v>
      </c>
      <c r="AO425" s="23">
        <v>0.33333333333333331</v>
      </c>
      <c r="AP425" s="23">
        <v>0</v>
      </c>
      <c r="AQ425" s="23">
        <v>0.4576271186440678</v>
      </c>
      <c r="AR425" s="23">
        <v>0.44067796610169491</v>
      </c>
      <c r="AS425" s="23">
        <v>0.10169491525423729</v>
      </c>
      <c r="AT425" s="23">
        <v>0</v>
      </c>
      <c r="AU425" s="20">
        <v>1</v>
      </c>
      <c r="AV425" s="20">
        <v>3.44</v>
      </c>
      <c r="AW425" s="20">
        <v>2.44</v>
      </c>
      <c r="AX425" s="20">
        <v>2.4861111111111112</v>
      </c>
      <c r="AY425">
        <v>2.4861111111111112</v>
      </c>
      <c r="AZ425">
        <v>6.6184123001045831</v>
      </c>
      <c r="BD425">
        <v>2.5291474122674171E-2</v>
      </c>
      <c r="BH425">
        <v>5.0582948245348341E-2</v>
      </c>
      <c r="BI425">
        <v>2.5291474122674171E-2</v>
      </c>
      <c r="BJ425">
        <v>0</v>
      </c>
    </row>
    <row r="426" spans="1:62" x14ac:dyDescent="0.3">
      <c r="A426" t="s">
        <v>351</v>
      </c>
      <c r="B426" s="17" t="s">
        <v>1023</v>
      </c>
      <c r="C426" s="12"/>
      <c r="F426">
        <v>3.51</v>
      </c>
      <c r="G426" t="s">
        <v>352</v>
      </c>
      <c r="H426" s="8">
        <v>-1</v>
      </c>
      <c r="I426">
        <v>-1</v>
      </c>
      <c r="K426">
        <v>1</v>
      </c>
      <c r="L426" s="20">
        <v>0</v>
      </c>
      <c r="M426">
        <v>0</v>
      </c>
      <c r="N426">
        <v>0</v>
      </c>
      <c r="O426">
        <v>3.87</v>
      </c>
      <c r="P426">
        <v>3.87</v>
      </c>
      <c r="Q426">
        <v>34.799999999999997</v>
      </c>
      <c r="T426" s="20">
        <v>0</v>
      </c>
      <c r="U426" s="20"/>
      <c r="V426" s="20"/>
      <c r="W426">
        <v>0</v>
      </c>
      <c r="Z426">
        <v>0</v>
      </c>
      <c r="AD426">
        <v>20</v>
      </c>
      <c r="AE426" s="44">
        <f t="shared" si="27"/>
        <v>521.19611999999995</v>
      </c>
      <c r="AF426" s="46">
        <v>0</v>
      </c>
      <c r="AG426" s="44">
        <v>0</v>
      </c>
      <c r="AH426" s="44">
        <v>0</v>
      </c>
      <c r="AI426" s="41">
        <f t="shared" si="29"/>
        <v>3.8373271082678052E-2</v>
      </c>
      <c r="AJ426" s="40"/>
      <c r="AM426" s="23">
        <v>1.4761904761904761</v>
      </c>
      <c r="AN426" s="23">
        <v>1.333333333333333</v>
      </c>
      <c r="AO426" s="23">
        <v>0.2857142857142857</v>
      </c>
      <c r="AP426" s="23">
        <v>0</v>
      </c>
      <c r="AQ426" s="23">
        <v>0.47692307692307689</v>
      </c>
      <c r="AR426" s="23">
        <v>0.43076923076923068</v>
      </c>
      <c r="AS426" s="23">
        <v>9.2307692307692299E-2</v>
      </c>
      <c r="AT426" s="23">
        <v>0</v>
      </c>
      <c r="AU426" s="20">
        <v>1</v>
      </c>
      <c r="AV426" s="20">
        <v>3.44</v>
      </c>
      <c r="AW426" s="20">
        <v>2.44</v>
      </c>
      <c r="AX426" s="20">
        <v>2.461904761904762</v>
      </c>
      <c r="AY426">
        <v>2.461904761904762</v>
      </c>
      <c r="AZ426">
        <v>6.6545549908373571</v>
      </c>
      <c r="BD426">
        <v>1.918663554133903E-2</v>
      </c>
      <c r="BH426">
        <v>3.8373271082678052E-2</v>
      </c>
      <c r="BI426">
        <v>1.918663554133903E-2</v>
      </c>
      <c r="BJ426">
        <v>0</v>
      </c>
    </row>
    <row r="427" spans="1:62" x14ac:dyDescent="0.3">
      <c r="A427" t="s">
        <v>180</v>
      </c>
      <c r="B427" s="12" t="s">
        <v>796</v>
      </c>
      <c r="C427" s="12"/>
      <c r="F427">
        <v>3.6</v>
      </c>
      <c r="G427" t="s">
        <v>354</v>
      </c>
      <c r="H427" s="8">
        <v>-1</v>
      </c>
      <c r="I427">
        <v>-1</v>
      </c>
      <c r="K427">
        <v>2</v>
      </c>
      <c r="L427" s="20">
        <v>0</v>
      </c>
      <c r="M427">
        <v>0</v>
      </c>
      <c r="N427">
        <v>0</v>
      </c>
      <c r="O427">
        <v>3.895</v>
      </c>
      <c r="P427">
        <v>3.895</v>
      </c>
      <c r="Q427">
        <v>30.46</v>
      </c>
      <c r="R427" t="s">
        <v>440</v>
      </c>
      <c r="T427" s="20">
        <v>0</v>
      </c>
      <c r="U427" s="20"/>
      <c r="V427" s="20"/>
      <c r="W427">
        <v>0</v>
      </c>
      <c r="Z427">
        <v>0</v>
      </c>
      <c r="AD427">
        <v>20</v>
      </c>
      <c r="AE427" s="44">
        <f t="shared" si="27"/>
        <v>462.1094215</v>
      </c>
      <c r="AF427" s="46">
        <v>0</v>
      </c>
      <c r="AG427" s="44">
        <v>0</v>
      </c>
      <c r="AH427" s="44">
        <v>0</v>
      </c>
      <c r="AI427" s="41">
        <f t="shared" si="29"/>
        <v>8.655958554179792E-2</v>
      </c>
      <c r="AJ427" s="40"/>
      <c r="AM427" s="23">
        <v>1.882352941176471</v>
      </c>
      <c r="AN427" s="23">
        <v>2.3529411764705879</v>
      </c>
      <c r="AO427" s="23">
        <v>0.47058823529411759</v>
      </c>
      <c r="AP427" s="23">
        <v>0</v>
      </c>
      <c r="AQ427" s="23">
        <v>0.4</v>
      </c>
      <c r="AR427" s="23">
        <v>0.5</v>
      </c>
      <c r="AS427" s="23">
        <v>9.9999999999999992E-2</v>
      </c>
      <c r="AT427" s="23">
        <v>0</v>
      </c>
      <c r="AU427" s="20">
        <v>0.82</v>
      </c>
      <c r="AV427" s="20">
        <v>3.44</v>
      </c>
      <c r="AW427" s="20">
        <v>2.62</v>
      </c>
      <c r="AX427" s="20">
        <v>2.5211764705882351</v>
      </c>
      <c r="AY427">
        <v>2.521176470588236</v>
      </c>
      <c r="AZ427">
        <v>5.6793405594117647</v>
      </c>
      <c r="BD427">
        <v>4.327979277089896E-2</v>
      </c>
      <c r="BH427">
        <v>8.655958554179792E-2</v>
      </c>
      <c r="BI427">
        <v>4.327979277089896E-2</v>
      </c>
      <c r="BJ427">
        <v>0</v>
      </c>
    </row>
    <row r="428" spans="1:62" x14ac:dyDescent="0.3">
      <c r="A428" t="s">
        <v>952</v>
      </c>
      <c r="B428" s="16" t="s">
        <v>954</v>
      </c>
      <c r="C428" s="12"/>
      <c r="F428">
        <v>3.65</v>
      </c>
      <c r="G428" t="s">
        <v>354</v>
      </c>
      <c r="H428" s="8">
        <v>-1</v>
      </c>
      <c r="I428">
        <v>-1</v>
      </c>
      <c r="K428">
        <v>2</v>
      </c>
      <c r="L428" s="20">
        <v>0</v>
      </c>
      <c r="M428">
        <v>0</v>
      </c>
      <c r="N428">
        <v>0</v>
      </c>
      <c r="O428">
        <v>3.84</v>
      </c>
      <c r="P428">
        <v>3.84</v>
      </c>
      <c r="Q428">
        <v>32.520000000000003</v>
      </c>
      <c r="R428" t="s">
        <v>1131</v>
      </c>
      <c r="T428" s="20">
        <v>0</v>
      </c>
      <c r="U428" s="20"/>
      <c r="V428" s="20"/>
      <c r="W428">
        <v>0</v>
      </c>
      <c r="Z428">
        <v>0</v>
      </c>
      <c r="AD428">
        <v>20</v>
      </c>
      <c r="AE428" s="44">
        <f t="shared" si="27"/>
        <v>479.52691200000004</v>
      </c>
      <c r="AF428" s="46">
        <v>0</v>
      </c>
      <c r="AG428" s="44">
        <v>0</v>
      </c>
      <c r="AH428" s="44">
        <v>0</v>
      </c>
      <c r="AI428" s="41">
        <f t="shared" si="29"/>
        <v>8.3415547697143627E-2</v>
      </c>
      <c r="AJ428" s="40"/>
      <c r="AM428" s="23">
        <v>1.882352941176471</v>
      </c>
      <c r="AN428" s="23">
        <v>2.3529411764705879</v>
      </c>
      <c r="AO428" s="23">
        <v>0.47058823529411759</v>
      </c>
      <c r="AP428" s="23">
        <v>0</v>
      </c>
      <c r="AQ428" s="23">
        <v>0.4</v>
      </c>
      <c r="AR428" s="23">
        <v>0.5</v>
      </c>
      <c r="AS428" s="23">
        <v>9.9999999999999992E-2</v>
      </c>
      <c r="AT428" s="23">
        <v>0</v>
      </c>
      <c r="AU428" s="20">
        <v>0.82</v>
      </c>
      <c r="AV428" s="20">
        <v>3.44</v>
      </c>
      <c r="AW428" s="20">
        <v>2.62</v>
      </c>
      <c r="AX428" s="20">
        <v>2.6023529411764699</v>
      </c>
      <c r="AY428">
        <v>2.6023529411764712</v>
      </c>
      <c r="AZ428">
        <v>5.9643402149912346</v>
      </c>
      <c r="BD428">
        <v>4.1707773848571807E-2</v>
      </c>
      <c r="BH428">
        <v>8.3415547697143627E-2</v>
      </c>
      <c r="BI428">
        <v>4.1707773848571807E-2</v>
      </c>
      <c r="BJ428">
        <v>0</v>
      </c>
    </row>
    <row r="429" spans="1:62" x14ac:dyDescent="0.3">
      <c r="A429" t="s">
        <v>953</v>
      </c>
      <c r="B429" s="16" t="s">
        <v>955</v>
      </c>
      <c r="C429" s="12"/>
      <c r="F429">
        <v>3.58</v>
      </c>
      <c r="G429" t="s">
        <v>354</v>
      </c>
      <c r="H429" s="8">
        <v>-1</v>
      </c>
      <c r="I429">
        <v>-1</v>
      </c>
      <c r="K429">
        <v>1</v>
      </c>
      <c r="L429" s="20">
        <v>0</v>
      </c>
      <c r="M429">
        <v>0</v>
      </c>
      <c r="N429">
        <v>0</v>
      </c>
      <c r="O429">
        <v>3.82</v>
      </c>
      <c r="P429">
        <v>3.82</v>
      </c>
      <c r="Q429">
        <v>14.9</v>
      </c>
      <c r="R429" t="s">
        <v>439</v>
      </c>
      <c r="T429" s="20">
        <v>0</v>
      </c>
      <c r="U429" s="20"/>
      <c r="V429" s="20"/>
      <c r="W429">
        <v>0</v>
      </c>
      <c r="Z429">
        <v>0</v>
      </c>
      <c r="AD429">
        <v>20</v>
      </c>
      <c r="AE429" s="44">
        <f t="shared" si="27"/>
        <v>217.42676</v>
      </c>
      <c r="AF429" s="46">
        <v>0</v>
      </c>
      <c r="AG429" s="44">
        <v>0</v>
      </c>
      <c r="AH429" s="44">
        <v>0</v>
      </c>
      <c r="AI429" s="41">
        <f t="shared" si="29"/>
        <v>9.1984997614829006E-2</v>
      </c>
      <c r="AJ429" s="40"/>
      <c r="AM429" s="23">
        <v>1.882352941176471</v>
      </c>
      <c r="AN429" s="23">
        <v>2.3529411764705879</v>
      </c>
      <c r="AO429" s="23">
        <v>0.47058823529411759</v>
      </c>
      <c r="AP429" s="23">
        <v>0</v>
      </c>
      <c r="AQ429" s="23">
        <v>0.4</v>
      </c>
      <c r="AR429" s="23">
        <v>0.5</v>
      </c>
      <c r="AS429" s="23">
        <v>9.9999999999999992E-2</v>
      </c>
      <c r="AT429" s="23">
        <v>0</v>
      </c>
      <c r="AU429" s="20">
        <v>0.82</v>
      </c>
      <c r="AV429" s="20">
        <v>3.44</v>
      </c>
      <c r="AW429" s="20">
        <v>2.62</v>
      </c>
      <c r="AX429" s="20">
        <v>2.6429411764705879</v>
      </c>
      <c r="AY429">
        <v>2.6429411764705879</v>
      </c>
      <c r="AZ429">
        <v>6.1068400427809717</v>
      </c>
      <c r="BD429">
        <v>4.5992498807414503E-2</v>
      </c>
      <c r="BH429">
        <v>9.1984997614829006E-2</v>
      </c>
      <c r="BI429">
        <v>4.5992498807414503E-2</v>
      </c>
      <c r="BJ429">
        <v>0</v>
      </c>
    </row>
    <row r="430" spans="1:62" x14ac:dyDescent="0.3">
      <c r="A430" t="s">
        <v>353</v>
      </c>
      <c r="B430" s="12" t="s">
        <v>834</v>
      </c>
      <c r="C430" s="12"/>
      <c r="F430">
        <v>3.55</v>
      </c>
      <c r="G430" t="s">
        <v>354</v>
      </c>
      <c r="H430" s="8">
        <v>-1</v>
      </c>
      <c r="I430">
        <v>-1</v>
      </c>
      <c r="K430">
        <v>2</v>
      </c>
      <c r="L430" s="20">
        <v>0</v>
      </c>
      <c r="M430">
        <v>0</v>
      </c>
      <c r="N430">
        <v>0</v>
      </c>
      <c r="O430">
        <v>3.8050000000000002</v>
      </c>
      <c r="P430">
        <v>3.8050000000000002</v>
      </c>
      <c r="Q430">
        <v>27.44</v>
      </c>
      <c r="R430" t="s">
        <v>1131</v>
      </c>
      <c r="T430" s="20">
        <v>0</v>
      </c>
      <c r="U430" s="20"/>
      <c r="V430" s="20"/>
      <c r="W430">
        <v>0</v>
      </c>
      <c r="Z430">
        <v>0</v>
      </c>
      <c r="AD430">
        <v>20</v>
      </c>
      <c r="AE430" s="44">
        <f t="shared" si="27"/>
        <v>397.27700600000003</v>
      </c>
      <c r="AF430" s="46">
        <v>0</v>
      </c>
      <c r="AG430" s="44">
        <v>0</v>
      </c>
      <c r="AH430" s="44">
        <v>0</v>
      </c>
      <c r="AI430" s="41">
        <f t="shared" si="29"/>
        <v>0.10068541444857747</v>
      </c>
      <c r="AJ430" s="40"/>
      <c r="AM430" s="23">
        <v>1.882352941176471</v>
      </c>
      <c r="AN430" s="23">
        <v>2.3529411764705879</v>
      </c>
      <c r="AO430" s="23">
        <v>0.47058823529411759</v>
      </c>
      <c r="AP430" s="23">
        <v>0</v>
      </c>
      <c r="AQ430" s="23">
        <v>0.4</v>
      </c>
      <c r="AR430" s="23">
        <v>0.5</v>
      </c>
      <c r="AS430" s="23">
        <v>9.9999999999999992E-2</v>
      </c>
      <c r="AT430" s="23">
        <v>0</v>
      </c>
      <c r="AU430" s="20">
        <v>1.1000000000000001</v>
      </c>
      <c r="AV430" s="20">
        <v>3.44</v>
      </c>
      <c r="AW430" s="20">
        <v>2.34</v>
      </c>
      <c r="AX430" s="20">
        <v>2.6835294117647059</v>
      </c>
      <c r="AY430">
        <v>2.6835294117647059</v>
      </c>
      <c r="AZ430">
        <v>6.2493398705707062</v>
      </c>
      <c r="BD430">
        <v>5.0342707224288727E-2</v>
      </c>
      <c r="BH430">
        <v>0.1006854144485775</v>
      </c>
      <c r="BI430">
        <v>5.0342707224288727E-2</v>
      </c>
      <c r="BJ430">
        <v>0</v>
      </c>
    </row>
    <row r="431" spans="1:62" x14ac:dyDescent="0.3">
      <c r="A431" t="s">
        <v>142</v>
      </c>
      <c r="B431" s="12" t="s">
        <v>766</v>
      </c>
      <c r="C431" s="12"/>
      <c r="F431">
        <v>4.3600000000000003</v>
      </c>
      <c r="G431" t="s">
        <v>357</v>
      </c>
      <c r="H431" s="8">
        <v>-1</v>
      </c>
      <c r="I431">
        <v>-1</v>
      </c>
      <c r="J431" t="s">
        <v>1164</v>
      </c>
      <c r="K431">
        <v>1</v>
      </c>
      <c r="L431" s="20">
        <v>0</v>
      </c>
      <c r="M431">
        <v>0</v>
      </c>
      <c r="N431">
        <v>1</v>
      </c>
      <c r="O431">
        <v>3.89</v>
      </c>
      <c r="P431">
        <v>3.89</v>
      </c>
      <c r="Q431">
        <v>10.48</v>
      </c>
      <c r="R431" t="s">
        <v>440</v>
      </c>
      <c r="T431" s="20">
        <v>0</v>
      </c>
      <c r="W431">
        <v>0</v>
      </c>
      <c r="Z431">
        <v>3.88</v>
      </c>
      <c r="AA431">
        <v>3.88</v>
      </c>
      <c r="AB431">
        <v>10.66</v>
      </c>
      <c r="AD431">
        <v>14</v>
      </c>
      <c r="AE431" s="44">
        <f t="shared" si="27"/>
        <v>158.58440800000002</v>
      </c>
      <c r="AF431" s="46">
        <v>0</v>
      </c>
      <c r="AG431" s="44">
        <v>0</v>
      </c>
      <c r="AH431" s="44">
        <v>160.479904</v>
      </c>
      <c r="AI431" s="41">
        <f t="shared" si="29"/>
        <v>8.8281062284509063E-2</v>
      </c>
      <c r="AL431" s="56">
        <f t="shared" ref="AL431:AL436" si="30">N431*AD431/AH431</f>
        <v>8.7238337331009372E-2</v>
      </c>
      <c r="AM431">
        <v>1.9090909090909089</v>
      </c>
      <c r="AN431">
        <v>2.545454545454545</v>
      </c>
      <c r="AO431">
        <v>0.54545454545454541</v>
      </c>
      <c r="AP431">
        <v>2.9090909090909092</v>
      </c>
      <c r="AQ431">
        <v>0.2413793103448276</v>
      </c>
      <c r="AR431">
        <v>0.32183908045977011</v>
      </c>
      <c r="AS431">
        <v>6.8965517241379309E-2</v>
      </c>
      <c r="AT431">
        <v>0.36781609195402298</v>
      </c>
      <c r="AU431" s="20">
        <v>1.1399999999999999</v>
      </c>
      <c r="AV431" s="20">
        <v>3.44</v>
      </c>
      <c r="AW431" s="20">
        <v>2.2999999999999998</v>
      </c>
      <c r="AX431" s="20">
        <v>2.7654545454545452</v>
      </c>
      <c r="AY431">
        <v>2.7654545454545461</v>
      </c>
      <c r="AZ431">
        <v>6.4215922727137267</v>
      </c>
      <c r="BC431" s="64">
        <v>0</v>
      </c>
      <c r="BD431">
        <v>4.4140531142254531E-2</v>
      </c>
      <c r="BG431">
        <v>4.3619168665504693E-2</v>
      </c>
      <c r="BH431">
        <v>8.7759699807759217E-2</v>
      </c>
      <c r="BI431">
        <v>4.3879849903879609E-2</v>
      </c>
      <c r="BJ431">
        <v>0</v>
      </c>
    </row>
    <row r="432" spans="1:62" x14ac:dyDescent="0.3">
      <c r="A432" t="s">
        <v>355</v>
      </c>
      <c r="B432" s="12" t="s">
        <v>835</v>
      </c>
      <c r="C432" s="12"/>
      <c r="F432">
        <v>4.49</v>
      </c>
      <c r="G432" t="s">
        <v>357</v>
      </c>
      <c r="H432" s="8">
        <v>-1</v>
      </c>
      <c r="I432">
        <v>-1</v>
      </c>
      <c r="J432" t="s">
        <v>1180</v>
      </c>
      <c r="L432" s="20">
        <v>0</v>
      </c>
      <c r="M432">
        <v>0</v>
      </c>
      <c r="N432">
        <v>4</v>
      </c>
      <c r="O432">
        <v>-1</v>
      </c>
      <c r="T432" s="20">
        <v>0</v>
      </c>
      <c r="W432">
        <v>0</v>
      </c>
      <c r="Z432">
        <v>5.4092000000000002</v>
      </c>
      <c r="AA432">
        <v>20.501100000000001</v>
      </c>
      <c r="AB432">
        <v>5.4427000000000003</v>
      </c>
      <c r="AD432">
        <v>14</v>
      </c>
      <c r="AE432" s="44">
        <f t="shared" si="27"/>
        <v>0</v>
      </c>
      <c r="AF432" s="46">
        <v>0</v>
      </c>
      <c r="AG432" s="44">
        <v>0</v>
      </c>
      <c r="AH432" s="44">
        <v>603.57000000000005</v>
      </c>
      <c r="AL432" s="56">
        <f t="shared" si="30"/>
        <v>9.2781284689431212E-2</v>
      </c>
      <c r="AM432" s="23">
        <v>1.9090909090909089</v>
      </c>
      <c r="AN432" s="23">
        <v>2.545454545454545</v>
      </c>
      <c r="AO432" s="23">
        <v>0.54545454545454541</v>
      </c>
      <c r="AP432" s="23">
        <v>2.9090909090909092</v>
      </c>
      <c r="AQ432" s="23">
        <v>0.2413793103448276</v>
      </c>
      <c r="AR432" s="23">
        <v>0.32183908045977011</v>
      </c>
      <c r="AS432" s="23">
        <v>6.8965517241379309E-2</v>
      </c>
      <c r="AT432" s="23">
        <v>0.36781609195402298</v>
      </c>
      <c r="AU432" s="20">
        <v>0.98</v>
      </c>
      <c r="AV432" s="20">
        <v>3.44</v>
      </c>
      <c r="AW432" s="20">
        <v>2.46</v>
      </c>
      <c r="AX432" s="20">
        <v>2.6545454545454539</v>
      </c>
      <c r="AY432">
        <v>2.6545454545454539</v>
      </c>
      <c r="AZ432">
        <v>6.0423528007272722</v>
      </c>
      <c r="BC432" s="64">
        <v>0.47461723217425672</v>
      </c>
      <c r="BG432">
        <v>4.6390642344715613E-2</v>
      </c>
      <c r="BH432">
        <v>9.2781284689431212E-2</v>
      </c>
      <c r="BI432">
        <v>4.6390642344715613E-2</v>
      </c>
      <c r="BJ432">
        <v>0.47461723217425672</v>
      </c>
    </row>
    <row r="433" spans="1:62" x14ac:dyDescent="0.3">
      <c r="A433" t="s">
        <v>143</v>
      </c>
      <c r="B433" s="12" t="s">
        <v>767</v>
      </c>
      <c r="C433" s="12"/>
      <c r="F433">
        <v>4.38</v>
      </c>
      <c r="G433" t="s">
        <v>357</v>
      </c>
      <c r="H433" s="8">
        <v>-1</v>
      </c>
      <c r="I433">
        <v>-1</v>
      </c>
      <c r="J433" t="s">
        <v>1181</v>
      </c>
      <c r="L433" s="20">
        <v>0</v>
      </c>
      <c r="M433">
        <v>0</v>
      </c>
      <c r="N433">
        <v>4</v>
      </c>
      <c r="O433">
        <v>-1</v>
      </c>
      <c r="Q433">
        <v>21.024000000000001</v>
      </c>
      <c r="T433" s="20">
        <v>0</v>
      </c>
      <c r="W433">
        <v>0</v>
      </c>
      <c r="Z433">
        <v>5.4686000000000003</v>
      </c>
      <c r="AA433">
        <v>5.4686000000000003</v>
      </c>
      <c r="AB433">
        <v>21.134499999999999</v>
      </c>
      <c r="AD433">
        <v>14</v>
      </c>
      <c r="AE433" s="44">
        <f t="shared" si="27"/>
        <v>0</v>
      </c>
      <c r="AF433" s="46">
        <v>0</v>
      </c>
      <c r="AG433" s="44">
        <v>0</v>
      </c>
      <c r="AH433" s="44">
        <v>632</v>
      </c>
      <c r="AL433" s="56">
        <f t="shared" si="30"/>
        <v>8.8607594936708861E-2</v>
      </c>
      <c r="AM433" s="23">
        <v>1.9090909090909089</v>
      </c>
      <c r="AN433" s="23">
        <v>2.545454545454545</v>
      </c>
      <c r="AO433" s="23">
        <v>0.54545454545454541</v>
      </c>
      <c r="AP433" s="23">
        <v>2.9090909090909092</v>
      </c>
      <c r="AQ433" s="23">
        <v>0.2413793103448276</v>
      </c>
      <c r="AR433" s="23">
        <v>0.32183908045977011</v>
      </c>
      <c r="AS433" s="23">
        <v>6.8965517241379309E-2</v>
      </c>
      <c r="AT433" s="23">
        <v>0.36781609195402298</v>
      </c>
      <c r="AU433" s="20">
        <v>0.93</v>
      </c>
      <c r="AV433" s="20">
        <v>3.44</v>
      </c>
      <c r="AW433" s="20">
        <v>2.5099999999999998</v>
      </c>
      <c r="AX433" s="20">
        <v>2.65</v>
      </c>
      <c r="AY433">
        <v>2.649999999999999</v>
      </c>
      <c r="AZ433">
        <v>6.0276818459090906</v>
      </c>
      <c r="BC433" s="64">
        <v>0.47528867242311779</v>
      </c>
      <c r="BG433">
        <v>4.4303797468354431E-2</v>
      </c>
      <c r="BH433">
        <v>8.8607594936708861E-2</v>
      </c>
      <c r="BI433">
        <v>4.4303797468354431E-2</v>
      </c>
      <c r="BJ433">
        <v>0.47528867242311779</v>
      </c>
    </row>
    <row r="434" spans="1:62" x14ac:dyDescent="0.3">
      <c r="A434" t="s">
        <v>356</v>
      </c>
      <c r="B434" s="12" t="s">
        <v>836</v>
      </c>
      <c r="C434" s="12"/>
      <c r="F434">
        <v>4.38</v>
      </c>
      <c r="G434" t="s">
        <v>357</v>
      </c>
      <c r="H434" s="8">
        <v>-1</v>
      </c>
      <c r="I434">
        <v>-1</v>
      </c>
      <c r="J434" t="s">
        <v>1182</v>
      </c>
      <c r="L434" s="20">
        <v>0</v>
      </c>
      <c r="M434">
        <v>0</v>
      </c>
      <c r="N434">
        <v>4</v>
      </c>
      <c r="O434">
        <v>-1</v>
      </c>
      <c r="T434" s="20">
        <v>0</v>
      </c>
      <c r="W434">
        <v>0</v>
      </c>
      <c r="Z434">
        <v>7.7018000000000004</v>
      </c>
      <c r="AA434">
        <v>21.768799999999999</v>
      </c>
      <c r="AB434">
        <v>3.8613</v>
      </c>
      <c r="AD434">
        <v>14</v>
      </c>
      <c r="AE434" s="44">
        <f t="shared" si="27"/>
        <v>0</v>
      </c>
      <c r="AF434" s="46">
        <v>0</v>
      </c>
      <c r="AG434" s="44">
        <v>0</v>
      </c>
      <c r="AH434" s="44">
        <v>647.38</v>
      </c>
      <c r="AL434" s="56">
        <f t="shared" si="30"/>
        <v>8.6502517841144308E-2</v>
      </c>
      <c r="AM434" s="23">
        <v>1.9090909090909089</v>
      </c>
      <c r="AN434" s="23">
        <v>2.545454545454545</v>
      </c>
      <c r="AO434" s="23">
        <v>0.54545454545454541</v>
      </c>
      <c r="AP434" s="23">
        <v>2.9090909090909092</v>
      </c>
      <c r="AQ434" s="23">
        <v>0.2413793103448276</v>
      </c>
      <c r="AR434" s="23">
        <v>0.32183908045977011</v>
      </c>
      <c r="AS434" s="23">
        <v>6.8965517241379309E-2</v>
      </c>
      <c r="AT434" s="23">
        <v>0.36781609195402298</v>
      </c>
      <c r="AU434" s="20">
        <v>0.82</v>
      </c>
      <c r="AV434" s="20">
        <v>3.44</v>
      </c>
      <c r="AW434" s="20">
        <v>2.62</v>
      </c>
      <c r="AX434" s="20">
        <v>2.64</v>
      </c>
      <c r="AY434">
        <v>2.64</v>
      </c>
      <c r="AZ434">
        <v>5.9892781936363626</v>
      </c>
      <c r="BC434" s="64">
        <v>0.51451751424865833</v>
      </c>
      <c r="BG434">
        <v>4.3251258920572147E-2</v>
      </c>
      <c r="BH434">
        <v>8.6502517841144308E-2</v>
      </c>
      <c r="BI434">
        <v>4.3251258920572147E-2</v>
      </c>
      <c r="BJ434">
        <v>0.51451751424865833</v>
      </c>
    </row>
    <row r="435" spans="1:62" x14ac:dyDescent="0.3">
      <c r="A435" t="s">
        <v>12</v>
      </c>
      <c r="B435" s="12" t="s">
        <v>697</v>
      </c>
      <c r="C435" s="12"/>
      <c r="F435">
        <v>4.54</v>
      </c>
      <c r="G435" t="s">
        <v>357</v>
      </c>
      <c r="H435" s="8">
        <v>-1</v>
      </c>
      <c r="I435">
        <v>-1</v>
      </c>
      <c r="J435" t="s">
        <v>1145</v>
      </c>
      <c r="L435" s="20">
        <v>0</v>
      </c>
      <c r="M435">
        <v>0</v>
      </c>
      <c r="N435">
        <v>1</v>
      </c>
      <c r="O435">
        <v>-1</v>
      </c>
      <c r="T435" s="20">
        <v>0</v>
      </c>
      <c r="W435">
        <v>0</v>
      </c>
      <c r="Z435">
        <v>3.8445</v>
      </c>
      <c r="AA435">
        <v>3.8445</v>
      </c>
      <c r="AB435">
        <v>11.03</v>
      </c>
      <c r="AD435">
        <v>14</v>
      </c>
      <c r="AE435" s="44">
        <f t="shared" si="27"/>
        <v>0</v>
      </c>
      <c r="AF435" s="46">
        <v>0</v>
      </c>
      <c r="AG435" s="44">
        <v>0</v>
      </c>
      <c r="AH435" s="44">
        <v>163.0253881575</v>
      </c>
      <c r="AL435" s="56">
        <f t="shared" si="30"/>
        <v>8.5876194856683907E-2</v>
      </c>
      <c r="AM435" s="23">
        <v>1.9090909090909089</v>
      </c>
      <c r="AN435" s="23">
        <v>2.545454545454545</v>
      </c>
      <c r="AO435" s="23">
        <v>0.54545454545454541</v>
      </c>
      <c r="AP435" s="23">
        <v>2.9090909090909092</v>
      </c>
      <c r="AQ435" s="23">
        <v>0.2413793103448276</v>
      </c>
      <c r="AR435" s="23">
        <v>0.32183908045977011</v>
      </c>
      <c r="AS435" s="23">
        <v>6.8965517241379309E-2</v>
      </c>
      <c r="AT435" s="23">
        <v>0.36781609195402298</v>
      </c>
      <c r="AU435" s="20">
        <v>0.82</v>
      </c>
      <c r="AV435" s="20">
        <v>3.44</v>
      </c>
      <c r="AW435" s="20">
        <v>2.62</v>
      </c>
      <c r="AX435" s="20">
        <v>2.64</v>
      </c>
      <c r="AY435">
        <v>2.64</v>
      </c>
      <c r="AZ435">
        <v>5.9811382595454541</v>
      </c>
      <c r="BC435" s="64">
        <v>0.53809297903977493</v>
      </c>
      <c r="BG435">
        <v>4.2938097428341947E-2</v>
      </c>
      <c r="BH435">
        <v>8.5876194856683907E-2</v>
      </c>
      <c r="BI435">
        <v>4.2938097428341947E-2</v>
      </c>
      <c r="BJ435">
        <v>0.53809297903977493</v>
      </c>
    </row>
    <row r="436" spans="1:62" x14ac:dyDescent="0.3">
      <c r="A436" t="s">
        <v>144</v>
      </c>
      <c r="B436" s="12" t="s">
        <v>768</v>
      </c>
      <c r="C436" s="12"/>
      <c r="F436">
        <v>4.4000000000000004</v>
      </c>
      <c r="G436" t="s">
        <v>357</v>
      </c>
      <c r="H436" s="8">
        <v>-1</v>
      </c>
      <c r="I436">
        <v>-1</v>
      </c>
      <c r="J436" t="s">
        <v>1183</v>
      </c>
      <c r="L436" s="20">
        <v>0</v>
      </c>
      <c r="M436">
        <v>0</v>
      </c>
      <c r="N436">
        <v>1</v>
      </c>
      <c r="O436">
        <v>-1</v>
      </c>
      <c r="T436" s="20">
        <v>0</v>
      </c>
      <c r="W436">
        <v>0</v>
      </c>
      <c r="Z436">
        <v>3.8898000000000001</v>
      </c>
      <c r="AA436">
        <v>3.8898000000000001</v>
      </c>
      <c r="AB436">
        <v>11.3665</v>
      </c>
      <c r="AD436">
        <v>14</v>
      </c>
      <c r="AE436" s="44">
        <f t="shared" si="27"/>
        <v>0</v>
      </c>
      <c r="AF436" s="46">
        <v>0</v>
      </c>
      <c r="AG436" s="44">
        <v>0</v>
      </c>
      <c r="AH436" s="44">
        <v>172</v>
      </c>
      <c r="AL436" s="56">
        <f t="shared" si="30"/>
        <v>8.1395348837209308E-2</v>
      </c>
      <c r="AM436" s="23">
        <v>1.9090909090909089</v>
      </c>
      <c r="AN436" s="23">
        <v>2.545454545454545</v>
      </c>
      <c r="AO436" s="23">
        <v>0.54545454545454541</v>
      </c>
      <c r="AP436" s="23">
        <v>2.9090909090909092</v>
      </c>
      <c r="AQ436" s="23">
        <v>0.2413793103448276</v>
      </c>
      <c r="AR436" s="23">
        <v>0.32183908045977011</v>
      </c>
      <c r="AS436" s="23">
        <v>6.8965517241379309E-2</v>
      </c>
      <c r="AT436" s="23">
        <v>0.36781609195402298</v>
      </c>
      <c r="AU436" s="20">
        <v>0.79</v>
      </c>
      <c r="AV436" s="20">
        <v>3.44</v>
      </c>
      <c r="AW436" s="20">
        <v>2.65</v>
      </c>
      <c r="AX436" s="20">
        <v>2.6372727272727272</v>
      </c>
      <c r="AY436">
        <v>2.6372727272727272</v>
      </c>
      <c r="AZ436">
        <v>5.967615153519545</v>
      </c>
      <c r="BC436" s="64">
        <v>0.54308506712305693</v>
      </c>
      <c r="BG436">
        <v>4.0697674418604647E-2</v>
      </c>
      <c r="BH436">
        <v>8.1395348837209308E-2</v>
      </c>
      <c r="BI436">
        <v>4.0697674418604647E-2</v>
      </c>
      <c r="BJ436">
        <v>0.54308506712305693</v>
      </c>
    </row>
    <row r="437" spans="1:62" x14ac:dyDescent="0.3">
      <c r="A437" t="s">
        <v>63</v>
      </c>
      <c r="B437" s="12" t="s">
        <v>773</v>
      </c>
      <c r="C437" s="12"/>
      <c r="F437">
        <v>3.5</v>
      </c>
      <c r="G437" t="s">
        <v>361</v>
      </c>
      <c r="H437" s="8">
        <v>-1</v>
      </c>
      <c r="I437">
        <v>-1</v>
      </c>
      <c r="K437">
        <v>1</v>
      </c>
      <c r="L437" s="20">
        <v>0</v>
      </c>
      <c r="M437">
        <v>0</v>
      </c>
      <c r="N437">
        <v>0</v>
      </c>
      <c r="O437">
        <v>3.82</v>
      </c>
      <c r="P437">
        <v>3.82</v>
      </c>
      <c r="Q437">
        <v>16</v>
      </c>
      <c r="R437" t="s">
        <v>519</v>
      </c>
      <c r="S437">
        <v>16</v>
      </c>
      <c r="T437" s="20">
        <v>0</v>
      </c>
      <c r="W437">
        <v>0</v>
      </c>
      <c r="Z437">
        <v>0</v>
      </c>
      <c r="AD437">
        <v>20</v>
      </c>
      <c r="AE437" s="44">
        <f t="shared" si="27"/>
        <v>233.47839999999999</v>
      </c>
      <c r="AF437" s="46">
        <v>0</v>
      </c>
      <c r="AG437" s="44">
        <v>0</v>
      </c>
      <c r="AH437" s="44">
        <v>0</v>
      </c>
      <c r="AI437" s="41">
        <f t="shared" ref="AI437" si="31">K437*AD437/AE437</f>
        <v>8.5661029028809524E-2</v>
      </c>
      <c r="AM437" s="23">
        <v>1.75</v>
      </c>
      <c r="AN437" s="23">
        <v>2.5</v>
      </c>
      <c r="AO437" s="23">
        <v>0.75</v>
      </c>
      <c r="AP437" s="23">
        <v>0</v>
      </c>
      <c r="AQ437" s="23">
        <v>0.35</v>
      </c>
      <c r="AR437" s="23">
        <v>0.5</v>
      </c>
      <c r="AS437" s="23">
        <v>0.15</v>
      </c>
      <c r="AT437" s="23">
        <v>0</v>
      </c>
      <c r="AU437" s="20">
        <v>1</v>
      </c>
      <c r="AV437" s="20">
        <v>3.44</v>
      </c>
      <c r="AW437" s="20">
        <v>2.44</v>
      </c>
      <c r="AX437" s="20">
        <v>2.7124999999999999</v>
      </c>
      <c r="AY437">
        <v>2.7124999999999999</v>
      </c>
      <c r="AZ437">
        <v>6.264025610615688</v>
      </c>
      <c r="BD437">
        <v>4.2830514514404762E-2</v>
      </c>
      <c r="BH437">
        <v>8.5661029028809524E-2</v>
      </c>
      <c r="BI437">
        <v>4.2830514514404762E-2</v>
      </c>
      <c r="BJ437">
        <v>0</v>
      </c>
    </row>
    <row r="438" spans="1:62" x14ac:dyDescent="0.3">
      <c r="A438" t="s">
        <v>366</v>
      </c>
      <c r="B438" s="17" t="s">
        <v>1024</v>
      </c>
      <c r="C438" s="12"/>
      <c r="F438">
        <v>3.62</v>
      </c>
      <c r="G438" t="s">
        <v>361</v>
      </c>
      <c r="H438" s="8">
        <v>-1</v>
      </c>
      <c r="I438">
        <v>-1</v>
      </c>
      <c r="K438">
        <v>1</v>
      </c>
      <c r="L438" s="20">
        <v>0</v>
      </c>
      <c r="M438">
        <v>0</v>
      </c>
      <c r="N438">
        <v>0</v>
      </c>
      <c r="O438">
        <v>3.86</v>
      </c>
      <c r="P438">
        <v>3.86</v>
      </c>
      <c r="Q438">
        <v>25.4</v>
      </c>
      <c r="R438" t="s">
        <v>519</v>
      </c>
      <c r="S438">
        <v>25.4</v>
      </c>
      <c r="T438" s="20">
        <v>0</v>
      </c>
      <c r="W438">
        <v>0</v>
      </c>
      <c r="Z438">
        <v>0</v>
      </c>
      <c r="AD438">
        <v>20</v>
      </c>
      <c r="AE438" s="44">
        <f t="shared" si="27"/>
        <v>378.44983999999999</v>
      </c>
      <c r="AF438" s="46">
        <v>0</v>
      </c>
      <c r="AG438" s="44">
        <v>0</v>
      </c>
      <c r="AH438" s="44">
        <v>0</v>
      </c>
      <c r="AM438" s="23">
        <v>1.53125</v>
      </c>
      <c r="AN438" s="23">
        <v>1.59375</v>
      </c>
      <c r="AO438" s="23">
        <v>0.375</v>
      </c>
      <c r="AP438" s="23">
        <v>0</v>
      </c>
      <c r="AQ438" s="23">
        <v>0.4375</v>
      </c>
      <c r="AR438" s="23">
        <v>0.45535714285714279</v>
      </c>
      <c r="AS438" s="23">
        <v>0.1071428571428571</v>
      </c>
      <c r="AT438" s="23">
        <v>0</v>
      </c>
      <c r="AU438" s="20">
        <v>1</v>
      </c>
      <c r="AV438" s="20">
        <v>3.44</v>
      </c>
      <c r="AW438" s="20">
        <v>2.44</v>
      </c>
      <c r="AX438" s="20">
        <v>2.5262500000000001</v>
      </c>
      <c r="AY438">
        <v>2.5262500000000001</v>
      </c>
      <c r="AZ438">
        <v>6.6075924153816246</v>
      </c>
      <c r="BD438">
        <v>2.6423580995568661E-2</v>
      </c>
      <c r="BH438">
        <v>0</v>
      </c>
      <c r="BI438">
        <v>2.6423580995568661E-2</v>
      </c>
      <c r="BJ438">
        <v>0</v>
      </c>
    </row>
    <row r="439" spans="1:62" x14ac:dyDescent="0.3">
      <c r="A439" t="s">
        <v>347</v>
      </c>
      <c r="B439" s="17" t="s">
        <v>1025</v>
      </c>
      <c r="C439" s="12"/>
      <c r="F439">
        <v>3.5</v>
      </c>
      <c r="G439" t="s">
        <v>361</v>
      </c>
      <c r="H439" s="8">
        <v>-1</v>
      </c>
      <c r="I439">
        <v>-1</v>
      </c>
      <c r="K439">
        <v>2</v>
      </c>
      <c r="L439" s="20">
        <v>0</v>
      </c>
      <c r="M439">
        <v>0</v>
      </c>
      <c r="N439">
        <v>0</v>
      </c>
      <c r="O439">
        <v>3.86</v>
      </c>
      <c r="P439">
        <v>3.86</v>
      </c>
      <c r="Q439">
        <v>35.799999999999997</v>
      </c>
      <c r="R439" t="s">
        <v>519</v>
      </c>
      <c r="S439">
        <v>17.899999999999999</v>
      </c>
      <c r="T439" s="20">
        <v>0</v>
      </c>
      <c r="W439">
        <v>0</v>
      </c>
      <c r="Z439">
        <v>0</v>
      </c>
      <c r="AD439">
        <v>22</v>
      </c>
      <c r="AE439" s="44">
        <f t="shared" si="27"/>
        <v>533.40567999999996</v>
      </c>
      <c r="AF439" s="46">
        <v>0</v>
      </c>
      <c r="AG439" s="44">
        <v>0</v>
      </c>
      <c r="AH439" s="44">
        <v>0</v>
      </c>
      <c r="AM439" s="23">
        <v>1.6</v>
      </c>
      <c r="AN439" s="23">
        <v>1.92</v>
      </c>
      <c r="AO439" s="23">
        <v>0.48</v>
      </c>
      <c r="AP439" s="23">
        <v>0</v>
      </c>
      <c r="AQ439" s="23">
        <v>0.4</v>
      </c>
      <c r="AR439" s="23">
        <v>0.48</v>
      </c>
      <c r="AS439" s="23">
        <v>0.12</v>
      </c>
      <c r="AT439" s="23">
        <v>0</v>
      </c>
      <c r="AU439" s="20">
        <v>1</v>
      </c>
      <c r="AV439" s="20">
        <v>3.44</v>
      </c>
      <c r="AW439" s="20">
        <v>2.44</v>
      </c>
      <c r="AX439" s="20">
        <v>2.6055999999999999</v>
      </c>
      <c r="AY439">
        <v>2.6055999999999999</v>
      </c>
      <c r="AZ439">
        <v>6.5338195732382802</v>
      </c>
      <c r="BD439">
        <v>4.1244405196435109E-2</v>
      </c>
      <c r="BH439">
        <v>0</v>
      </c>
      <c r="BI439">
        <v>4.1244405196435109E-2</v>
      </c>
      <c r="BJ439">
        <v>0</v>
      </c>
    </row>
    <row r="440" spans="1:62" x14ac:dyDescent="0.3">
      <c r="A440" t="s">
        <v>353</v>
      </c>
      <c r="B440" s="12" t="s">
        <v>837</v>
      </c>
      <c r="C440" s="12"/>
      <c r="F440">
        <v>3.44</v>
      </c>
      <c r="G440" t="s">
        <v>361</v>
      </c>
      <c r="H440" s="8">
        <v>-1</v>
      </c>
      <c r="I440">
        <v>-1</v>
      </c>
      <c r="J440" t="s">
        <v>1242</v>
      </c>
      <c r="K440">
        <v>2</v>
      </c>
      <c r="L440" s="20">
        <v>0</v>
      </c>
      <c r="M440">
        <v>0</v>
      </c>
      <c r="N440">
        <v>0</v>
      </c>
      <c r="O440">
        <v>3.79</v>
      </c>
      <c r="P440">
        <v>3.79</v>
      </c>
      <c r="Q440">
        <v>27.2</v>
      </c>
      <c r="R440" t="s">
        <v>519</v>
      </c>
      <c r="S440">
        <v>13.6</v>
      </c>
      <c r="T440" s="20">
        <v>0</v>
      </c>
      <c r="W440">
        <v>0</v>
      </c>
      <c r="Z440">
        <v>3.8113999999999999</v>
      </c>
      <c r="AA440">
        <v>3.8113999999999999</v>
      </c>
      <c r="AB440">
        <v>27.478000000000002</v>
      </c>
      <c r="AD440">
        <v>20</v>
      </c>
      <c r="AE440" s="44">
        <f t="shared" si="27"/>
        <v>390.70352000000003</v>
      </c>
      <c r="AF440" s="46">
        <v>0</v>
      </c>
      <c r="AG440" s="44">
        <v>0</v>
      </c>
      <c r="AH440" s="44">
        <v>399.2</v>
      </c>
      <c r="AI440" s="41">
        <f t="shared" ref="AI440:AI448" si="32">K440*AD440/AE440</f>
        <v>0.10237942058981193</v>
      </c>
      <c r="AM440" s="23">
        <v>1.9375</v>
      </c>
      <c r="AN440" s="23">
        <v>2.5</v>
      </c>
      <c r="AO440" s="23">
        <v>0.5</v>
      </c>
      <c r="AP440" s="23">
        <v>0</v>
      </c>
      <c r="AQ440" s="23">
        <v>0.39240506329113922</v>
      </c>
      <c r="AR440" s="23">
        <v>0.50632911392405067</v>
      </c>
      <c r="AS440" s="23">
        <v>0.1012658227848101</v>
      </c>
      <c r="AT440" s="23">
        <v>0</v>
      </c>
      <c r="AU440" s="20">
        <v>1.1000000000000001</v>
      </c>
      <c r="AV440" s="20">
        <v>3.44</v>
      </c>
      <c r="AW440" s="20">
        <v>2.34</v>
      </c>
      <c r="AX440" s="20">
        <v>2.7137500000000001</v>
      </c>
      <c r="AY440">
        <v>2.7137500000000001</v>
      </c>
      <c r="AZ440">
        <v>6.1913913437406878</v>
      </c>
      <c r="BC440" s="64">
        <v>0</v>
      </c>
      <c r="BD440">
        <v>5.1189710294905967E-2</v>
      </c>
      <c r="BG440">
        <v>0</v>
      </c>
      <c r="BH440">
        <v>0.10237942058981191</v>
      </c>
      <c r="BI440">
        <v>2.559485514745298E-2</v>
      </c>
      <c r="BJ440">
        <v>0</v>
      </c>
    </row>
    <row r="441" spans="1:62" x14ac:dyDescent="0.3">
      <c r="A441" t="s">
        <v>370</v>
      </c>
      <c r="B441" s="17" t="s">
        <v>1026</v>
      </c>
      <c r="C441" s="12"/>
      <c r="F441">
        <v>3.39</v>
      </c>
      <c r="G441" t="s">
        <v>361</v>
      </c>
      <c r="H441" s="8">
        <v>-1</v>
      </c>
      <c r="I441">
        <v>-1</v>
      </c>
      <c r="K441">
        <v>1</v>
      </c>
      <c r="L441" s="20">
        <v>0</v>
      </c>
      <c r="M441">
        <v>0</v>
      </c>
      <c r="N441">
        <v>0</v>
      </c>
      <c r="O441">
        <v>3.82</v>
      </c>
      <c r="P441">
        <v>3.82</v>
      </c>
      <c r="Q441">
        <v>20.2</v>
      </c>
      <c r="R441" t="s">
        <v>519</v>
      </c>
      <c r="S441">
        <v>20.2</v>
      </c>
      <c r="T441" s="20">
        <v>0</v>
      </c>
      <c r="W441">
        <v>0</v>
      </c>
      <c r="Z441">
        <v>0</v>
      </c>
      <c r="AD441">
        <v>20</v>
      </c>
      <c r="AE441" s="44">
        <f t="shared" si="27"/>
        <v>294.76648</v>
      </c>
      <c r="AF441" s="46">
        <v>0</v>
      </c>
      <c r="AG441" s="44">
        <v>0</v>
      </c>
      <c r="AH441" s="44">
        <v>0</v>
      </c>
      <c r="AI441" s="41">
        <f t="shared" si="32"/>
        <v>6.7850320022819419E-2</v>
      </c>
      <c r="AM441" s="23">
        <v>1.6923076923076921</v>
      </c>
      <c r="AN441" s="23">
        <v>1.8076923076923079</v>
      </c>
      <c r="AO441" s="23">
        <v>0.30769230769230771</v>
      </c>
      <c r="AP441" s="23">
        <v>0</v>
      </c>
      <c r="AQ441" s="23">
        <v>0.44444444444444448</v>
      </c>
      <c r="AR441" s="23">
        <v>0.47474747474747481</v>
      </c>
      <c r="AS441" s="23">
        <v>8.0808080808080815E-2</v>
      </c>
      <c r="AT441" s="23">
        <v>0</v>
      </c>
      <c r="AU441" s="20">
        <v>1.1000000000000001</v>
      </c>
      <c r="AV441" s="20">
        <v>3.44</v>
      </c>
      <c r="AW441" s="20">
        <v>2.34</v>
      </c>
      <c r="AX441" s="20">
        <v>2.5753846153846158</v>
      </c>
      <c r="AY441">
        <v>2.5753846153846149</v>
      </c>
      <c r="AZ441">
        <v>6.5020131619541548</v>
      </c>
      <c r="BD441">
        <v>3.3925160011409709E-2</v>
      </c>
      <c r="BH441">
        <v>6.7850320022819419E-2</v>
      </c>
      <c r="BI441">
        <v>3.3925160011409709E-2</v>
      </c>
      <c r="BJ441">
        <v>0</v>
      </c>
    </row>
    <row r="442" spans="1:62" x14ac:dyDescent="0.3">
      <c r="A442" t="s">
        <v>376</v>
      </c>
      <c r="B442" s="17" t="s">
        <v>1027</v>
      </c>
      <c r="C442" s="12"/>
      <c r="F442">
        <v>3.41</v>
      </c>
      <c r="G442" t="s">
        <v>361</v>
      </c>
      <c r="H442" s="8">
        <v>-1</v>
      </c>
      <c r="I442">
        <v>-1</v>
      </c>
      <c r="K442">
        <v>2</v>
      </c>
      <c r="L442" s="20">
        <v>0</v>
      </c>
      <c r="M442">
        <v>0</v>
      </c>
      <c r="N442">
        <v>0</v>
      </c>
      <c r="O442">
        <v>3.83</v>
      </c>
      <c r="P442">
        <v>3.83</v>
      </c>
      <c r="Q442">
        <v>39.5</v>
      </c>
      <c r="R442" t="s">
        <v>519</v>
      </c>
      <c r="S442">
        <v>19.8</v>
      </c>
      <c r="T442" s="20">
        <v>0</v>
      </c>
      <c r="W442">
        <v>0</v>
      </c>
      <c r="Z442">
        <v>0</v>
      </c>
      <c r="AD442">
        <v>20</v>
      </c>
      <c r="AE442" s="44">
        <f t="shared" si="27"/>
        <v>579.42155000000002</v>
      </c>
      <c r="AF442" s="46">
        <v>0</v>
      </c>
      <c r="AG442" s="44">
        <v>0</v>
      </c>
      <c r="AH442" s="44">
        <v>0</v>
      </c>
      <c r="AI442" s="41">
        <f t="shared" si="32"/>
        <v>6.9034367120104523E-2</v>
      </c>
      <c r="AM442" s="23">
        <v>1.72</v>
      </c>
      <c r="AN442" s="23">
        <v>1.92</v>
      </c>
      <c r="AO442" s="23">
        <v>0.32</v>
      </c>
      <c r="AP442" s="23">
        <v>0</v>
      </c>
      <c r="AQ442" s="23">
        <v>0.43434343434343442</v>
      </c>
      <c r="AR442" s="23">
        <v>0.48484848484848492</v>
      </c>
      <c r="AS442" s="23">
        <v>8.0808080808080815E-2</v>
      </c>
      <c r="AT442" s="23">
        <v>0</v>
      </c>
      <c r="AU442" s="20">
        <v>1.1000000000000001</v>
      </c>
      <c r="AV442" s="20">
        <v>3.44</v>
      </c>
      <c r="AW442" s="20">
        <v>2.34</v>
      </c>
      <c r="AX442" s="20">
        <v>2.6063999999999998</v>
      </c>
      <c r="AY442">
        <v>2.6063999999999998</v>
      </c>
      <c r="AZ442">
        <v>6.4873336424382799</v>
      </c>
      <c r="BD442">
        <v>3.7968901916057493E-2</v>
      </c>
      <c r="BH442">
        <v>6.9034367120104523E-2</v>
      </c>
      <c r="BI442">
        <v>3.7968901916057493E-2</v>
      </c>
      <c r="BJ442">
        <v>0</v>
      </c>
    </row>
    <row r="443" spans="1:62" s="4" customFormat="1" x14ac:dyDescent="0.3">
      <c r="A443" t="s">
        <v>63</v>
      </c>
      <c r="B443" s="12" t="s">
        <v>773</v>
      </c>
      <c r="C443" s="12"/>
      <c r="D443"/>
      <c r="E443"/>
      <c r="F443">
        <v>3.49</v>
      </c>
      <c r="G443" t="s">
        <v>362</v>
      </c>
      <c r="H443" s="8">
        <v>-1</v>
      </c>
      <c r="I443">
        <v>-1</v>
      </c>
      <c r="J443"/>
      <c r="K443">
        <v>1</v>
      </c>
      <c r="L443" s="20">
        <v>0</v>
      </c>
      <c r="M443">
        <v>0</v>
      </c>
      <c r="N443">
        <v>0</v>
      </c>
      <c r="O443">
        <v>3.8531</v>
      </c>
      <c r="P443">
        <v>3.8531</v>
      </c>
      <c r="Q443">
        <v>16.2151</v>
      </c>
      <c r="R443" t="s">
        <v>519</v>
      </c>
      <c r="T443" s="31">
        <v>0</v>
      </c>
      <c r="W443">
        <v>0</v>
      </c>
      <c r="X443"/>
      <c r="Y443"/>
      <c r="Z443">
        <v>0</v>
      </c>
      <c r="AA443"/>
      <c r="AB443"/>
      <c r="AD443" s="4">
        <v>20</v>
      </c>
      <c r="AE443" s="44">
        <f t="shared" si="27"/>
        <v>240.73553001411099</v>
      </c>
      <c r="AF443" s="46">
        <v>0</v>
      </c>
      <c r="AG443" s="44">
        <v>0</v>
      </c>
      <c r="AH443" s="44">
        <v>0</v>
      </c>
      <c r="AI443" s="41">
        <f t="shared" si="32"/>
        <v>8.3078721279022161E-2</v>
      </c>
      <c r="AJ443" s="41"/>
      <c r="AK443" s="41"/>
      <c r="AL443" s="41"/>
      <c r="AM443" s="4">
        <v>1.75</v>
      </c>
      <c r="AN443" s="4">
        <v>2.5</v>
      </c>
      <c r="AO443" s="4">
        <v>0.75</v>
      </c>
      <c r="AP443" s="4">
        <v>0</v>
      </c>
      <c r="AQ443" s="4">
        <v>0.35</v>
      </c>
      <c r="AR443" s="4">
        <v>0.5</v>
      </c>
      <c r="AS443" s="4">
        <v>0.15</v>
      </c>
      <c r="AT443" s="4">
        <v>0</v>
      </c>
      <c r="AU443" s="31">
        <v>1</v>
      </c>
      <c r="AV443" s="31">
        <v>3.44</v>
      </c>
      <c r="AW443" s="31">
        <v>2.44</v>
      </c>
      <c r="AX443" s="31">
        <v>2.7124999999999999</v>
      </c>
      <c r="AY443" s="4">
        <v>2.7124999999999999</v>
      </c>
      <c r="AZ443" s="4">
        <v>6.264025610615688</v>
      </c>
      <c r="BA443" s="64"/>
      <c r="BB443" s="64"/>
      <c r="BC443" s="64"/>
      <c r="BD443">
        <v>4.153936063951108E-2</v>
      </c>
      <c r="BE443"/>
      <c r="BF443"/>
      <c r="BG443"/>
      <c r="BH443">
        <v>8.3078721279022161E-2</v>
      </c>
      <c r="BI443">
        <v>4.153936063951108E-2</v>
      </c>
      <c r="BJ443">
        <v>0</v>
      </c>
    </row>
    <row r="444" spans="1:62" s="4" customFormat="1" x14ac:dyDescent="0.3">
      <c r="A444" t="s">
        <v>363</v>
      </c>
      <c r="B444" s="17" t="s">
        <v>1028</v>
      </c>
      <c r="C444" s="12"/>
      <c r="D444"/>
      <c r="E444"/>
      <c r="F444">
        <v>3.56</v>
      </c>
      <c r="G444" t="s">
        <v>362</v>
      </c>
      <c r="H444" s="8">
        <v>-1</v>
      </c>
      <c r="I444">
        <v>-1</v>
      </c>
      <c r="J444"/>
      <c r="K444">
        <v>1</v>
      </c>
      <c r="L444" s="20">
        <v>0</v>
      </c>
      <c r="M444">
        <v>0</v>
      </c>
      <c r="N444">
        <v>0</v>
      </c>
      <c r="O444">
        <v>3.86</v>
      </c>
      <c r="P444">
        <v>3.86</v>
      </c>
      <c r="Q444">
        <v>16.079999999999998</v>
      </c>
      <c r="R444" t="s">
        <v>519</v>
      </c>
      <c r="T444" s="31">
        <v>0</v>
      </c>
      <c r="W444">
        <v>0</v>
      </c>
      <c r="X444"/>
      <c r="Y444"/>
      <c r="Z444">
        <v>0</v>
      </c>
      <c r="AA444"/>
      <c r="AB444"/>
      <c r="AD444" s="4">
        <v>20</v>
      </c>
      <c r="AE444" s="44">
        <f t="shared" si="27"/>
        <v>239.58556799999997</v>
      </c>
      <c r="AF444" s="46">
        <v>0</v>
      </c>
      <c r="AG444" s="44">
        <v>0</v>
      </c>
      <c r="AH444" s="44">
        <v>0</v>
      </c>
      <c r="AI444" s="41">
        <f t="shared" si="32"/>
        <v>8.34774822496821E-2</v>
      </c>
      <c r="AJ444" s="41"/>
      <c r="AK444" s="41"/>
      <c r="AL444" s="41"/>
      <c r="AM444" s="4">
        <v>1.5909090909090911</v>
      </c>
      <c r="AN444" s="4">
        <v>1.9090909090909089</v>
      </c>
      <c r="AO444" s="4">
        <v>0.54545454545454541</v>
      </c>
      <c r="AP444" s="4">
        <v>0</v>
      </c>
      <c r="AQ444" s="4">
        <v>0.3932584269662921</v>
      </c>
      <c r="AR444" s="4">
        <v>0.47191011235955049</v>
      </c>
      <c r="AS444" s="4">
        <v>0.1348314606741573</v>
      </c>
      <c r="AT444" s="4">
        <v>0</v>
      </c>
      <c r="AU444" s="31">
        <v>1</v>
      </c>
      <c r="AV444" s="31">
        <v>3.44</v>
      </c>
      <c r="AW444" s="31">
        <v>2.44</v>
      </c>
      <c r="AX444" s="31">
        <v>2.5886363636363638</v>
      </c>
      <c r="AY444" s="4">
        <v>2.588636363636363</v>
      </c>
      <c r="AZ444" s="4">
        <v>6.4712814579593632</v>
      </c>
      <c r="BA444" s="64"/>
      <c r="BB444" s="64"/>
      <c r="BC444" s="64"/>
      <c r="BD444">
        <v>4.173874112484105E-2</v>
      </c>
      <c r="BE444"/>
      <c r="BF444"/>
      <c r="BG444"/>
      <c r="BH444">
        <v>8.34774822496821E-2</v>
      </c>
      <c r="BI444">
        <v>4.173874112484105E-2</v>
      </c>
      <c r="BJ444">
        <v>0</v>
      </c>
    </row>
    <row r="445" spans="1:62" s="4" customFormat="1" x14ac:dyDescent="0.3">
      <c r="A445" t="s">
        <v>364</v>
      </c>
      <c r="B445" s="17" t="s">
        <v>1029</v>
      </c>
      <c r="C445" s="12"/>
      <c r="D445"/>
      <c r="E445"/>
      <c r="F445">
        <v>3.6</v>
      </c>
      <c r="G445" t="s">
        <v>362</v>
      </c>
      <c r="H445" s="8">
        <v>-1</v>
      </c>
      <c r="I445">
        <v>-1</v>
      </c>
      <c r="J445"/>
      <c r="K445">
        <v>1</v>
      </c>
      <c r="L445" s="20">
        <v>0</v>
      </c>
      <c r="M445">
        <v>0</v>
      </c>
      <c r="N445">
        <v>0</v>
      </c>
      <c r="O445">
        <v>3.87</v>
      </c>
      <c r="P445">
        <v>3.87</v>
      </c>
      <c r="Q445">
        <v>20.49</v>
      </c>
      <c r="R445" t="s">
        <v>519</v>
      </c>
      <c r="T445" s="31">
        <v>0</v>
      </c>
      <c r="W445">
        <v>0</v>
      </c>
      <c r="X445"/>
      <c r="Y445"/>
      <c r="Z445">
        <v>0</v>
      </c>
      <c r="AA445"/>
      <c r="AB445"/>
      <c r="AD445" s="4">
        <v>20</v>
      </c>
      <c r="AE445" s="44">
        <f t="shared" si="27"/>
        <v>306.87668099999996</v>
      </c>
      <c r="AF445" s="46">
        <v>0</v>
      </c>
      <c r="AG445" s="44">
        <v>0</v>
      </c>
      <c r="AH445" s="44">
        <v>0</v>
      </c>
      <c r="AI445" s="41">
        <f t="shared" si="32"/>
        <v>6.517275908624677E-2</v>
      </c>
      <c r="AJ445" s="41"/>
      <c r="AK445" s="41"/>
      <c r="AL445" s="41"/>
      <c r="AM445" s="4">
        <v>1.56</v>
      </c>
      <c r="AN445" s="4">
        <v>1.76</v>
      </c>
      <c r="AO445" s="4">
        <v>0.48</v>
      </c>
      <c r="AP445" s="4">
        <v>0</v>
      </c>
      <c r="AQ445" s="4">
        <v>0.41052631578947368</v>
      </c>
      <c r="AR445" s="4">
        <v>0.4631578947368421</v>
      </c>
      <c r="AS445" s="4">
        <v>0.12631578947368419</v>
      </c>
      <c r="AT445" s="4">
        <v>0</v>
      </c>
      <c r="AU445" s="31">
        <v>1</v>
      </c>
      <c r="AV445" s="31">
        <v>3.44</v>
      </c>
      <c r="AW445" s="31">
        <v>2.44</v>
      </c>
      <c r="AX445" s="31">
        <v>2.556</v>
      </c>
      <c r="AY445" s="4">
        <v>2.556</v>
      </c>
      <c r="AZ445" s="4">
        <v>6.5192970192323214</v>
      </c>
      <c r="BA445" s="64"/>
      <c r="BB445" s="64"/>
      <c r="BC445" s="64"/>
      <c r="BD445">
        <v>3.2586379543123392E-2</v>
      </c>
      <c r="BE445"/>
      <c r="BF445"/>
      <c r="BG445"/>
      <c r="BH445">
        <v>6.517275908624677E-2</v>
      </c>
      <c r="BI445">
        <v>3.2586379543123392E-2</v>
      </c>
      <c r="BJ445">
        <v>0</v>
      </c>
    </row>
    <row r="446" spans="1:62" s="4" customFormat="1" x14ac:dyDescent="0.3">
      <c r="A446" t="s">
        <v>365</v>
      </c>
      <c r="B446" s="17" t="s">
        <v>1030</v>
      </c>
      <c r="C446" s="12"/>
      <c r="D446"/>
      <c r="E446"/>
      <c r="F446">
        <v>3.55</v>
      </c>
      <c r="G446" t="s">
        <v>362</v>
      </c>
      <c r="H446" s="8">
        <v>-1</v>
      </c>
      <c r="I446">
        <v>-1</v>
      </c>
      <c r="J446"/>
      <c r="K446">
        <v>1</v>
      </c>
      <c r="L446" s="20">
        <v>0</v>
      </c>
      <c r="M446">
        <v>0</v>
      </c>
      <c r="N446">
        <v>0</v>
      </c>
      <c r="O446">
        <v>3.87</v>
      </c>
      <c r="P446">
        <v>3.87</v>
      </c>
      <c r="Q446">
        <v>22.22</v>
      </c>
      <c r="R446" t="s">
        <v>519</v>
      </c>
      <c r="T446" s="31">
        <v>0</v>
      </c>
      <c r="W446">
        <v>0</v>
      </c>
      <c r="X446"/>
      <c r="Y446"/>
      <c r="Z446">
        <v>0</v>
      </c>
      <c r="AA446"/>
      <c r="AB446"/>
      <c r="AD446" s="4">
        <v>20</v>
      </c>
      <c r="AE446" s="44">
        <f t="shared" si="27"/>
        <v>332.78671800000001</v>
      </c>
      <c r="AF446" s="46">
        <v>0</v>
      </c>
      <c r="AG446" s="44">
        <v>0</v>
      </c>
      <c r="AH446" s="44">
        <v>0</v>
      </c>
      <c r="AI446" s="41">
        <f t="shared" si="32"/>
        <v>6.0098552370710899E-2</v>
      </c>
      <c r="AJ446" s="41"/>
      <c r="AK446" s="41"/>
      <c r="AL446" s="41"/>
      <c r="AM446" s="4">
        <v>1.535714285714286</v>
      </c>
      <c r="AN446" s="4">
        <v>1.642857142857143</v>
      </c>
      <c r="AO446" s="4">
        <v>0.42857142857142849</v>
      </c>
      <c r="AP446" s="4">
        <v>0</v>
      </c>
      <c r="AQ446" s="4">
        <v>0.42574257425742579</v>
      </c>
      <c r="AR446" s="4">
        <v>0.45544554455445541</v>
      </c>
      <c r="AS446" s="4">
        <v>0.11881188118811881</v>
      </c>
      <c r="AT446" s="4">
        <v>0</v>
      </c>
      <c r="AU446" s="31">
        <v>1</v>
      </c>
      <c r="AV446" s="31">
        <v>3.44</v>
      </c>
      <c r="AW446" s="31">
        <v>2.44</v>
      </c>
      <c r="AX446" s="31">
        <v>2.530357142857143</v>
      </c>
      <c r="AY446" s="4">
        <v>2.530357142857143</v>
      </c>
      <c r="AZ446" s="4">
        <v>6.5570235316610717</v>
      </c>
      <c r="BA446" s="64"/>
      <c r="BB446" s="64"/>
      <c r="BC446" s="64"/>
      <c r="BD446">
        <v>3.004927618535545E-2</v>
      </c>
      <c r="BE446"/>
      <c r="BF446"/>
      <c r="BG446"/>
      <c r="BH446">
        <v>6.0098552370710899E-2</v>
      </c>
      <c r="BI446">
        <v>3.004927618535545E-2</v>
      </c>
      <c r="BJ446">
        <v>0</v>
      </c>
    </row>
    <row r="447" spans="1:62" s="4" customFormat="1" x14ac:dyDescent="0.3">
      <c r="A447" t="s">
        <v>366</v>
      </c>
      <c r="B447" s="17" t="s">
        <v>1031</v>
      </c>
      <c r="C447" s="12"/>
      <c r="D447"/>
      <c r="E447"/>
      <c r="F447">
        <v>3.62</v>
      </c>
      <c r="G447" t="s">
        <v>362</v>
      </c>
      <c r="H447" s="8">
        <v>-1</v>
      </c>
      <c r="I447">
        <v>-1</v>
      </c>
      <c r="J447"/>
      <c r="K447">
        <v>1</v>
      </c>
      <c r="L447" s="20">
        <v>0</v>
      </c>
      <c r="M447">
        <v>0</v>
      </c>
      <c r="N447">
        <v>0</v>
      </c>
      <c r="O447">
        <v>3.86</v>
      </c>
      <c r="P447">
        <v>3.86</v>
      </c>
      <c r="Q447">
        <v>25.35</v>
      </c>
      <c r="R447" t="s">
        <v>519</v>
      </c>
      <c r="T447" s="31">
        <v>0</v>
      </c>
      <c r="W447">
        <v>0</v>
      </c>
      <c r="X447"/>
      <c r="Y447"/>
      <c r="Z447">
        <v>0</v>
      </c>
      <c r="AA447"/>
      <c r="AB447"/>
      <c r="AD447" s="4">
        <v>20</v>
      </c>
      <c r="AE447" s="44">
        <f t="shared" si="27"/>
        <v>377.70486</v>
      </c>
      <c r="AF447" s="46">
        <v>0</v>
      </c>
      <c r="AG447" s="44">
        <v>0</v>
      </c>
      <c r="AH447" s="44">
        <v>0</v>
      </c>
      <c r="AI447" s="41">
        <f t="shared" si="32"/>
        <v>5.2951397024650411E-2</v>
      </c>
      <c r="AJ447" s="41"/>
      <c r="AK447" s="41"/>
      <c r="AL447" s="41"/>
      <c r="AM447" s="4">
        <v>1.5161290322580649</v>
      </c>
      <c r="AN447" s="4">
        <v>1.5483870967741939</v>
      </c>
      <c r="AO447" s="4">
        <v>0.38709677419354838</v>
      </c>
      <c r="AP447" s="4">
        <v>0</v>
      </c>
      <c r="AQ447" s="4">
        <v>0.43925233644859812</v>
      </c>
      <c r="AR447" s="4">
        <v>0.44859813084112149</v>
      </c>
      <c r="AS447" s="4">
        <v>0.1121495327102804</v>
      </c>
      <c r="AT447" s="4">
        <v>0</v>
      </c>
      <c r="AU447" s="31">
        <v>1</v>
      </c>
      <c r="AV447" s="31">
        <v>3.44</v>
      </c>
      <c r="AW447" s="31">
        <v>2.44</v>
      </c>
      <c r="AX447" s="31">
        <v>2.5096774193548388</v>
      </c>
      <c r="AY447" s="4">
        <v>2.5096774193548388</v>
      </c>
      <c r="AZ447" s="4">
        <v>6.587448138458452</v>
      </c>
      <c r="BA447" s="64"/>
      <c r="BB447" s="64"/>
      <c r="BC447" s="64"/>
      <c r="BD447">
        <v>2.6475698512325209E-2</v>
      </c>
      <c r="BE447"/>
      <c r="BF447"/>
      <c r="BG447"/>
      <c r="BH447">
        <v>5.2951397024650411E-2</v>
      </c>
      <c r="BI447">
        <v>2.6475698512325209E-2</v>
      </c>
      <c r="BJ447">
        <v>0</v>
      </c>
    </row>
    <row r="448" spans="1:62" s="4" customFormat="1" x14ac:dyDescent="0.3">
      <c r="A448" t="s">
        <v>367</v>
      </c>
      <c r="B448" s="17" t="s">
        <v>1032</v>
      </c>
      <c r="C448" s="12"/>
      <c r="D448"/>
      <c r="E448"/>
      <c r="F448">
        <v>3.55</v>
      </c>
      <c r="G448" t="s">
        <v>362</v>
      </c>
      <c r="H448" s="8">
        <v>-1</v>
      </c>
      <c r="I448">
        <v>-1</v>
      </c>
      <c r="J448"/>
      <c r="K448">
        <v>1</v>
      </c>
      <c r="L448" s="20">
        <v>0</v>
      </c>
      <c r="M448">
        <v>0</v>
      </c>
      <c r="N448">
        <v>0</v>
      </c>
      <c r="O448">
        <v>3.86</v>
      </c>
      <c r="P448">
        <v>3.86</v>
      </c>
      <c r="Q448">
        <v>29.53</v>
      </c>
      <c r="R448" t="s">
        <v>519</v>
      </c>
      <c r="T448" s="31">
        <v>0</v>
      </c>
      <c r="W448">
        <v>0</v>
      </c>
      <c r="X448"/>
      <c r="Y448"/>
      <c r="Z448">
        <v>0</v>
      </c>
      <c r="AA448"/>
      <c r="AB448"/>
      <c r="AD448" s="4">
        <v>20</v>
      </c>
      <c r="AE448" s="44">
        <f t="shared" si="27"/>
        <v>439.98518799999999</v>
      </c>
      <c r="AF448" s="46">
        <v>0</v>
      </c>
      <c r="AG448" s="44">
        <v>0</v>
      </c>
      <c r="AH448" s="44">
        <v>0</v>
      </c>
      <c r="AI448" s="41">
        <f t="shared" si="32"/>
        <v>4.5456075671347372E-2</v>
      </c>
      <c r="AJ448" s="41"/>
      <c r="AK448" s="41"/>
      <c r="AL448" s="41"/>
      <c r="AM448" s="4">
        <v>1.486486486486486</v>
      </c>
      <c r="AN448" s="4">
        <v>1.405405405405405</v>
      </c>
      <c r="AO448" s="4">
        <v>0.32432432432432429</v>
      </c>
      <c r="AP448" s="4">
        <v>0</v>
      </c>
      <c r="AQ448" s="4">
        <v>0.4621848739495798</v>
      </c>
      <c r="AR448" s="4">
        <v>0.43697478991596639</v>
      </c>
      <c r="AS448" s="4">
        <v>0.1008403361344538</v>
      </c>
      <c r="AT448" s="4">
        <v>0</v>
      </c>
      <c r="AU448" s="31">
        <v>1</v>
      </c>
      <c r="AV448" s="31">
        <v>3.44</v>
      </c>
      <c r="AW448" s="31">
        <v>2.44</v>
      </c>
      <c r="AX448" s="31">
        <v>2.4783783783783782</v>
      </c>
      <c r="AY448" s="4">
        <v>2.478378378378379</v>
      </c>
      <c r="AZ448" s="4">
        <v>6.6334961919896216</v>
      </c>
      <c r="BA448" s="64"/>
      <c r="BB448" s="64"/>
      <c r="BC448" s="64"/>
      <c r="BD448">
        <v>2.272803783567369E-2</v>
      </c>
      <c r="BE448"/>
      <c r="BF448"/>
      <c r="BG448"/>
      <c r="BH448">
        <v>4.5456075671347372E-2</v>
      </c>
      <c r="BI448">
        <v>2.272803783567369E-2</v>
      </c>
      <c r="BJ448">
        <v>0</v>
      </c>
    </row>
    <row r="449" spans="1:62" s="4" customFormat="1" x14ac:dyDescent="0.3">
      <c r="A449" t="s">
        <v>368</v>
      </c>
      <c r="B449" s="17" t="s">
        <v>1033</v>
      </c>
      <c r="C449" s="12"/>
      <c r="D449"/>
      <c r="E449"/>
      <c r="F449">
        <v>2.6</v>
      </c>
      <c r="G449" t="s">
        <v>362</v>
      </c>
      <c r="H449" s="8">
        <v>-1</v>
      </c>
      <c r="I449">
        <v>-1</v>
      </c>
      <c r="J449"/>
      <c r="K449">
        <v>1</v>
      </c>
      <c r="L449" s="20">
        <v>0</v>
      </c>
      <c r="M449">
        <v>0</v>
      </c>
      <c r="N449">
        <v>0</v>
      </c>
      <c r="O449">
        <v>3.86</v>
      </c>
      <c r="P449">
        <v>3.86</v>
      </c>
      <c r="Q449">
        <v>33.53</v>
      </c>
      <c r="R449" t="s">
        <v>519</v>
      </c>
      <c r="T449" s="31">
        <v>0</v>
      </c>
      <c r="W449">
        <v>0</v>
      </c>
      <c r="X449"/>
      <c r="Y449"/>
      <c r="Z449">
        <v>0</v>
      </c>
      <c r="AA449"/>
      <c r="AB449"/>
      <c r="AD449" s="4">
        <v>20</v>
      </c>
      <c r="AE449" s="44">
        <f t="shared" si="27"/>
        <v>499.58358800000002</v>
      </c>
      <c r="AF449" s="46">
        <v>0</v>
      </c>
      <c r="AG449" s="44">
        <v>0</v>
      </c>
      <c r="AH449" s="44">
        <v>0</v>
      </c>
      <c r="AI449" s="41">
        <f t="shared" ref="AI449:AI461" si="33">K449*AD449/AE449</f>
        <v>4.0033340726957585E-2</v>
      </c>
      <c r="AJ449" s="41"/>
      <c r="AK449" s="41"/>
      <c r="AL449" s="41"/>
      <c r="AM449" s="4">
        <v>1.4651162790697669</v>
      </c>
      <c r="AN449" s="4">
        <v>1.3023255813953489</v>
      </c>
      <c r="AO449" s="4">
        <v>0.27906976744186052</v>
      </c>
      <c r="AP449" s="4">
        <v>0</v>
      </c>
      <c r="AQ449" s="4">
        <v>0.48091603053435111</v>
      </c>
      <c r="AR449" s="4">
        <v>0.4274809160305344</v>
      </c>
      <c r="AS449" s="4">
        <v>9.1603053435114504E-2</v>
      </c>
      <c r="AT449" s="4">
        <v>0</v>
      </c>
      <c r="AU449" s="31">
        <v>1</v>
      </c>
      <c r="AV449" s="31">
        <v>3.44</v>
      </c>
      <c r="AW449" s="31">
        <v>2.44</v>
      </c>
      <c r="AX449" s="31">
        <v>2.4558139534883718</v>
      </c>
      <c r="AY449" s="4">
        <v>2.4558139534883718</v>
      </c>
      <c r="AZ449" s="4">
        <v>6.6666936259306979</v>
      </c>
      <c r="BA449" s="64"/>
      <c r="BB449" s="64"/>
      <c r="BC449" s="64"/>
      <c r="BD449">
        <v>2.0016670363478789E-2</v>
      </c>
      <c r="BE449"/>
      <c r="BF449"/>
      <c r="BG449"/>
      <c r="BH449">
        <v>4.0033340726957578E-2</v>
      </c>
      <c r="BI449">
        <v>2.0016670363478789E-2</v>
      </c>
      <c r="BJ449">
        <v>0</v>
      </c>
    </row>
    <row r="450" spans="1:62" x14ac:dyDescent="0.3">
      <c r="A450" t="s">
        <v>353</v>
      </c>
      <c r="B450" s="12" t="s">
        <v>834</v>
      </c>
      <c r="C450" s="12"/>
      <c r="F450">
        <v>3.44</v>
      </c>
      <c r="G450" t="s">
        <v>380</v>
      </c>
      <c r="H450" s="8">
        <v>-1</v>
      </c>
      <c r="I450">
        <v>-1</v>
      </c>
      <c r="K450">
        <v>2</v>
      </c>
      <c r="L450" s="20">
        <v>0</v>
      </c>
      <c r="M450">
        <v>0</v>
      </c>
      <c r="N450">
        <v>0</v>
      </c>
      <c r="O450">
        <v>3.79</v>
      </c>
      <c r="P450">
        <v>3.79</v>
      </c>
      <c r="Q450">
        <v>27.2</v>
      </c>
      <c r="R450" t="s">
        <v>519</v>
      </c>
      <c r="S450">
        <v>13.6</v>
      </c>
      <c r="T450" s="20">
        <v>0</v>
      </c>
      <c r="W450">
        <v>0</v>
      </c>
      <c r="Z450">
        <v>0</v>
      </c>
      <c r="AD450">
        <v>20</v>
      </c>
      <c r="AE450" s="44">
        <f t="shared" ref="AE450:AE513" si="34">O450*P450*Q450</f>
        <v>390.70352000000003</v>
      </c>
      <c r="AF450" s="46">
        <v>0</v>
      </c>
      <c r="AG450" s="44">
        <v>0</v>
      </c>
      <c r="AH450" s="44">
        <v>0</v>
      </c>
      <c r="AI450" s="41">
        <f t="shared" si="33"/>
        <v>0.10237942058981193</v>
      </c>
      <c r="AM450" s="23">
        <v>1.882352941176471</v>
      </c>
      <c r="AN450" s="23">
        <v>2.3529411764705879</v>
      </c>
      <c r="AO450" s="23">
        <v>0.47058823529411759</v>
      </c>
      <c r="AP450" s="23">
        <v>0</v>
      </c>
      <c r="AQ450" s="23">
        <v>0.4</v>
      </c>
      <c r="AR450" s="23">
        <v>0.5</v>
      </c>
      <c r="AS450" s="23">
        <v>9.9999999999999992E-2</v>
      </c>
      <c r="AT450" s="23">
        <v>0</v>
      </c>
      <c r="AU450" s="20">
        <v>1.1000000000000001</v>
      </c>
      <c r="AV450" s="20">
        <v>3.44</v>
      </c>
      <c r="AW450" s="20">
        <v>2.34</v>
      </c>
      <c r="AX450" s="20">
        <v>2.6835294117647059</v>
      </c>
      <c r="AY450">
        <v>2.6835294117647059</v>
      </c>
      <c r="AZ450">
        <v>6.2493398705707062</v>
      </c>
      <c r="BD450">
        <v>5.1189710294905967E-2</v>
      </c>
      <c r="BH450">
        <v>0.10237942058981191</v>
      </c>
      <c r="BI450">
        <v>5.1189710294905967E-2</v>
      </c>
      <c r="BJ450">
        <v>0</v>
      </c>
    </row>
    <row r="451" spans="1:62" x14ac:dyDescent="0.3">
      <c r="A451" t="s">
        <v>369</v>
      </c>
      <c r="B451" s="17" t="s">
        <v>1034</v>
      </c>
      <c r="C451" s="12"/>
      <c r="F451">
        <v>3.34</v>
      </c>
      <c r="G451" t="s">
        <v>380</v>
      </c>
      <c r="H451" s="8">
        <v>-1</v>
      </c>
      <c r="I451">
        <v>-1</v>
      </c>
      <c r="K451">
        <v>2</v>
      </c>
      <c r="L451" s="20">
        <v>0</v>
      </c>
      <c r="M451">
        <v>0</v>
      </c>
      <c r="N451">
        <v>0</v>
      </c>
      <c r="O451">
        <v>3.83</v>
      </c>
      <c r="P451">
        <v>3.83</v>
      </c>
      <c r="Q451">
        <v>36.700000000000003</v>
      </c>
      <c r="R451" t="s">
        <v>519</v>
      </c>
      <c r="S451">
        <v>18.399999999999999</v>
      </c>
      <c r="T451" s="20">
        <v>0</v>
      </c>
      <c r="W451">
        <v>0</v>
      </c>
      <c r="Z451">
        <v>0</v>
      </c>
      <c r="AD451">
        <v>20</v>
      </c>
      <c r="AE451" s="44">
        <f t="shared" si="34"/>
        <v>538.34863000000007</v>
      </c>
      <c r="AF451" s="46">
        <v>0</v>
      </c>
      <c r="AG451" s="44">
        <v>0</v>
      </c>
      <c r="AH451" s="44">
        <v>0</v>
      </c>
      <c r="AI451" s="41">
        <f t="shared" si="33"/>
        <v>7.4301294311829108E-2</v>
      </c>
      <c r="AM451" s="23">
        <v>1.7391304347826091</v>
      </c>
      <c r="AN451" s="23">
        <v>1.956521739130435</v>
      </c>
      <c r="AO451" s="23">
        <v>0.34782608695652167</v>
      </c>
      <c r="AP451" s="23">
        <v>0</v>
      </c>
      <c r="AQ451" s="23">
        <v>0.43010752688172038</v>
      </c>
      <c r="AR451" s="23">
        <v>0.48387096774193539</v>
      </c>
      <c r="AS451" s="23">
        <v>8.6021505376344079E-2</v>
      </c>
      <c r="AT451" s="23">
        <v>0</v>
      </c>
      <c r="AU451" s="20">
        <v>1.1000000000000001</v>
      </c>
      <c r="AV451" s="20">
        <v>3.44</v>
      </c>
      <c r="AW451" s="20">
        <v>2.34</v>
      </c>
      <c r="AX451" s="20">
        <v>2.609130434782609</v>
      </c>
      <c r="AY451">
        <v>2.609130434782609</v>
      </c>
      <c r="AZ451">
        <v>6.4538308176133041</v>
      </c>
      <c r="BD451">
        <v>3.7150647155914547E-2</v>
      </c>
      <c r="BH451">
        <v>7.4301294311829108E-2</v>
      </c>
      <c r="BI451">
        <v>3.7150647155914547E-2</v>
      </c>
      <c r="BJ451">
        <v>0</v>
      </c>
    </row>
    <row r="452" spans="1:62" x14ac:dyDescent="0.3">
      <c r="A452" t="s">
        <v>370</v>
      </c>
      <c r="B452" s="17" t="s">
        <v>1026</v>
      </c>
      <c r="C452" s="12"/>
      <c r="F452">
        <v>3.39</v>
      </c>
      <c r="G452" t="s">
        <v>380</v>
      </c>
      <c r="H452" s="8">
        <v>-1</v>
      </c>
      <c r="I452">
        <v>-1</v>
      </c>
      <c r="K452">
        <v>1</v>
      </c>
      <c r="L452" s="20">
        <v>0</v>
      </c>
      <c r="M452">
        <v>0</v>
      </c>
      <c r="N452">
        <v>0</v>
      </c>
      <c r="O452">
        <v>3.82</v>
      </c>
      <c r="P452">
        <v>3.82</v>
      </c>
      <c r="Q452">
        <v>20.2</v>
      </c>
      <c r="R452" t="s">
        <v>519</v>
      </c>
      <c r="S452">
        <v>20.2</v>
      </c>
      <c r="T452" s="20">
        <v>0</v>
      </c>
      <c r="W452">
        <v>0</v>
      </c>
      <c r="Z452">
        <v>0</v>
      </c>
      <c r="AD452">
        <v>20</v>
      </c>
      <c r="AE452" s="44">
        <f t="shared" si="34"/>
        <v>294.76648</v>
      </c>
      <c r="AF452" s="46">
        <v>0</v>
      </c>
      <c r="AG452" s="44">
        <v>0</v>
      </c>
      <c r="AH452" s="44">
        <v>0</v>
      </c>
      <c r="AI452" s="41">
        <f t="shared" si="33"/>
        <v>6.7850320022819419E-2</v>
      </c>
      <c r="AM452" s="23">
        <v>1.6923076923076921</v>
      </c>
      <c r="AN452" s="23">
        <v>1.8076923076923079</v>
      </c>
      <c r="AO452" s="23">
        <v>0.30769230769230771</v>
      </c>
      <c r="AP452" s="23">
        <v>0</v>
      </c>
      <c r="AQ452" s="23">
        <v>0.44444444444444448</v>
      </c>
      <c r="AR452" s="23">
        <v>0.47474747474747481</v>
      </c>
      <c r="AS452" s="23">
        <v>8.0808080808080815E-2</v>
      </c>
      <c r="AT452" s="23">
        <v>0</v>
      </c>
      <c r="AU452" s="20">
        <v>1.1000000000000001</v>
      </c>
      <c r="AV452" s="20">
        <v>3.44</v>
      </c>
      <c r="AW452" s="20">
        <v>2.34</v>
      </c>
      <c r="AX452" s="20">
        <v>2.5753846153846158</v>
      </c>
      <c r="AY452">
        <v>2.5753846153846149</v>
      </c>
      <c r="AZ452">
        <v>6.5020131619541548</v>
      </c>
      <c r="BD452">
        <v>3.3925160011409709E-2</v>
      </c>
      <c r="BH452">
        <v>6.7850320022819419E-2</v>
      </c>
      <c r="BI452">
        <v>3.3925160011409709E-2</v>
      </c>
      <c r="BJ452">
        <v>0</v>
      </c>
    </row>
    <row r="453" spans="1:62" x14ac:dyDescent="0.3">
      <c r="A453" t="s">
        <v>371</v>
      </c>
      <c r="B453" s="17" t="s">
        <v>1035</v>
      </c>
      <c r="C453" s="12"/>
      <c r="F453">
        <v>3.4</v>
      </c>
      <c r="G453" t="s">
        <v>380</v>
      </c>
      <c r="H453" s="8">
        <v>-1</v>
      </c>
      <c r="I453">
        <v>-1</v>
      </c>
      <c r="K453">
        <v>1</v>
      </c>
      <c r="L453" s="20">
        <v>0</v>
      </c>
      <c r="M453">
        <v>0</v>
      </c>
      <c r="N453">
        <v>0</v>
      </c>
      <c r="O453">
        <v>3.82</v>
      </c>
      <c r="P453">
        <v>3.82</v>
      </c>
      <c r="Q453">
        <v>21.7</v>
      </c>
      <c r="R453" t="s">
        <v>519</v>
      </c>
      <c r="S453">
        <v>21.7</v>
      </c>
      <c r="T453" s="20">
        <v>0</v>
      </c>
      <c r="W453">
        <v>0</v>
      </c>
      <c r="Z453">
        <v>0</v>
      </c>
      <c r="AD453">
        <v>20</v>
      </c>
      <c r="AE453" s="44">
        <f t="shared" si="34"/>
        <v>316.65508</v>
      </c>
      <c r="AF453" s="46">
        <v>0</v>
      </c>
      <c r="AG453" s="44">
        <v>0</v>
      </c>
      <c r="AH453" s="44">
        <v>0</v>
      </c>
      <c r="AI453" s="41">
        <f t="shared" si="33"/>
        <v>6.3160205735527761E-2</v>
      </c>
      <c r="AM453" s="23">
        <v>1.655172413793103</v>
      </c>
      <c r="AN453" s="23">
        <v>1.6896551724137929</v>
      </c>
      <c r="AO453" s="23">
        <v>0.27586206896551718</v>
      </c>
      <c r="AP453" s="23">
        <v>0</v>
      </c>
      <c r="AQ453" s="23">
        <v>0.45714285714285707</v>
      </c>
      <c r="AR453" s="23">
        <v>0.46666666666666667</v>
      </c>
      <c r="AS453" s="23">
        <v>7.6190476190476197E-2</v>
      </c>
      <c r="AT453" s="23">
        <v>0</v>
      </c>
      <c r="AU453" s="20">
        <v>1.1000000000000001</v>
      </c>
      <c r="AV453" s="20">
        <v>3.44</v>
      </c>
      <c r="AW453" s="20">
        <v>2.34</v>
      </c>
      <c r="AX453" s="20">
        <v>2.5486206896551722</v>
      </c>
      <c r="AY453">
        <v>2.5486206896551722</v>
      </c>
      <c r="AZ453">
        <v>6.5402267453968976</v>
      </c>
      <c r="BD453">
        <v>3.158010286776388E-2</v>
      </c>
      <c r="BH453">
        <v>6.3160205735527761E-2</v>
      </c>
      <c r="BI453">
        <v>3.158010286776388E-2</v>
      </c>
      <c r="BJ453">
        <v>0</v>
      </c>
    </row>
    <row r="454" spans="1:62" x14ac:dyDescent="0.3">
      <c r="A454" t="s">
        <v>372</v>
      </c>
      <c r="B454" s="17" t="s">
        <v>1036</v>
      </c>
      <c r="C454" s="12"/>
      <c r="F454">
        <v>3.42</v>
      </c>
      <c r="G454" t="s">
        <v>380</v>
      </c>
      <c r="H454" s="8">
        <v>-1</v>
      </c>
      <c r="I454">
        <v>-1</v>
      </c>
      <c r="K454">
        <v>1</v>
      </c>
      <c r="L454" s="20">
        <v>0</v>
      </c>
      <c r="M454">
        <v>0</v>
      </c>
      <c r="N454">
        <v>0</v>
      </c>
      <c r="O454">
        <v>3.81</v>
      </c>
      <c r="P454">
        <v>3.81</v>
      </c>
      <c r="Q454">
        <v>24.7</v>
      </c>
      <c r="R454" t="s">
        <v>519</v>
      </c>
      <c r="S454">
        <v>24.7</v>
      </c>
      <c r="T454" s="20">
        <v>0</v>
      </c>
      <c r="W454">
        <v>0</v>
      </c>
      <c r="Z454">
        <v>0</v>
      </c>
      <c r="AD454">
        <v>20</v>
      </c>
      <c r="AE454" s="44">
        <f t="shared" si="34"/>
        <v>358.54766999999998</v>
      </c>
      <c r="AF454" s="46">
        <v>0</v>
      </c>
      <c r="AG454" s="44">
        <v>0</v>
      </c>
      <c r="AH454" s="44">
        <v>0</v>
      </c>
      <c r="AI454" s="41">
        <f t="shared" si="33"/>
        <v>5.5780588394285201E-2</v>
      </c>
      <c r="AM454" s="23">
        <v>1.625</v>
      </c>
      <c r="AN454" s="23">
        <v>1.59375</v>
      </c>
      <c r="AO454" s="23">
        <v>0.25</v>
      </c>
      <c r="AP454" s="23">
        <v>0</v>
      </c>
      <c r="AQ454" s="23">
        <v>0.46846846846846851</v>
      </c>
      <c r="AR454" s="23">
        <v>0.45945945945945948</v>
      </c>
      <c r="AS454" s="23">
        <v>7.2072072072072071E-2</v>
      </c>
      <c r="AT454" s="23">
        <v>0</v>
      </c>
      <c r="AU454" s="20">
        <v>1.1000000000000001</v>
      </c>
      <c r="AV454" s="20">
        <v>3.44</v>
      </c>
      <c r="AW454" s="20">
        <v>2.34</v>
      </c>
      <c r="AX454" s="20">
        <v>2.526875</v>
      </c>
      <c r="AY454">
        <v>2.526875</v>
      </c>
      <c r="AZ454">
        <v>6.5712752819441249</v>
      </c>
      <c r="BD454">
        <v>2.78902941971426E-2</v>
      </c>
      <c r="BH454">
        <v>5.5780588394285201E-2</v>
      </c>
      <c r="BI454">
        <v>2.78902941971426E-2</v>
      </c>
      <c r="BJ454">
        <v>0</v>
      </c>
    </row>
    <row r="455" spans="1:62" x14ac:dyDescent="0.3">
      <c r="A455" t="s">
        <v>373</v>
      </c>
      <c r="B455" s="17" t="s">
        <v>1037</v>
      </c>
      <c r="C455" s="12"/>
      <c r="F455">
        <v>3.41</v>
      </c>
      <c r="G455" t="s">
        <v>380</v>
      </c>
      <c r="H455" s="8">
        <v>-1</v>
      </c>
      <c r="I455">
        <v>-1</v>
      </c>
      <c r="K455">
        <v>1</v>
      </c>
      <c r="L455" s="20">
        <v>0</v>
      </c>
      <c r="M455">
        <v>0</v>
      </c>
      <c r="N455">
        <v>0</v>
      </c>
      <c r="O455">
        <v>3.87</v>
      </c>
      <c r="P455">
        <v>3.87</v>
      </c>
      <c r="Q455">
        <v>29.4</v>
      </c>
      <c r="R455" t="s">
        <v>519</v>
      </c>
      <c r="S455">
        <v>29.4</v>
      </c>
      <c r="T455" s="20">
        <v>0</v>
      </c>
      <c r="W455">
        <v>0</v>
      </c>
      <c r="Z455">
        <v>0</v>
      </c>
      <c r="AD455">
        <v>20</v>
      </c>
      <c r="AE455" s="44">
        <f t="shared" si="34"/>
        <v>440.32085999999998</v>
      </c>
      <c r="AF455" s="46">
        <v>0</v>
      </c>
      <c r="AG455" s="44">
        <v>0</v>
      </c>
      <c r="AH455" s="44">
        <v>0</v>
      </c>
      <c r="AI455" s="41">
        <f t="shared" si="33"/>
        <v>4.5421422914190351E-2</v>
      </c>
      <c r="AM455" s="23">
        <v>1.5789473684210531</v>
      </c>
      <c r="AN455" s="23">
        <v>1.4473684210526321</v>
      </c>
      <c r="AO455" s="23">
        <v>0.2105263157894737</v>
      </c>
      <c r="AP455" s="23">
        <v>0</v>
      </c>
      <c r="AQ455" s="23">
        <v>0.48780487804878048</v>
      </c>
      <c r="AR455" s="23">
        <v>0.44715447154471538</v>
      </c>
      <c r="AS455" s="23">
        <v>6.5040650406504058E-2</v>
      </c>
      <c r="AT455" s="23">
        <v>0</v>
      </c>
      <c r="AU455" s="20">
        <v>1.1000000000000001</v>
      </c>
      <c r="AV455" s="20">
        <v>3.44</v>
      </c>
      <c r="AW455" s="20">
        <v>2.34</v>
      </c>
      <c r="AX455" s="20">
        <v>2.4936842105263159</v>
      </c>
      <c r="AY455">
        <v>2.4936842105263159</v>
      </c>
      <c r="AZ455">
        <v>6.6186651535162104</v>
      </c>
      <c r="BD455">
        <v>2.2710711457095179E-2</v>
      </c>
      <c r="BH455">
        <v>4.5421422914190351E-2</v>
      </c>
      <c r="BI455">
        <v>2.2710711457095179E-2</v>
      </c>
      <c r="BJ455">
        <v>0</v>
      </c>
    </row>
    <row r="456" spans="1:62" x14ac:dyDescent="0.3">
      <c r="A456" t="s">
        <v>374</v>
      </c>
      <c r="B456" s="17" t="s">
        <v>1038</v>
      </c>
      <c r="C456" s="12"/>
      <c r="F456">
        <v>3.4</v>
      </c>
      <c r="G456" t="s">
        <v>380</v>
      </c>
      <c r="H456" s="8">
        <v>-1</v>
      </c>
      <c r="I456">
        <v>-1</v>
      </c>
      <c r="K456">
        <v>1</v>
      </c>
      <c r="L456" s="20">
        <v>0</v>
      </c>
      <c r="M456">
        <v>0</v>
      </c>
      <c r="N456">
        <v>0</v>
      </c>
      <c r="O456">
        <v>3.85</v>
      </c>
      <c r="P456">
        <v>3.85</v>
      </c>
      <c r="Q456">
        <v>34.200000000000003</v>
      </c>
      <c r="R456" t="s">
        <v>519</v>
      </c>
      <c r="S456">
        <v>34.200000000000003</v>
      </c>
      <c r="T456" s="20">
        <v>0</v>
      </c>
      <c r="W456">
        <v>0</v>
      </c>
      <c r="Z456">
        <v>0</v>
      </c>
      <c r="AD456">
        <v>20</v>
      </c>
      <c r="AE456" s="44">
        <f t="shared" si="34"/>
        <v>506.92950000000008</v>
      </c>
      <c r="AF456" s="46">
        <v>0</v>
      </c>
      <c r="AG456" s="44">
        <v>0</v>
      </c>
      <c r="AH456" s="44">
        <v>0</v>
      </c>
      <c r="AI456" s="41">
        <f t="shared" si="33"/>
        <v>3.9453217853764669E-2</v>
      </c>
      <c r="AM456" s="23">
        <v>1.545454545454545</v>
      </c>
      <c r="AN456" s="23">
        <v>1.3409090909090911</v>
      </c>
      <c r="AO456" s="23">
        <v>0.1818181818181818</v>
      </c>
      <c r="AP456" s="23">
        <v>0</v>
      </c>
      <c r="AQ456" s="23">
        <v>0.50370370370370365</v>
      </c>
      <c r="AR456" s="23">
        <v>0.437037037037037</v>
      </c>
      <c r="AS456" s="23">
        <v>5.9259259259259248E-2</v>
      </c>
      <c r="AT456" s="23">
        <v>0</v>
      </c>
      <c r="AU456" s="20">
        <v>1.1000000000000001</v>
      </c>
      <c r="AV456" s="20">
        <v>3.44</v>
      </c>
      <c r="AW456" s="20">
        <v>2.34</v>
      </c>
      <c r="AX456" s="20">
        <v>2.4695454545454552</v>
      </c>
      <c r="AY456">
        <v>2.4695454545454538</v>
      </c>
      <c r="AZ456">
        <v>6.6531305146595452</v>
      </c>
      <c r="BD456">
        <v>1.9726608926882331E-2</v>
      </c>
      <c r="BH456">
        <v>3.9453217853764669E-2</v>
      </c>
      <c r="BI456">
        <v>1.9726608926882331E-2</v>
      </c>
      <c r="BJ456">
        <v>0</v>
      </c>
    </row>
    <row r="457" spans="1:62" x14ac:dyDescent="0.3">
      <c r="A457" t="s">
        <v>375</v>
      </c>
      <c r="B457" s="17" t="s">
        <v>1039</v>
      </c>
      <c r="C457" s="12"/>
      <c r="F457">
        <v>3.33</v>
      </c>
      <c r="G457" t="s">
        <v>380</v>
      </c>
      <c r="H457" s="8">
        <v>-1</v>
      </c>
      <c r="I457">
        <v>-1</v>
      </c>
      <c r="K457">
        <v>2</v>
      </c>
      <c r="L457" s="20">
        <v>0</v>
      </c>
      <c r="M457">
        <v>0</v>
      </c>
      <c r="N457">
        <v>0</v>
      </c>
      <c r="O457">
        <v>3.81</v>
      </c>
      <c r="P457">
        <v>3.81</v>
      </c>
      <c r="Q457">
        <v>35.1</v>
      </c>
      <c r="R457" t="s">
        <v>519</v>
      </c>
      <c r="S457">
        <v>17.600000000000001</v>
      </c>
      <c r="T457" s="20">
        <v>0</v>
      </c>
      <c r="W457">
        <v>0</v>
      </c>
      <c r="Z457">
        <v>0</v>
      </c>
      <c r="AD457">
        <v>20</v>
      </c>
      <c r="AE457" s="44">
        <f t="shared" si="34"/>
        <v>509.51510999999999</v>
      </c>
      <c r="AF457" s="46">
        <v>0</v>
      </c>
      <c r="AG457" s="44">
        <v>0</v>
      </c>
      <c r="AH457" s="44">
        <v>0</v>
      </c>
      <c r="AI457" s="41">
        <f t="shared" si="33"/>
        <v>7.8506013295660648E-2</v>
      </c>
      <c r="AM457" s="23">
        <v>1.7727272727272729</v>
      </c>
      <c r="AN457" s="23">
        <v>2.0909090909090908</v>
      </c>
      <c r="AO457" s="23">
        <v>0.36363636363636359</v>
      </c>
      <c r="AP457" s="23">
        <v>0</v>
      </c>
      <c r="AQ457" s="23">
        <v>0.41935483870967738</v>
      </c>
      <c r="AR457" s="23">
        <v>0.49462365591397839</v>
      </c>
      <c r="AS457" s="23">
        <v>8.6021505376344079E-2</v>
      </c>
      <c r="AT457" s="23">
        <v>0</v>
      </c>
      <c r="AU457" s="20">
        <v>1.1000000000000001</v>
      </c>
      <c r="AV457" s="20">
        <v>3.44</v>
      </c>
      <c r="AW457" s="20">
        <v>2.34</v>
      </c>
      <c r="AX457" s="20">
        <v>2.645909090909091</v>
      </c>
      <c r="AY457">
        <v>2.645909090909091</v>
      </c>
      <c r="AZ457">
        <v>6.4349594388752269</v>
      </c>
      <c r="BD457">
        <v>4.3178307312613358E-2</v>
      </c>
      <c r="BH457">
        <v>7.8506013295660648E-2</v>
      </c>
      <c r="BI457">
        <v>4.3178307312613358E-2</v>
      </c>
      <c r="BJ457">
        <v>0</v>
      </c>
    </row>
    <row r="458" spans="1:62" x14ac:dyDescent="0.3">
      <c r="A458" t="s">
        <v>376</v>
      </c>
      <c r="B458" s="17" t="s">
        <v>1027</v>
      </c>
      <c r="C458" s="12"/>
      <c r="F458">
        <v>3.41</v>
      </c>
      <c r="G458" t="s">
        <v>380</v>
      </c>
      <c r="H458" s="8">
        <v>-1</v>
      </c>
      <c r="I458">
        <v>-1</v>
      </c>
      <c r="K458">
        <v>2</v>
      </c>
      <c r="L458" s="20">
        <v>0</v>
      </c>
      <c r="M458">
        <v>0</v>
      </c>
      <c r="N458">
        <v>0</v>
      </c>
      <c r="O458">
        <v>3.83</v>
      </c>
      <c r="P458">
        <v>3.83</v>
      </c>
      <c r="Q458">
        <v>39.5</v>
      </c>
      <c r="R458" t="s">
        <v>519</v>
      </c>
      <c r="S458">
        <v>19.8</v>
      </c>
      <c r="T458" s="20">
        <v>0</v>
      </c>
      <c r="W458">
        <v>0</v>
      </c>
      <c r="Z458">
        <v>0</v>
      </c>
      <c r="AD458">
        <v>20</v>
      </c>
      <c r="AE458" s="44">
        <f t="shared" si="34"/>
        <v>579.42155000000002</v>
      </c>
      <c r="AF458" s="46">
        <v>0</v>
      </c>
      <c r="AG458" s="44">
        <v>0</v>
      </c>
      <c r="AH458" s="44">
        <v>0</v>
      </c>
      <c r="AI458" s="41">
        <f t="shared" si="33"/>
        <v>6.9034367120104523E-2</v>
      </c>
      <c r="AM458" s="23">
        <v>1.72</v>
      </c>
      <c r="AN458" s="23">
        <v>1.92</v>
      </c>
      <c r="AO458" s="23">
        <v>0.32</v>
      </c>
      <c r="AP458" s="23">
        <v>0</v>
      </c>
      <c r="AQ458" s="23">
        <v>0.43434343434343442</v>
      </c>
      <c r="AR458" s="23">
        <v>0.48484848484848492</v>
      </c>
      <c r="AS458" s="23">
        <v>8.0808080808080815E-2</v>
      </c>
      <c r="AT458" s="23">
        <v>0</v>
      </c>
      <c r="AU458" s="20">
        <v>1.1000000000000001</v>
      </c>
      <c r="AV458" s="20">
        <v>3.44</v>
      </c>
      <c r="AW458" s="20">
        <v>2.34</v>
      </c>
      <c r="AX458" s="20">
        <v>2.6063999999999998</v>
      </c>
      <c r="AY458">
        <v>2.6063999999999998</v>
      </c>
      <c r="AZ458">
        <v>6.4873336424382799</v>
      </c>
      <c r="BD458">
        <v>3.7968901916057493E-2</v>
      </c>
      <c r="BH458">
        <v>6.9034367120104523E-2</v>
      </c>
      <c r="BI458">
        <v>3.7968901916057493E-2</v>
      </c>
      <c r="BJ458">
        <v>0</v>
      </c>
    </row>
    <row r="459" spans="1:62" x14ac:dyDescent="0.3">
      <c r="A459" t="s">
        <v>377</v>
      </c>
      <c r="B459" s="17" t="s">
        <v>1040</v>
      </c>
      <c r="C459" s="12"/>
      <c r="F459">
        <v>3.38</v>
      </c>
      <c r="G459" t="s">
        <v>380</v>
      </c>
      <c r="H459" s="8">
        <v>-1</v>
      </c>
      <c r="I459">
        <v>-1</v>
      </c>
      <c r="K459">
        <v>2</v>
      </c>
      <c r="L459" s="20">
        <v>0</v>
      </c>
      <c r="M459">
        <v>0</v>
      </c>
      <c r="N459">
        <v>0</v>
      </c>
      <c r="O459">
        <v>3.83</v>
      </c>
      <c r="P459">
        <v>3.83</v>
      </c>
      <c r="Q459">
        <v>44.2</v>
      </c>
      <c r="R459" t="s">
        <v>519</v>
      </c>
      <c r="S459">
        <v>22.1</v>
      </c>
      <c r="T459" s="20">
        <v>0</v>
      </c>
      <c r="W459">
        <v>0</v>
      </c>
      <c r="Z459">
        <v>0</v>
      </c>
      <c r="AD459">
        <v>20</v>
      </c>
      <c r="AE459" s="44">
        <f t="shared" si="34"/>
        <v>648.36538000000007</v>
      </c>
      <c r="AF459" s="46">
        <v>0</v>
      </c>
      <c r="AG459" s="44">
        <v>0</v>
      </c>
      <c r="AH459" s="44">
        <v>0</v>
      </c>
      <c r="AI459" s="41">
        <f t="shared" si="33"/>
        <v>6.1693608625432772E-2</v>
      </c>
      <c r="AM459" s="23">
        <v>1.678571428571429</v>
      </c>
      <c r="AN459" s="23">
        <v>1.785714285714286</v>
      </c>
      <c r="AO459" s="23">
        <v>0.2857142857142857</v>
      </c>
      <c r="AP459" s="23">
        <v>0</v>
      </c>
      <c r="AQ459" s="23">
        <v>0.44761904761904758</v>
      </c>
      <c r="AR459" s="23">
        <v>0.47619047619047622</v>
      </c>
      <c r="AS459" s="23">
        <v>7.6190476190476183E-2</v>
      </c>
      <c r="AT459" s="23">
        <v>0</v>
      </c>
      <c r="AU459" s="20">
        <v>1.1000000000000001</v>
      </c>
      <c r="AV459" s="20">
        <v>3.44</v>
      </c>
      <c r="AW459" s="20">
        <v>2.34</v>
      </c>
      <c r="AX459" s="20">
        <v>2.5753571428571429</v>
      </c>
      <c r="AY459">
        <v>2.5753571428571429</v>
      </c>
      <c r="AZ459">
        <v>6.5284848023806781</v>
      </c>
      <c r="BD459">
        <v>3.3931484743988022E-2</v>
      </c>
      <c r="BH459">
        <v>6.1693608625432772E-2</v>
      </c>
      <c r="BI459">
        <v>3.3931484743988022E-2</v>
      </c>
      <c r="BJ459">
        <v>0</v>
      </c>
    </row>
    <row r="460" spans="1:62" x14ac:dyDescent="0.3">
      <c r="A460" t="s">
        <v>378</v>
      </c>
      <c r="B460" s="17" t="s">
        <v>1041</v>
      </c>
      <c r="C460" s="12"/>
      <c r="F460">
        <v>3.4</v>
      </c>
      <c r="G460" t="s">
        <v>380</v>
      </c>
      <c r="H460" s="8">
        <v>-1</v>
      </c>
      <c r="I460">
        <v>-1</v>
      </c>
      <c r="K460">
        <v>2</v>
      </c>
      <c r="L460" s="20">
        <v>0</v>
      </c>
      <c r="M460">
        <v>0</v>
      </c>
      <c r="N460">
        <v>0</v>
      </c>
      <c r="O460">
        <v>3.82</v>
      </c>
      <c r="P460">
        <v>3.82</v>
      </c>
      <c r="Q460">
        <v>48.5</v>
      </c>
      <c r="R460" t="s">
        <v>519</v>
      </c>
      <c r="S460">
        <v>24.3</v>
      </c>
      <c r="T460" s="20">
        <v>0</v>
      </c>
      <c r="W460">
        <v>0</v>
      </c>
      <c r="Z460">
        <v>0</v>
      </c>
      <c r="AD460">
        <v>20</v>
      </c>
      <c r="AE460" s="44">
        <f t="shared" si="34"/>
        <v>707.73140000000001</v>
      </c>
      <c r="AF460" s="46">
        <v>0</v>
      </c>
      <c r="AG460" s="44">
        <v>0</v>
      </c>
      <c r="AH460" s="44">
        <v>0</v>
      </c>
      <c r="AI460" s="41">
        <f t="shared" si="33"/>
        <v>5.6518617091173291E-2</v>
      </c>
      <c r="AM460" s="23">
        <v>1.645161290322581</v>
      </c>
      <c r="AN460" s="23">
        <v>1.67741935483871</v>
      </c>
      <c r="AO460" s="23">
        <v>0.25806451612903231</v>
      </c>
      <c r="AP460" s="23">
        <v>0</v>
      </c>
      <c r="AQ460" s="23">
        <v>0.45945945945945948</v>
      </c>
      <c r="AR460" s="23">
        <v>0.46846846846846851</v>
      </c>
      <c r="AS460" s="23">
        <v>7.2072072072072071E-2</v>
      </c>
      <c r="AT460" s="23">
        <v>0</v>
      </c>
      <c r="AU460" s="20">
        <v>1.1000000000000001</v>
      </c>
      <c r="AV460" s="20">
        <v>3.44</v>
      </c>
      <c r="AW460" s="20">
        <v>2.34</v>
      </c>
      <c r="AX460" s="20">
        <v>2.5503225806451608</v>
      </c>
      <c r="AY460">
        <v>2.5503225806451608</v>
      </c>
      <c r="AZ460">
        <v>6.5616712216890649</v>
      </c>
      <c r="BD460">
        <v>3.108523940014531E-2</v>
      </c>
      <c r="BH460">
        <v>5.6518617091173291E-2</v>
      </c>
      <c r="BI460">
        <v>3.108523940014531E-2</v>
      </c>
      <c r="BJ460">
        <v>0</v>
      </c>
    </row>
    <row r="461" spans="1:62" x14ac:dyDescent="0.3">
      <c r="A461" t="s">
        <v>379</v>
      </c>
      <c r="B461" s="17" t="s">
        <v>1042</v>
      </c>
      <c r="C461" s="12"/>
      <c r="F461">
        <v>3.4</v>
      </c>
      <c r="G461" t="s">
        <v>380</v>
      </c>
      <c r="H461" s="8">
        <v>-1</v>
      </c>
      <c r="I461">
        <v>-1</v>
      </c>
      <c r="K461">
        <v>1</v>
      </c>
      <c r="L461" s="20">
        <v>0</v>
      </c>
      <c r="M461">
        <v>0</v>
      </c>
      <c r="N461">
        <v>0</v>
      </c>
      <c r="O461">
        <v>3.82</v>
      </c>
      <c r="P461">
        <v>3.82</v>
      </c>
      <c r="Q461">
        <v>29.2</v>
      </c>
      <c r="R461" t="s">
        <v>519</v>
      </c>
      <c r="S461">
        <v>29.2</v>
      </c>
      <c r="T461" s="20">
        <v>0</v>
      </c>
      <c r="W461">
        <v>0</v>
      </c>
      <c r="Z461">
        <v>0</v>
      </c>
      <c r="AD461">
        <v>20</v>
      </c>
      <c r="AE461" s="44">
        <f t="shared" si="34"/>
        <v>426.09807999999998</v>
      </c>
      <c r="AF461" s="46">
        <v>0</v>
      </c>
      <c r="AG461" s="44">
        <v>0</v>
      </c>
      <c r="AH461" s="44">
        <v>0</v>
      </c>
      <c r="AI461" s="41">
        <f t="shared" si="33"/>
        <v>4.6937550152772338E-2</v>
      </c>
      <c r="AM461" s="23">
        <v>1.594594594594595</v>
      </c>
      <c r="AN461" s="23">
        <v>1.513513513513514</v>
      </c>
      <c r="AO461" s="23">
        <v>0.2162162162162162</v>
      </c>
      <c r="AP461" s="23">
        <v>0</v>
      </c>
      <c r="AQ461" s="23">
        <v>0.47967479674796748</v>
      </c>
      <c r="AR461" s="23">
        <v>0.45528455284552849</v>
      </c>
      <c r="AS461" s="23">
        <v>6.5040650406504072E-2</v>
      </c>
      <c r="AT461" s="23">
        <v>0</v>
      </c>
      <c r="AU461" s="20">
        <v>1.1000000000000001</v>
      </c>
      <c r="AV461" s="20">
        <v>3.44</v>
      </c>
      <c r="AW461" s="20">
        <v>2.34</v>
      </c>
      <c r="AX461" s="20">
        <v>2.512432432432433</v>
      </c>
      <c r="AY461">
        <v>2.512432432432433</v>
      </c>
      <c r="AZ461">
        <v>6.6118993157774328</v>
      </c>
      <c r="BD461">
        <v>2.5815652584024788E-2</v>
      </c>
      <c r="BH461">
        <v>4.6937550152772338E-2</v>
      </c>
      <c r="BI461">
        <v>2.5815652584024788E-2</v>
      </c>
      <c r="BJ461">
        <v>0</v>
      </c>
    </row>
    <row r="462" spans="1:62" x14ac:dyDescent="0.3">
      <c r="A462" t="s">
        <v>1134</v>
      </c>
      <c r="B462" s="17" t="s">
        <v>1043</v>
      </c>
      <c r="C462" s="12"/>
      <c r="F462">
        <v>3.38</v>
      </c>
      <c r="G462" t="s">
        <v>380</v>
      </c>
      <c r="H462" s="8">
        <v>-1</v>
      </c>
      <c r="I462">
        <v>-1</v>
      </c>
      <c r="K462">
        <v>1</v>
      </c>
      <c r="L462" s="20">
        <v>0</v>
      </c>
      <c r="M462">
        <v>0</v>
      </c>
      <c r="N462">
        <v>0</v>
      </c>
      <c r="O462">
        <v>3.82</v>
      </c>
      <c r="P462">
        <v>3.82</v>
      </c>
      <c r="Q462">
        <v>31.3</v>
      </c>
      <c r="R462" t="s">
        <v>519</v>
      </c>
      <c r="S462">
        <v>31.3</v>
      </c>
      <c r="T462" s="20">
        <v>0</v>
      </c>
      <c r="W462">
        <v>0</v>
      </c>
      <c r="Z462">
        <v>0</v>
      </c>
      <c r="AD462">
        <v>20</v>
      </c>
      <c r="AE462" s="44">
        <f t="shared" si="34"/>
        <v>456.74212</v>
      </c>
      <c r="AF462" s="46">
        <v>0</v>
      </c>
      <c r="AG462" s="44">
        <v>0</v>
      </c>
      <c r="AH462" s="44">
        <v>0</v>
      </c>
      <c r="AI462" s="41">
        <f t="shared" ref="AI462:AI484" si="35">K462*AD462/AE462</f>
        <v>4.3788385446036811E-2</v>
      </c>
      <c r="AM462" s="23">
        <v>1.558139534883721</v>
      </c>
      <c r="AN462" s="23">
        <v>1.3953488372093019</v>
      </c>
      <c r="AO462" s="23">
        <v>0.186046511627907</v>
      </c>
      <c r="AP462" s="23">
        <v>0</v>
      </c>
      <c r="AQ462" s="23">
        <v>0.49629629629629629</v>
      </c>
      <c r="AR462" s="23">
        <v>0.44444444444444448</v>
      </c>
      <c r="AS462" s="23">
        <v>5.9259259259259262E-2</v>
      </c>
      <c r="AT462" s="23">
        <v>0</v>
      </c>
      <c r="AU462" s="20">
        <v>1.1000000000000001</v>
      </c>
      <c r="AV462" s="20">
        <v>3.44</v>
      </c>
      <c r="AW462" s="20">
        <v>2.34</v>
      </c>
      <c r="AX462" s="20">
        <v>2.4851162790697678</v>
      </c>
      <c r="AY462">
        <v>2.485116279069767</v>
      </c>
      <c r="AZ462">
        <v>6.6481102673295114</v>
      </c>
      <c r="BD462">
        <v>2.4083611995320251E-2</v>
      </c>
      <c r="BH462">
        <v>4.3788385446036811E-2</v>
      </c>
      <c r="BI462">
        <v>2.4083611995320251E-2</v>
      </c>
      <c r="BJ462">
        <v>0</v>
      </c>
    </row>
    <row r="463" spans="1:62" x14ac:dyDescent="0.3">
      <c r="A463" t="s">
        <v>381</v>
      </c>
      <c r="B463" s="12" t="s">
        <v>838</v>
      </c>
      <c r="C463" s="12"/>
      <c r="F463">
        <v>3.47</v>
      </c>
      <c r="G463" t="s">
        <v>380</v>
      </c>
      <c r="H463" s="8">
        <v>-1</v>
      </c>
      <c r="I463">
        <v>-1</v>
      </c>
      <c r="K463">
        <v>2</v>
      </c>
      <c r="L463" s="20">
        <v>0</v>
      </c>
      <c r="M463">
        <v>0</v>
      </c>
      <c r="N463">
        <v>0</v>
      </c>
      <c r="O463">
        <v>3.78</v>
      </c>
      <c r="P463">
        <v>3.78</v>
      </c>
      <c r="Q463">
        <v>27.2</v>
      </c>
      <c r="R463" t="s">
        <v>519</v>
      </c>
      <c r="S463">
        <v>13.6</v>
      </c>
      <c r="T463" s="20">
        <v>0</v>
      </c>
      <c r="W463">
        <v>0</v>
      </c>
      <c r="Z463">
        <v>0</v>
      </c>
      <c r="AD463">
        <v>20</v>
      </c>
      <c r="AE463" s="44">
        <f t="shared" si="34"/>
        <v>388.64447999999999</v>
      </c>
      <c r="AF463" s="46">
        <v>0</v>
      </c>
      <c r="AG463" s="44">
        <v>0</v>
      </c>
      <c r="AH463" s="44">
        <v>0</v>
      </c>
      <c r="AI463" s="41">
        <f t="shared" si="35"/>
        <v>0.10292182716708083</v>
      </c>
      <c r="AM463" s="23">
        <v>1.882352941176471</v>
      </c>
      <c r="AN463" s="23">
        <v>2.3529411764705879</v>
      </c>
      <c r="AO463" s="23">
        <v>0.35294117647058831</v>
      </c>
      <c r="AP463" s="23">
        <v>0.47058823529411759</v>
      </c>
      <c r="AQ463" s="23">
        <v>0.37209302325581389</v>
      </c>
      <c r="AR463" s="23">
        <v>0.46511627906976749</v>
      </c>
      <c r="AS463" s="23">
        <v>6.9767441860465129E-2</v>
      </c>
      <c r="AT463" s="23">
        <v>9.3023255813953487E-2</v>
      </c>
      <c r="AU463" s="20">
        <v>1.1399999999999999</v>
      </c>
      <c r="AV463" s="20">
        <v>3.44</v>
      </c>
      <c r="AW463" s="20">
        <v>2.2999999999999998</v>
      </c>
      <c r="AX463" s="20">
        <v>2.6882352941176468</v>
      </c>
      <c r="AY463">
        <v>2.6882352941176468</v>
      </c>
      <c r="AZ463">
        <v>6.2192249941001183</v>
      </c>
      <c r="BD463">
        <v>5.1460913583540407E-2</v>
      </c>
      <c r="BH463">
        <v>0.1029218271670808</v>
      </c>
      <c r="BI463">
        <v>5.1460913583540407E-2</v>
      </c>
      <c r="BJ463">
        <v>0</v>
      </c>
    </row>
    <row r="464" spans="1:62" x14ac:dyDescent="0.3">
      <c r="A464" t="s">
        <v>382</v>
      </c>
      <c r="B464" s="17" t="s">
        <v>1044</v>
      </c>
      <c r="C464" s="12"/>
      <c r="F464">
        <v>3.4</v>
      </c>
      <c r="G464" t="s">
        <v>380</v>
      </c>
      <c r="H464" s="8">
        <v>-1</v>
      </c>
      <c r="I464">
        <v>-1</v>
      </c>
      <c r="K464">
        <v>2</v>
      </c>
      <c r="L464" s="20">
        <v>0</v>
      </c>
      <c r="M464">
        <v>0</v>
      </c>
      <c r="N464">
        <v>0</v>
      </c>
      <c r="O464">
        <v>3.81</v>
      </c>
      <c r="P464">
        <v>3.81</v>
      </c>
      <c r="Q464">
        <v>35.4</v>
      </c>
      <c r="R464" t="s">
        <v>519</v>
      </c>
      <c r="S464">
        <v>17.7</v>
      </c>
      <c r="T464" s="20">
        <v>0</v>
      </c>
      <c r="W464">
        <v>0</v>
      </c>
      <c r="Z464">
        <v>0</v>
      </c>
      <c r="AD464">
        <v>20</v>
      </c>
      <c r="AE464" s="44">
        <f t="shared" si="34"/>
        <v>513.86993999999993</v>
      </c>
      <c r="AF464" s="46">
        <v>0</v>
      </c>
      <c r="AG464" s="44">
        <v>0</v>
      </c>
      <c r="AH464" s="44">
        <v>0</v>
      </c>
      <c r="AI464" s="41">
        <f t="shared" si="35"/>
        <v>7.7840708098239814E-2</v>
      </c>
      <c r="AM464" s="23">
        <v>1.695652173913043</v>
      </c>
      <c r="AN464" s="23">
        <v>1.826086956521739</v>
      </c>
      <c r="AO464" s="23">
        <v>0.2608695652173913</v>
      </c>
      <c r="AP464" s="23">
        <v>0.34782608695652167</v>
      </c>
      <c r="AQ464" s="23">
        <v>0.41052631578947368</v>
      </c>
      <c r="AR464" s="23">
        <v>0.44210526315789472</v>
      </c>
      <c r="AS464" s="23">
        <v>6.3157894736842107E-2</v>
      </c>
      <c r="AT464" s="23">
        <v>8.4210526315789472E-2</v>
      </c>
      <c r="AU464" s="20">
        <v>1.1399999999999999</v>
      </c>
      <c r="AV464" s="20">
        <v>3.44</v>
      </c>
      <c r="AW464" s="20">
        <v>2.2999999999999998</v>
      </c>
      <c r="AX464" s="20">
        <v>2.5760869565217388</v>
      </c>
      <c r="AY464">
        <v>2.5760869565217388</v>
      </c>
      <c r="AZ464">
        <v>6.4291568349981301</v>
      </c>
      <c r="BD464">
        <v>3.8920354049119907E-2</v>
      </c>
      <c r="BH464">
        <v>7.7840708098239814E-2</v>
      </c>
      <c r="BI464">
        <v>3.8920354049119907E-2</v>
      </c>
      <c r="BJ464">
        <v>0</v>
      </c>
    </row>
    <row r="465" spans="1:62" x14ac:dyDescent="0.3">
      <c r="A465" t="s">
        <v>383</v>
      </c>
      <c r="B465" s="17" t="s">
        <v>1045</v>
      </c>
      <c r="C465" s="12"/>
      <c r="F465">
        <v>3.32</v>
      </c>
      <c r="G465" t="s">
        <v>380</v>
      </c>
      <c r="H465" s="8">
        <v>-1</v>
      </c>
      <c r="I465">
        <v>-1</v>
      </c>
      <c r="K465">
        <v>1</v>
      </c>
      <c r="L465" s="20">
        <v>0</v>
      </c>
      <c r="M465">
        <v>0</v>
      </c>
      <c r="N465">
        <v>0</v>
      </c>
      <c r="O465">
        <v>3.8</v>
      </c>
      <c r="P465">
        <v>3.8</v>
      </c>
      <c r="Q465">
        <v>19.899999999999999</v>
      </c>
      <c r="R465" t="s">
        <v>519</v>
      </c>
      <c r="S465">
        <v>19.899999999999999</v>
      </c>
      <c r="T465" s="20">
        <v>0</v>
      </c>
      <c r="W465">
        <v>0</v>
      </c>
      <c r="Z465">
        <v>0</v>
      </c>
      <c r="AD465">
        <v>20</v>
      </c>
      <c r="AE465" s="44">
        <f t="shared" si="34"/>
        <v>287.35599999999999</v>
      </c>
      <c r="AF465" s="46">
        <v>0</v>
      </c>
      <c r="AG465" s="44">
        <v>0</v>
      </c>
      <c r="AH465" s="44">
        <v>0</v>
      </c>
      <c r="AI465" s="41">
        <f t="shared" si="35"/>
        <v>6.9600077952087308E-2</v>
      </c>
      <c r="AM465" s="23">
        <v>1.653846153846154</v>
      </c>
      <c r="AN465" s="23">
        <v>1.6923076923076921</v>
      </c>
      <c r="AO465" s="23">
        <v>0.23076923076923081</v>
      </c>
      <c r="AP465" s="23">
        <v>0.30769230769230771</v>
      </c>
      <c r="AQ465" s="23">
        <v>0.42574257425742568</v>
      </c>
      <c r="AR465" s="23">
        <v>0.43564356435643559</v>
      </c>
      <c r="AS465" s="23">
        <v>5.940594059405941E-2</v>
      </c>
      <c r="AT465" s="23">
        <v>7.9207920792079209E-2</v>
      </c>
      <c r="AU465" s="20">
        <v>1.1399999999999999</v>
      </c>
      <c r="AV465" s="20">
        <v>3.44</v>
      </c>
      <c r="AW465" s="20">
        <v>2.2999999999999998</v>
      </c>
      <c r="AX465" s="20">
        <v>2.546153846153846</v>
      </c>
      <c r="AY465">
        <v>2.546153846153846</v>
      </c>
      <c r="AZ465">
        <v>6.4801861773330387</v>
      </c>
      <c r="BD465">
        <v>3.4800038976043647E-2</v>
      </c>
      <c r="BH465">
        <v>6.9600077952087308E-2</v>
      </c>
      <c r="BI465">
        <v>3.4800038976043647E-2</v>
      </c>
      <c r="BJ465">
        <v>0</v>
      </c>
    </row>
    <row r="466" spans="1:62" x14ac:dyDescent="0.3">
      <c r="A466" t="s">
        <v>384</v>
      </c>
      <c r="B466" s="17" t="s">
        <v>1046</v>
      </c>
      <c r="C466" s="12"/>
      <c r="F466">
        <v>3.33</v>
      </c>
      <c r="G466" t="s">
        <v>380</v>
      </c>
      <c r="H466" s="8">
        <v>-1</v>
      </c>
      <c r="I466">
        <v>-1</v>
      </c>
      <c r="K466">
        <v>1</v>
      </c>
      <c r="L466" s="20">
        <v>0</v>
      </c>
      <c r="M466">
        <v>0</v>
      </c>
      <c r="N466">
        <v>0</v>
      </c>
      <c r="O466">
        <v>3.78</v>
      </c>
      <c r="P466">
        <v>3.78</v>
      </c>
      <c r="Q466">
        <v>21.5</v>
      </c>
      <c r="R466" t="s">
        <v>519</v>
      </c>
      <c r="S466">
        <v>21.5</v>
      </c>
      <c r="T466" s="20">
        <v>0</v>
      </c>
      <c r="W466">
        <v>0</v>
      </c>
      <c r="Z466">
        <v>0</v>
      </c>
      <c r="AD466">
        <v>20</v>
      </c>
      <c r="AE466" s="44">
        <f t="shared" si="34"/>
        <v>307.20060000000001</v>
      </c>
      <c r="AF466" s="46">
        <v>0</v>
      </c>
      <c r="AG466" s="44">
        <v>0</v>
      </c>
      <c r="AH466" s="44">
        <v>0</v>
      </c>
      <c r="AI466" s="41">
        <f t="shared" si="35"/>
        <v>6.5104039510339495E-2</v>
      </c>
      <c r="AM466" s="23">
        <v>1.6206896551724139</v>
      </c>
      <c r="AN466" s="23">
        <v>1.586206896551724</v>
      </c>
      <c r="AO466" s="23">
        <v>0.2068965517241379</v>
      </c>
      <c r="AP466" s="23">
        <v>0.27586206896551718</v>
      </c>
      <c r="AQ466" s="23">
        <v>0.43925233644859812</v>
      </c>
      <c r="AR466" s="23">
        <v>0.42990654205607481</v>
      </c>
      <c r="AS466" s="23">
        <v>5.6074766355140193E-2</v>
      </c>
      <c r="AT466" s="23">
        <v>7.476635514018691E-2</v>
      </c>
      <c r="AU466" s="20">
        <v>1.1399999999999999</v>
      </c>
      <c r="AV466" s="20">
        <v>3.44</v>
      </c>
      <c r="AW466" s="20">
        <v>2.2999999999999998</v>
      </c>
      <c r="AX466" s="20">
        <v>2.522413793103448</v>
      </c>
      <c r="AY466">
        <v>2.522413793103448</v>
      </c>
      <c r="AZ466">
        <v>6.5206577247021036</v>
      </c>
      <c r="BD466">
        <v>3.2552019755169748E-2</v>
      </c>
      <c r="BH466">
        <v>6.5104039510339495E-2</v>
      </c>
      <c r="BI466">
        <v>3.2552019755169748E-2</v>
      </c>
      <c r="BJ466">
        <v>0</v>
      </c>
    </row>
    <row r="467" spans="1:62" x14ac:dyDescent="0.3">
      <c r="A467" t="s">
        <v>385</v>
      </c>
      <c r="B467" s="17" t="s">
        <v>1047</v>
      </c>
      <c r="C467" s="12"/>
      <c r="F467">
        <v>3.33</v>
      </c>
      <c r="G467" t="s">
        <v>380</v>
      </c>
      <c r="H467" s="8">
        <v>-1</v>
      </c>
      <c r="I467">
        <v>-1</v>
      </c>
      <c r="K467">
        <v>1</v>
      </c>
      <c r="L467" s="20">
        <v>0</v>
      </c>
      <c r="M467">
        <v>0</v>
      </c>
      <c r="N467">
        <v>0</v>
      </c>
      <c r="O467">
        <v>3.78</v>
      </c>
      <c r="P467">
        <v>3.78</v>
      </c>
      <c r="Q467">
        <v>24.4</v>
      </c>
      <c r="R467" t="s">
        <v>519</v>
      </c>
      <c r="S467">
        <v>24.4</v>
      </c>
      <c r="T467" s="20">
        <v>0</v>
      </c>
      <c r="W467">
        <v>0</v>
      </c>
      <c r="Z467">
        <v>0</v>
      </c>
      <c r="AD467">
        <v>20</v>
      </c>
      <c r="AE467" s="44">
        <f t="shared" si="34"/>
        <v>348.63695999999999</v>
      </c>
      <c r="AF467" s="46">
        <v>0</v>
      </c>
      <c r="AG467" s="44">
        <v>0</v>
      </c>
      <c r="AH467" s="44">
        <v>0</v>
      </c>
      <c r="AI467" s="41">
        <f t="shared" si="35"/>
        <v>5.7366264322635217E-2</v>
      </c>
      <c r="AM467" s="23">
        <v>1.59375</v>
      </c>
      <c r="AN467" s="23">
        <v>1.5</v>
      </c>
      <c r="AO467" s="23">
        <v>0.1875</v>
      </c>
      <c r="AP467" s="23">
        <v>0.25</v>
      </c>
      <c r="AQ467" s="23">
        <v>0.45132743362831862</v>
      </c>
      <c r="AR467" s="23">
        <v>0.4247787610619469</v>
      </c>
      <c r="AS467" s="23">
        <v>5.3097345132743362E-2</v>
      </c>
      <c r="AT467" s="23">
        <v>7.0796460176991149E-2</v>
      </c>
      <c r="AU467" s="20">
        <v>1.1399999999999999</v>
      </c>
      <c r="AV467" s="20">
        <v>3.44</v>
      </c>
      <c r="AW467" s="20">
        <v>2.2999999999999998</v>
      </c>
      <c r="AX467" s="20">
        <v>2.5031249999999998</v>
      </c>
      <c r="AY467">
        <v>2.5031249999999998</v>
      </c>
      <c r="AZ467">
        <v>6.5535408569394704</v>
      </c>
      <c r="BD467">
        <v>2.8683132161317609E-2</v>
      </c>
      <c r="BH467">
        <v>5.7366264322635217E-2</v>
      </c>
      <c r="BI467">
        <v>2.8683132161317609E-2</v>
      </c>
      <c r="BJ467">
        <v>0</v>
      </c>
    </row>
    <row r="468" spans="1:62" x14ac:dyDescent="0.3">
      <c r="A468" t="s">
        <v>386</v>
      </c>
      <c r="B468" s="17" t="s">
        <v>1048</v>
      </c>
      <c r="C468" s="12"/>
      <c r="F468">
        <v>3.35</v>
      </c>
      <c r="G468" t="s">
        <v>380</v>
      </c>
      <c r="H468" s="8">
        <v>-1</v>
      </c>
      <c r="I468">
        <v>-1</v>
      </c>
      <c r="K468">
        <v>1</v>
      </c>
      <c r="L468" s="20">
        <v>0</v>
      </c>
      <c r="M468">
        <v>0</v>
      </c>
      <c r="N468">
        <v>0</v>
      </c>
      <c r="O468">
        <v>3.8</v>
      </c>
      <c r="P468">
        <v>3.8</v>
      </c>
      <c r="Q468">
        <v>29.2</v>
      </c>
      <c r="R468" t="s">
        <v>519</v>
      </c>
      <c r="S468">
        <v>29.2</v>
      </c>
      <c r="T468" s="20">
        <v>0</v>
      </c>
      <c r="W468">
        <v>0</v>
      </c>
      <c r="Z468">
        <v>0</v>
      </c>
      <c r="AD468">
        <v>20</v>
      </c>
      <c r="AE468" s="44">
        <f t="shared" si="34"/>
        <v>421.64799999999997</v>
      </c>
      <c r="AF468" s="46">
        <v>0</v>
      </c>
      <c r="AG468" s="44">
        <v>0</v>
      </c>
      <c r="AH468" s="44">
        <v>0</v>
      </c>
      <c r="AI468" s="41">
        <f t="shared" si="35"/>
        <v>4.7432929837210189E-2</v>
      </c>
      <c r="AM468" s="23">
        <v>1.5526315789473679</v>
      </c>
      <c r="AN468" s="23">
        <v>1.368421052631579</v>
      </c>
      <c r="AO468" s="23">
        <v>0.15789473684210531</v>
      </c>
      <c r="AP468" s="23">
        <v>0.2105263157894737</v>
      </c>
      <c r="AQ468" s="23">
        <v>0.47199999999999998</v>
      </c>
      <c r="AR468" s="23">
        <v>0.41599999999999998</v>
      </c>
      <c r="AS468" s="23">
        <v>4.8000000000000001E-2</v>
      </c>
      <c r="AT468" s="23">
        <v>6.4000000000000001E-2</v>
      </c>
      <c r="AU468" s="20">
        <v>1.1399999999999999</v>
      </c>
      <c r="AV468" s="20">
        <v>3.44</v>
      </c>
      <c r="AW468" s="20">
        <v>2.2999999999999998</v>
      </c>
      <c r="AX468" s="20">
        <v>2.4736842105263159</v>
      </c>
      <c r="AY468">
        <v>2.473684210526315</v>
      </c>
      <c r="AZ468">
        <v>6.6037309008807101</v>
      </c>
      <c r="BD468">
        <v>2.3716464918605091E-2</v>
      </c>
      <c r="BH468">
        <v>4.7432929837210189E-2</v>
      </c>
      <c r="BI468">
        <v>2.3716464918605091E-2</v>
      </c>
      <c r="BJ468">
        <v>0</v>
      </c>
    </row>
    <row r="469" spans="1:62" x14ac:dyDescent="0.3">
      <c r="A469" t="s">
        <v>387</v>
      </c>
      <c r="B469" s="17" t="s">
        <v>1049</v>
      </c>
      <c r="C469" s="12"/>
      <c r="F469">
        <v>3.36</v>
      </c>
      <c r="G469" t="s">
        <v>380</v>
      </c>
      <c r="H469" s="8">
        <v>-1</v>
      </c>
      <c r="I469">
        <v>-1</v>
      </c>
      <c r="K469">
        <v>1</v>
      </c>
      <c r="L469" s="20">
        <v>0</v>
      </c>
      <c r="M469">
        <v>0</v>
      </c>
      <c r="N469">
        <v>0</v>
      </c>
      <c r="O469">
        <v>3.8</v>
      </c>
      <c r="P469">
        <v>3.8</v>
      </c>
      <c r="Q469">
        <v>33.4</v>
      </c>
      <c r="R469" t="s">
        <v>519</v>
      </c>
      <c r="S469">
        <v>33.4</v>
      </c>
      <c r="T469" s="20">
        <v>0</v>
      </c>
      <c r="W469">
        <v>0</v>
      </c>
      <c r="Z469">
        <v>0</v>
      </c>
      <c r="AD469">
        <v>20</v>
      </c>
      <c r="AE469" s="44">
        <f t="shared" si="34"/>
        <v>482.29599999999994</v>
      </c>
      <c r="AF469" s="46">
        <v>0</v>
      </c>
      <c r="AG469" s="44">
        <v>0</v>
      </c>
      <c r="AH469" s="44">
        <v>0</v>
      </c>
      <c r="AI469" s="41">
        <f t="shared" si="35"/>
        <v>4.1468309917561008E-2</v>
      </c>
      <c r="AM469" s="23">
        <v>1.5227272727272729</v>
      </c>
      <c r="AN469" s="23">
        <v>1.2727272727272729</v>
      </c>
      <c r="AO469" s="23">
        <v>0.13636363636363641</v>
      </c>
      <c r="AP469" s="23">
        <v>0.1818181818181818</v>
      </c>
      <c r="AQ469" s="23">
        <v>0.48905109489051091</v>
      </c>
      <c r="AR469" s="23">
        <v>0.40875912408759119</v>
      </c>
      <c r="AS469" s="23">
        <v>4.3795620437956199E-2</v>
      </c>
      <c r="AT469" s="23">
        <v>5.8394160583941597E-2</v>
      </c>
      <c r="AU469" s="20">
        <v>1.1399999999999999</v>
      </c>
      <c r="AV469" s="20">
        <v>3.44</v>
      </c>
      <c r="AW469" s="20">
        <v>2.2999999999999998</v>
      </c>
      <c r="AX469" s="20">
        <v>2.452272727272728</v>
      </c>
      <c r="AY469">
        <v>2.4522727272727272</v>
      </c>
      <c r="AZ469">
        <v>6.6402327510197949</v>
      </c>
      <c r="BD469">
        <v>2.0734154958780501E-2</v>
      </c>
      <c r="BH469">
        <v>4.1468309917561008E-2</v>
      </c>
      <c r="BI469">
        <v>2.0734154958780501E-2</v>
      </c>
      <c r="BJ469">
        <v>0</v>
      </c>
    </row>
    <row r="470" spans="1:62" x14ac:dyDescent="0.3">
      <c r="A470" t="s">
        <v>388</v>
      </c>
      <c r="B470" s="17" t="s">
        <v>1050</v>
      </c>
      <c r="C470" s="12"/>
      <c r="F470">
        <v>3.33</v>
      </c>
      <c r="G470" t="s">
        <v>380</v>
      </c>
      <c r="H470" s="8">
        <v>-1</v>
      </c>
      <c r="I470">
        <v>-1</v>
      </c>
      <c r="K470">
        <v>2</v>
      </c>
      <c r="L470" s="20">
        <v>0</v>
      </c>
      <c r="M470">
        <v>0</v>
      </c>
      <c r="N470">
        <v>0</v>
      </c>
      <c r="O470">
        <v>3.76</v>
      </c>
      <c r="P470">
        <v>3.76</v>
      </c>
      <c r="Q470">
        <v>34.1</v>
      </c>
      <c r="R470" t="s">
        <v>519</v>
      </c>
      <c r="S470">
        <v>17.100000000000001</v>
      </c>
      <c r="T470" s="20">
        <v>0</v>
      </c>
      <c r="W470">
        <v>0</v>
      </c>
      <c r="Z470">
        <v>0</v>
      </c>
      <c r="AD470">
        <v>22</v>
      </c>
      <c r="AE470" s="44">
        <f t="shared" si="34"/>
        <v>482.09215999999998</v>
      </c>
      <c r="AF470" s="46">
        <v>0</v>
      </c>
      <c r="AG470" s="44">
        <v>0</v>
      </c>
      <c r="AH470" s="44">
        <v>0</v>
      </c>
      <c r="AI470" s="41">
        <f t="shared" si="35"/>
        <v>9.12688561456797E-2</v>
      </c>
      <c r="AM470" s="23">
        <v>1.7391304347826091</v>
      </c>
      <c r="AN470" s="23">
        <v>2</v>
      </c>
      <c r="AO470" s="23">
        <v>0.2608695652173913</v>
      </c>
      <c r="AP470" s="23">
        <v>0.34782608695652167</v>
      </c>
      <c r="AQ470" s="23">
        <v>0.4</v>
      </c>
      <c r="AR470" s="23">
        <v>0.46</v>
      </c>
      <c r="AS470" s="23">
        <v>0.06</v>
      </c>
      <c r="AT470" s="23">
        <v>0.08</v>
      </c>
      <c r="AU470" s="20">
        <v>1.1399999999999999</v>
      </c>
      <c r="AV470" s="20">
        <v>3.44</v>
      </c>
      <c r="AW470" s="20">
        <v>2.2999999999999998</v>
      </c>
      <c r="AX470" s="20">
        <v>2.63</v>
      </c>
      <c r="AY470">
        <v>2.63</v>
      </c>
      <c r="AZ470">
        <v>6.444942219787217</v>
      </c>
      <c r="BD470">
        <v>4.563442807283985E-2</v>
      </c>
      <c r="BH470">
        <v>9.12688561456797E-2</v>
      </c>
      <c r="BI470">
        <v>4.563442807283985E-2</v>
      </c>
      <c r="BJ470">
        <v>0</v>
      </c>
    </row>
    <row r="471" spans="1:62" x14ac:dyDescent="0.3">
      <c r="A471" t="s">
        <v>389</v>
      </c>
      <c r="B471" s="17" t="s">
        <v>1051</v>
      </c>
      <c r="C471" s="12"/>
      <c r="F471">
        <v>3.33</v>
      </c>
      <c r="G471" t="s">
        <v>380</v>
      </c>
      <c r="H471" s="8">
        <v>-1</v>
      </c>
      <c r="I471">
        <v>-1</v>
      </c>
      <c r="K471">
        <v>2</v>
      </c>
      <c r="L471" s="20">
        <v>0</v>
      </c>
      <c r="M471">
        <v>0</v>
      </c>
      <c r="N471">
        <v>0</v>
      </c>
      <c r="O471">
        <v>3.77</v>
      </c>
      <c r="P471">
        <v>3.77</v>
      </c>
      <c r="Q471">
        <v>40.9</v>
      </c>
      <c r="R471" t="s">
        <v>519</v>
      </c>
      <c r="S471">
        <v>20.5</v>
      </c>
      <c r="T471" s="20">
        <v>0</v>
      </c>
      <c r="W471">
        <v>0</v>
      </c>
      <c r="Z471">
        <v>0</v>
      </c>
      <c r="AD471">
        <v>22</v>
      </c>
      <c r="AE471" s="44">
        <f t="shared" si="34"/>
        <v>581.30760999999995</v>
      </c>
      <c r="AF471" s="46">
        <v>0</v>
      </c>
      <c r="AG471" s="44">
        <v>0</v>
      </c>
      <c r="AH471" s="44">
        <v>0</v>
      </c>
      <c r="AI471" s="41">
        <f t="shared" si="35"/>
        <v>7.5691422653145726E-2</v>
      </c>
      <c r="AM471" s="23">
        <v>1.6923076923076921</v>
      </c>
      <c r="AN471" s="23">
        <v>1.846153846153846</v>
      </c>
      <c r="AO471" s="23">
        <v>0.23076923076923081</v>
      </c>
      <c r="AP471" s="23">
        <v>0.30769230769230771</v>
      </c>
      <c r="AQ471" s="23">
        <v>0.41509433962264147</v>
      </c>
      <c r="AR471" s="23">
        <v>0.45283018867924529</v>
      </c>
      <c r="AS471" s="23">
        <v>5.6603773584905669E-2</v>
      </c>
      <c r="AT471" s="23">
        <v>7.5471698113207558E-2</v>
      </c>
      <c r="AU471" s="20">
        <v>1.1399999999999999</v>
      </c>
      <c r="AV471" s="20">
        <v>3.44</v>
      </c>
      <c r="AW471" s="20">
        <v>2.2999999999999998</v>
      </c>
      <c r="AX471" s="20">
        <v>2.5938461538461541</v>
      </c>
      <c r="AY471">
        <v>2.5938461538461541</v>
      </c>
      <c r="AZ471">
        <v>6.4941501715695384</v>
      </c>
      <c r="BD471">
        <v>3.7845711326572863E-2</v>
      </c>
      <c r="BH471">
        <v>7.5691422653145726E-2</v>
      </c>
      <c r="BI471">
        <v>3.7845711326572863E-2</v>
      </c>
      <c r="BJ471">
        <v>0</v>
      </c>
    </row>
    <row r="472" spans="1:62" x14ac:dyDescent="0.3">
      <c r="A472" t="s">
        <v>390</v>
      </c>
      <c r="B472" s="17" t="s">
        <v>1052</v>
      </c>
      <c r="C472" s="12"/>
      <c r="F472">
        <v>3.32</v>
      </c>
      <c r="G472" t="s">
        <v>380</v>
      </c>
      <c r="H472" s="8">
        <v>-1</v>
      </c>
      <c r="I472">
        <v>-1</v>
      </c>
      <c r="K472">
        <v>2</v>
      </c>
      <c r="L472" s="20">
        <v>0</v>
      </c>
      <c r="M472">
        <v>0</v>
      </c>
      <c r="N472">
        <v>0</v>
      </c>
      <c r="O472">
        <v>3.79</v>
      </c>
      <c r="P472">
        <v>3.79</v>
      </c>
      <c r="Q472">
        <v>43.8</v>
      </c>
      <c r="R472" t="s">
        <v>519</v>
      </c>
      <c r="S472">
        <v>21.9</v>
      </c>
      <c r="T472" s="20">
        <v>0</v>
      </c>
      <c r="W472">
        <v>0</v>
      </c>
      <c r="Z472">
        <v>0</v>
      </c>
      <c r="AD472">
        <v>22</v>
      </c>
      <c r="AE472" s="44">
        <f t="shared" si="34"/>
        <v>629.14757999999995</v>
      </c>
      <c r="AF472" s="46">
        <v>0</v>
      </c>
      <c r="AG472" s="44">
        <v>0</v>
      </c>
      <c r="AH472" s="44">
        <v>0</v>
      </c>
      <c r="AI472" s="41">
        <f t="shared" si="35"/>
        <v>6.9935896439433182E-2</v>
      </c>
      <c r="AM472" s="23">
        <v>1.655172413793103</v>
      </c>
      <c r="AN472" s="23">
        <v>1.7241379310344831</v>
      </c>
      <c r="AO472" s="23">
        <v>0.2068965517241379</v>
      </c>
      <c r="AP472" s="23">
        <v>0.27586206896551718</v>
      </c>
      <c r="AQ472" s="23">
        <v>0.42857142857142849</v>
      </c>
      <c r="AR472" s="23">
        <v>0.4464285714285714</v>
      </c>
      <c r="AS472" s="23">
        <v>5.3571428571428568E-2</v>
      </c>
      <c r="AT472" s="23">
        <v>7.1428571428571425E-2</v>
      </c>
      <c r="AU472" s="20">
        <v>1.1399999999999999</v>
      </c>
      <c r="AV472" s="20">
        <v>3.44</v>
      </c>
      <c r="AW472" s="20">
        <v>2.2999999999999998</v>
      </c>
      <c r="AX472" s="20">
        <v>2.5651724137931029</v>
      </c>
      <c r="AY472">
        <v>2.5651724137931029</v>
      </c>
      <c r="AZ472">
        <v>6.53317716781069</v>
      </c>
      <c r="BD472">
        <v>3.4967948219716591E-2</v>
      </c>
      <c r="BH472">
        <v>6.9935896439433182E-2</v>
      </c>
      <c r="BI472">
        <v>3.4967948219716591E-2</v>
      </c>
      <c r="BJ472">
        <v>0</v>
      </c>
    </row>
    <row r="473" spans="1:62" x14ac:dyDescent="0.3">
      <c r="A473" t="s">
        <v>391</v>
      </c>
      <c r="B473" s="17" t="s">
        <v>1053</v>
      </c>
      <c r="C473" s="12"/>
      <c r="F473">
        <v>3.33</v>
      </c>
      <c r="G473" t="s">
        <v>380</v>
      </c>
      <c r="H473" s="8">
        <v>-1</v>
      </c>
      <c r="I473">
        <v>-1</v>
      </c>
      <c r="K473">
        <v>2</v>
      </c>
      <c r="L473" s="20">
        <v>0</v>
      </c>
      <c r="M473">
        <v>0</v>
      </c>
      <c r="N473">
        <v>0</v>
      </c>
      <c r="O473">
        <v>3.78</v>
      </c>
      <c r="P473">
        <v>3.78</v>
      </c>
      <c r="Q473">
        <v>47.3</v>
      </c>
      <c r="R473" t="s">
        <v>519</v>
      </c>
      <c r="S473">
        <v>23.7</v>
      </c>
      <c r="T473" s="20">
        <v>0</v>
      </c>
      <c r="W473">
        <v>0</v>
      </c>
      <c r="Z473">
        <v>0</v>
      </c>
      <c r="AD473">
        <v>22</v>
      </c>
      <c r="AE473" s="44">
        <f t="shared" si="34"/>
        <v>675.84131999999988</v>
      </c>
      <c r="AF473" s="46">
        <v>0</v>
      </c>
      <c r="AG473" s="44">
        <v>0</v>
      </c>
      <c r="AH473" s="44">
        <v>0</v>
      </c>
      <c r="AI473" s="41">
        <f t="shared" si="35"/>
        <v>6.5104039510339509E-2</v>
      </c>
      <c r="AM473" s="23">
        <v>1.625</v>
      </c>
      <c r="AN473" s="23">
        <v>1.625</v>
      </c>
      <c r="AO473" s="23">
        <v>0.1875</v>
      </c>
      <c r="AP473" s="23">
        <v>0.25</v>
      </c>
      <c r="AQ473" s="23">
        <v>0.44067796610169491</v>
      </c>
      <c r="AR473" s="23">
        <v>0.44067796610169491</v>
      </c>
      <c r="AS473" s="23">
        <v>5.0847457627118647E-2</v>
      </c>
      <c r="AT473" s="23">
        <v>6.7796610169491525E-2</v>
      </c>
      <c r="AU473" s="20">
        <v>1.1399999999999999</v>
      </c>
      <c r="AV473" s="20">
        <v>3.44</v>
      </c>
      <c r="AW473" s="20">
        <v>2.2999999999999998</v>
      </c>
      <c r="AX473" s="20">
        <v>2.5418750000000001</v>
      </c>
      <c r="AY473">
        <v>2.5418750000000001</v>
      </c>
      <c r="AZ473">
        <v>6.5648866022566246</v>
      </c>
      <c r="BD473">
        <v>3.2552019755169748E-2</v>
      </c>
      <c r="BH473">
        <v>6.5104039510339509E-2</v>
      </c>
      <c r="BI473">
        <v>3.2552019755169748E-2</v>
      </c>
      <c r="BJ473">
        <v>0</v>
      </c>
    </row>
    <row r="474" spans="1:62" x14ac:dyDescent="0.3">
      <c r="A474" t="s">
        <v>392</v>
      </c>
      <c r="B474" s="17" t="s">
        <v>1054</v>
      </c>
      <c r="C474" s="12"/>
      <c r="F474">
        <v>3.35</v>
      </c>
      <c r="G474" t="s">
        <v>380</v>
      </c>
      <c r="H474" s="8">
        <v>-1</v>
      </c>
      <c r="I474">
        <v>-1</v>
      </c>
      <c r="K474">
        <v>1</v>
      </c>
      <c r="L474" s="20">
        <v>0</v>
      </c>
      <c r="M474">
        <v>0</v>
      </c>
      <c r="N474">
        <v>0</v>
      </c>
      <c r="O474">
        <v>3.81</v>
      </c>
      <c r="P474">
        <v>3.81</v>
      </c>
      <c r="Q474">
        <v>28.3</v>
      </c>
      <c r="R474" t="s">
        <v>519</v>
      </c>
      <c r="S474">
        <v>28.3</v>
      </c>
      <c r="T474" s="20">
        <v>0</v>
      </c>
      <c r="W474">
        <v>0</v>
      </c>
      <c r="Z474">
        <v>0</v>
      </c>
      <c r="AD474">
        <v>22</v>
      </c>
      <c r="AE474" s="44">
        <f t="shared" si="34"/>
        <v>410.80563000000001</v>
      </c>
      <c r="AF474" s="46">
        <v>0</v>
      </c>
      <c r="AG474" s="44">
        <v>0</v>
      </c>
      <c r="AH474" s="44">
        <v>0</v>
      </c>
      <c r="AI474" s="41">
        <f t="shared" si="35"/>
        <v>5.3553306949566393E-2</v>
      </c>
      <c r="AM474" s="23">
        <v>1.5789473684210531</v>
      </c>
      <c r="AN474" s="23">
        <v>1.4736842105263159</v>
      </c>
      <c r="AO474" s="23">
        <v>0.15789473684210531</v>
      </c>
      <c r="AP474" s="23">
        <v>0.2105263157894737</v>
      </c>
      <c r="AQ474" s="23">
        <v>0.46153846153846162</v>
      </c>
      <c r="AR474" s="23">
        <v>0.43076923076923068</v>
      </c>
      <c r="AS474" s="23">
        <v>4.6153846153846149E-2</v>
      </c>
      <c r="AT474" s="23">
        <v>6.1538461538461528E-2</v>
      </c>
      <c r="AU474" s="20">
        <v>1.1399999999999999</v>
      </c>
      <c r="AV474" s="20">
        <v>3.44</v>
      </c>
      <c r="AW474" s="20">
        <v>2.2999999999999998</v>
      </c>
      <c r="AX474" s="20">
        <v>2.5063157894736841</v>
      </c>
      <c r="AY474">
        <v>2.5063157894736841</v>
      </c>
      <c r="AZ474">
        <v>6.6132852127267361</v>
      </c>
      <c r="BD474">
        <v>2.67766534747832E-2</v>
      </c>
      <c r="BH474">
        <v>5.3553306949566393E-2</v>
      </c>
      <c r="BI474">
        <v>2.67766534747832E-2</v>
      </c>
      <c r="BJ474">
        <v>0</v>
      </c>
    </row>
    <row r="475" spans="1:62" x14ac:dyDescent="0.3">
      <c r="A475" t="s">
        <v>1133</v>
      </c>
      <c r="B475" s="17" t="s">
        <v>1055</v>
      </c>
      <c r="C475" s="12"/>
      <c r="F475">
        <v>3.36</v>
      </c>
      <c r="G475" t="s">
        <v>380</v>
      </c>
      <c r="H475" s="8">
        <v>-1</v>
      </c>
      <c r="I475">
        <v>-1</v>
      </c>
      <c r="K475">
        <v>1</v>
      </c>
      <c r="L475" s="20">
        <v>0</v>
      </c>
      <c r="M475">
        <v>0</v>
      </c>
      <c r="N475">
        <v>0</v>
      </c>
      <c r="O475">
        <v>3.74</v>
      </c>
      <c r="P475">
        <v>3.74</v>
      </c>
      <c r="Q475">
        <v>30.8</v>
      </c>
      <c r="R475" t="s">
        <v>519</v>
      </c>
      <c r="S475">
        <v>30.8</v>
      </c>
      <c r="T475" s="20">
        <v>0</v>
      </c>
      <c r="W475">
        <v>0</v>
      </c>
      <c r="Z475">
        <v>0</v>
      </c>
      <c r="AD475">
        <v>22</v>
      </c>
      <c r="AE475" s="44">
        <f t="shared" si="34"/>
        <v>430.81808000000007</v>
      </c>
      <c r="AF475" s="46">
        <v>0</v>
      </c>
      <c r="AG475" s="44">
        <v>0</v>
      </c>
      <c r="AH475" s="44">
        <v>0</v>
      </c>
      <c r="AI475" s="41">
        <f t="shared" si="35"/>
        <v>5.1065637728110194E-2</v>
      </c>
      <c r="AM475" s="23">
        <v>1.545454545454545</v>
      </c>
      <c r="AN475" s="23">
        <v>1.363636363636364</v>
      </c>
      <c r="AO475" s="23">
        <v>0.13636363636363641</v>
      </c>
      <c r="AP475" s="23">
        <v>0.1818181818181818</v>
      </c>
      <c r="AQ475" s="23">
        <v>0.47887323943661969</v>
      </c>
      <c r="AR475" s="23">
        <v>0.42253521126760563</v>
      </c>
      <c r="AS475" s="23">
        <v>4.2253521126760563E-2</v>
      </c>
      <c r="AT475" s="23">
        <v>5.6338028169014093E-2</v>
      </c>
      <c r="AU475" s="20">
        <v>1.1399999999999999</v>
      </c>
      <c r="AV475" s="20">
        <v>3.44</v>
      </c>
      <c r="AW475" s="20">
        <v>2.2999999999999998</v>
      </c>
      <c r="AX475" s="20">
        <v>2.4804545454545459</v>
      </c>
      <c r="AY475">
        <v>2.480454545454545</v>
      </c>
      <c r="AZ475">
        <v>6.6484842021595449</v>
      </c>
      <c r="BD475">
        <v>2.5532818864055101E-2</v>
      </c>
      <c r="BH475">
        <v>5.1065637728110187E-2</v>
      </c>
      <c r="BI475">
        <v>2.5532818864055101E-2</v>
      </c>
      <c r="BJ475">
        <v>0</v>
      </c>
    </row>
    <row r="476" spans="1:62" x14ac:dyDescent="0.3">
      <c r="A476" s="1" t="s">
        <v>394</v>
      </c>
      <c r="B476" s="17" t="s">
        <v>1056</v>
      </c>
      <c r="C476" s="12"/>
      <c r="F476">
        <v>3.29</v>
      </c>
      <c r="G476" t="s">
        <v>393</v>
      </c>
      <c r="H476" s="8">
        <v>-1</v>
      </c>
      <c r="I476">
        <v>-1</v>
      </c>
      <c r="J476" t="s">
        <v>1243</v>
      </c>
      <c r="K476">
        <v>1</v>
      </c>
      <c r="L476" s="20">
        <v>0</v>
      </c>
      <c r="M476">
        <v>0</v>
      </c>
      <c r="N476">
        <v>0</v>
      </c>
      <c r="O476">
        <v>3.85</v>
      </c>
      <c r="P476">
        <v>3.85</v>
      </c>
      <c r="Q476">
        <v>21.37</v>
      </c>
      <c r="R476" t="s">
        <v>1131</v>
      </c>
      <c r="T476" s="20">
        <v>0</v>
      </c>
      <c r="W476">
        <v>0</v>
      </c>
      <c r="Z476">
        <v>0</v>
      </c>
      <c r="AD476">
        <v>26</v>
      </c>
      <c r="AE476" s="44">
        <f t="shared" si="34"/>
        <v>316.75682500000005</v>
      </c>
      <c r="AF476" s="46">
        <v>0</v>
      </c>
      <c r="AG476" s="44">
        <v>0</v>
      </c>
      <c r="AH476" s="44">
        <v>0</v>
      </c>
      <c r="AI476" s="41">
        <f t="shared" si="35"/>
        <v>8.2081893578772921E-2</v>
      </c>
      <c r="AM476" s="23">
        <v>1.791666666666667</v>
      </c>
      <c r="AN476" s="23">
        <v>2.416666666666667</v>
      </c>
      <c r="AO476" s="23">
        <v>1.166666666666667</v>
      </c>
      <c r="AP476" s="23">
        <v>1.166666666666667</v>
      </c>
      <c r="AQ476" s="23">
        <v>0.27388535031847128</v>
      </c>
      <c r="AR476" s="23">
        <v>0.36942675159235672</v>
      </c>
      <c r="AS476" s="23">
        <v>0.178343949044586</v>
      </c>
      <c r="AT476" s="23">
        <v>0.178343949044586</v>
      </c>
      <c r="AU476" s="20">
        <v>0.82</v>
      </c>
      <c r="AV476" s="20">
        <v>3.44</v>
      </c>
      <c r="AW476" s="20">
        <v>2.62</v>
      </c>
      <c r="AX476" s="20">
        <v>2.689166666666666</v>
      </c>
      <c r="AY476">
        <v>2.6891666666666669</v>
      </c>
      <c r="AZ476">
        <v>6.2990365295585002</v>
      </c>
      <c r="BC476" s="64">
        <v>0</v>
      </c>
      <c r="BD476">
        <v>4.1040946789386461E-2</v>
      </c>
      <c r="BH476">
        <v>8.2081893578772921E-2</v>
      </c>
      <c r="BI476">
        <v>4.1040946789386461E-2</v>
      </c>
      <c r="BJ476">
        <v>0</v>
      </c>
    </row>
    <row r="477" spans="1:62" x14ac:dyDescent="0.3">
      <c r="A477" s="4" t="s">
        <v>395</v>
      </c>
      <c r="B477" s="33" t="s">
        <v>1057</v>
      </c>
      <c r="C477" s="29"/>
      <c r="D477" s="4"/>
      <c r="E477" s="4"/>
      <c r="F477" s="4">
        <v>3.17</v>
      </c>
      <c r="G477" s="4" t="s">
        <v>393</v>
      </c>
      <c r="H477" s="30">
        <v>-2</v>
      </c>
      <c r="I477" s="4">
        <v>-1</v>
      </c>
      <c r="J477" s="4"/>
      <c r="K477" s="4">
        <v>1</v>
      </c>
      <c r="L477" s="31">
        <v>0</v>
      </c>
      <c r="M477">
        <v>0</v>
      </c>
      <c r="N477">
        <v>0</v>
      </c>
      <c r="O477">
        <v>3.85</v>
      </c>
      <c r="P477">
        <v>3.85</v>
      </c>
      <c r="Q477" s="4">
        <v>21.88</v>
      </c>
      <c r="R477" s="4"/>
      <c r="S477" s="4"/>
      <c r="T477" s="31">
        <v>0</v>
      </c>
      <c r="U477" s="4"/>
      <c r="V477" s="4"/>
      <c r="W477">
        <v>0</v>
      </c>
      <c r="Z477">
        <v>0</v>
      </c>
      <c r="AC477" s="4"/>
      <c r="AD477" s="4">
        <v>26</v>
      </c>
      <c r="AE477" s="44">
        <f t="shared" si="34"/>
        <v>324.31630000000001</v>
      </c>
      <c r="AF477" s="46">
        <v>0</v>
      </c>
      <c r="AG477" s="44">
        <v>0</v>
      </c>
      <c r="AH477" s="44">
        <v>0</v>
      </c>
      <c r="AI477" s="41">
        <f t="shared" si="35"/>
        <v>8.0168650172686359E-2</v>
      </c>
      <c r="AM477" s="4">
        <v>1.7272727272727271</v>
      </c>
      <c r="AN477" s="4">
        <v>2.1818181818181821</v>
      </c>
      <c r="AO477" s="4">
        <v>1.0181818181818181</v>
      </c>
      <c r="AP477" s="4">
        <v>1.0181818181818181</v>
      </c>
      <c r="AQ477" s="4">
        <v>0.29051987767584098</v>
      </c>
      <c r="AR477" s="4">
        <v>0.36697247706422009</v>
      </c>
      <c r="AS477" s="4">
        <v>0.17125382262996941</v>
      </c>
      <c r="AT477" s="4">
        <v>0.17125382262996941</v>
      </c>
      <c r="AU477" s="31">
        <v>0.82</v>
      </c>
      <c r="AV477" s="31">
        <v>3.44</v>
      </c>
      <c r="AW477" s="31">
        <v>2.62</v>
      </c>
      <c r="AX477" s="31">
        <v>2.6647272727272728</v>
      </c>
      <c r="AY477" s="4">
        <v>2.6647272727272728</v>
      </c>
      <c r="AZ477" s="4">
        <v>6.4638943890893454</v>
      </c>
      <c r="BD477">
        <v>4.008432508634318E-2</v>
      </c>
      <c r="BH477">
        <v>8.0168650172686359E-2</v>
      </c>
      <c r="BI477">
        <v>4.008432508634318E-2</v>
      </c>
      <c r="BJ477">
        <v>0</v>
      </c>
    </row>
    <row r="478" spans="1:62" x14ac:dyDescent="0.3">
      <c r="A478" s="4" t="s">
        <v>396</v>
      </c>
      <c r="B478" s="33" t="s">
        <v>1058</v>
      </c>
      <c r="C478" s="29"/>
      <c r="D478" s="4"/>
      <c r="E478" s="4"/>
      <c r="F478" s="4">
        <v>3.19</v>
      </c>
      <c r="G478" s="4" t="s">
        <v>393</v>
      </c>
      <c r="H478" s="30">
        <v>-2</v>
      </c>
      <c r="I478" s="4">
        <v>-1</v>
      </c>
      <c r="J478" s="4"/>
      <c r="K478" s="4">
        <v>1</v>
      </c>
      <c r="L478" s="31">
        <v>0</v>
      </c>
      <c r="M478">
        <v>0</v>
      </c>
      <c r="N478">
        <v>0</v>
      </c>
      <c r="O478">
        <v>3.85</v>
      </c>
      <c r="P478">
        <v>3.85</v>
      </c>
      <c r="Q478" s="4">
        <v>23.3</v>
      </c>
      <c r="R478" s="4"/>
      <c r="S478" s="4"/>
      <c r="T478" s="31">
        <v>0</v>
      </c>
      <c r="U478" s="4"/>
      <c r="V478" s="4"/>
      <c r="W478">
        <v>0</v>
      </c>
      <c r="Z478">
        <v>0</v>
      </c>
      <c r="AC478" s="4"/>
      <c r="AD478" s="4">
        <v>26</v>
      </c>
      <c r="AE478" s="44">
        <f t="shared" si="34"/>
        <v>345.36425000000003</v>
      </c>
      <c r="AF478" s="46">
        <v>0</v>
      </c>
      <c r="AG478" s="44">
        <v>0</v>
      </c>
      <c r="AH478" s="44">
        <v>0</v>
      </c>
      <c r="AI478" s="41">
        <f t="shared" si="35"/>
        <v>7.5282835441132068E-2</v>
      </c>
      <c r="AM478" s="4">
        <v>1.693548387096774</v>
      </c>
      <c r="AN478" s="4">
        <v>2.0483870967741939</v>
      </c>
      <c r="AO478" s="4">
        <v>1.064516129032258</v>
      </c>
      <c r="AP478" s="4">
        <v>1.129032258064516</v>
      </c>
      <c r="AQ478" s="4">
        <v>0.28532608695652167</v>
      </c>
      <c r="AR478" s="4">
        <v>0.34510869565217389</v>
      </c>
      <c r="AS478" s="4">
        <v>0.17934782608695651</v>
      </c>
      <c r="AT478" s="4">
        <v>0.19021739130434781</v>
      </c>
      <c r="AU478" s="31">
        <v>0.82</v>
      </c>
      <c r="AV478" s="31">
        <v>3.44</v>
      </c>
      <c r="AW478" s="31">
        <v>2.62</v>
      </c>
      <c r="AX478" s="31">
        <v>2.620645161290323</v>
      </c>
      <c r="AY478" s="4">
        <v>2.620645161290323</v>
      </c>
      <c r="AZ478" s="4">
        <v>6.4654289883277096</v>
      </c>
      <c r="BD478">
        <v>3.7641417720566027E-2</v>
      </c>
      <c r="BH478">
        <v>7.5282835441132068E-2</v>
      </c>
      <c r="BI478">
        <v>3.7641417720566027E-2</v>
      </c>
      <c r="BJ478">
        <v>0</v>
      </c>
    </row>
    <row r="479" spans="1:62" x14ac:dyDescent="0.3">
      <c r="A479" s="4" t="s">
        <v>397</v>
      </c>
      <c r="B479" s="33" t="s">
        <v>1059</v>
      </c>
      <c r="C479" s="29"/>
      <c r="D479" s="4"/>
      <c r="E479" s="4"/>
      <c r="F479" s="4">
        <v>3.19</v>
      </c>
      <c r="G479" s="4" t="s">
        <v>393</v>
      </c>
      <c r="H479" s="30">
        <v>-2</v>
      </c>
      <c r="I479" s="4">
        <v>-1</v>
      </c>
      <c r="J479" s="4"/>
      <c r="K479" s="4">
        <v>1</v>
      </c>
      <c r="L479" s="31">
        <v>0</v>
      </c>
      <c r="M479">
        <v>0</v>
      </c>
      <c r="N479">
        <v>0</v>
      </c>
      <c r="O479">
        <v>3.85</v>
      </c>
      <c r="P479">
        <v>3.85</v>
      </c>
      <c r="Q479" s="4">
        <v>25.26</v>
      </c>
      <c r="R479" s="4"/>
      <c r="S479" s="4"/>
      <c r="T479" s="31">
        <v>0</v>
      </c>
      <c r="U479" s="31"/>
      <c r="V479" s="31"/>
      <c r="W479">
        <v>0</v>
      </c>
      <c r="Z479">
        <v>0</v>
      </c>
      <c r="AC479" s="4"/>
      <c r="AD479" s="4">
        <v>26</v>
      </c>
      <c r="AE479" s="44">
        <f t="shared" si="34"/>
        <v>374.41635000000008</v>
      </c>
      <c r="AF479" s="46">
        <v>0</v>
      </c>
      <c r="AG479" s="44">
        <v>0</v>
      </c>
      <c r="AH479" s="44">
        <v>0</v>
      </c>
      <c r="AI479" s="41">
        <f t="shared" si="35"/>
        <v>6.9441411946887452E-2</v>
      </c>
      <c r="AJ479" s="40"/>
      <c r="AM479" s="4">
        <v>1.661764705882353</v>
      </c>
      <c r="AN479" s="4">
        <v>1.9264705882352939</v>
      </c>
      <c r="AO479" s="4">
        <v>0.97058823529411764</v>
      </c>
      <c r="AP479" s="4">
        <v>1.029411764705882</v>
      </c>
      <c r="AQ479" s="4">
        <v>0.29736842105263162</v>
      </c>
      <c r="AR479" s="4">
        <v>0.34473684210526317</v>
      </c>
      <c r="AS479" s="4">
        <v>0.1736842105263158</v>
      </c>
      <c r="AT479" s="4">
        <v>0.18421052631578949</v>
      </c>
      <c r="AU479" s="31">
        <v>0.82</v>
      </c>
      <c r="AV479" s="31">
        <v>3.44</v>
      </c>
      <c r="AW479" s="31">
        <v>2.62</v>
      </c>
      <c r="AX479" s="31">
        <v>2.5938235294117651</v>
      </c>
      <c r="AY479" s="4">
        <v>2.5938235294117651</v>
      </c>
      <c r="AZ479" s="4">
        <v>6.5012509424665001</v>
      </c>
      <c r="BD479">
        <v>3.4720705973443733E-2</v>
      </c>
      <c r="BH479">
        <v>6.9441411946887452E-2</v>
      </c>
      <c r="BI479">
        <v>3.4720705973443733E-2</v>
      </c>
      <c r="BJ479">
        <v>0</v>
      </c>
    </row>
    <row r="480" spans="1:62" x14ac:dyDescent="0.3">
      <c r="A480" s="4" t="s">
        <v>398</v>
      </c>
      <c r="B480" s="33" t="s">
        <v>1060</v>
      </c>
      <c r="C480" s="29"/>
      <c r="D480" s="4"/>
      <c r="E480" s="4"/>
      <c r="F480" s="4">
        <v>3.17</v>
      </c>
      <c r="G480" s="4" t="s">
        <v>393</v>
      </c>
      <c r="H480" s="30">
        <v>-2</v>
      </c>
      <c r="I480" s="4">
        <v>-1</v>
      </c>
      <c r="J480" s="4"/>
      <c r="K480" s="4">
        <v>1</v>
      </c>
      <c r="L480" s="31">
        <v>0</v>
      </c>
      <c r="M480">
        <v>0</v>
      </c>
      <c r="N480">
        <v>0</v>
      </c>
      <c r="O480">
        <v>3.85</v>
      </c>
      <c r="P480">
        <v>3.85</v>
      </c>
      <c r="Q480" s="4">
        <v>27.23</v>
      </c>
      <c r="R480" s="4"/>
      <c r="S480" s="4"/>
      <c r="T480" s="31">
        <v>0</v>
      </c>
      <c r="U480" s="31"/>
      <c r="V480" s="31"/>
      <c r="W480">
        <v>0</v>
      </c>
      <c r="Z480">
        <v>0</v>
      </c>
      <c r="AC480" s="4"/>
      <c r="AD480" s="4">
        <v>26</v>
      </c>
      <c r="AE480" s="44">
        <f t="shared" si="34"/>
        <v>403.61667500000004</v>
      </c>
      <c r="AF480" s="46">
        <v>0</v>
      </c>
      <c r="AG480" s="44">
        <v>0</v>
      </c>
      <c r="AH480" s="44">
        <v>0</v>
      </c>
      <c r="AI480" s="41">
        <f t="shared" si="35"/>
        <v>6.4417556583855201E-2</v>
      </c>
      <c r="AJ480" s="40"/>
      <c r="AM480" s="4">
        <v>1.6351351351351351</v>
      </c>
      <c r="AN480" s="4">
        <v>1.8243243243243239</v>
      </c>
      <c r="AO480" s="4">
        <v>0.89189189189189189</v>
      </c>
      <c r="AP480" s="4">
        <v>0.94594594594594594</v>
      </c>
      <c r="AQ480" s="4">
        <v>0.30867346938775508</v>
      </c>
      <c r="AR480" s="4">
        <v>0.34438775510204078</v>
      </c>
      <c r="AS480" s="4">
        <v>0.1683673469387755</v>
      </c>
      <c r="AT480" s="4">
        <v>0.1785714285714286</v>
      </c>
      <c r="AU480" s="31">
        <v>0.82</v>
      </c>
      <c r="AV480" s="31">
        <v>3.44</v>
      </c>
      <c r="AW480" s="31">
        <v>2.62</v>
      </c>
      <c r="AX480" s="31">
        <v>2.5713513513513511</v>
      </c>
      <c r="AY480" s="4">
        <v>2.571351351351352</v>
      </c>
      <c r="AZ480" s="4">
        <v>6.5312639310692706</v>
      </c>
      <c r="BD480">
        <v>3.2208778291927601E-2</v>
      </c>
      <c r="BH480">
        <v>6.4417556583855201E-2</v>
      </c>
      <c r="BI480">
        <v>3.2208778291927601E-2</v>
      </c>
      <c r="BJ480">
        <v>0</v>
      </c>
    </row>
    <row r="481" spans="1:62" x14ac:dyDescent="0.3">
      <c r="A481" s="4" t="s">
        <v>399</v>
      </c>
      <c r="B481" s="33" t="s">
        <v>1061</v>
      </c>
      <c r="C481" s="29"/>
      <c r="D481" s="4"/>
      <c r="E481" s="4"/>
      <c r="F481" s="4">
        <v>3.15</v>
      </c>
      <c r="G481" s="4" t="s">
        <v>393</v>
      </c>
      <c r="H481" s="30">
        <v>-2</v>
      </c>
      <c r="I481" s="4">
        <v>-1</v>
      </c>
      <c r="J481" s="4"/>
      <c r="K481" s="4">
        <v>1</v>
      </c>
      <c r="L481" s="31">
        <v>0</v>
      </c>
      <c r="M481">
        <v>0</v>
      </c>
      <c r="N481">
        <v>0</v>
      </c>
      <c r="O481">
        <v>3.85</v>
      </c>
      <c r="P481">
        <v>3.85</v>
      </c>
      <c r="Q481" s="4">
        <v>33.19</v>
      </c>
      <c r="R481" s="4"/>
      <c r="S481" s="4"/>
      <c r="T481" s="31">
        <v>0</v>
      </c>
      <c r="U481" s="31"/>
      <c r="V481" s="31"/>
      <c r="W481">
        <v>0</v>
      </c>
      <c r="Z481">
        <v>0</v>
      </c>
      <c r="AC481" s="4"/>
      <c r="AD481" s="4">
        <v>26</v>
      </c>
      <c r="AE481" s="44">
        <f t="shared" si="34"/>
        <v>491.958775</v>
      </c>
      <c r="AF481" s="46">
        <v>0</v>
      </c>
      <c r="AG481" s="44">
        <v>0</v>
      </c>
      <c r="AH481" s="44">
        <v>0</v>
      </c>
      <c r="AI481" s="41">
        <f t="shared" si="35"/>
        <v>5.2849956787537733E-2</v>
      </c>
      <c r="AJ481" s="40"/>
      <c r="AM481" s="4">
        <v>1.593023255813953</v>
      </c>
      <c r="AN481" s="4">
        <v>1.6627906976744189</v>
      </c>
      <c r="AO481" s="4">
        <v>0.76744186046511631</v>
      </c>
      <c r="AP481" s="4">
        <v>0.81395348837209303</v>
      </c>
      <c r="AQ481" s="4">
        <v>0.32932692307692307</v>
      </c>
      <c r="AR481" s="4">
        <v>0.34375000000000011</v>
      </c>
      <c r="AS481" s="4">
        <v>0.1586538461538462</v>
      </c>
      <c r="AT481" s="4">
        <v>0.16826923076923081</v>
      </c>
      <c r="AU481" s="31">
        <v>0.82</v>
      </c>
      <c r="AV481" s="31">
        <v>3.44</v>
      </c>
      <c r="AW481" s="31">
        <v>2.62</v>
      </c>
      <c r="AX481" s="31">
        <v>2.5358139534883719</v>
      </c>
      <c r="AY481" s="4">
        <v>2.5358139534883719</v>
      </c>
      <c r="AZ481" s="4">
        <v>6.5787263316503957</v>
      </c>
      <c r="BD481">
        <v>2.642497839376887E-2</v>
      </c>
      <c r="BH481">
        <v>5.2849956787537733E-2</v>
      </c>
      <c r="BI481">
        <v>2.642497839376887E-2</v>
      </c>
      <c r="BJ481">
        <v>0</v>
      </c>
    </row>
    <row r="482" spans="1:62" x14ac:dyDescent="0.3">
      <c r="A482" s="4" t="s">
        <v>400</v>
      </c>
      <c r="B482" s="33" t="s">
        <v>1062</v>
      </c>
      <c r="C482" s="29"/>
      <c r="D482" s="4"/>
      <c r="E482" s="4"/>
      <c r="F482" s="4">
        <v>3.15</v>
      </c>
      <c r="G482" s="4" t="s">
        <v>393</v>
      </c>
      <c r="H482" s="38">
        <v>-2</v>
      </c>
      <c r="I482" s="4">
        <v>-1</v>
      </c>
      <c r="J482" s="4"/>
      <c r="K482" s="4">
        <v>1</v>
      </c>
      <c r="L482" s="31">
        <v>0</v>
      </c>
      <c r="M482">
        <v>0</v>
      </c>
      <c r="N482">
        <v>0</v>
      </c>
      <c r="O482">
        <v>3.85</v>
      </c>
      <c r="P482">
        <v>3.85</v>
      </c>
      <c r="Q482" s="4">
        <v>38.67</v>
      </c>
      <c r="R482" s="4"/>
      <c r="S482" s="4"/>
      <c r="T482" s="31">
        <v>0</v>
      </c>
      <c r="U482" s="31"/>
      <c r="V482" s="31"/>
      <c r="W482">
        <v>0</v>
      </c>
      <c r="Z482">
        <v>0</v>
      </c>
      <c r="AC482" s="4"/>
      <c r="AD482" s="4">
        <v>26</v>
      </c>
      <c r="AE482" s="44">
        <f t="shared" si="34"/>
        <v>573.18607500000007</v>
      </c>
      <c r="AF482" s="46">
        <v>0</v>
      </c>
      <c r="AG482" s="44">
        <v>0</v>
      </c>
      <c r="AH482" s="44">
        <v>0</v>
      </c>
      <c r="AI482" s="41">
        <f t="shared" si="35"/>
        <v>4.5360487866004065E-2</v>
      </c>
      <c r="AJ482" s="40"/>
      <c r="AM482" s="4">
        <v>1.561224489795918</v>
      </c>
      <c r="AN482" s="4">
        <v>1.5408163265306121</v>
      </c>
      <c r="AO482" s="4">
        <v>0.67346938775510201</v>
      </c>
      <c r="AP482" s="4">
        <v>0.7142857142857143</v>
      </c>
      <c r="AQ482" s="4">
        <v>0.34772727272727277</v>
      </c>
      <c r="AR482" s="4">
        <v>0.3431818181818182</v>
      </c>
      <c r="AS482" s="4">
        <v>0.15</v>
      </c>
      <c r="AT482" s="4">
        <v>0.15909090909090909</v>
      </c>
      <c r="AU482" s="31">
        <v>0.82</v>
      </c>
      <c r="AV482" s="31">
        <v>3.44</v>
      </c>
      <c r="AW482" s="31">
        <v>2.62</v>
      </c>
      <c r="AX482" s="31">
        <v>2.5089795918367348</v>
      </c>
      <c r="AY482" s="4">
        <v>2.5089795918367348</v>
      </c>
      <c r="AZ482" s="4">
        <v>6.6145652871912439</v>
      </c>
      <c r="BD482">
        <v>2.2680243933002029E-2</v>
      </c>
      <c r="BH482">
        <v>4.5360487866004072E-2</v>
      </c>
      <c r="BI482">
        <v>2.2680243933002029E-2</v>
      </c>
      <c r="BJ482">
        <v>0</v>
      </c>
    </row>
    <row r="483" spans="1:62" x14ac:dyDescent="0.3">
      <c r="A483" t="s">
        <v>381</v>
      </c>
      <c r="B483" s="12" t="s">
        <v>838</v>
      </c>
      <c r="C483" s="12"/>
      <c r="F483">
        <v>3.46</v>
      </c>
      <c r="G483" t="s">
        <v>401</v>
      </c>
      <c r="H483" s="8">
        <v>-1</v>
      </c>
      <c r="I483">
        <v>-1</v>
      </c>
      <c r="K483">
        <v>2</v>
      </c>
      <c r="L483" s="20">
        <v>0</v>
      </c>
      <c r="M483">
        <v>0</v>
      </c>
      <c r="N483">
        <v>0</v>
      </c>
      <c r="O483">
        <v>3.7829999999999999</v>
      </c>
      <c r="P483">
        <v>3.7829999999999999</v>
      </c>
      <c r="Q483">
        <v>27.18</v>
      </c>
      <c r="R483" t="s">
        <v>1131</v>
      </c>
      <c r="T483" s="20">
        <v>0</v>
      </c>
      <c r="U483" s="20"/>
      <c r="V483" s="20"/>
      <c r="W483">
        <v>0</v>
      </c>
      <c r="Z483">
        <v>0</v>
      </c>
      <c r="AD483">
        <v>20</v>
      </c>
      <c r="AE483" s="44">
        <f t="shared" si="34"/>
        <v>388.97539902</v>
      </c>
      <c r="AF483" s="46">
        <v>0</v>
      </c>
      <c r="AG483" s="44">
        <v>0</v>
      </c>
      <c r="AH483" s="44">
        <v>0</v>
      </c>
      <c r="AI483" s="41">
        <f t="shared" si="35"/>
        <v>0.10283426689908304</v>
      </c>
      <c r="AJ483" s="40"/>
      <c r="AM483" s="23">
        <v>1.882352941176471</v>
      </c>
      <c r="AN483" s="23">
        <v>2.3529411764705879</v>
      </c>
      <c r="AO483" s="23">
        <v>0.35294117647058831</v>
      </c>
      <c r="AP483" s="23">
        <v>0.47058823529411759</v>
      </c>
      <c r="AQ483" s="23">
        <v>0.37209302325581389</v>
      </c>
      <c r="AR483" s="23">
        <v>0.46511627906976749</v>
      </c>
      <c r="AS483" s="23">
        <v>6.9767441860465129E-2</v>
      </c>
      <c r="AT483" s="23">
        <v>9.3023255813953487E-2</v>
      </c>
      <c r="AU483" s="20">
        <v>1.1399999999999999</v>
      </c>
      <c r="AV483" s="20">
        <v>3.44</v>
      </c>
      <c r="AW483" s="20">
        <v>2.2999999999999998</v>
      </c>
      <c r="AX483" s="20">
        <v>2.6882352941176468</v>
      </c>
      <c r="AY483">
        <v>2.6882352941176468</v>
      </c>
      <c r="AZ483">
        <v>6.2192249941001183</v>
      </c>
      <c r="BD483">
        <v>5.1417133449541519E-2</v>
      </c>
      <c r="BH483">
        <v>0.102834266899083</v>
      </c>
      <c r="BI483">
        <v>5.1417133449541519E-2</v>
      </c>
      <c r="BJ483">
        <v>0</v>
      </c>
    </row>
    <row r="484" spans="1:62" x14ac:dyDescent="0.3">
      <c r="A484" t="s">
        <v>385</v>
      </c>
      <c r="B484" s="17" t="s">
        <v>1063</v>
      </c>
      <c r="C484" s="12"/>
      <c r="F484">
        <v>3.58</v>
      </c>
      <c r="G484" t="s">
        <v>401</v>
      </c>
      <c r="H484" s="8">
        <v>-1</v>
      </c>
      <c r="I484">
        <v>-1</v>
      </c>
      <c r="K484">
        <v>1</v>
      </c>
      <c r="L484" s="20">
        <v>0</v>
      </c>
      <c r="M484">
        <v>0</v>
      </c>
      <c r="N484">
        <v>0</v>
      </c>
      <c r="O484">
        <v>3.802</v>
      </c>
      <c r="P484">
        <v>3.802</v>
      </c>
      <c r="Q484">
        <v>24.7</v>
      </c>
      <c r="R484" t="s">
        <v>439</v>
      </c>
      <c r="T484" s="20">
        <v>0</v>
      </c>
      <c r="U484" s="20"/>
      <c r="V484" s="20"/>
      <c r="W484">
        <v>0</v>
      </c>
      <c r="Z484">
        <v>0</v>
      </c>
      <c r="AD484">
        <v>20</v>
      </c>
      <c r="AE484" s="44">
        <f t="shared" si="34"/>
        <v>357.04353880000002</v>
      </c>
      <c r="AF484" s="46">
        <v>0</v>
      </c>
      <c r="AG484" s="44">
        <v>0</v>
      </c>
      <c r="AH484" s="44">
        <v>0</v>
      </c>
      <c r="AI484" s="41">
        <f t="shared" si="35"/>
        <v>5.6015577448113731E-2</v>
      </c>
      <c r="AJ484" s="40"/>
      <c r="AM484" s="23">
        <v>1.606060606060606</v>
      </c>
      <c r="AN484" s="23">
        <v>1.545454545454545</v>
      </c>
      <c r="AO484" s="23">
        <v>0.1818181818181818</v>
      </c>
      <c r="AP484" s="23">
        <v>0.2424242424242424</v>
      </c>
      <c r="AQ484" s="23">
        <v>0.44915254237288132</v>
      </c>
      <c r="AR484" s="23">
        <v>0.43220338983050849</v>
      </c>
      <c r="AS484" s="23">
        <v>5.0847457627118647E-2</v>
      </c>
      <c r="AT484" s="23">
        <v>6.7796610169491525E-2</v>
      </c>
      <c r="AU484" s="20">
        <v>1.1399999999999999</v>
      </c>
      <c r="AV484" s="20">
        <v>3.44</v>
      </c>
      <c r="AW484" s="20">
        <v>2.2999999999999998</v>
      </c>
      <c r="AX484" s="20">
        <v>2.51939393939394</v>
      </c>
      <c r="AY484">
        <v>2.51939393939394</v>
      </c>
      <c r="AZ484">
        <v>6.5741021946079687</v>
      </c>
      <c r="BD484">
        <v>2.8007788724056869E-2</v>
      </c>
      <c r="BH484">
        <v>5.6015577448113731E-2</v>
      </c>
      <c r="BI484">
        <v>2.8007788724056869E-2</v>
      </c>
      <c r="BJ484">
        <v>0</v>
      </c>
    </row>
    <row r="485" spans="1:62" x14ac:dyDescent="0.3">
      <c r="A485" t="s">
        <v>51</v>
      </c>
      <c r="B485" s="12" t="s">
        <v>703</v>
      </c>
      <c r="C485" s="12"/>
      <c r="F485">
        <v>5.5</v>
      </c>
      <c r="G485" t="s">
        <v>52</v>
      </c>
      <c r="H485" s="59" t="s">
        <v>536</v>
      </c>
      <c r="I485" t="s">
        <v>617</v>
      </c>
      <c r="L485" s="20">
        <v>1</v>
      </c>
      <c r="M485">
        <v>4</v>
      </c>
      <c r="N485">
        <v>0</v>
      </c>
      <c r="O485">
        <v>-1</v>
      </c>
      <c r="T485" s="20">
        <v>12.88926011</v>
      </c>
      <c r="U485" s="20">
        <v>12.88926011</v>
      </c>
      <c r="V485" s="20">
        <v>12.88926011</v>
      </c>
      <c r="W485">
        <v>5.5223699999999996</v>
      </c>
      <c r="X485">
        <v>5.5240799999999997</v>
      </c>
      <c r="Y485">
        <v>25.026399999999999</v>
      </c>
      <c r="Z485">
        <v>0</v>
      </c>
      <c r="AD485">
        <v>18</v>
      </c>
      <c r="AE485" s="44">
        <f t="shared" si="34"/>
        <v>0</v>
      </c>
      <c r="AF485" s="46">
        <v>195.03203980213701</v>
      </c>
      <c r="AG485" s="44">
        <v>763.45570050087724</v>
      </c>
      <c r="AH485" s="44">
        <v>0</v>
      </c>
      <c r="AJ485" s="40">
        <v>9.2292528029042184E-2</v>
      </c>
      <c r="AK485" s="41">
        <v>9.4308025930991482E-2</v>
      </c>
      <c r="AM485" s="23">
        <v>2</v>
      </c>
      <c r="AN485" s="23">
        <v>3</v>
      </c>
      <c r="AO485" s="23">
        <v>1.857142857142857</v>
      </c>
      <c r="AP485" s="23">
        <v>4</v>
      </c>
      <c r="AQ485" s="23">
        <v>0.18421052631578949</v>
      </c>
      <c r="AR485" s="23">
        <v>0.27631578947368418</v>
      </c>
      <c r="AS485" s="23">
        <v>0.1710526315789474</v>
      </c>
      <c r="AT485" s="23">
        <v>0.36842105263157893</v>
      </c>
      <c r="AU485" s="20">
        <v>0.95</v>
      </c>
      <c r="AV485" s="20">
        <v>3.44</v>
      </c>
      <c r="AW485" s="20">
        <v>2.4900000000000002</v>
      </c>
      <c r="AX485" s="20">
        <v>2.782142857142857</v>
      </c>
      <c r="AY485">
        <v>2.7821428571428579</v>
      </c>
      <c r="AZ485">
        <v>6.2021612289285706</v>
      </c>
      <c r="BA485" s="64">
        <v>0.52524560229640982</v>
      </c>
      <c r="BB485" s="64">
        <v>0.53671599358424449</v>
      </c>
      <c r="BE485">
        <v>4.6146264014521092E-2</v>
      </c>
      <c r="BF485">
        <v>4.7154012965495741E-2</v>
      </c>
      <c r="BH485">
        <v>9.3300276980016833E-2</v>
      </c>
      <c r="BI485">
        <v>4.6650138490008423E-2</v>
      </c>
      <c r="BJ485">
        <v>0.53098079794032715</v>
      </c>
    </row>
    <row r="486" spans="1:62" x14ac:dyDescent="0.3">
      <c r="A486" t="s">
        <v>403</v>
      </c>
      <c r="B486" s="16" t="s">
        <v>956</v>
      </c>
      <c r="C486" s="12"/>
      <c r="F486">
        <v>3.76</v>
      </c>
      <c r="G486" t="s">
        <v>402</v>
      </c>
      <c r="H486" s="8">
        <v>-1</v>
      </c>
      <c r="I486">
        <v>-1</v>
      </c>
      <c r="K486">
        <v>2</v>
      </c>
      <c r="L486" s="20">
        <v>0</v>
      </c>
      <c r="M486">
        <v>0</v>
      </c>
      <c r="N486">
        <v>0</v>
      </c>
      <c r="O486">
        <v>3.9</v>
      </c>
      <c r="P486">
        <v>3.9</v>
      </c>
      <c r="Q486">
        <f>15.91*2</f>
        <v>31.82</v>
      </c>
      <c r="T486" s="20">
        <v>0</v>
      </c>
      <c r="U486" s="20"/>
      <c r="V486" s="20"/>
      <c r="W486">
        <v>0</v>
      </c>
      <c r="Z486">
        <v>0</v>
      </c>
      <c r="AD486">
        <v>20</v>
      </c>
      <c r="AE486" s="44">
        <f t="shared" si="34"/>
        <v>483.98219999999998</v>
      </c>
      <c r="AF486" s="46">
        <v>0</v>
      </c>
      <c r="AG486" s="44">
        <v>0</v>
      </c>
      <c r="AH486" s="44">
        <v>0</v>
      </c>
      <c r="AI486" s="41">
        <f>K486*AD486/AE486</f>
        <v>8.2647667620833989E-2</v>
      </c>
      <c r="AJ486" s="40"/>
      <c r="AM486" s="23">
        <v>1.882352941176471</v>
      </c>
      <c r="AN486" s="23">
        <v>2.3529411764705879</v>
      </c>
      <c r="AO486" s="23">
        <v>0.43529411764705878</v>
      </c>
      <c r="AP486" s="23">
        <v>0.82352941176470584</v>
      </c>
      <c r="AQ486" s="23">
        <v>0.34261241970021411</v>
      </c>
      <c r="AR486" s="23">
        <v>0.42826552462526768</v>
      </c>
      <c r="AS486" s="23">
        <v>7.922912205567452E-2</v>
      </c>
      <c r="AT486" s="23">
        <v>0.1498929336188437</v>
      </c>
      <c r="AU486" s="20">
        <v>0.82</v>
      </c>
      <c r="AV486" s="20">
        <v>3.44</v>
      </c>
      <c r="AW486" s="20">
        <v>2.62</v>
      </c>
      <c r="AX486" s="20">
        <v>2.5324117647058819</v>
      </c>
      <c r="AY486">
        <v>2.532941176470588</v>
      </c>
      <c r="AZ486">
        <v>5.690008021176471</v>
      </c>
      <c r="BD486">
        <v>4.1323833810416988E-2</v>
      </c>
      <c r="BH486">
        <v>8.2647667620833989E-2</v>
      </c>
      <c r="BI486">
        <v>4.1323833810416988E-2</v>
      </c>
      <c r="BJ486">
        <v>0</v>
      </c>
    </row>
    <row r="487" spans="1:62" x14ac:dyDescent="0.3">
      <c r="A487" t="s">
        <v>404</v>
      </c>
      <c r="B487" s="16" t="s">
        <v>957</v>
      </c>
      <c r="C487" s="12"/>
      <c r="F487">
        <v>3.88</v>
      </c>
      <c r="G487" t="s">
        <v>402</v>
      </c>
      <c r="H487" s="8">
        <v>-1</v>
      </c>
      <c r="I487">
        <v>-1</v>
      </c>
      <c r="K487">
        <v>2</v>
      </c>
      <c r="L487" s="20">
        <v>0</v>
      </c>
      <c r="M487">
        <v>0</v>
      </c>
      <c r="N487">
        <v>0</v>
      </c>
      <c r="O487">
        <v>3.8050000000000002</v>
      </c>
      <c r="P487">
        <v>3.8050000000000002</v>
      </c>
      <c r="Q487">
        <v>27.44</v>
      </c>
      <c r="R487" t="s">
        <v>1131</v>
      </c>
      <c r="T487" s="20">
        <v>0</v>
      </c>
      <c r="U487" s="20"/>
      <c r="V487" s="20"/>
      <c r="W487">
        <v>0</v>
      </c>
      <c r="Z487">
        <v>0</v>
      </c>
      <c r="AD487">
        <v>20</v>
      </c>
      <c r="AE487" s="44">
        <f t="shared" si="34"/>
        <v>397.27700600000003</v>
      </c>
      <c r="AF487" s="46">
        <v>0</v>
      </c>
      <c r="AG487" s="44">
        <v>0</v>
      </c>
      <c r="AH487" s="44">
        <v>0</v>
      </c>
      <c r="AI487" s="41">
        <f>K487*AD487/AE487</f>
        <v>0.10068541444857747</v>
      </c>
      <c r="AJ487" s="40"/>
      <c r="AM487">
        <v>1.882352941176471</v>
      </c>
      <c r="AN487">
        <v>2.3529411764705879</v>
      </c>
      <c r="AO487">
        <v>0.43529411764705878</v>
      </c>
      <c r="AP487">
        <v>0.82352941176470584</v>
      </c>
      <c r="AQ487">
        <v>0.34261241970021411</v>
      </c>
      <c r="AR487">
        <v>0.42826552462526768</v>
      </c>
      <c r="AS487">
        <v>7.922912205567452E-2</v>
      </c>
      <c r="AT487">
        <v>0.1498929336188437</v>
      </c>
      <c r="AU487" s="20">
        <v>1.1850000000000001</v>
      </c>
      <c r="AV487" s="20">
        <v>3.44</v>
      </c>
      <c r="AW487" s="20">
        <v>2.2549999999999999</v>
      </c>
      <c r="AX487" s="20">
        <v>2.6947647058823532</v>
      </c>
      <c r="AY487">
        <v>2.6952941176470588</v>
      </c>
      <c r="AZ487">
        <v>6.2494732999824709</v>
      </c>
      <c r="BD487">
        <v>5.0342707224288727E-2</v>
      </c>
      <c r="BH487">
        <v>0.1006854144485775</v>
      </c>
      <c r="BI487">
        <v>5.0342707224288727E-2</v>
      </c>
      <c r="BJ487">
        <v>0</v>
      </c>
    </row>
    <row r="488" spans="1:62" x14ac:dyDescent="0.3">
      <c r="A488" t="s">
        <v>405</v>
      </c>
      <c r="B488" s="16" t="s">
        <v>958</v>
      </c>
      <c r="C488" s="12"/>
      <c r="F488">
        <v>4.51</v>
      </c>
      <c r="G488" t="s">
        <v>402</v>
      </c>
      <c r="H488" s="8">
        <v>-1</v>
      </c>
      <c r="I488">
        <v>-1</v>
      </c>
      <c r="J488" s="1" t="s">
        <v>1184</v>
      </c>
      <c r="L488" s="20">
        <v>0</v>
      </c>
      <c r="M488">
        <v>0</v>
      </c>
      <c r="N488">
        <v>0</v>
      </c>
      <c r="O488">
        <v>-1</v>
      </c>
      <c r="T488" s="20">
        <v>0</v>
      </c>
      <c r="U488" s="20"/>
      <c r="V488" s="20"/>
      <c r="W488">
        <v>0</v>
      </c>
      <c r="Z488">
        <v>0</v>
      </c>
      <c r="AD488">
        <v>14</v>
      </c>
      <c r="AE488" s="44">
        <f t="shared" si="34"/>
        <v>0</v>
      </c>
      <c r="AF488" s="46">
        <v>0</v>
      </c>
      <c r="AG488" s="44">
        <v>0</v>
      </c>
      <c r="AH488" s="44">
        <v>0</v>
      </c>
      <c r="AJ488" s="40"/>
      <c r="AM488" s="23">
        <v>1.9090909090909089</v>
      </c>
      <c r="AN488" s="23">
        <v>2.545454545454545</v>
      </c>
      <c r="AO488" s="23">
        <v>0.60909090909090913</v>
      </c>
      <c r="AP488" s="23">
        <v>2.790909090909091</v>
      </c>
      <c r="AQ488" s="23">
        <v>0.24305555555555561</v>
      </c>
      <c r="AR488" s="23">
        <v>0.32407407407407413</v>
      </c>
      <c r="AS488" s="23">
        <v>7.7546296296296308E-2</v>
      </c>
      <c r="AT488" s="23">
        <v>0.35532407407407413</v>
      </c>
      <c r="AU488" s="20">
        <v>0.82</v>
      </c>
      <c r="AV488" s="20">
        <v>3.44</v>
      </c>
      <c r="AW488" s="20">
        <v>2.62</v>
      </c>
      <c r="AX488" s="20">
        <v>2.6393636363636359</v>
      </c>
      <c r="AY488">
        <v>2.6363636363636358</v>
      </c>
      <c r="AZ488">
        <v>6.0025089159090914</v>
      </c>
      <c r="BH488">
        <v>0</v>
      </c>
      <c r="BI488">
        <v>0</v>
      </c>
      <c r="BJ488">
        <v>0</v>
      </c>
    </row>
    <row r="489" spans="1:62" x14ac:dyDescent="0.3">
      <c r="A489" t="s">
        <v>1190</v>
      </c>
      <c r="B489" s="16" t="s">
        <v>959</v>
      </c>
      <c r="C489" s="12"/>
      <c r="F489">
        <v>5.4</v>
      </c>
      <c r="G489" t="s">
        <v>402</v>
      </c>
      <c r="H489" s="8">
        <v>-1</v>
      </c>
      <c r="I489">
        <v>-1</v>
      </c>
      <c r="J489" t="s">
        <v>1164</v>
      </c>
      <c r="L489" s="20">
        <v>0</v>
      </c>
      <c r="M489">
        <v>0</v>
      </c>
      <c r="N489">
        <v>1</v>
      </c>
      <c r="O489">
        <v>3.89</v>
      </c>
      <c r="P489">
        <v>3.89</v>
      </c>
      <c r="Q489">
        <v>10.34</v>
      </c>
      <c r="R489" t="s">
        <v>440</v>
      </c>
      <c r="T489" s="20">
        <v>0</v>
      </c>
      <c r="U489" s="20"/>
      <c r="V489" s="20"/>
      <c r="W489">
        <v>0</v>
      </c>
      <c r="Z489">
        <v>3.88</v>
      </c>
      <c r="AA489">
        <v>3.88</v>
      </c>
      <c r="AB489">
        <v>10.66</v>
      </c>
      <c r="AD489">
        <v>14</v>
      </c>
      <c r="AE489" s="44">
        <f t="shared" si="34"/>
        <v>156.465914</v>
      </c>
      <c r="AF489" s="46">
        <v>0</v>
      </c>
      <c r="AG489" s="44">
        <v>0</v>
      </c>
      <c r="AH489" s="44">
        <v>160.479904</v>
      </c>
      <c r="AJ489" s="40"/>
      <c r="AL489" s="56">
        <f>N489*AD489/AH489</f>
        <v>8.7238337331009372E-2</v>
      </c>
      <c r="AM489">
        <v>2</v>
      </c>
      <c r="AN489">
        <v>2.8</v>
      </c>
      <c r="AO489">
        <v>0.67</v>
      </c>
      <c r="AP489">
        <v>3.07</v>
      </c>
      <c r="AQ489">
        <v>0.23419203747072601</v>
      </c>
      <c r="AR489">
        <v>0.32786885245901642</v>
      </c>
      <c r="AS489">
        <v>7.8454332552693226E-2</v>
      </c>
      <c r="AT489">
        <v>0.35948477751756441</v>
      </c>
      <c r="AU489" s="20">
        <v>1.1000000000000001</v>
      </c>
      <c r="AV489" s="20">
        <v>3.44</v>
      </c>
      <c r="AW489" s="20">
        <v>2.34</v>
      </c>
      <c r="AX489" s="20">
        <v>2.8212999999999999</v>
      </c>
      <c r="AY489">
        <v>2.8180000000000001</v>
      </c>
      <c r="AZ489">
        <v>6.3696075919999986</v>
      </c>
      <c r="BC489" s="64">
        <v>0</v>
      </c>
      <c r="BG489">
        <v>4.3619168665504693E-2</v>
      </c>
      <c r="BH489">
        <v>8.7238337331009372E-2</v>
      </c>
      <c r="BI489">
        <v>4.3619168665504693E-2</v>
      </c>
      <c r="BJ489">
        <v>0</v>
      </c>
    </row>
    <row r="490" spans="1:62" x14ac:dyDescent="0.3">
      <c r="A490" t="s">
        <v>406</v>
      </c>
      <c r="B490" s="16" t="s">
        <v>960</v>
      </c>
      <c r="C490" s="12"/>
      <c r="F490">
        <v>0.01</v>
      </c>
      <c r="G490" t="s">
        <v>408</v>
      </c>
      <c r="H490" s="8">
        <v>-1</v>
      </c>
      <c r="I490">
        <v>4101345</v>
      </c>
      <c r="L490" s="20">
        <v>0</v>
      </c>
      <c r="M490">
        <v>2</v>
      </c>
      <c r="N490">
        <v>2</v>
      </c>
      <c r="O490">
        <v>5.3959999999999999</v>
      </c>
      <c r="P490">
        <v>5.4489999999999998</v>
      </c>
      <c r="Q490">
        <v>20.521999999999998</v>
      </c>
      <c r="R490" t="s">
        <v>1135</v>
      </c>
      <c r="T490" s="20">
        <v>0</v>
      </c>
      <c r="U490" s="20"/>
      <c r="V490" s="20"/>
      <c r="W490">
        <v>3.9685999999999999</v>
      </c>
      <c r="X490">
        <v>3.9685999999999999</v>
      </c>
      <c r="Y490">
        <v>19.3154</v>
      </c>
      <c r="Z490">
        <v>0</v>
      </c>
      <c r="AD490">
        <v>13.84</v>
      </c>
      <c r="AE490" s="44">
        <f t="shared" si="34"/>
        <v>603.40434368799993</v>
      </c>
      <c r="AF490" s="46">
        <v>0</v>
      </c>
      <c r="AG490" s="44">
        <v>0</v>
      </c>
      <c r="AH490" s="44">
        <v>304.20999999999998</v>
      </c>
      <c r="AJ490" s="40"/>
      <c r="AL490" s="56">
        <f>N490*AD490/AH490</f>
        <v>9.0989776798921798E-2</v>
      </c>
      <c r="AM490" s="23">
        <v>2</v>
      </c>
      <c r="AN490" s="23">
        <v>2.3221476510067109</v>
      </c>
      <c r="AO490" s="23">
        <v>1.593959731543624</v>
      </c>
      <c r="AP490" s="23">
        <v>0</v>
      </c>
      <c r="AQ490" s="23">
        <v>0.33806012478729441</v>
      </c>
      <c r="AR490" s="23">
        <v>0.39251276233692572</v>
      </c>
      <c r="AS490" s="23">
        <v>0.26942711287577992</v>
      </c>
      <c r="AT490" s="23">
        <v>0</v>
      </c>
      <c r="AU490" s="20">
        <v>1.1000000000000001</v>
      </c>
      <c r="AV490" s="20">
        <v>3.44</v>
      </c>
      <c r="AW490" s="20">
        <v>2.34</v>
      </c>
      <c r="AX490" s="20">
        <v>2.5943624161073831</v>
      </c>
      <c r="AY490">
        <v>2.5943624161073831</v>
      </c>
      <c r="AZ490">
        <v>5.8869633505033558</v>
      </c>
      <c r="BB490" s="64">
        <v>0.46352185946891089</v>
      </c>
      <c r="BF490" t="s">
        <v>459</v>
      </c>
      <c r="BG490">
        <v>4.5494888399460899E-2</v>
      </c>
      <c r="BH490">
        <v>9.0989776798921798E-2</v>
      </c>
      <c r="BI490" t="s">
        <v>459</v>
      </c>
      <c r="BJ490">
        <v>0.46352185946891089</v>
      </c>
    </row>
    <row r="491" spans="1:62" x14ac:dyDescent="0.3">
      <c r="A491" t="s">
        <v>407</v>
      </c>
      <c r="B491" s="16" t="s">
        <v>961</v>
      </c>
      <c r="C491" s="12"/>
      <c r="F491">
        <v>0.15</v>
      </c>
      <c r="G491" t="s">
        <v>408</v>
      </c>
      <c r="H491" s="8">
        <v>-1</v>
      </c>
      <c r="I491" t="s">
        <v>673</v>
      </c>
      <c r="L491" s="20">
        <v>0</v>
      </c>
      <c r="M491">
        <v>2</v>
      </c>
      <c r="N491">
        <v>2</v>
      </c>
      <c r="O491">
        <v>5.484</v>
      </c>
      <c r="P491">
        <v>5.4790000000000001</v>
      </c>
      <c r="Q491">
        <v>20.064</v>
      </c>
      <c r="R491" t="s">
        <v>1135</v>
      </c>
      <c r="T491" s="20">
        <v>0</v>
      </c>
      <c r="U491" s="20"/>
      <c r="V491" s="20"/>
      <c r="W491">
        <v>3.9685999999999999</v>
      </c>
      <c r="X491">
        <v>3.9685999999999999</v>
      </c>
      <c r="Y491">
        <v>19.3154</v>
      </c>
      <c r="Z491">
        <v>0</v>
      </c>
      <c r="AD491">
        <v>12.7</v>
      </c>
      <c r="AE491" s="44">
        <f t="shared" si="34"/>
        <v>602.85971750399995</v>
      </c>
      <c r="AF491" s="46">
        <v>0</v>
      </c>
      <c r="AG491" s="44">
        <v>304.21341573178398</v>
      </c>
      <c r="AJ491" s="40"/>
      <c r="AK491" s="41">
        <v>9.098875515866349E-2</v>
      </c>
      <c r="AM491" s="23">
        <v>2</v>
      </c>
      <c r="AN491" s="23">
        <v>2.2378854625550662</v>
      </c>
      <c r="AO491" s="23">
        <v>1.6740088105726869</v>
      </c>
      <c r="AP491" s="23">
        <v>0</v>
      </c>
      <c r="AQ491" s="23">
        <v>0.33830104321907611</v>
      </c>
      <c r="AR491" s="23">
        <v>0.37853949329359171</v>
      </c>
      <c r="AS491" s="23">
        <v>0.2831594634873324</v>
      </c>
      <c r="AT491" s="23">
        <v>0</v>
      </c>
      <c r="AU491" s="20">
        <v>1.1000000000000001</v>
      </c>
      <c r="AV491" s="20">
        <v>3.44</v>
      </c>
      <c r="AW491" s="20">
        <v>2.34</v>
      </c>
      <c r="AX491" s="20">
        <v>2.5518942731277532</v>
      </c>
      <c r="AY491">
        <v>2.5518942731277532</v>
      </c>
      <c r="AZ491">
        <v>5.8039684980176212</v>
      </c>
      <c r="BB491" s="64">
        <v>0.46352185946891089</v>
      </c>
      <c r="BF491">
        <v>4.1747008327855002E-2</v>
      </c>
      <c r="BH491">
        <v>9.098875515866349E-2</v>
      </c>
      <c r="BI491">
        <v>4.1747008327855002E-2</v>
      </c>
      <c r="BJ491">
        <v>0.46352185946891089</v>
      </c>
    </row>
    <row r="492" spans="1:62" x14ac:dyDescent="0.3">
      <c r="A492" t="s">
        <v>409</v>
      </c>
      <c r="B492" s="16" t="s">
        <v>962</v>
      </c>
      <c r="C492" s="12"/>
      <c r="F492">
        <v>3.22</v>
      </c>
      <c r="G492" t="s">
        <v>411</v>
      </c>
      <c r="H492" s="8">
        <v>-1</v>
      </c>
      <c r="I492">
        <v>-1</v>
      </c>
      <c r="L492" s="20">
        <v>0</v>
      </c>
      <c r="M492">
        <v>2</v>
      </c>
      <c r="N492">
        <v>0</v>
      </c>
      <c r="O492">
        <v>7.8239999999999998</v>
      </c>
      <c r="P492">
        <v>7.8432000000000004</v>
      </c>
      <c r="Q492">
        <v>7.9165000000000001</v>
      </c>
      <c r="R492" t="s">
        <v>1136</v>
      </c>
      <c r="T492" s="20">
        <v>0</v>
      </c>
      <c r="U492" s="20"/>
      <c r="V492" s="20"/>
      <c r="W492">
        <v>3.9685999999999999</v>
      </c>
      <c r="X492">
        <v>3.9685999999999999</v>
      </c>
      <c r="Y492">
        <v>19.3154</v>
      </c>
      <c r="Z492">
        <v>0</v>
      </c>
      <c r="AD492">
        <v>6</v>
      </c>
      <c r="AE492" s="44">
        <f t="shared" si="34"/>
        <v>485.79758046720002</v>
      </c>
      <c r="AF492" s="46">
        <v>0</v>
      </c>
      <c r="AG492" s="44">
        <v>304.21341573178398</v>
      </c>
      <c r="AH492" s="44">
        <v>0</v>
      </c>
      <c r="AJ492" s="40"/>
      <c r="AK492" s="41">
        <v>8.3494016655709991E-2</v>
      </c>
      <c r="AM492" s="23">
        <v>1.7690531177829101</v>
      </c>
      <c r="AN492" s="23">
        <v>2.7713625866050808</v>
      </c>
      <c r="AO492" s="23">
        <v>1</v>
      </c>
      <c r="AP492" s="23">
        <v>0</v>
      </c>
      <c r="AQ492" s="23">
        <v>0.31929970821175491</v>
      </c>
      <c r="AR492" s="23">
        <v>0.50020842017507294</v>
      </c>
      <c r="AS492" s="23">
        <v>0.18049187161317221</v>
      </c>
      <c r="AT492" s="23">
        <v>0</v>
      </c>
      <c r="AU492" s="20">
        <v>1.1000000000000001</v>
      </c>
      <c r="AV492" s="20">
        <v>3.44</v>
      </c>
      <c r="AW492" s="20">
        <v>2.34</v>
      </c>
      <c r="AX492" s="20">
        <v>2.8367205542725169</v>
      </c>
      <c r="AY492">
        <v>2.8367205542725169</v>
      </c>
      <c r="AZ492">
        <v>6.3438920491916866</v>
      </c>
      <c r="BF492">
        <v>1.9722996060403931E-2</v>
      </c>
      <c r="BH492">
        <v>8.3494016655709991E-2</v>
      </c>
      <c r="BI492">
        <v>1.9722996060403931E-2</v>
      </c>
      <c r="BJ492">
        <v>0</v>
      </c>
    </row>
    <row r="493" spans="1:62" x14ac:dyDescent="0.3">
      <c r="A493" t="s">
        <v>90</v>
      </c>
      <c r="B493" s="16" t="s">
        <v>963</v>
      </c>
      <c r="C493" s="12"/>
      <c r="F493">
        <v>3.87</v>
      </c>
      <c r="G493" t="s">
        <v>411</v>
      </c>
      <c r="H493" s="8">
        <v>-1</v>
      </c>
      <c r="I493">
        <v>-1</v>
      </c>
      <c r="L493" s="20">
        <v>0</v>
      </c>
      <c r="M493">
        <v>0</v>
      </c>
      <c r="N493">
        <v>0</v>
      </c>
      <c r="O493">
        <v>3.9186000000000001</v>
      </c>
      <c r="P493">
        <v>3.9186000000000001</v>
      </c>
      <c r="Q493">
        <v>7.9149000000000003</v>
      </c>
      <c r="R493" t="s">
        <v>439</v>
      </c>
      <c r="T493" s="20">
        <v>0</v>
      </c>
      <c r="U493" s="20"/>
      <c r="V493" s="20"/>
      <c r="W493">
        <v>0</v>
      </c>
      <c r="Z493">
        <v>0</v>
      </c>
      <c r="AD493">
        <v>6</v>
      </c>
      <c r="AE493" s="44">
        <f t="shared" si="34"/>
        <v>121.536660930804</v>
      </c>
      <c r="AF493" s="46">
        <v>0</v>
      </c>
      <c r="AG493" s="44">
        <v>0</v>
      </c>
      <c r="AH493" s="44">
        <v>0</v>
      </c>
      <c r="AJ493" s="40"/>
      <c r="AM493" s="23">
        <v>2</v>
      </c>
      <c r="AN493" s="23">
        <v>2.7713625866050808</v>
      </c>
      <c r="AO493" s="23">
        <v>0.76905311778290997</v>
      </c>
      <c r="AP493" s="23">
        <v>3.2332563510392611</v>
      </c>
      <c r="AQ493" s="23">
        <v>0.2279547249276126</v>
      </c>
      <c r="AR493" s="23">
        <v>0.31587259805211898</v>
      </c>
      <c r="AS493" s="23">
        <v>8.765464595946304E-2</v>
      </c>
      <c r="AT493" s="23">
        <v>0.36851803106080561</v>
      </c>
      <c r="AU493" s="20">
        <v>1.1000000000000001</v>
      </c>
      <c r="AV493" s="20">
        <v>3.44</v>
      </c>
      <c r="AW493" s="20">
        <v>2.34</v>
      </c>
      <c r="AX493" s="20">
        <v>2.813625866050808</v>
      </c>
      <c r="AY493">
        <v>2.8136258660508089</v>
      </c>
      <c r="AZ493">
        <v>6.3665749591224019</v>
      </c>
      <c r="BH493">
        <v>0</v>
      </c>
      <c r="BI493">
        <v>0</v>
      </c>
      <c r="BJ493">
        <v>0</v>
      </c>
    </row>
    <row r="494" spans="1:62" x14ac:dyDescent="0.3">
      <c r="A494" t="s">
        <v>410</v>
      </c>
      <c r="B494" s="12" t="s">
        <v>839</v>
      </c>
      <c r="C494" s="12"/>
      <c r="F494">
        <v>3.56</v>
      </c>
      <c r="G494" t="s">
        <v>411</v>
      </c>
      <c r="H494" s="8" t="s">
        <v>602</v>
      </c>
      <c r="I494" t="s">
        <v>674</v>
      </c>
      <c r="L494" s="20">
        <v>2</v>
      </c>
      <c r="M494">
        <v>0</v>
      </c>
      <c r="N494">
        <v>0</v>
      </c>
      <c r="O494">
        <v>-1</v>
      </c>
      <c r="T494" s="20">
        <v>5.44114334</v>
      </c>
      <c r="U494" s="20">
        <v>5.44114334</v>
      </c>
      <c r="V494" s="20">
        <v>5.44114334</v>
      </c>
      <c r="W494">
        <v>0</v>
      </c>
      <c r="Z494">
        <v>0</v>
      </c>
      <c r="AD494">
        <v>6</v>
      </c>
      <c r="AE494" s="44">
        <f t="shared" si="34"/>
        <v>0</v>
      </c>
      <c r="AF494" s="46">
        <v>112.4131248985337</v>
      </c>
      <c r="AG494" s="44">
        <v>0</v>
      </c>
      <c r="AH494" s="44">
        <v>0</v>
      </c>
      <c r="AJ494" s="40">
        <v>0.106749100790779</v>
      </c>
      <c r="AM494" s="23">
        <v>2</v>
      </c>
      <c r="AN494" s="23">
        <v>2.4</v>
      </c>
      <c r="AO494" s="23">
        <v>0.4</v>
      </c>
      <c r="AP494" s="23">
        <v>0</v>
      </c>
      <c r="AQ494" s="23">
        <v>0.41666666666666669</v>
      </c>
      <c r="AR494" s="23">
        <v>0.5</v>
      </c>
      <c r="AS494" s="23">
        <v>8.3333333333333343E-2</v>
      </c>
      <c r="AT494" s="23">
        <v>0</v>
      </c>
      <c r="AU494" s="20">
        <v>1</v>
      </c>
      <c r="AV494" s="20">
        <v>3.44</v>
      </c>
      <c r="AW494" s="20">
        <v>2.44</v>
      </c>
      <c r="AX494" s="20">
        <v>2.5720000000000001</v>
      </c>
      <c r="AY494">
        <v>2.5720000000000001</v>
      </c>
      <c r="AZ494">
        <v>5.8278852370000003</v>
      </c>
      <c r="BA494" s="64">
        <v>0.58846120068676144</v>
      </c>
      <c r="BB494" s="64">
        <v>0.59176212397517092</v>
      </c>
      <c r="BE494">
        <v>5.3374550395389492E-2</v>
      </c>
      <c r="BH494">
        <v>0.106749100790779</v>
      </c>
      <c r="BI494">
        <v>5.3374550395389492E-2</v>
      </c>
      <c r="BJ494">
        <v>0.59011166233096612</v>
      </c>
    </row>
    <row r="495" spans="1:62" x14ac:dyDescent="0.3">
      <c r="A495" t="s">
        <v>413</v>
      </c>
      <c r="B495" s="12" t="s">
        <v>840</v>
      </c>
      <c r="C495" s="12"/>
      <c r="F495">
        <v>2.86</v>
      </c>
      <c r="G495" t="s">
        <v>412</v>
      </c>
      <c r="H495" s="8">
        <v>-1</v>
      </c>
      <c r="I495">
        <v>-1</v>
      </c>
      <c r="J495" s="58" t="s">
        <v>1244</v>
      </c>
      <c r="K495">
        <v>1</v>
      </c>
      <c r="L495" s="20">
        <v>0</v>
      </c>
      <c r="M495">
        <v>4</v>
      </c>
      <c r="N495">
        <v>0</v>
      </c>
      <c r="O495">
        <v>3.91</v>
      </c>
      <c r="P495">
        <v>3.91</v>
      </c>
      <c r="Q495">
        <v>18.495999999999999</v>
      </c>
      <c r="R495" t="s">
        <v>439</v>
      </c>
      <c r="T495" s="20">
        <v>0</v>
      </c>
      <c r="U495" s="20"/>
      <c r="V495" s="20"/>
      <c r="W495">
        <v>5.38</v>
      </c>
      <c r="X495">
        <v>5.44</v>
      </c>
      <c r="Y495">
        <v>7.6390000000000002</v>
      </c>
      <c r="Z495">
        <v>0</v>
      </c>
      <c r="AD495">
        <v>22</v>
      </c>
      <c r="AE495" s="44">
        <f t="shared" si="34"/>
        <v>282.7686976</v>
      </c>
      <c r="AF495" s="46">
        <v>0</v>
      </c>
      <c r="AG495" s="44">
        <v>223.5721408</v>
      </c>
      <c r="AH495" s="44">
        <v>0</v>
      </c>
      <c r="AJ495" s="40"/>
      <c r="AK495" s="41">
        <v>0.1073479008347001</v>
      </c>
      <c r="AM495" s="23">
        <v>2</v>
      </c>
      <c r="AN495" s="23">
        <v>3.052631578947369</v>
      </c>
      <c r="AO495" s="23">
        <v>1.8947368421052631</v>
      </c>
      <c r="AP495" s="23">
        <v>3.6842105263157889</v>
      </c>
      <c r="AQ495" s="23">
        <v>0.18811881188118809</v>
      </c>
      <c r="AR495" s="23">
        <v>0.28712871287128722</v>
      </c>
      <c r="AS495" s="23">
        <v>0.17821782178217821</v>
      </c>
      <c r="AT495" s="23">
        <v>0.34653465346534651</v>
      </c>
      <c r="AU495" s="20">
        <v>0.95</v>
      </c>
      <c r="AV495" s="20">
        <v>3.44</v>
      </c>
      <c r="AW495" s="20">
        <v>2.4900000000000002</v>
      </c>
      <c r="AX495" s="20">
        <v>2.7347368421052631</v>
      </c>
      <c r="AY495">
        <v>2.7347368421052631</v>
      </c>
      <c r="AZ495">
        <v>6.1677369702631566</v>
      </c>
      <c r="BC495" s="64">
        <v>0</v>
      </c>
      <c r="BD495">
        <v>3.8901052674367873E-2</v>
      </c>
      <c r="BF495">
        <v>0.19680448486361679</v>
      </c>
      <c r="BH495">
        <v>0.1073479008347001</v>
      </c>
      <c r="BI495">
        <v>0.1178527687689923</v>
      </c>
      <c r="BJ495">
        <v>0</v>
      </c>
    </row>
    <row r="496" spans="1:62" x14ac:dyDescent="0.3">
      <c r="A496" t="s">
        <v>414</v>
      </c>
      <c r="B496" s="12" t="s">
        <v>841</v>
      </c>
      <c r="C496" s="12"/>
      <c r="F496">
        <v>2.58</v>
      </c>
      <c r="G496" t="s">
        <v>412</v>
      </c>
      <c r="H496" s="8">
        <v>-1</v>
      </c>
      <c r="I496">
        <v>-1</v>
      </c>
      <c r="J496" s="58" t="s">
        <v>1244</v>
      </c>
      <c r="K496">
        <v>1</v>
      </c>
      <c r="L496" s="20">
        <v>0</v>
      </c>
      <c r="M496">
        <v>0</v>
      </c>
      <c r="N496">
        <v>0</v>
      </c>
      <c r="O496">
        <v>3.9119999999999999</v>
      </c>
      <c r="P496">
        <v>3.9119999999999999</v>
      </c>
      <c r="Q496">
        <v>18.582000000000001</v>
      </c>
      <c r="R496" t="s">
        <v>439</v>
      </c>
      <c r="T496" s="20">
        <v>0</v>
      </c>
      <c r="U496" s="20"/>
      <c r="V496" s="20"/>
      <c r="W496">
        <v>0</v>
      </c>
      <c r="Z496">
        <v>0</v>
      </c>
      <c r="AD496">
        <v>22</v>
      </c>
      <c r="AE496" s="44">
        <f t="shared" si="34"/>
        <v>284.37417100800002</v>
      </c>
      <c r="AF496" s="46">
        <v>0</v>
      </c>
      <c r="AG496" s="44">
        <v>0</v>
      </c>
      <c r="AH496" s="44">
        <v>0</v>
      </c>
      <c r="AI496" s="41">
        <f>K496*AD496/AE496</f>
        <v>7.7362862885958422E-2</v>
      </c>
      <c r="AJ496" s="40"/>
      <c r="AM496" s="23">
        <v>2</v>
      </c>
      <c r="AN496" s="23">
        <v>3.1578947368421049</v>
      </c>
      <c r="AO496" s="23">
        <v>2.4210526315789469</v>
      </c>
      <c r="AP496" s="23">
        <v>4.4210526315789478</v>
      </c>
      <c r="AQ496" s="23">
        <v>0.16666666666666671</v>
      </c>
      <c r="AR496" s="23">
        <v>0.26315789473684209</v>
      </c>
      <c r="AS496" s="23">
        <v>0.2017543859649123</v>
      </c>
      <c r="AT496" s="23">
        <v>0.36842105263157898</v>
      </c>
      <c r="AU496" s="20">
        <v>0.95</v>
      </c>
      <c r="AV496" s="20">
        <v>3.44</v>
      </c>
      <c r="AW496" s="20">
        <v>2.4900000000000002</v>
      </c>
      <c r="AX496" s="20">
        <v>2.8073684210526308</v>
      </c>
      <c r="AY496">
        <v>2.8073684210526308</v>
      </c>
      <c r="AZ496">
        <v>6.2210650663157896</v>
      </c>
      <c r="BC496" s="64">
        <v>0</v>
      </c>
      <c r="BD496">
        <v>3.8681431442979211E-2</v>
      </c>
      <c r="BH496">
        <v>7.7362862885958422E-2</v>
      </c>
      <c r="BI496">
        <v>3.8681431442979211E-2</v>
      </c>
      <c r="BJ496">
        <v>0</v>
      </c>
    </row>
    <row r="497" spans="1:62" x14ac:dyDescent="0.3">
      <c r="A497" t="s">
        <v>415</v>
      </c>
      <c r="B497" s="12" t="s">
        <v>842</v>
      </c>
      <c r="C497" s="12"/>
      <c r="F497">
        <v>2.57</v>
      </c>
      <c r="G497" t="s">
        <v>412</v>
      </c>
      <c r="H497" s="8">
        <v>-1</v>
      </c>
      <c r="I497">
        <v>-1</v>
      </c>
      <c r="J497" s="58" t="s">
        <v>1244</v>
      </c>
      <c r="K497">
        <v>1</v>
      </c>
      <c r="L497" s="20">
        <v>0</v>
      </c>
      <c r="M497">
        <v>0</v>
      </c>
      <c r="N497">
        <v>0</v>
      </c>
      <c r="O497">
        <v>3.9607600000000001</v>
      </c>
      <c r="P497">
        <v>3.9607600000000001</v>
      </c>
      <c r="Q497">
        <v>18.789100000000001</v>
      </c>
      <c r="R497" t="s">
        <v>439</v>
      </c>
      <c r="T497" s="20">
        <v>0</v>
      </c>
      <c r="U497" s="20"/>
      <c r="V497" s="20"/>
      <c r="W497">
        <v>0</v>
      </c>
      <c r="Z497">
        <v>0</v>
      </c>
      <c r="AD497">
        <v>22</v>
      </c>
      <c r="AE497" s="44">
        <f t="shared" si="34"/>
        <v>294.75625676330418</v>
      </c>
      <c r="AF497" s="46">
        <v>0</v>
      </c>
      <c r="AG497" s="44">
        <v>0</v>
      </c>
      <c r="AH497" s="44">
        <v>0</v>
      </c>
      <c r="AI497" s="41">
        <f>K497*AD497/AE497</f>
        <v>7.4637940655035831E-2</v>
      </c>
      <c r="AJ497" s="40"/>
      <c r="AM497" s="23">
        <v>2</v>
      </c>
      <c r="AN497" s="23">
        <v>3.052631578947369</v>
      </c>
      <c r="AO497" s="23">
        <v>1.8947368421052631</v>
      </c>
      <c r="AP497" s="23">
        <v>3.6842105263157889</v>
      </c>
      <c r="AQ497" s="23">
        <v>0.18811881188118809</v>
      </c>
      <c r="AR497" s="23">
        <v>0.28712871287128722</v>
      </c>
      <c r="AS497" s="23">
        <v>0.17821782178217821</v>
      </c>
      <c r="AT497" s="23">
        <v>0.34653465346534651</v>
      </c>
      <c r="AU497" s="20">
        <v>0.89</v>
      </c>
      <c r="AV497" s="20">
        <v>3.44</v>
      </c>
      <c r="AW497" s="20">
        <v>2.5499999999999998</v>
      </c>
      <c r="AX497" s="20">
        <v>2.7284210526315791</v>
      </c>
      <c r="AY497">
        <v>2.7284210526315791</v>
      </c>
      <c r="AZ497">
        <v>6.1471768202631578</v>
      </c>
      <c r="BC497" s="64">
        <v>0</v>
      </c>
      <c r="BD497">
        <v>3.7318970327517922E-2</v>
      </c>
      <c r="BH497">
        <v>7.4637940655035831E-2</v>
      </c>
      <c r="BI497">
        <v>3.7318970327517922E-2</v>
      </c>
      <c r="BJ497">
        <v>0</v>
      </c>
    </row>
    <row r="498" spans="1:62" x14ac:dyDescent="0.3">
      <c r="A498" t="s">
        <v>416</v>
      </c>
      <c r="B498" s="12" t="s">
        <v>843</v>
      </c>
      <c r="C498" s="12"/>
      <c r="F498">
        <v>2.6</v>
      </c>
      <c r="G498" t="s">
        <v>412</v>
      </c>
      <c r="H498" s="8">
        <v>-1</v>
      </c>
      <c r="I498">
        <v>-1</v>
      </c>
      <c r="J498" s="58" t="s">
        <v>1244</v>
      </c>
      <c r="K498">
        <v>1</v>
      </c>
      <c r="L498" s="20">
        <v>0</v>
      </c>
      <c r="M498">
        <v>0</v>
      </c>
      <c r="N498">
        <v>0</v>
      </c>
      <c r="O498">
        <v>3.9350499999999999</v>
      </c>
      <c r="P498">
        <v>3.9350499999999999</v>
      </c>
      <c r="Q498">
        <v>18.790900000000001</v>
      </c>
      <c r="R498" t="s">
        <v>439</v>
      </c>
      <c r="T498" s="20">
        <v>0</v>
      </c>
      <c r="U498" s="20"/>
      <c r="V498" s="20"/>
      <c r="W498">
        <v>0</v>
      </c>
      <c r="Z498">
        <v>0</v>
      </c>
      <c r="AD498">
        <v>22</v>
      </c>
      <c r="AE498" s="44">
        <f t="shared" si="34"/>
        <v>290.96991781862727</v>
      </c>
      <c r="AF498" s="46">
        <v>0</v>
      </c>
      <c r="AG498" s="44">
        <v>0</v>
      </c>
      <c r="AH498" s="44">
        <v>0</v>
      </c>
      <c r="AI498" s="41">
        <f t="shared" ref="AI498:AI524" si="36">K498*AD498/AE498</f>
        <v>7.5609190685180877E-2</v>
      </c>
      <c r="AJ498" s="40"/>
      <c r="AM498" s="23">
        <v>2</v>
      </c>
      <c r="AN498" s="23">
        <v>3.1578947368421049</v>
      </c>
      <c r="AO498" s="23">
        <v>2.4210526315789469</v>
      </c>
      <c r="AP498" s="23">
        <v>4.4210526315789478</v>
      </c>
      <c r="AQ498" s="23">
        <v>0.16666666666666671</v>
      </c>
      <c r="AR498" s="23">
        <v>0.26315789473684209</v>
      </c>
      <c r="AS498" s="23">
        <v>0.2017543859649123</v>
      </c>
      <c r="AT498" s="23">
        <v>0.36842105263157898</v>
      </c>
      <c r="AU498" s="20">
        <v>0.89</v>
      </c>
      <c r="AV498" s="20">
        <v>3.44</v>
      </c>
      <c r="AW498" s="20">
        <v>2.5499999999999998</v>
      </c>
      <c r="AX498" s="20">
        <v>2.804210526315789</v>
      </c>
      <c r="AY498">
        <v>2.804210526315789</v>
      </c>
      <c r="AZ498">
        <v>6.2107849913157898</v>
      </c>
      <c r="BC498" s="64">
        <v>0</v>
      </c>
      <c r="BD498">
        <v>3.7804595342590439E-2</v>
      </c>
      <c r="BH498">
        <v>7.5609190685180877E-2</v>
      </c>
      <c r="BI498">
        <v>3.7804595342590439E-2</v>
      </c>
      <c r="BJ498">
        <v>0</v>
      </c>
    </row>
    <row r="499" spans="1:62" x14ac:dyDescent="0.3">
      <c r="A499" t="s">
        <v>417</v>
      </c>
      <c r="B499" s="12" t="s">
        <v>844</v>
      </c>
      <c r="C499" s="12"/>
      <c r="F499">
        <v>2.57</v>
      </c>
      <c r="G499" t="s">
        <v>412</v>
      </c>
      <c r="H499" s="8">
        <v>-1</v>
      </c>
      <c r="I499">
        <v>-1</v>
      </c>
      <c r="J499" s="58" t="s">
        <v>1244</v>
      </c>
      <c r="K499">
        <v>1</v>
      </c>
      <c r="L499" s="20">
        <v>0</v>
      </c>
      <c r="M499">
        <v>0</v>
      </c>
      <c r="N499">
        <v>0</v>
      </c>
      <c r="O499">
        <v>3.8856000000000002</v>
      </c>
      <c r="P499">
        <v>3.8856000000000002</v>
      </c>
      <c r="Q499">
        <v>18.356999999999999</v>
      </c>
      <c r="R499" t="s">
        <v>439</v>
      </c>
      <c r="T499" s="20">
        <v>0</v>
      </c>
      <c r="U499" s="20"/>
      <c r="V499" s="20"/>
      <c r="W499">
        <v>0</v>
      </c>
      <c r="Z499">
        <v>0</v>
      </c>
      <c r="AD499">
        <v>22</v>
      </c>
      <c r="AE499" s="44">
        <f t="shared" si="34"/>
        <v>277.15191826751999</v>
      </c>
      <c r="AF499" s="46">
        <v>0</v>
      </c>
      <c r="AG499" s="44">
        <v>0</v>
      </c>
      <c r="AH499" s="44">
        <v>0</v>
      </c>
      <c r="AI499" s="41">
        <f t="shared" si="36"/>
        <v>7.9378848025019155E-2</v>
      </c>
      <c r="AJ499" s="40"/>
      <c r="AM499" s="23">
        <v>2</v>
      </c>
      <c r="AN499" s="23">
        <v>3.2105263157894739</v>
      </c>
      <c r="AO499" s="23">
        <v>2.3684210526315792</v>
      </c>
      <c r="AP499" s="23">
        <v>3.6842105263157889</v>
      </c>
      <c r="AQ499" s="23">
        <v>0.17757009345794389</v>
      </c>
      <c r="AR499" s="23">
        <v>0.28504672897196259</v>
      </c>
      <c r="AS499" s="23">
        <v>0.2102803738317757</v>
      </c>
      <c r="AT499" s="23">
        <v>0.32710280373831768</v>
      </c>
      <c r="AU499" s="20">
        <v>0.95</v>
      </c>
      <c r="AV499" s="20">
        <v>3.44</v>
      </c>
      <c r="AW499" s="20">
        <v>2.4900000000000002</v>
      </c>
      <c r="AX499" s="20">
        <v>2.7931578947368418</v>
      </c>
      <c r="AY499">
        <v>2.7931578947368418</v>
      </c>
      <c r="AZ499">
        <v>6.207524303947368</v>
      </c>
      <c r="BC499" s="64">
        <v>0</v>
      </c>
      <c r="BD499">
        <v>3.9689424012509578E-2</v>
      </c>
      <c r="BH499">
        <v>7.9378848025019155E-2</v>
      </c>
      <c r="BI499">
        <v>3.9689424012509578E-2</v>
      </c>
      <c r="BJ499">
        <v>0</v>
      </c>
    </row>
    <row r="500" spans="1:62" x14ac:dyDescent="0.3">
      <c r="A500" t="s">
        <v>418</v>
      </c>
      <c r="B500" s="12" t="s">
        <v>845</v>
      </c>
      <c r="C500" s="12"/>
      <c r="F500">
        <v>2.5</v>
      </c>
      <c r="G500" t="s">
        <v>412</v>
      </c>
      <c r="H500" s="8">
        <v>-1</v>
      </c>
      <c r="I500">
        <v>-1</v>
      </c>
      <c r="J500" s="58" t="s">
        <v>1244</v>
      </c>
      <c r="K500">
        <v>1</v>
      </c>
      <c r="L500" s="20">
        <v>0</v>
      </c>
      <c r="M500">
        <v>0</v>
      </c>
      <c r="N500">
        <v>0</v>
      </c>
      <c r="O500">
        <v>3.9121999999999999</v>
      </c>
      <c r="P500">
        <v>3.9121999999999999</v>
      </c>
      <c r="Q500">
        <v>18.724299999999999</v>
      </c>
      <c r="R500" t="s">
        <v>439</v>
      </c>
      <c r="T500" s="20">
        <v>0</v>
      </c>
      <c r="U500" s="20"/>
      <c r="V500" s="20"/>
      <c r="W500">
        <v>0</v>
      </c>
      <c r="Z500">
        <v>0</v>
      </c>
      <c r="AD500">
        <v>22</v>
      </c>
      <c r="AE500" s="44">
        <f t="shared" si="34"/>
        <v>286.58119431281199</v>
      </c>
      <c r="AF500" s="46">
        <v>0</v>
      </c>
      <c r="AG500" s="44">
        <v>0</v>
      </c>
      <c r="AH500" s="44">
        <v>0</v>
      </c>
      <c r="AI500" s="41">
        <f t="shared" si="36"/>
        <v>7.6767074869491747E-2</v>
      </c>
      <c r="AJ500" s="40"/>
      <c r="AM500" s="23">
        <v>2</v>
      </c>
      <c r="AN500" s="23">
        <v>3.2105263157894739</v>
      </c>
      <c r="AO500" s="23">
        <v>2.3684210526315792</v>
      </c>
      <c r="AP500" s="23">
        <v>3.6842105263157889</v>
      </c>
      <c r="AQ500" s="23">
        <v>0.17757009345794389</v>
      </c>
      <c r="AR500" s="23">
        <v>0.28504672897196259</v>
      </c>
      <c r="AS500" s="23">
        <v>0.2102803738317757</v>
      </c>
      <c r="AT500" s="23">
        <v>0.32710280373831768</v>
      </c>
      <c r="AU500" s="20">
        <v>0.89</v>
      </c>
      <c r="AV500" s="20">
        <v>3.44</v>
      </c>
      <c r="AW500" s="20">
        <v>2.5499999999999998</v>
      </c>
      <c r="AX500" s="20">
        <v>2.79</v>
      </c>
      <c r="AY500">
        <v>2.79</v>
      </c>
      <c r="AZ500">
        <v>6.1972442289473681</v>
      </c>
      <c r="BC500" s="64">
        <v>0</v>
      </c>
      <c r="BD500">
        <v>3.8383537434745867E-2</v>
      </c>
      <c r="BH500">
        <v>7.6767074869491747E-2</v>
      </c>
      <c r="BI500">
        <v>3.8383537434745867E-2</v>
      </c>
      <c r="BJ500">
        <v>0</v>
      </c>
    </row>
    <row r="501" spans="1:62" x14ac:dyDescent="0.3">
      <c r="A501" t="s">
        <v>419</v>
      </c>
      <c r="B501" s="12" t="s">
        <v>846</v>
      </c>
      <c r="C501" s="12"/>
      <c r="F501">
        <v>2.6</v>
      </c>
      <c r="G501" t="s">
        <v>412</v>
      </c>
      <c r="H501" s="8">
        <v>-1</v>
      </c>
      <c r="I501">
        <v>-1</v>
      </c>
      <c r="J501" s="58" t="s">
        <v>1244</v>
      </c>
      <c r="K501">
        <v>1</v>
      </c>
      <c r="L501" s="20">
        <v>0</v>
      </c>
      <c r="M501">
        <v>0</v>
      </c>
      <c r="N501">
        <v>0</v>
      </c>
      <c r="O501">
        <v>3.8752</v>
      </c>
      <c r="P501">
        <v>3.8752</v>
      </c>
      <c r="Q501">
        <v>18.687000000000001</v>
      </c>
      <c r="R501" t="s">
        <v>439</v>
      </c>
      <c r="T501" s="20">
        <v>0</v>
      </c>
      <c r="U501" s="20"/>
      <c r="V501" s="20"/>
      <c r="W501">
        <v>0</v>
      </c>
      <c r="Z501">
        <v>0</v>
      </c>
      <c r="AD501">
        <v>22</v>
      </c>
      <c r="AE501" s="44">
        <f t="shared" si="34"/>
        <v>280.62594997247999</v>
      </c>
      <c r="AF501" s="46">
        <v>0</v>
      </c>
      <c r="AG501" s="44">
        <v>0</v>
      </c>
      <c r="AH501" s="44">
        <v>0</v>
      </c>
      <c r="AI501" s="41">
        <f t="shared" si="36"/>
        <v>7.8396171138690005E-2</v>
      </c>
      <c r="AJ501" s="40"/>
      <c r="AM501" s="23">
        <v>2</v>
      </c>
      <c r="AN501" s="23">
        <v>3.3157894736842111</v>
      </c>
      <c r="AO501" s="23">
        <v>2.8947368421052628</v>
      </c>
      <c r="AP501" s="23">
        <v>4.4210526315789478</v>
      </c>
      <c r="AQ501" s="23">
        <v>0.1583333333333333</v>
      </c>
      <c r="AR501" s="23">
        <v>0.26250000000000001</v>
      </c>
      <c r="AS501" s="23">
        <v>0.22916666666666671</v>
      </c>
      <c r="AT501" s="23">
        <v>0.35</v>
      </c>
      <c r="AU501" s="20">
        <v>1.5</v>
      </c>
      <c r="AV501" s="20">
        <v>3.44</v>
      </c>
      <c r="AW501" s="20">
        <v>1.94</v>
      </c>
      <c r="AX501" s="20">
        <v>2.86578947368421</v>
      </c>
      <c r="AY501">
        <v>2.8657894736842109</v>
      </c>
      <c r="AZ501">
        <v>6.2608524000000001</v>
      </c>
      <c r="BC501" s="64">
        <v>0</v>
      </c>
      <c r="BD501">
        <v>3.9198085569345002E-2</v>
      </c>
      <c r="BH501">
        <v>7.8396171138690005E-2</v>
      </c>
      <c r="BI501">
        <v>3.9198085569345002E-2</v>
      </c>
      <c r="BJ501">
        <v>0</v>
      </c>
    </row>
    <row r="502" spans="1:62" x14ac:dyDescent="0.3">
      <c r="A502" t="s">
        <v>426</v>
      </c>
      <c r="B502" s="12" t="s">
        <v>847</v>
      </c>
      <c r="C502" s="12"/>
      <c r="F502">
        <v>2.82</v>
      </c>
      <c r="G502" t="s">
        <v>412</v>
      </c>
      <c r="H502" s="8">
        <v>-1</v>
      </c>
      <c r="I502">
        <v>-1</v>
      </c>
      <c r="J502" s="58" t="s">
        <v>1244</v>
      </c>
      <c r="K502">
        <v>1</v>
      </c>
      <c r="L502" s="20">
        <v>0</v>
      </c>
      <c r="M502">
        <v>0</v>
      </c>
      <c r="N502">
        <v>0</v>
      </c>
      <c r="O502">
        <v>3.9108999999999998</v>
      </c>
      <c r="P502">
        <v>3.9108999999999998</v>
      </c>
      <c r="Q502">
        <v>18.454999999999998</v>
      </c>
      <c r="R502" t="s">
        <v>439</v>
      </c>
      <c r="T502" s="20">
        <v>0</v>
      </c>
      <c r="U502" s="20"/>
      <c r="V502" s="20"/>
      <c r="W502">
        <v>0</v>
      </c>
      <c r="Z502">
        <v>0</v>
      </c>
      <c r="AD502">
        <v>22</v>
      </c>
      <c r="AE502" s="44">
        <f t="shared" si="34"/>
        <v>282.27178673854996</v>
      </c>
      <c r="AF502" s="46">
        <v>0</v>
      </c>
      <c r="AG502" s="44">
        <v>0</v>
      </c>
      <c r="AH502" s="44">
        <v>0</v>
      </c>
      <c r="AI502" s="41">
        <f t="shared" si="36"/>
        <v>7.7939068066966155E-2</v>
      </c>
      <c r="AJ502" s="40"/>
      <c r="AM502" s="23">
        <v>1.8947368421052631</v>
      </c>
      <c r="AN502" s="23">
        <v>3.052631578947369</v>
      </c>
      <c r="AO502" s="23">
        <v>2</v>
      </c>
      <c r="AP502" s="23">
        <v>2.2105263157894739</v>
      </c>
      <c r="AQ502" s="23">
        <v>0.2068965517241379</v>
      </c>
      <c r="AR502" s="23">
        <v>0.33333333333333343</v>
      </c>
      <c r="AS502" s="23">
        <v>0.21839080459770119</v>
      </c>
      <c r="AT502" s="23">
        <v>0.2413793103448276</v>
      </c>
      <c r="AU502" s="20">
        <v>0.95</v>
      </c>
      <c r="AV502" s="20">
        <v>3.44</v>
      </c>
      <c r="AW502" s="20">
        <v>2.4900000000000002</v>
      </c>
      <c r="AX502" s="20">
        <v>2.7452631578947368</v>
      </c>
      <c r="AY502">
        <v>2.7452631578947368</v>
      </c>
      <c r="AZ502">
        <v>6.1573983386842102</v>
      </c>
      <c r="BC502" s="64">
        <v>0</v>
      </c>
      <c r="BD502">
        <v>3.8969534033483078E-2</v>
      </c>
      <c r="BH502">
        <v>7.7939068066966155E-2</v>
      </c>
      <c r="BI502">
        <v>3.8969534033483078E-2</v>
      </c>
      <c r="BJ502">
        <v>0</v>
      </c>
    </row>
    <row r="503" spans="1:62" x14ac:dyDescent="0.3">
      <c r="A503" t="s">
        <v>420</v>
      </c>
      <c r="B503" s="12" t="s">
        <v>848</v>
      </c>
      <c r="C503" s="12"/>
      <c r="F503">
        <v>2.59</v>
      </c>
      <c r="G503" t="s">
        <v>412</v>
      </c>
      <c r="H503" s="8">
        <v>-1</v>
      </c>
      <c r="I503">
        <v>-1</v>
      </c>
      <c r="J503" s="58" t="s">
        <v>1244</v>
      </c>
      <c r="K503">
        <v>1</v>
      </c>
      <c r="L503" s="20">
        <v>0</v>
      </c>
      <c r="M503">
        <v>0</v>
      </c>
      <c r="N503">
        <v>0</v>
      </c>
      <c r="O503">
        <v>3.91</v>
      </c>
      <c r="P503">
        <v>3.91</v>
      </c>
      <c r="Q503">
        <v>18.651</v>
      </c>
      <c r="R503" t="s">
        <v>439</v>
      </c>
      <c r="T503" s="20">
        <v>0</v>
      </c>
      <c r="U503" s="20"/>
      <c r="V503" s="20"/>
      <c r="W503">
        <v>0</v>
      </c>
      <c r="Z503">
        <v>0</v>
      </c>
      <c r="AD503">
        <v>22</v>
      </c>
      <c r="AE503" s="44">
        <f t="shared" si="34"/>
        <v>285.13835310000002</v>
      </c>
      <c r="AF503" s="46">
        <v>0</v>
      </c>
      <c r="AG503" s="44">
        <v>0</v>
      </c>
      <c r="AH503" s="44">
        <v>0</v>
      </c>
      <c r="AI503" s="41">
        <f t="shared" si="36"/>
        <v>7.7155527345998398E-2</v>
      </c>
      <c r="AJ503" s="40"/>
      <c r="AM503" s="23">
        <v>1.8947368421052631</v>
      </c>
      <c r="AN503" s="23">
        <v>3.1578947368421049</v>
      </c>
      <c r="AO503" s="23">
        <v>2.5263157894736841</v>
      </c>
      <c r="AP503" s="23">
        <v>2.947368421052631</v>
      </c>
      <c r="AQ503" s="23">
        <v>0.18</v>
      </c>
      <c r="AR503" s="23">
        <v>0.3</v>
      </c>
      <c r="AS503" s="23">
        <v>0.24</v>
      </c>
      <c r="AT503" s="23">
        <v>0.28000000000000003</v>
      </c>
      <c r="AU503" s="20">
        <v>0.95</v>
      </c>
      <c r="AV503" s="20">
        <v>3.44</v>
      </c>
      <c r="AW503" s="20">
        <v>2.4900000000000002</v>
      </c>
      <c r="AX503" s="20">
        <v>2.817894736842105</v>
      </c>
      <c r="AY503">
        <v>2.817894736842105</v>
      </c>
      <c r="AZ503">
        <v>6.2107264347368423</v>
      </c>
      <c r="BC503" s="64">
        <v>0</v>
      </c>
      <c r="BD503">
        <v>3.8577763672999199E-2</v>
      </c>
      <c r="BH503">
        <v>7.7155527345998398E-2</v>
      </c>
      <c r="BI503">
        <v>3.8577763672999199E-2</v>
      </c>
      <c r="BJ503">
        <v>0</v>
      </c>
    </row>
    <row r="504" spans="1:62" x14ac:dyDescent="0.3">
      <c r="A504" t="s">
        <v>421</v>
      </c>
      <c r="B504" s="12" t="s">
        <v>849</v>
      </c>
      <c r="C504" s="12"/>
      <c r="F504">
        <v>2.66</v>
      </c>
      <c r="G504" t="s">
        <v>412</v>
      </c>
      <c r="H504" s="8">
        <v>-1</v>
      </c>
      <c r="I504">
        <v>-1</v>
      </c>
      <c r="J504" s="58" t="s">
        <v>1244</v>
      </c>
      <c r="K504">
        <v>1</v>
      </c>
      <c r="L504" s="20">
        <v>0</v>
      </c>
      <c r="M504">
        <v>0</v>
      </c>
      <c r="N504">
        <v>0</v>
      </c>
      <c r="O504">
        <v>3.9683000000000002</v>
      </c>
      <c r="P504">
        <v>3.9683000000000002</v>
      </c>
      <c r="Q504">
        <v>18.798999999999999</v>
      </c>
      <c r="R504" t="s">
        <v>439</v>
      </c>
      <c r="T504" s="20">
        <v>0</v>
      </c>
      <c r="U504" s="20"/>
      <c r="V504" s="20"/>
      <c r="W504">
        <v>0</v>
      </c>
      <c r="Z504">
        <v>0</v>
      </c>
      <c r="AD504">
        <v>22</v>
      </c>
      <c r="AE504" s="44">
        <f t="shared" si="34"/>
        <v>296.03546452711004</v>
      </c>
      <c r="AF504" s="46">
        <v>0</v>
      </c>
      <c r="AG504" s="44">
        <v>0</v>
      </c>
      <c r="AH504" s="44">
        <v>0</v>
      </c>
      <c r="AI504" s="41">
        <f t="shared" si="36"/>
        <v>7.4315420401211113E-2</v>
      </c>
      <c r="AJ504" s="40"/>
      <c r="AM504" s="23">
        <v>1.8947368421052631</v>
      </c>
      <c r="AN504" s="23">
        <v>3.052631578947369</v>
      </c>
      <c r="AO504" s="23">
        <v>2</v>
      </c>
      <c r="AP504" s="23">
        <v>2.2105263157894739</v>
      </c>
      <c r="AQ504" s="23">
        <v>0.2068965517241379</v>
      </c>
      <c r="AR504" s="23">
        <v>0.33333333333333343</v>
      </c>
      <c r="AS504" s="23">
        <v>0.21839080459770119</v>
      </c>
      <c r="AT504" s="23">
        <v>0.2413793103448276</v>
      </c>
      <c r="AU504" s="20">
        <v>0.89</v>
      </c>
      <c r="AV504" s="20">
        <v>3.44</v>
      </c>
      <c r="AW504" s="20">
        <v>2.5499999999999998</v>
      </c>
      <c r="AX504" s="20">
        <v>2.7389473684210519</v>
      </c>
      <c r="AY504">
        <v>2.7389473684210519</v>
      </c>
      <c r="AZ504">
        <v>6.1368381886842096</v>
      </c>
      <c r="BC504" s="64">
        <v>0</v>
      </c>
      <c r="BD504">
        <v>3.7157710200605563E-2</v>
      </c>
      <c r="BH504">
        <v>7.4315420401211113E-2</v>
      </c>
      <c r="BI504">
        <v>3.7157710200605563E-2</v>
      </c>
      <c r="BJ504">
        <v>0</v>
      </c>
    </row>
    <row r="505" spans="1:62" x14ac:dyDescent="0.3">
      <c r="A505" t="s">
        <v>422</v>
      </c>
      <c r="B505" s="12" t="s">
        <v>850</v>
      </c>
      <c r="C505" s="12"/>
      <c r="F505">
        <v>2.56</v>
      </c>
      <c r="G505" t="s">
        <v>412</v>
      </c>
      <c r="H505" s="8">
        <v>-1</v>
      </c>
      <c r="I505">
        <v>-1</v>
      </c>
      <c r="J505" s="58" t="s">
        <v>1244</v>
      </c>
      <c r="K505">
        <v>1</v>
      </c>
      <c r="L505" s="20">
        <v>0</v>
      </c>
      <c r="M505">
        <v>0</v>
      </c>
      <c r="N505">
        <v>0</v>
      </c>
      <c r="O505">
        <v>3.9487999999999999</v>
      </c>
      <c r="P505">
        <v>3.9487999999999999</v>
      </c>
      <c r="Q505">
        <v>18.829999999999998</v>
      </c>
      <c r="R505" t="s">
        <v>439</v>
      </c>
      <c r="T505" s="20">
        <v>0</v>
      </c>
      <c r="U505" s="20"/>
      <c r="V505" s="20"/>
      <c r="W505">
        <v>0</v>
      </c>
      <c r="Z505">
        <v>0</v>
      </c>
      <c r="AD505">
        <v>22</v>
      </c>
      <c r="AE505" s="44">
        <f t="shared" si="34"/>
        <v>293.61659371519994</v>
      </c>
      <c r="AF505" s="46">
        <v>0</v>
      </c>
      <c r="AG505" s="44">
        <v>0</v>
      </c>
      <c r="AH505" s="44">
        <v>0</v>
      </c>
      <c r="AI505" s="41">
        <f t="shared" si="36"/>
        <v>7.4927645340574306E-2</v>
      </c>
      <c r="AJ505" s="40"/>
      <c r="AM505" s="23">
        <v>1.8947368421052631</v>
      </c>
      <c r="AN505" s="23">
        <v>3.1578947368421049</v>
      </c>
      <c r="AO505" s="23">
        <v>2.5263157894736841</v>
      </c>
      <c r="AP505" s="23">
        <v>2.947368421052631</v>
      </c>
      <c r="AQ505" s="23">
        <v>0.18</v>
      </c>
      <c r="AR505" s="23">
        <v>0.3</v>
      </c>
      <c r="AS505" s="23">
        <v>0.24</v>
      </c>
      <c r="AT505" s="23">
        <v>0.28000000000000003</v>
      </c>
      <c r="AU505" s="20">
        <v>0.89</v>
      </c>
      <c r="AV505" s="20">
        <v>3.44</v>
      </c>
      <c r="AW505" s="20">
        <v>2.5499999999999998</v>
      </c>
      <c r="AX505" s="20">
        <v>2.8147368421052632</v>
      </c>
      <c r="AY505">
        <v>2.8147368421052632</v>
      </c>
      <c r="AZ505">
        <v>6.2004463597368424</v>
      </c>
      <c r="BC505" s="64">
        <v>0</v>
      </c>
      <c r="BD505">
        <v>3.7463822670287153E-2</v>
      </c>
      <c r="BH505">
        <v>7.4927645340574306E-2</v>
      </c>
      <c r="BI505">
        <v>3.7463822670287153E-2</v>
      </c>
      <c r="BJ505">
        <v>0</v>
      </c>
    </row>
    <row r="506" spans="1:62" x14ac:dyDescent="0.3">
      <c r="A506" t="s">
        <v>423</v>
      </c>
      <c r="B506" s="12" t="s">
        <v>851</v>
      </c>
      <c r="C506" s="12"/>
      <c r="F506">
        <v>2.5099999999999998</v>
      </c>
      <c r="G506" t="s">
        <v>412</v>
      </c>
      <c r="H506" s="8">
        <v>-1</v>
      </c>
      <c r="I506">
        <v>-1</v>
      </c>
      <c r="J506" s="58" t="s">
        <v>1244</v>
      </c>
      <c r="K506">
        <v>1</v>
      </c>
      <c r="L506" s="20">
        <v>0</v>
      </c>
      <c r="M506">
        <v>0</v>
      </c>
      <c r="N506">
        <v>0</v>
      </c>
      <c r="O506">
        <v>3.8788399999999998</v>
      </c>
      <c r="P506">
        <v>3.8788399999999998</v>
      </c>
      <c r="Q506">
        <v>18.3658</v>
      </c>
      <c r="R506" t="s">
        <v>439</v>
      </c>
      <c r="T506" s="20">
        <v>0</v>
      </c>
      <c r="U506" s="20"/>
      <c r="V506" s="20"/>
      <c r="W506">
        <v>0</v>
      </c>
      <c r="Z506">
        <v>0</v>
      </c>
      <c r="AD506">
        <v>22</v>
      </c>
      <c r="AE506" s="44">
        <f t="shared" si="34"/>
        <v>276.32080264774049</v>
      </c>
      <c r="AF506" s="46">
        <v>0</v>
      </c>
      <c r="AG506" s="44">
        <v>0</v>
      </c>
      <c r="AH506" s="44">
        <v>0</v>
      </c>
      <c r="AI506" s="41">
        <f t="shared" si="36"/>
        <v>7.9617603123591299E-2</v>
      </c>
      <c r="AJ506" s="40"/>
      <c r="AM506" s="23">
        <v>1.9473684210526321</v>
      </c>
      <c r="AN506" s="23">
        <v>3.2105263157894739</v>
      </c>
      <c r="AO506" s="23">
        <v>2.4210526315789469</v>
      </c>
      <c r="AP506" s="23">
        <v>2.947368421052631</v>
      </c>
      <c r="AQ506" s="23">
        <v>0.185</v>
      </c>
      <c r="AR506" s="23">
        <v>0.30499999999999999</v>
      </c>
      <c r="AS506" s="23">
        <v>0.23</v>
      </c>
      <c r="AT506" s="23">
        <v>0.28000000000000003</v>
      </c>
      <c r="AU506" s="20">
        <v>0.95</v>
      </c>
      <c r="AV506" s="20">
        <v>3.44</v>
      </c>
      <c r="AW506" s="20">
        <v>2.4900000000000002</v>
      </c>
      <c r="AX506" s="20">
        <v>2.798421052631578</v>
      </c>
      <c r="AY506">
        <v>2.7984210526315789</v>
      </c>
      <c r="AZ506">
        <v>6.2023549881578939</v>
      </c>
      <c r="BC506" s="64">
        <v>0</v>
      </c>
      <c r="BD506">
        <v>3.9808801561795649E-2</v>
      </c>
      <c r="BH506">
        <v>7.9617603123591299E-2</v>
      </c>
      <c r="BI506">
        <v>3.9808801561795649E-2</v>
      </c>
      <c r="BJ506">
        <v>0</v>
      </c>
    </row>
    <row r="507" spans="1:62" x14ac:dyDescent="0.3">
      <c r="A507" t="s">
        <v>424</v>
      </c>
      <c r="B507" s="12" t="s">
        <v>852</v>
      </c>
      <c r="C507" s="12"/>
      <c r="F507">
        <v>2.48</v>
      </c>
      <c r="G507" t="s">
        <v>412</v>
      </c>
      <c r="H507" s="8">
        <v>-1</v>
      </c>
      <c r="I507">
        <v>-1</v>
      </c>
      <c r="J507" s="58" t="s">
        <v>1244</v>
      </c>
      <c r="K507">
        <v>1</v>
      </c>
      <c r="L507" s="20">
        <v>0</v>
      </c>
      <c r="M507">
        <v>0</v>
      </c>
      <c r="N507">
        <v>0</v>
      </c>
      <c r="O507">
        <v>3.9116</v>
      </c>
      <c r="P507">
        <v>3.9116</v>
      </c>
      <c r="Q507">
        <v>18.6922</v>
      </c>
      <c r="R507" t="s">
        <v>439</v>
      </c>
      <c r="T507" s="20">
        <v>0</v>
      </c>
      <c r="U507" s="20"/>
      <c r="V507" s="20"/>
      <c r="W507">
        <v>0</v>
      </c>
      <c r="Z507">
        <v>0</v>
      </c>
      <c r="AD507">
        <v>22</v>
      </c>
      <c r="AE507" s="44">
        <f t="shared" si="34"/>
        <v>286.00214747843199</v>
      </c>
      <c r="AF507" s="46">
        <v>0</v>
      </c>
      <c r="AG507" s="44">
        <v>0</v>
      </c>
      <c r="AH507" s="44">
        <v>0</v>
      </c>
      <c r="AI507" s="41">
        <f t="shared" si="36"/>
        <v>7.6922499337733347E-2</v>
      </c>
      <c r="AJ507" s="40"/>
      <c r="AM507" s="23">
        <v>1.9473684210526321</v>
      </c>
      <c r="AN507" s="23">
        <v>3.2105263157894739</v>
      </c>
      <c r="AO507" s="23">
        <v>2.4210526315789469</v>
      </c>
      <c r="AP507" s="23">
        <v>2.947368421052631</v>
      </c>
      <c r="AQ507" s="23">
        <v>0.185</v>
      </c>
      <c r="AR507" s="23">
        <v>0.30499999999999999</v>
      </c>
      <c r="AS507" s="23">
        <v>0.23</v>
      </c>
      <c r="AT507" s="23">
        <v>0.28000000000000003</v>
      </c>
      <c r="AU507" s="20">
        <v>0.89</v>
      </c>
      <c r="AV507" s="20">
        <v>3.44</v>
      </c>
      <c r="AW507" s="20">
        <v>2.5499999999999998</v>
      </c>
      <c r="AX507" s="20">
        <v>2.7952631578947358</v>
      </c>
      <c r="AY507">
        <v>2.7952631578947371</v>
      </c>
      <c r="AZ507">
        <v>6.1920749131578949</v>
      </c>
      <c r="BC507" s="64">
        <v>0</v>
      </c>
      <c r="BD507">
        <v>3.8461249668866673E-2</v>
      </c>
      <c r="BH507">
        <v>7.6922499337733347E-2</v>
      </c>
      <c r="BI507">
        <v>3.8461249668866673E-2</v>
      </c>
      <c r="BJ507">
        <v>0</v>
      </c>
    </row>
    <row r="508" spans="1:62" x14ac:dyDescent="0.3">
      <c r="A508" t="s">
        <v>425</v>
      </c>
      <c r="B508" s="12" t="s">
        <v>853</v>
      </c>
      <c r="C508" s="12"/>
      <c r="F508">
        <v>2.5299999999999998</v>
      </c>
      <c r="G508" t="s">
        <v>412</v>
      </c>
      <c r="H508" s="8">
        <v>-1</v>
      </c>
      <c r="I508">
        <v>-1</v>
      </c>
      <c r="J508" s="58" t="s">
        <v>1244</v>
      </c>
      <c r="K508">
        <v>1</v>
      </c>
      <c r="L508" s="20">
        <v>0</v>
      </c>
      <c r="M508">
        <v>0</v>
      </c>
      <c r="N508">
        <v>0</v>
      </c>
      <c r="O508">
        <v>3.8759000000000001</v>
      </c>
      <c r="P508">
        <v>3.8759000000000001</v>
      </c>
      <c r="Q508">
        <v>18.463000000000001</v>
      </c>
      <c r="R508" t="s">
        <v>439</v>
      </c>
      <c r="T508" s="20">
        <v>0</v>
      </c>
      <c r="U508" s="20"/>
      <c r="V508" s="20"/>
      <c r="W508">
        <v>0</v>
      </c>
      <c r="Z508">
        <v>0</v>
      </c>
      <c r="AD508">
        <v>22</v>
      </c>
      <c r="AE508" s="44">
        <f t="shared" si="34"/>
        <v>277.36227875502999</v>
      </c>
      <c r="AF508" s="46">
        <v>0</v>
      </c>
      <c r="AG508" s="44">
        <v>0</v>
      </c>
      <c r="AH508" s="44">
        <v>0</v>
      </c>
      <c r="AI508" s="41">
        <f t="shared" si="36"/>
        <v>7.9318644549465536E-2</v>
      </c>
      <c r="AJ508" s="40"/>
      <c r="AM508" s="23">
        <v>1.9473684210526321</v>
      </c>
      <c r="AN508" s="23">
        <v>3.3157894736842111</v>
      </c>
      <c r="AO508" s="23">
        <v>2.947368421052631</v>
      </c>
      <c r="AP508" s="23">
        <v>3.6842105263157889</v>
      </c>
      <c r="AQ508" s="23">
        <v>0.16371681415929201</v>
      </c>
      <c r="AR508" s="23">
        <v>0.27876106194690259</v>
      </c>
      <c r="AS508" s="23">
        <v>0.247787610619469</v>
      </c>
      <c r="AT508" s="23">
        <v>0.30973451327433632</v>
      </c>
      <c r="AU508" s="20">
        <v>1.54</v>
      </c>
      <c r="AV508" s="20">
        <v>3.44</v>
      </c>
      <c r="AW508" s="20">
        <v>1.9</v>
      </c>
      <c r="AX508" s="20">
        <v>2.8710526315789471</v>
      </c>
      <c r="AY508">
        <v>2.871052631578948</v>
      </c>
      <c r="AZ508">
        <v>6.255683084210526</v>
      </c>
      <c r="BC508" s="64">
        <v>0</v>
      </c>
      <c r="BD508">
        <v>3.9659322274732768E-2</v>
      </c>
      <c r="BH508">
        <v>7.9318644549465536E-2</v>
      </c>
      <c r="BI508">
        <v>3.9659322274732768E-2</v>
      </c>
      <c r="BJ508">
        <v>0</v>
      </c>
    </row>
    <row r="509" spans="1:62" x14ac:dyDescent="0.3">
      <c r="A509" t="s">
        <v>63</v>
      </c>
      <c r="B509" s="12" t="s">
        <v>773</v>
      </c>
      <c r="C509" s="12"/>
      <c r="F509">
        <v>3.45</v>
      </c>
      <c r="G509" t="s">
        <v>432</v>
      </c>
      <c r="H509" s="8">
        <v>-1</v>
      </c>
      <c r="I509">
        <v>-1</v>
      </c>
      <c r="K509">
        <v>1</v>
      </c>
      <c r="L509" s="20">
        <v>0</v>
      </c>
      <c r="M509">
        <v>0</v>
      </c>
      <c r="N509">
        <v>0</v>
      </c>
      <c r="O509">
        <v>3.8531</v>
      </c>
      <c r="P509">
        <v>3.8531</v>
      </c>
      <c r="Q509">
        <v>16.2151</v>
      </c>
      <c r="R509" t="s">
        <v>1137</v>
      </c>
      <c r="T509" s="20">
        <v>0</v>
      </c>
      <c r="U509" s="20"/>
      <c r="V509" s="20"/>
      <c r="W509">
        <v>0</v>
      </c>
      <c r="Z509">
        <v>0</v>
      </c>
      <c r="AD509">
        <v>20</v>
      </c>
      <c r="AE509" s="44">
        <f t="shared" si="34"/>
        <v>240.73553001411099</v>
      </c>
      <c r="AF509" s="46">
        <v>0</v>
      </c>
      <c r="AG509" s="44">
        <v>0</v>
      </c>
      <c r="AH509" s="44">
        <v>0</v>
      </c>
      <c r="AI509" s="41">
        <f t="shared" si="36"/>
        <v>8.3078721279022161E-2</v>
      </c>
      <c r="AJ509" s="40"/>
      <c r="AM509" s="23">
        <v>1.75</v>
      </c>
      <c r="AN509" s="23">
        <v>2.5</v>
      </c>
      <c r="AO509" s="23">
        <v>0.75</v>
      </c>
      <c r="AP509" s="23">
        <v>0</v>
      </c>
      <c r="AQ509" s="23">
        <v>0.35</v>
      </c>
      <c r="AR509" s="23">
        <v>0.5</v>
      </c>
      <c r="AS509" s="23">
        <v>0.15</v>
      </c>
      <c r="AT509" s="23">
        <v>0</v>
      </c>
      <c r="AU509" s="20">
        <v>1</v>
      </c>
      <c r="AV509" s="20">
        <v>3.44</v>
      </c>
      <c r="AW509" s="20">
        <v>2.44</v>
      </c>
      <c r="AX509" s="20">
        <v>2.7124999999999999</v>
      </c>
      <c r="AY509">
        <v>2.7124999999999999</v>
      </c>
      <c r="AZ509">
        <v>6.264025610615688</v>
      </c>
      <c r="BD509">
        <v>4.153936063951108E-2</v>
      </c>
      <c r="BH509">
        <v>8.3078721279022161E-2</v>
      </c>
      <c r="BI509">
        <v>4.153936063951108E-2</v>
      </c>
      <c r="BJ509">
        <v>0</v>
      </c>
    </row>
    <row r="510" spans="1:62" x14ac:dyDescent="0.3">
      <c r="A510" t="s">
        <v>63</v>
      </c>
      <c r="B510" s="12" t="s">
        <v>773</v>
      </c>
      <c r="C510" s="12"/>
      <c r="D510" t="s">
        <v>863</v>
      </c>
      <c r="E510">
        <v>1</v>
      </c>
      <c r="F510">
        <v>3.5</v>
      </c>
      <c r="G510" t="s">
        <v>432</v>
      </c>
      <c r="H510" s="8">
        <v>-1</v>
      </c>
      <c r="I510">
        <v>-1</v>
      </c>
      <c r="K510">
        <v>2</v>
      </c>
      <c r="L510" s="20">
        <v>0</v>
      </c>
      <c r="M510">
        <v>0</v>
      </c>
      <c r="N510">
        <v>0</v>
      </c>
      <c r="O510">
        <v>3.843</v>
      </c>
      <c r="P510">
        <v>3.843</v>
      </c>
      <c r="Q510">
        <v>32.261000000000003</v>
      </c>
      <c r="R510" t="s">
        <v>1138</v>
      </c>
      <c r="T510" s="20">
        <v>0</v>
      </c>
      <c r="W510">
        <v>0</v>
      </c>
      <c r="Z510">
        <v>0</v>
      </c>
      <c r="AD510">
        <v>20</v>
      </c>
      <c r="AE510" s="44">
        <f t="shared" si="34"/>
        <v>476.45138538900005</v>
      </c>
      <c r="AF510" s="46">
        <v>0</v>
      </c>
      <c r="AG510" s="44">
        <v>0</v>
      </c>
      <c r="AH510" s="44">
        <v>0</v>
      </c>
      <c r="AI510" s="41">
        <f t="shared" si="36"/>
        <v>8.3954000820759267E-2</v>
      </c>
      <c r="AM510" s="23">
        <v>1.75</v>
      </c>
      <c r="AN510" s="23">
        <v>2.5</v>
      </c>
      <c r="AO510" s="23">
        <v>0.75</v>
      </c>
      <c r="AP510" s="23">
        <v>0</v>
      </c>
      <c r="AQ510" s="23">
        <v>0.35</v>
      </c>
      <c r="AR510" s="23">
        <v>0.5</v>
      </c>
      <c r="AS510" s="23">
        <v>0.15</v>
      </c>
      <c r="AT510" s="23">
        <v>0</v>
      </c>
      <c r="AU510" s="20">
        <v>1</v>
      </c>
      <c r="AV510" s="20">
        <v>3.44</v>
      </c>
      <c r="AW510" s="20">
        <v>2.44</v>
      </c>
      <c r="AX510" s="20">
        <v>2.7124999999999999</v>
      </c>
      <c r="AY510">
        <v>2.7124999999999999</v>
      </c>
      <c r="AZ510">
        <v>6.264025610615688</v>
      </c>
      <c r="BD510">
        <v>4.1977000410379627E-2</v>
      </c>
      <c r="BH510">
        <v>8.3954000820759267E-2</v>
      </c>
      <c r="BI510">
        <v>4.1977000410379627E-2</v>
      </c>
      <c r="BJ510">
        <v>0</v>
      </c>
    </row>
    <row r="511" spans="1:62" x14ac:dyDescent="0.3">
      <c r="A511" t="s">
        <v>363</v>
      </c>
      <c r="B511" s="17" t="s">
        <v>1064</v>
      </c>
      <c r="C511" s="12"/>
      <c r="F511">
        <v>3.52</v>
      </c>
      <c r="G511" t="s">
        <v>432</v>
      </c>
      <c r="H511" s="8">
        <v>-1</v>
      </c>
      <c r="I511">
        <v>-1</v>
      </c>
      <c r="K511">
        <v>1</v>
      </c>
      <c r="L511" s="20">
        <v>0</v>
      </c>
      <c r="M511">
        <v>0</v>
      </c>
      <c r="N511">
        <v>0</v>
      </c>
      <c r="O511">
        <v>3.8693</v>
      </c>
      <c r="P511">
        <v>3.8693</v>
      </c>
      <c r="Q511">
        <v>16.124700000000001</v>
      </c>
      <c r="R511" t="s">
        <v>1138</v>
      </c>
      <c r="T511" s="20">
        <v>0</v>
      </c>
      <c r="W511">
        <v>0</v>
      </c>
      <c r="Z511">
        <v>0</v>
      </c>
      <c r="AD511">
        <v>20</v>
      </c>
      <c r="AE511" s="44">
        <f t="shared" si="34"/>
        <v>241.41066370650302</v>
      </c>
      <c r="AF511" s="46">
        <v>0</v>
      </c>
      <c r="AG511" s="44">
        <v>0</v>
      </c>
      <c r="AH511" s="44">
        <v>0</v>
      </c>
      <c r="AI511" s="41">
        <f t="shared" si="36"/>
        <v>8.2846381733638591E-2</v>
      </c>
      <c r="AM511" s="23">
        <v>1.6086956521739131</v>
      </c>
      <c r="AN511" s="23">
        <v>1.956521739130435</v>
      </c>
      <c r="AO511" s="23">
        <v>0.52173913043478259</v>
      </c>
      <c r="AP511" s="23">
        <v>0</v>
      </c>
      <c r="AQ511" s="23">
        <v>0.3936170212765957</v>
      </c>
      <c r="AR511" s="23">
        <v>0.47872340425531912</v>
      </c>
      <c r="AS511" s="23">
        <v>0.1276595744680851</v>
      </c>
      <c r="AT511" s="23">
        <v>0</v>
      </c>
      <c r="AU511" s="20">
        <v>1</v>
      </c>
      <c r="AV511" s="20">
        <v>3.44</v>
      </c>
      <c r="AW511" s="20">
        <v>2.44</v>
      </c>
      <c r="AX511" s="20">
        <v>2.6082608695652172</v>
      </c>
      <c r="AY511">
        <v>2.6082608695652181</v>
      </c>
      <c r="AZ511">
        <v>6.5043590032654777</v>
      </c>
      <c r="BD511">
        <v>4.1423190866819302E-2</v>
      </c>
      <c r="BH511">
        <v>8.2846381733638591E-2</v>
      </c>
      <c r="BI511">
        <v>4.1423190866819302E-2</v>
      </c>
      <c r="BJ511">
        <v>0</v>
      </c>
    </row>
    <row r="512" spans="1:62" x14ac:dyDescent="0.3">
      <c r="A512" t="s">
        <v>366</v>
      </c>
      <c r="B512" s="17" t="s">
        <v>1065</v>
      </c>
      <c r="C512" s="12"/>
      <c r="F512">
        <v>3.58</v>
      </c>
      <c r="G512" t="s">
        <v>432</v>
      </c>
      <c r="H512" s="8">
        <v>-1</v>
      </c>
      <c r="I512">
        <v>-1</v>
      </c>
      <c r="K512">
        <v>1</v>
      </c>
      <c r="L512" s="20">
        <v>0</v>
      </c>
      <c r="M512">
        <v>0</v>
      </c>
      <c r="N512">
        <v>0</v>
      </c>
      <c r="O512">
        <v>3.8614999999999999</v>
      </c>
      <c r="P512">
        <v>3.8614999999999999</v>
      </c>
      <c r="Q512">
        <v>25.281600000000001</v>
      </c>
      <c r="R512" t="s">
        <v>1137</v>
      </c>
      <c r="T512" s="20">
        <v>0</v>
      </c>
      <c r="W512">
        <v>0</v>
      </c>
      <c r="Z512">
        <v>0</v>
      </c>
      <c r="AD512">
        <v>20</v>
      </c>
      <c r="AE512" s="44">
        <f t="shared" si="34"/>
        <v>376.97854517159999</v>
      </c>
      <c r="AF512" s="46">
        <v>0</v>
      </c>
      <c r="AG512" s="44">
        <v>0</v>
      </c>
      <c r="AH512" s="44">
        <v>0</v>
      </c>
      <c r="AI512" s="41">
        <f t="shared" si="36"/>
        <v>5.3053417113952825E-2</v>
      </c>
      <c r="AM512" s="23">
        <v>1.53125</v>
      </c>
      <c r="AN512" s="23">
        <v>1.59375</v>
      </c>
      <c r="AO512" s="23">
        <v>0.375</v>
      </c>
      <c r="AP512" s="23">
        <v>0</v>
      </c>
      <c r="AQ512" s="23">
        <v>0.4375</v>
      </c>
      <c r="AR512" s="23">
        <v>0.45535714285714279</v>
      </c>
      <c r="AS512" s="23">
        <v>0.1071428571428571</v>
      </c>
      <c r="AT512" s="23">
        <v>0</v>
      </c>
      <c r="AU512" s="20">
        <v>1</v>
      </c>
      <c r="AV512" s="20">
        <v>3.44</v>
      </c>
      <c r="AW512" s="20">
        <v>2.44</v>
      </c>
      <c r="AX512" s="20">
        <v>2.5262500000000001</v>
      </c>
      <c r="AY512">
        <v>2.5262500000000001</v>
      </c>
      <c r="AZ512">
        <v>6.6075924153816246</v>
      </c>
      <c r="BD512">
        <v>2.6526708556976409E-2</v>
      </c>
      <c r="BH512">
        <v>5.3053417113952818E-2</v>
      </c>
      <c r="BI512">
        <v>2.6526708556976409E-2</v>
      </c>
      <c r="BJ512">
        <v>0</v>
      </c>
    </row>
    <row r="513" spans="1:62" x14ac:dyDescent="0.3">
      <c r="A513" t="s">
        <v>368</v>
      </c>
      <c r="B513" s="17" t="s">
        <v>1066</v>
      </c>
      <c r="C513" s="12"/>
      <c r="F513">
        <v>3.52</v>
      </c>
      <c r="G513" t="s">
        <v>432</v>
      </c>
      <c r="H513" s="8">
        <v>-1</v>
      </c>
      <c r="I513">
        <v>-1</v>
      </c>
      <c r="K513">
        <v>1</v>
      </c>
      <c r="L513" s="20">
        <v>0</v>
      </c>
      <c r="M513">
        <v>0</v>
      </c>
      <c r="N513">
        <v>0</v>
      </c>
      <c r="O513">
        <v>3.8675999999999999</v>
      </c>
      <c r="P513">
        <v>3.8675999999999999</v>
      </c>
      <c r="Q513">
        <v>34.564999999999998</v>
      </c>
      <c r="R513" t="s">
        <v>1139</v>
      </c>
      <c r="T513" s="20">
        <v>0</v>
      </c>
      <c r="W513">
        <v>0</v>
      </c>
      <c r="Z513">
        <v>0</v>
      </c>
      <c r="AD513">
        <v>20</v>
      </c>
      <c r="AE513" s="44">
        <f t="shared" si="34"/>
        <v>517.03466815439992</v>
      </c>
      <c r="AF513" s="46">
        <v>0</v>
      </c>
      <c r="AG513" s="44">
        <v>0</v>
      </c>
      <c r="AH513" s="44">
        <v>0</v>
      </c>
      <c r="AI513" s="41">
        <f t="shared" si="36"/>
        <v>3.8682125652022011E-2</v>
      </c>
      <c r="AM513" s="23">
        <v>1.4772727272727271</v>
      </c>
      <c r="AN513" s="23">
        <v>1.3409090909090911</v>
      </c>
      <c r="AO513" s="23">
        <v>0.27272727272727271</v>
      </c>
      <c r="AP513" s="23">
        <v>0</v>
      </c>
      <c r="AQ513" s="23">
        <v>0.47794117647058831</v>
      </c>
      <c r="AR513" s="23">
        <v>0.43382352941176472</v>
      </c>
      <c r="AS513" s="23">
        <v>8.8235294117647051E-2</v>
      </c>
      <c r="AT513" s="23">
        <v>0</v>
      </c>
      <c r="AU513" s="20">
        <v>1</v>
      </c>
      <c r="AV513" s="20">
        <v>3.44</v>
      </c>
      <c r="AW513" s="20">
        <v>2.44</v>
      </c>
      <c r="AX513" s="20">
        <v>2.4690909090909088</v>
      </c>
      <c r="AY513">
        <v>2.4690909090909088</v>
      </c>
      <c r="AZ513">
        <v>6.679542975341362</v>
      </c>
      <c r="BD513">
        <v>1.9341062826011009E-2</v>
      </c>
      <c r="BH513">
        <v>3.8682125652022011E-2</v>
      </c>
      <c r="BI513">
        <v>1.9341062826011009E-2</v>
      </c>
      <c r="BJ513">
        <v>0</v>
      </c>
    </row>
    <row r="514" spans="1:62" x14ac:dyDescent="0.3">
      <c r="A514" t="s">
        <v>427</v>
      </c>
      <c r="B514" s="17" t="s">
        <v>1064</v>
      </c>
      <c r="C514" s="12"/>
      <c r="D514" t="s">
        <v>863</v>
      </c>
      <c r="E514">
        <v>1</v>
      </c>
      <c r="F514">
        <v>3.57</v>
      </c>
      <c r="G514" t="s">
        <v>432</v>
      </c>
      <c r="H514" s="8">
        <v>-1</v>
      </c>
      <c r="I514">
        <v>-1</v>
      </c>
      <c r="K514">
        <v>2</v>
      </c>
      <c r="L514" s="20">
        <v>0</v>
      </c>
      <c r="M514">
        <v>0</v>
      </c>
      <c r="N514">
        <v>0</v>
      </c>
      <c r="O514">
        <v>3.8532999999999999</v>
      </c>
      <c r="P514">
        <v>3.8532999999999999</v>
      </c>
      <c r="Q514">
        <v>31.7422</v>
      </c>
      <c r="R514" t="s">
        <v>1138</v>
      </c>
      <c r="T514" s="20">
        <v>0</v>
      </c>
      <c r="W514">
        <v>0</v>
      </c>
      <c r="Z514">
        <v>0</v>
      </c>
      <c r="AD514">
        <v>20</v>
      </c>
      <c r="AE514" s="44">
        <f t="shared" ref="AE514:AE524" si="37">O514*P514*Q514</f>
        <v>471.30567447455797</v>
      </c>
      <c r="AF514" s="46">
        <v>0</v>
      </c>
      <c r="AG514" s="44">
        <v>0</v>
      </c>
      <c r="AH514" s="44">
        <v>0</v>
      </c>
      <c r="AI514" s="41">
        <f t="shared" si="36"/>
        <v>8.4870609810914294E-2</v>
      </c>
      <c r="AM514" s="23">
        <v>1.6086956521739131</v>
      </c>
      <c r="AN514" s="23">
        <v>1.956521739130435</v>
      </c>
      <c r="AO514" s="23">
        <v>0.52173913043478259</v>
      </c>
      <c r="AP514" s="23">
        <v>0</v>
      </c>
      <c r="AQ514" s="23">
        <v>0.3936170212765957</v>
      </c>
      <c r="AR514" s="23">
        <v>0.47872340425531912</v>
      </c>
      <c r="AS514" s="23">
        <v>0.1276595744680851</v>
      </c>
      <c r="AT514" s="23">
        <v>0</v>
      </c>
      <c r="AU514" s="20">
        <v>1</v>
      </c>
      <c r="AV514" s="20">
        <v>3.44</v>
      </c>
      <c r="AW514" s="20">
        <v>2.44</v>
      </c>
      <c r="AX514" s="20">
        <v>2.6082608695652172</v>
      </c>
      <c r="AY514">
        <v>2.6082608695652181</v>
      </c>
      <c r="AZ514">
        <v>6.5043590032654777</v>
      </c>
      <c r="BD514">
        <v>4.2435304905457147E-2</v>
      </c>
      <c r="BH514">
        <v>8.4870609810914294E-2</v>
      </c>
      <c r="BI514">
        <v>4.2435304905457147E-2</v>
      </c>
      <c r="BJ514">
        <v>0</v>
      </c>
    </row>
    <row r="515" spans="1:62" x14ac:dyDescent="0.3">
      <c r="A515" t="s">
        <v>428</v>
      </c>
      <c r="B515" s="17" t="s">
        <v>1065</v>
      </c>
      <c r="C515" s="12"/>
      <c r="D515" t="s">
        <v>863</v>
      </c>
      <c r="E515">
        <v>1</v>
      </c>
      <c r="F515">
        <v>3.52</v>
      </c>
      <c r="G515" t="s">
        <v>432</v>
      </c>
      <c r="H515" s="8">
        <v>-1</v>
      </c>
      <c r="I515">
        <v>-1</v>
      </c>
      <c r="K515">
        <v>1</v>
      </c>
      <c r="L515" s="20">
        <v>0</v>
      </c>
      <c r="M515">
        <v>0</v>
      </c>
      <c r="N515">
        <v>0</v>
      </c>
      <c r="O515">
        <v>3.8580000000000001</v>
      </c>
      <c r="P515">
        <v>3.8580000000000001</v>
      </c>
      <c r="Q515">
        <v>23.879799999999999</v>
      </c>
      <c r="R515" t="s">
        <v>1137</v>
      </c>
      <c r="T515" s="20">
        <v>0</v>
      </c>
      <c r="W515">
        <v>0</v>
      </c>
      <c r="Z515">
        <v>0</v>
      </c>
      <c r="AD515">
        <v>20</v>
      </c>
      <c r="AE515" s="44">
        <f t="shared" si="37"/>
        <v>355.4308594872</v>
      </c>
      <c r="AF515" s="46">
        <v>0</v>
      </c>
      <c r="AG515" s="44">
        <v>0</v>
      </c>
      <c r="AH515" s="44">
        <v>0</v>
      </c>
      <c r="AI515" s="41">
        <f t="shared" si="36"/>
        <v>5.6269734228634849E-2</v>
      </c>
      <c r="AM515" s="23">
        <v>1.53125</v>
      </c>
      <c r="AN515" s="23">
        <v>1.59375</v>
      </c>
      <c r="AO515" s="23">
        <v>0.375</v>
      </c>
      <c r="AP515" s="23">
        <v>0</v>
      </c>
      <c r="AQ515" s="23">
        <v>0.4375</v>
      </c>
      <c r="AR515" s="23">
        <v>0.45535714285714279</v>
      </c>
      <c r="AS515" s="23">
        <v>0.1071428571428571</v>
      </c>
      <c r="AT515" s="23">
        <v>0</v>
      </c>
      <c r="AU515" s="20">
        <v>1</v>
      </c>
      <c r="AV515" s="20">
        <v>3.44</v>
      </c>
      <c r="AW515" s="20">
        <v>2.44</v>
      </c>
      <c r="AX515" s="20">
        <v>2.5262500000000001</v>
      </c>
      <c r="AY515">
        <v>2.5262500000000001</v>
      </c>
      <c r="AZ515">
        <v>6.6075924153816246</v>
      </c>
      <c r="BD515">
        <v>2.8134867114317421E-2</v>
      </c>
      <c r="BH515">
        <v>5.6269734228634849E-2</v>
      </c>
      <c r="BI515">
        <v>2.8134867114317421E-2</v>
      </c>
      <c r="BJ515">
        <v>0</v>
      </c>
    </row>
    <row r="516" spans="1:62" x14ac:dyDescent="0.3">
      <c r="A516" t="s">
        <v>429</v>
      </c>
      <c r="B516" s="17" t="s">
        <v>1066</v>
      </c>
      <c r="C516" s="12"/>
      <c r="D516" t="s">
        <v>863</v>
      </c>
      <c r="E516">
        <v>1</v>
      </c>
      <c r="F516">
        <v>3.59</v>
      </c>
      <c r="G516" t="s">
        <v>432</v>
      </c>
      <c r="H516" s="8">
        <v>-1</v>
      </c>
      <c r="I516">
        <v>-1</v>
      </c>
      <c r="K516">
        <v>1</v>
      </c>
      <c r="L516" s="20">
        <v>0</v>
      </c>
      <c r="M516">
        <v>0</v>
      </c>
      <c r="N516">
        <v>0</v>
      </c>
      <c r="O516">
        <v>3.8639000000000001</v>
      </c>
      <c r="P516">
        <v>3.8639000000000001</v>
      </c>
      <c r="Q516">
        <v>34.090000000000003</v>
      </c>
      <c r="R516" t="s">
        <v>1138</v>
      </c>
      <c r="T516" s="20">
        <v>0</v>
      </c>
      <c r="W516">
        <v>0</v>
      </c>
      <c r="Z516">
        <v>0</v>
      </c>
      <c r="AD516">
        <v>20</v>
      </c>
      <c r="AE516" s="44">
        <f t="shared" si="37"/>
        <v>508.95426422890006</v>
      </c>
      <c r="AF516" s="46">
        <v>0</v>
      </c>
      <c r="AG516" s="44">
        <v>0</v>
      </c>
      <c r="AH516" s="44">
        <v>0</v>
      </c>
      <c r="AI516" s="41">
        <f t="shared" si="36"/>
        <v>3.9296261777669442E-2</v>
      </c>
      <c r="AM516" s="23">
        <v>1.4772727272727271</v>
      </c>
      <c r="AN516" s="23">
        <v>1.3409090909090911</v>
      </c>
      <c r="AO516" s="23">
        <v>0.27272727272727271</v>
      </c>
      <c r="AP516" s="23">
        <v>0</v>
      </c>
      <c r="AQ516" s="23">
        <v>0.47794117647058831</v>
      </c>
      <c r="AR516" s="23">
        <v>0.43382352941176472</v>
      </c>
      <c r="AS516" s="23">
        <v>8.8235294117647051E-2</v>
      </c>
      <c r="AT516" s="23">
        <v>0</v>
      </c>
      <c r="AU516" s="20">
        <v>1</v>
      </c>
      <c r="AV516" s="20">
        <v>3.44</v>
      </c>
      <c r="AW516" s="20">
        <v>2.44</v>
      </c>
      <c r="AX516" s="20">
        <v>2.4690909090909088</v>
      </c>
      <c r="AY516">
        <v>2.4690909090909088</v>
      </c>
      <c r="AZ516">
        <v>6.679542975341362</v>
      </c>
      <c r="BD516">
        <v>1.9648130888834721E-2</v>
      </c>
      <c r="BH516">
        <v>3.9296261777669442E-2</v>
      </c>
      <c r="BI516">
        <v>1.9648130888834721E-2</v>
      </c>
      <c r="BJ516">
        <v>0</v>
      </c>
    </row>
    <row r="517" spans="1:62" x14ac:dyDescent="0.3">
      <c r="A517" t="s">
        <v>430</v>
      </c>
      <c r="B517" s="17" t="s">
        <v>1064</v>
      </c>
      <c r="C517" s="12"/>
      <c r="D517" t="s">
        <v>863</v>
      </c>
      <c r="E517">
        <v>1</v>
      </c>
      <c r="F517">
        <v>3.57</v>
      </c>
      <c r="G517" t="s">
        <v>432</v>
      </c>
      <c r="H517" s="8">
        <v>-1</v>
      </c>
      <c r="I517">
        <v>-1</v>
      </c>
      <c r="K517">
        <v>1</v>
      </c>
      <c r="L517" s="20">
        <v>0</v>
      </c>
      <c r="M517">
        <v>0</v>
      </c>
      <c r="N517">
        <v>0</v>
      </c>
      <c r="O517">
        <v>3.8664000000000001</v>
      </c>
      <c r="P517">
        <v>3.8664000000000001</v>
      </c>
      <c r="Q517">
        <v>16.116399999999999</v>
      </c>
      <c r="R517" t="s">
        <v>1137</v>
      </c>
      <c r="T517" s="20">
        <v>0</v>
      </c>
      <c r="W517">
        <v>0</v>
      </c>
      <c r="Z517">
        <v>0</v>
      </c>
      <c r="AD517">
        <v>20</v>
      </c>
      <c r="AE517" s="44">
        <f t="shared" si="37"/>
        <v>240.92485265894399</v>
      </c>
      <c r="AF517" s="46">
        <v>0</v>
      </c>
      <c r="AG517" s="44">
        <v>0</v>
      </c>
      <c r="AH517" s="44">
        <v>0</v>
      </c>
      <c r="AI517" s="41">
        <f t="shared" si="36"/>
        <v>8.3013436676506888E-2</v>
      </c>
      <c r="AM517" s="23">
        <v>1.6086956521739131</v>
      </c>
      <c r="AN517" s="23">
        <v>1.956521739130435</v>
      </c>
      <c r="AO517" s="23">
        <v>0.52173913043478259</v>
      </c>
      <c r="AP517" s="23">
        <v>0</v>
      </c>
      <c r="AQ517" s="23">
        <v>0.3936170212765957</v>
      </c>
      <c r="AR517" s="23">
        <v>0.47872340425531912</v>
      </c>
      <c r="AS517" s="23">
        <v>0.1276595744680851</v>
      </c>
      <c r="AT517" s="23">
        <v>0</v>
      </c>
      <c r="AU517" s="20">
        <v>1</v>
      </c>
      <c r="AV517" s="20">
        <v>3.44</v>
      </c>
      <c r="AW517" s="20">
        <v>2.44</v>
      </c>
      <c r="AX517" s="20">
        <v>2.6082608695652172</v>
      </c>
      <c r="AY517">
        <v>2.6082608695652181</v>
      </c>
      <c r="AZ517">
        <v>6.5043590032654777</v>
      </c>
      <c r="BD517">
        <v>4.1506718338253437E-2</v>
      </c>
      <c r="BH517">
        <v>8.3013436676506888E-2</v>
      </c>
      <c r="BI517">
        <v>4.1506718338253437E-2</v>
      </c>
      <c r="BJ517">
        <v>0</v>
      </c>
    </row>
    <row r="518" spans="1:62" x14ac:dyDescent="0.3">
      <c r="A518" t="s">
        <v>431</v>
      </c>
      <c r="B518" s="17" t="s">
        <v>1065</v>
      </c>
      <c r="C518" s="12"/>
      <c r="D518" t="s">
        <v>863</v>
      </c>
      <c r="E518">
        <v>1</v>
      </c>
      <c r="F518">
        <v>3.57</v>
      </c>
      <c r="G518" t="s">
        <v>432</v>
      </c>
      <c r="H518" s="8">
        <v>-1</v>
      </c>
      <c r="I518">
        <v>-1</v>
      </c>
      <c r="K518">
        <v>2</v>
      </c>
      <c r="L518" s="20">
        <v>0</v>
      </c>
      <c r="M518">
        <v>0</v>
      </c>
      <c r="N518">
        <v>0</v>
      </c>
      <c r="O518">
        <v>3.8982000000000001</v>
      </c>
      <c r="P518">
        <v>3.8982000000000001</v>
      </c>
      <c r="Q518">
        <v>51.103099999999998</v>
      </c>
      <c r="R518" t="s">
        <v>1140</v>
      </c>
      <c r="T518" s="20">
        <v>0</v>
      </c>
      <c r="W518">
        <v>0</v>
      </c>
      <c r="Z518">
        <v>0</v>
      </c>
      <c r="AD518">
        <v>20</v>
      </c>
      <c r="AE518" s="44">
        <f t="shared" si="37"/>
        <v>776.56082905004405</v>
      </c>
      <c r="AF518" s="46">
        <v>0</v>
      </c>
      <c r="AG518" s="44">
        <v>0</v>
      </c>
      <c r="AH518" s="44">
        <v>0</v>
      </c>
      <c r="AI518" s="41">
        <f t="shared" si="36"/>
        <v>5.150916515958117E-2</v>
      </c>
      <c r="AM518" s="23">
        <v>1.53125</v>
      </c>
      <c r="AN518" s="23">
        <v>1.59375</v>
      </c>
      <c r="AO518" s="23">
        <v>0.375</v>
      </c>
      <c r="AP518" s="23">
        <v>0</v>
      </c>
      <c r="AQ518" s="23">
        <v>0.4375</v>
      </c>
      <c r="AR518" s="23">
        <v>0.45535714285714279</v>
      </c>
      <c r="AS518" s="23">
        <v>0.1071428571428571</v>
      </c>
      <c r="AT518" s="23">
        <v>0</v>
      </c>
      <c r="AU518" s="20">
        <v>1</v>
      </c>
      <c r="AV518" s="20">
        <v>3.44</v>
      </c>
      <c r="AW518" s="20">
        <v>2.44</v>
      </c>
      <c r="AX518" s="20">
        <v>2.5262500000000001</v>
      </c>
      <c r="AY518">
        <v>2.5262500000000001</v>
      </c>
      <c r="AZ518">
        <v>6.6075924153816246</v>
      </c>
      <c r="BD518">
        <v>2.5754582579790589E-2</v>
      </c>
      <c r="BH518">
        <v>5.150916515958117E-2</v>
      </c>
      <c r="BI518">
        <v>2.5754582579790589E-2</v>
      </c>
      <c r="BJ518">
        <v>0</v>
      </c>
    </row>
    <row r="519" spans="1:62" x14ac:dyDescent="0.3">
      <c r="A519" t="s">
        <v>107</v>
      </c>
      <c r="B519" s="17" t="s">
        <v>1066</v>
      </c>
      <c r="C519" s="12"/>
      <c r="D519" t="s">
        <v>863</v>
      </c>
      <c r="E519">
        <v>1</v>
      </c>
      <c r="F519">
        <v>3.61</v>
      </c>
      <c r="G519" t="s">
        <v>432</v>
      </c>
      <c r="H519" s="8">
        <v>-1</v>
      </c>
      <c r="I519">
        <v>-1</v>
      </c>
      <c r="K519">
        <v>2</v>
      </c>
      <c r="L519" s="20">
        <v>0</v>
      </c>
      <c r="M519">
        <v>0</v>
      </c>
      <c r="N519">
        <v>0</v>
      </c>
      <c r="O519">
        <v>3.8875000000000002</v>
      </c>
      <c r="P519">
        <v>3.8875000000000002</v>
      </c>
      <c r="Q519">
        <v>34.478000000000002</v>
      </c>
      <c r="R519" t="s">
        <v>451</v>
      </c>
      <c r="W519">
        <v>0</v>
      </c>
      <c r="Z519">
        <v>0</v>
      </c>
      <c r="AD519">
        <v>20</v>
      </c>
      <c r="AE519" s="44">
        <f t="shared" si="37"/>
        <v>521.05416218750008</v>
      </c>
      <c r="AF519" s="46">
        <v>0</v>
      </c>
      <c r="AG519" s="44">
        <v>0</v>
      </c>
      <c r="AH519" s="44">
        <v>0</v>
      </c>
      <c r="AI519" s="41">
        <f t="shared" si="36"/>
        <v>7.6767451260865469E-2</v>
      </c>
      <c r="AM519" s="23">
        <v>1.4772727272727271</v>
      </c>
      <c r="AN519" s="23">
        <v>1.3409090909090911</v>
      </c>
      <c r="AO519" s="23">
        <v>0.27272727272727271</v>
      </c>
      <c r="AP519" s="23">
        <v>0</v>
      </c>
      <c r="AQ519" s="23">
        <v>0.47794117647058831</v>
      </c>
      <c r="AR519" s="23">
        <v>0.43382352941176472</v>
      </c>
      <c r="AS519" s="23">
        <v>8.8235294117647051E-2</v>
      </c>
      <c r="AT519" s="23">
        <v>0</v>
      </c>
      <c r="AU519" s="20">
        <v>1</v>
      </c>
      <c r="AV519" s="20">
        <v>3.44</v>
      </c>
      <c r="AW519" s="20">
        <v>2.44</v>
      </c>
      <c r="AX519" s="20">
        <v>2.4690909090909088</v>
      </c>
      <c r="AY519">
        <v>2.4690909090909088</v>
      </c>
      <c r="AZ519">
        <v>6.679542975341362</v>
      </c>
      <c r="BD519">
        <v>3.8383725630432727E-2</v>
      </c>
      <c r="BH519">
        <v>7.6767451260865469E-2</v>
      </c>
      <c r="BI519">
        <v>3.8383725630432727E-2</v>
      </c>
      <c r="BJ519">
        <v>0</v>
      </c>
    </row>
    <row r="520" spans="1:62" x14ac:dyDescent="0.3">
      <c r="A520" t="s">
        <v>4</v>
      </c>
      <c r="B520" s="12" t="s">
        <v>689</v>
      </c>
      <c r="C520" s="12"/>
      <c r="F520">
        <v>3.5</v>
      </c>
      <c r="G520" s="3"/>
      <c r="H520" s="8"/>
      <c r="K520">
        <v>2</v>
      </c>
      <c r="M520">
        <v>0</v>
      </c>
      <c r="N520">
        <v>0</v>
      </c>
      <c r="O520">
        <v>3.86</v>
      </c>
      <c r="P520">
        <v>3.86</v>
      </c>
      <c r="Q520">
        <v>29.5</v>
      </c>
      <c r="W520">
        <v>0</v>
      </c>
      <c r="Z520">
        <v>0</v>
      </c>
      <c r="AD520">
        <v>20</v>
      </c>
      <c r="AE520" s="44">
        <f t="shared" si="37"/>
        <v>439.53819999999996</v>
      </c>
      <c r="AG520" s="44">
        <v>0</v>
      </c>
      <c r="AH520" s="44">
        <v>0</v>
      </c>
      <c r="AI520" s="41">
        <f t="shared" si="36"/>
        <v>9.1004604377958515E-2</v>
      </c>
      <c r="AM520" s="23"/>
      <c r="AN520" s="23"/>
      <c r="AO520" s="23"/>
      <c r="AP520" s="23"/>
      <c r="AQ520" s="23"/>
      <c r="AR520" s="23"/>
      <c r="AS520" s="23"/>
      <c r="AT520" s="23"/>
      <c r="BD520">
        <v>4.5502302188979257E-2</v>
      </c>
      <c r="BH520">
        <v>9.1004604377958515E-2</v>
      </c>
      <c r="BI520">
        <v>4.5502302188979257E-2</v>
      </c>
      <c r="BJ520">
        <v>0</v>
      </c>
    </row>
    <row r="521" spans="1:62" x14ac:dyDescent="0.3">
      <c r="A521" t="s">
        <v>1177</v>
      </c>
      <c r="B521" t="s">
        <v>1245</v>
      </c>
      <c r="F521">
        <v>3.6</v>
      </c>
      <c r="K521">
        <v>2</v>
      </c>
      <c r="M521">
        <v>4</v>
      </c>
      <c r="N521">
        <v>0</v>
      </c>
      <c r="O521">
        <v>3.85</v>
      </c>
      <c r="P521">
        <v>3.85</v>
      </c>
      <c r="Q521">
        <v>29.5</v>
      </c>
      <c r="W521">
        <v>3.8801999999999999</v>
      </c>
      <c r="X521">
        <v>29.507999999999999</v>
      </c>
      <c r="Y521">
        <v>7.7140000000000004</v>
      </c>
      <c r="Z521">
        <v>0</v>
      </c>
      <c r="AD521">
        <v>20</v>
      </c>
      <c r="AE521" s="44">
        <f t="shared" si="37"/>
        <v>437.26375000000007</v>
      </c>
      <c r="AG521" s="44">
        <v>883.22940750240002</v>
      </c>
      <c r="AH521" s="44">
        <v>0</v>
      </c>
      <c r="AI521" s="41">
        <f t="shared" si="36"/>
        <v>9.1477969532118758E-2</v>
      </c>
      <c r="AK521" s="41">
        <v>9.0576694254581439E-2</v>
      </c>
      <c r="AM521" s="23"/>
      <c r="AN521" s="23"/>
      <c r="AO521" s="23"/>
      <c r="AP521" s="23"/>
      <c r="AQ521" s="23"/>
      <c r="AR521" s="23"/>
      <c r="AS521" s="23"/>
      <c r="AT521" s="23"/>
      <c r="BD521">
        <v>4.5738984766059379E-2</v>
      </c>
      <c r="BF521">
        <v>4.5288347127290719E-2</v>
      </c>
      <c r="BH521">
        <v>9.1027331893350105E-2</v>
      </c>
      <c r="BI521">
        <v>4.5513665946675053E-2</v>
      </c>
      <c r="BJ521">
        <v>0</v>
      </c>
    </row>
    <row r="522" spans="1:62" x14ac:dyDescent="0.3">
      <c r="A522" t="s">
        <v>1178</v>
      </c>
      <c r="B522" t="s">
        <v>1246</v>
      </c>
      <c r="F522">
        <v>3.8</v>
      </c>
      <c r="K522">
        <v>2</v>
      </c>
      <c r="M522">
        <v>0</v>
      </c>
      <c r="N522">
        <v>0</v>
      </c>
      <c r="O522">
        <v>3.88</v>
      </c>
      <c r="P522">
        <v>3.88</v>
      </c>
      <c r="Q522">
        <v>29.8</v>
      </c>
      <c r="W522">
        <v>0</v>
      </c>
      <c r="Z522">
        <v>0</v>
      </c>
      <c r="AD522">
        <v>20</v>
      </c>
      <c r="AE522" s="44">
        <f t="shared" si="37"/>
        <v>448.62112000000002</v>
      </c>
      <c r="AG522" s="44">
        <v>0</v>
      </c>
      <c r="AH522" s="44">
        <v>0</v>
      </c>
      <c r="AI522" s="41">
        <f t="shared" si="36"/>
        <v>8.9162097406381577E-2</v>
      </c>
      <c r="AM522" s="23"/>
      <c r="AN522" s="23"/>
      <c r="AO522" s="23"/>
      <c r="AP522" s="23"/>
      <c r="AQ522" s="23"/>
      <c r="AR522" s="23"/>
      <c r="AS522" s="23"/>
      <c r="AT522" s="23"/>
      <c r="BD522">
        <v>4.4581048703190788E-2</v>
      </c>
      <c r="BH522">
        <v>8.9162097406381577E-2</v>
      </c>
      <c r="BI522">
        <v>4.4581048703190788E-2</v>
      </c>
      <c r="BJ522">
        <v>0</v>
      </c>
    </row>
    <row r="523" spans="1:62" x14ac:dyDescent="0.3">
      <c r="A523" t="s">
        <v>308</v>
      </c>
      <c r="B523" t="s">
        <v>830</v>
      </c>
      <c r="F523">
        <v>4.2</v>
      </c>
      <c r="K523">
        <v>2</v>
      </c>
      <c r="M523">
        <v>0</v>
      </c>
      <c r="N523">
        <v>0</v>
      </c>
      <c r="O523">
        <v>3.86</v>
      </c>
      <c r="P523">
        <v>3.86</v>
      </c>
      <c r="Q523">
        <v>29.8</v>
      </c>
      <c r="W523">
        <v>0</v>
      </c>
      <c r="Z523">
        <v>0</v>
      </c>
      <c r="AD523">
        <v>20</v>
      </c>
      <c r="AE523" s="44">
        <f t="shared" si="37"/>
        <v>444.00808000000001</v>
      </c>
      <c r="AG523" s="44">
        <v>0</v>
      </c>
      <c r="AH523" s="44">
        <v>0</v>
      </c>
      <c r="AI523" s="41">
        <f t="shared" si="36"/>
        <v>9.0088450642609924E-2</v>
      </c>
      <c r="AM523" s="23"/>
      <c r="AN523" s="23"/>
      <c r="AO523" s="23"/>
      <c r="AP523" s="23"/>
      <c r="AQ523" s="23"/>
      <c r="AR523" s="23"/>
      <c r="AS523" s="23"/>
      <c r="AT523" s="23"/>
      <c r="BD523">
        <v>4.5044225321304962E-2</v>
      </c>
      <c r="BH523">
        <v>9.0088450642609924E-2</v>
      </c>
      <c r="BI523">
        <v>4.5044225321304962E-2</v>
      </c>
      <c r="BJ523">
        <v>0</v>
      </c>
    </row>
    <row r="524" spans="1:62" x14ac:dyDescent="0.3">
      <c r="A524" t="s">
        <v>308</v>
      </c>
      <c r="B524" t="s">
        <v>830</v>
      </c>
      <c r="F524">
        <v>4.2</v>
      </c>
      <c r="K524">
        <v>2</v>
      </c>
      <c r="M524">
        <v>2</v>
      </c>
      <c r="N524">
        <v>0</v>
      </c>
      <c r="O524">
        <v>3.86</v>
      </c>
      <c r="P524">
        <v>3.86</v>
      </c>
      <c r="Q524">
        <v>29.8</v>
      </c>
      <c r="U524" s="5"/>
      <c r="W524">
        <v>3.8656999999999999</v>
      </c>
      <c r="X524">
        <v>29.777000000000001</v>
      </c>
      <c r="Y524">
        <v>3.8519999999999999</v>
      </c>
      <c r="Z524">
        <v>0</v>
      </c>
      <c r="AD524">
        <v>20</v>
      </c>
      <c r="AE524" s="44">
        <f t="shared" si="37"/>
        <v>444.00808000000001</v>
      </c>
      <c r="AG524" s="44">
        <v>443.39967116280002</v>
      </c>
      <c r="AH524" s="44">
        <v>0</v>
      </c>
      <c r="AI524" s="41">
        <f t="shared" si="36"/>
        <v>9.0088450642609924E-2</v>
      </c>
      <c r="AK524" s="41">
        <v>9.0212065099420147E-2</v>
      </c>
      <c r="BD524">
        <v>4.5044225321304962E-2</v>
      </c>
      <c r="BF524">
        <v>4.5106032549710073E-2</v>
      </c>
      <c r="BH524">
        <v>9.0150257871015035E-2</v>
      </c>
      <c r="BI524">
        <v>4.5075128935507518E-2</v>
      </c>
      <c r="BJ524">
        <v>0</v>
      </c>
    </row>
  </sheetData>
  <hyperlinks>
    <hyperlink ref="G287" r:id="rId1" tooltip="Persistent link using digital object identifier" display="https://doi.org/10.1016/j.pnsc.2012.03.002" xr:uid="{00000000-0004-0000-0000-000000000000}"/>
    <hyperlink ref="G288" r:id="rId2" tooltip="Persistent link using digital object identifier" display="https://doi.org/10.1016/j.pnsc.2012.03.002" xr:uid="{00000000-0004-0000-0000-000001000000}"/>
    <hyperlink ref="I6" r:id="rId3" display="https://www.crystallography.net/cod/1544425.html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525"/>
  <sheetViews>
    <sheetView workbookViewId="0">
      <pane ySplit="1" topLeftCell="A496" activePane="bottomLeft" state="frozen"/>
      <selection pane="bottomLeft" activeCell="BH1" sqref="BH1:BJ1048576"/>
    </sheetView>
  </sheetViews>
  <sheetFormatPr defaultRowHeight="14.4" x14ac:dyDescent="0.3"/>
  <cols>
    <col min="1" max="1" width="16.88671875" customWidth="1"/>
    <col min="2" max="2" width="13.21875" customWidth="1"/>
    <col min="4" max="4" width="17.6640625" customWidth="1"/>
    <col min="5" max="5" width="14.44140625" customWidth="1"/>
    <col min="6" max="6" width="12.44140625" customWidth="1"/>
    <col min="10" max="10" width="11.109375" customWidth="1"/>
    <col min="16" max="16" width="10.5546875" customWidth="1"/>
    <col min="17" max="17" width="14.44140625" customWidth="1"/>
    <col min="21" max="21" width="12" customWidth="1"/>
    <col min="22" max="22" width="11.77734375" customWidth="1"/>
    <col min="23" max="23" width="10" customWidth="1"/>
    <col min="24" max="24" width="11.44140625" customWidth="1"/>
    <col min="25" max="26" width="17.109375" customWidth="1"/>
    <col min="27" max="27" width="13.44140625" customWidth="1"/>
    <col min="28" max="28" width="16.109375" customWidth="1"/>
    <col min="29" max="29" width="19.44140625" customWidth="1"/>
    <col min="30" max="30" width="30.6640625" customWidth="1"/>
    <col min="31" max="31" width="26.88671875" customWidth="1"/>
    <col min="32" max="32" width="35.5546875" customWidth="1"/>
    <col min="50" max="50" width="13.44140625" customWidth="1"/>
    <col min="51" max="51" width="22" customWidth="1"/>
    <col min="52" max="52" width="20.77734375" customWidth="1"/>
    <col min="53" max="55" width="8.88671875" style="64"/>
  </cols>
  <sheetData>
    <row r="1" spans="1:62" x14ac:dyDescent="0.3">
      <c r="A1" t="s">
        <v>112</v>
      </c>
      <c r="B1" s="13" t="s">
        <v>684</v>
      </c>
      <c r="C1" s="15" t="s">
        <v>892</v>
      </c>
      <c r="D1" t="s">
        <v>675</v>
      </c>
      <c r="E1" t="s">
        <v>880</v>
      </c>
      <c r="F1" t="s">
        <v>113</v>
      </c>
      <c r="G1" t="s">
        <v>50</v>
      </c>
      <c r="H1" s="49" t="s">
        <v>522</v>
      </c>
      <c r="I1" s="50" t="s">
        <v>605</v>
      </c>
      <c r="J1" s="51" t="s">
        <v>1146</v>
      </c>
      <c r="K1" s="52" t="s">
        <v>1096</v>
      </c>
      <c r="L1" s="53" t="s">
        <v>1108</v>
      </c>
      <c r="M1" s="48" t="s">
        <v>1191</v>
      </c>
      <c r="N1" s="48" t="s">
        <v>1203</v>
      </c>
      <c r="O1" t="s">
        <v>467</v>
      </c>
      <c r="P1" t="s">
        <v>468</v>
      </c>
      <c r="Q1" t="s">
        <v>469</v>
      </c>
      <c r="R1" t="s">
        <v>438</v>
      </c>
      <c r="S1" t="s">
        <v>1132</v>
      </c>
      <c r="T1" s="21" t="s">
        <v>1105</v>
      </c>
      <c r="U1" s="21" t="s">
        <v>1106</v>
      </c>
      <c r="V1" s="21" t="s">
        <v>1107</v>
      </c>
      <c r="W1" s="10" t="s">
        <v>1192</v>
      </c>
      <c r="X1" s="10" t="s">
        <v>1193</v>
      </c>
      <c r="Y1" s="10" t="s">
        <v>1194</v>
      </c>
      <c r="Z1" s="10" t="s">
        <v>1199</v>
      </c>
      <c r="AA1" s="10" t="s">
        <v>1200</v>
      </c>
      <c r="AB1" s="10" t="s">
        <v>1201</v>
      </c>
      <c r="AC1" t="s">
        <v>466</v>
      </c>
      <c r="AD1" s="10" t="s">
        <v>1094</v>
      </c>
      <c r="AE1" s="43" t="s">
        <v>1103</v>
      </c>
      <c r="AF1" s="45" t="s">
        <v>1196</v>
      </c>
      <c r="AG1" s="43" t="s">
        <v>1195</v>
      </c>
      <c r="AH1" s="43" t="s">
        <v>1202</v>
      </c>
      <c r="AI1" s="55" t="s">
        <v>1104</v>
      </c>
      <c r="AJ1" s="39" t="s">
        <v>1197</v>
      </c>
      <c r="AK1" s="42" t="s">
        <v>1198</v>
      </c>
      <c r="AL1" s="42" t="s">
        <v>1204</v>
      </c>
      <c r="AM1" s="22" t="s">
        <v>1113</v>
      </c>
      <c r="AN1" s="22" t="s">
        <v>1114</v>
      </c>
      <c r="AO1" s="22" t="s">
        <v>1115</v>
      </c>
      <c r="AP1" s="22" t="s">
        <v>1116</v>
      </c>
      <c r="AQ1" s="22" t="s">
        <v>1117</v>
      </c>
      <c r="AR1" s="22" t="s">
        <v>1118</v>
      </c>
      <c r="AS1" s="22" t="s">
        <v>1119</v>
      </c>
      <c r="AT1" s="22" t="s">
        <v>1120</v>
      </c>
      <c r="AU1" s="21" t="s">
        <v>1109</v>
      </c>
      <c r="AV1" s="21" t="s">
        <v>1110</v>
      </c>
      <c r="AW1" s="21" t="s">
        <v>1111</v>
      </c>
      <c r="AX1" s="21" t="s">
        <v>1112</v>
      </c>
      <c r="AY1" s="10" t="s">
        <v>1092</v>
      </c>
      <c r="AZ1" s="10" t="s">
        <v>1093</v>
      </c>
      <c r="BA1" s="63" t="s">
        <v>1205</v>
      </c>
      <c r="BB1" s="63" t="s">
        <v>1206</v>
      </c>
      <c r="BC1" s="63" t="s">
        <v>1207</v>
      </c>
      <c r="BD1" s="10" t="s">
        <v>1211</v>
      </c>
      <c r="BE1" s="10" t="s">
        <v>1208</v>
      </c>
      <c r="BF1" s="10" t="s">
        <v>1209</v>
      </c>
      <c r="BG1" s="10" t="s">
        <v>1210</v>
      </c>
      <c r="BH1" s="10" t="s">
        <v>1247</v>
      </c>
      <c r="BI1" s="10" t="s">
        <v>1248</v>
      </c>
      <c r="BJ1" s="10" t="s">
        <v>1249</v>
      </c>
    </row>
    <row r="2" spans="1:62" x14ac:dyDescent="0.3">
      <c r="A2" t="s">
        <v>0</v>
      </c>
      <c r="B2" s="12" t="s">
        <v>685</v>
      </c>
      <c r="C2" s="12"/>
      <c r="F2">
        <v>3.5</v>
      </c>
      <c r="G2" t="s">
        <v>454</v>
      </c>
      <c r="H2" s="8" t="s">
        <v>523</v>
      </c>
      <c r="I2" t="s">
        <v>606</v>
      </c>
      <c r="K2" s="54">
        <v>4</v>
      </c>
      <c r="L2" s="20">
        <v>4</v>
      </c>
      <c r="M2">
        <v>4</v>
      </c>
      <c r="N2">
        <v>0</v>
      </c>
      <c r="T2" s="20">
        <v>6.6040679999999998</v>
      </c>
      <c r="U2" s="20">
        <v>7.9389519999999996</v>
      </c>
      <c r="V2" s="20">
        <v>33.703336</v>
      </c>
      <c r="W2">
        <v>7.83</v>
      </c>
      <c r="X2">
        <v>33.209989999999998</v>
      </c>
      <c r="Y2">
        <v>6.46</v>
      </c>
      <c r="Z2">
        <v>0</v>
      </c>
      <c r="AD2">
        <v>34</v>
      </c>
      <c r="AE2" s="44">
        <f>O2*P2*Q2</f>
        <v>0</v>
      </c>
      <c r="AF2" s="46">
        <v>1767.0449718798691</v>
      </c>
      <c r="AG2" s="44">
        <v>1679.8210721820001</v>
      </c>
      <c r="AH2" s="44">
        <v>0</v>
      </c>
      <c r="AI2" s="41"/>
      <c r="AJ2" s="40">
        <v>7.6964651247849417E-2</v>
      </c>
      <c r="AK2" s="41">
        <v>8.0961003676030277E-2</v>
      </c>
      <c r="AL2" s="41"/>
      <c r="AM2" s="23">
        <v>1.62962962962963</v>
      </c>
      <c r="AN2" s="23">
        <v>2.518518518518519</v>
      </c>
      <c r="AO2" s="23">
        <v>0.88888888888888884</v>
      </c>
      <c r="AP2" s="23">
        <v>0</v>
      </c>
      <c r="AQ2" s="23">
        <v>0.32352941176470579</v>
      </c>
      <c r="AR2" s="23">
        <v>0.5</v>
      </c>
      <c r="AS2" s="23">
        <v>0.1764705882352941</v>
      </c>
      <c r="AT2" s="23">
        <v>0</v>
      </c>
      <c r="AU2" s="20">
        <v>0.82</v>
      </c>
      <c r="AV2" s="20">
        <v>3.44</v>
      </c>
      <c r="AW2" s="20">
        <v>2.62</v>
      </c>
      <c r="AX2" s="20">
        <v>2.642962962962963</v>
      </c>
      <c r="AY2">
        <v>2.642962962962963</v>
      </c>
      <c r="AZ2">
        <v>5.9587362692592576</v>
      </c>
      <c r="BA2" s="64">
        <v>0.48264383878002159</v>
      </c>
      <c r="BB2" s="64">
        <v>0.50770488753139842</v>
      </c>
      <c r="BD2" t="s">
        <v>459</v>
      </c>
      <c r="BE2">
        <v>3.8482325623924708E-2</v>
      </c>
      <c r="BF2">
        <v>4.0480501838015132E-2</v>
      </c>
      <c r="BH2">
        <v>7.8962827461939847E-2</v>
      </c>
      <c r="BI2" t="s">
        <v>459</v>
      </c>
      <c r="BJ2">
        <v>0.49517436315571001</v>
      </c>
    </row>
    <row r="3" spans="1:62" x14ac:dyDescent="0.3">
      <c r="A3" t="s">
        <v>1</v>
      </c>
      <c r="B3" s="12" t="s">
        <v>686</v>
      </c>
      <c r="C3" s="12"/>
      <c r="F3">
        <v>3.2</v>
      </c>
      <c r="G3" t="s">
        <v>454</v>
      </c>
      <c r="H3" s="8" t="s">
        <v>524</v>
      </c>
      <c r="I3" t="s">
        <v>607</v>
      </c>
      <c r="L3" s="20">
        <v>1</v>
      </c>
      <c r="M3">
        <v>1</v>
      </c>
      <c r="N3">
        <v>0</v>
      </c>
      <c r="O3">
        <v>7.806</v>
      </c>
      <c r="P3">
        <v>7.6680000000000001</v>
      </c>
      <c r="Q3">
        <v>21.54</v>
      </c>
      <c r="R3" s="1" t="s">
        <v>513</v>
      </c>
      <c r="S3" s="1"/>
      <c r="T3" s="20">
        <v>3.9327019999999999</v>
      </c>
      <c r="U3" s="20">
        <v>3.9458000000000002</v>
      </c>
      <c r="V3" s="20">
        <v>11.356398779999999</v>
      </c>
      <c r="W3">
        <v>3.9060000000000001</v>
      </c>
      <c r="X3">
        <v>21.603000000000002</v>
      </c>
      <c r="Y3">
        <v>3.8879000000000001</v>
      </c>
      <c r="Z3">
        <v>0</v>
      </c>
      <c r="AC3">
        <v>2</v>
      </c>
      <c r="AD3">
        <v>14</v>
      </c>
      <c r="AE3" s="44">
        <f t="shared" ref="AE3:AE66" si="0">O3*P3*Q3</f>
        <v>1289.30702832</v>
      </c>
      <c r="AF3" s="46">
        <v>173.54502164551991</v>
      </c>
      <c r="AG3" s="44">
        <v>328.06612625219998</v>
      </c>
      <c r="AH3" s="44">
        <v>0</v>
      </c>
      <c r="AI3" s="41"/>
      <c r="AJ3" s="40">
        <v>8.0670709348241429E-2</v>
      </c>
      <c r="AK3" s="41">
        <v>4.2674323496713393E-2</v>
      </c>
      <c r="AL3" s="41"/>
      <c r="AM3" s="23">
        <v>1.7272727272727271</v>
      </c>
      <c r="AN3" s="23">
        <v>2.545454545454545</v>
      </c>
      <c r="AO3" s="23">
        <v>0.81818181818181823</v>
      </c>
      <c r="AP3" s="23">
        <v>0</v>
      </c>
      <c r="AQ3" s="23">
        <v>0.3392857142857143</v>
      </c>
      <c r="AR3" s="23">
        <v>0.5</v>
      </c>
      <c r="AS3" s="23">
        <v>0.1607142857142857</v>
      </c>
      <c r="AT3" s="23">
        <v>0</v>
      </c>
      <c r="AU3" s="20">
        <v>0.82</v>
      </c>
      <c r="AV3" s="20">
        <v>3.44</v>
      </c>
      <c r="AW3" s="20">
        <v>2.62</v>
      </c>
      <c r="AX3" s="20">
        <v>2.6545454545454539</v>
      </c>
      <c r="AY3">
        <v>2.6545454545454539</v>
      </c>
      <c r="AZ3">
        <v>5.9946911436363637</v>
      </c>
      <c r="BA3" s="64">
        <v>0.48450364842179561</v>
      </c>
      <c r="BE3">
        <v>4.0335354674120701E-2</v>
      </c>
      <c r="BF3">
        <v>2.13371617483567E-2</v>
      </c>
      <c r="BH3">
        <v>6.1672516422477411E-2</v>
      </c>
      <c r="BI3">
        <v>3.0836258211238698E-2</v>
      </c>
      <c r="BJ3">
        <v>0.48450364842179561</v>
      </c>
    </row>
    <row r="4" spans="1:62" x14ac:dyDescent="0.3">
      <c r="A4" t="s">
        <v>2</v>
      </c>
      <c r="B4" s="12" t="s">
        <v>687</v>
      </c>
      <c r="C4" s="12"/>
      <c r="F4">
        <v>3.35</v>
      </c>
      <c r="G4" t="s">
        <v>454</v>
      </c>
      <c r="H4" s="8" t="s">
        <v>525</v>
      </c>
      <c r="I4">
        <v>-1</v>
      </c>
      <c r="L4" s="20">
        <v>2</v>
      </c>
      <c r="M4">
        <v>0</v>
      </c>
      <c r="N4">
        <v>0</v>
      </c>
      <c r="O4">
        <v>3.8849999999999998</v>
      </c>
      <c r="P4">
        <v>3.8849999999999998</v>
      </c>
      <c r="Q4">
        <v>10.989000000000001</v>
      </c>
      <c r="R4" s="1" t="s">
        <v>439</v>
      </c>
      <c r="S4" s="1"/>
      <c r="T4" s="20">
        <v>11.92921406</v>
      </c>
      <c r="U4" s="20">
        <v>11.92921406</v>
      </c>
      <c r="V4" s="20">
        <v>11.92921406</v>
      </c>
      <c r="W4">
        <v>0</v>
      </c>
      <c r="Z4">
        <v>0</v>
      </c>
      <c r="AC4">
        <v>2</v>
      </c>
      <c r="AD4">
        <v>14</v>
      </c>
      <c r="AE4" s="44">
        <f t="shared" si="0"/>
        <v>165.859449525</v>
      </c>
      <c r="AF4" s="46">
        <v>349.00875366799971</v>
      </c>
      <c r="AG4" s="44">
        <v>0</v>
      </c>
      <c r="AH4" s="44">
        <v>0</v>
      </c>
      <c r="AI4" s="41"/>
      <c r="AJ4" s="40">
        <v>8.0227214090553903E-2</v>
      </c>
      <c r="AK4" s="41"/>
      <c r="AL4" s="41"/>
      <c r="AM4" s="23">
        <v>1.7272727272727271</v>
      </c>
      <c r="AN4" s="23">
        <v>2.545454545454545</v>
      </c>
      <c r="AO4" s="23">
        <v>0.81818181818181823</v>
      </c>
      <c r="AP4" s="23">
        <v>0</v>
      </c>
      <c r="AQ4" s="23">
        <v>0.3392857142857143</v>
      </c>
      <c r="AR4" s="23">
        <v>0.5</v>
      </c>
      <c r="AS4" s="23">
        <v>0.1607142857142857</v>
      </c>
      <c r="AT4" s="23">
        <v>0</v>
      </c>
      <c r="AU4" s="20">
        <v>0.82</v>
      </c>
      <c r="AV4" s="20">
        <v>3.44</v>
      </c>
      <c r="AW4" s="20">
        <v>2.62</v>
      </c>
      <c r="AX4" s="20">
        <v>2.6545454545454539</v>
      </c>
      <c r="AY4">
        <v>2.6545454545454552</v>
      </c>
      <c r="AZ4">
        <v>5.9865512095454543</v>
      </c>
      <c r="BA4" s="64">
        <v>0.50734392504100967</v>
      </c>
      <c r="BE4">
        <v>4.0113607045276937E-2</v>
      </c>
      <c r="BH4">
        <v>8.0227214090553903E-2</v>
      </c>
      <c r="BI4">
        <v>4.0113607045276937E-2</v>
      </c>
      <c r="BJ4">
        <v>0.50734392504100967</v>
      </c>
    </row>
    <row r="5" spans="1:62" x14ac:dyDescent="0.3">
      <c r="A5" t="s">
        <v>3</v>
      </c>
      <c r="B5" s="12" t="s">
        <v>688</v>
      </c>
      <c r="C5" s="12"/>
      <c r="F5">
        <v>3.3</v>
      </c>
      <c r="G5" t="s">
        <v>454</v>
      </c>
      <c r="H5" s="8" t="s">
        <v>526</v>
      </c>
      <c r="I5" t="s">
        <v>608</v>
      </c>
      <c r="L5" s="20">
        <v>1</v>
      </c>
      <c r="M5">
        <v>1</v>
      </c>
      <c r="N5">
        <v>0</v>
      </c>
      <c r="O5">
        <v>3.9049999999999998</v>
      </c>
      <c r="P5">
        <v>3.9049999999999998</v>
      </c>
      <c r="Q5">
        <v>11.185</v>
      </c>
      <c r="R5" s="1" t="s">
        <v>439</v>
      </c>
      <c r="S5" s="1"/>
      <c r="T5" s="20">
        <v>3.952105</v>
      </c>
      <c r="U5" s="20">
        <v>3.952105</v>
      </c>
      <c r="V5" s="20">
        <v>11.503833</v>
      </c>
      <c r="W5">
        <v>3.9079999999999999</v>
      </c>
      <c r="X5">
        <v>3.9079999999999999</v>
      </c>
      <c r="Y5">
        <v>11.16</v>
      </c>
      <c r="Z5">
        <v>0</v>
      </c>
      <c r="AC5">
        <v>2</v>
      </c>
      <c r="AD5">
        <v>14</v>
      </c>
      <c r="AE5" s="44">
        <f t="shared" si="0"/>
        <v>170.56034462499997</v>
      </c>
      <c r="AF5" s="46">
        <v>179.6799083471451</v>
      </c>
      <c r="AG5" s="44">
        <v>170.44069823999999</v>
      </c>
      <c r="AH5" s="44">
        <v>0</v>
      </c>
      <c r="AI5" s="41"/>
      <c r="AJ5" s="40">
        <v>7.7916335380980528E-2</v>
      </c>
      <c r="AK5" s="41">
        <v>8.2140006140355049E-2</v>
      </c>
      <c r="AL5" s="41"/>
      <c r="AM5" s="23">
        <v>1.7272727272727271</v>
      </c>
      <c r="AN5" s="23">
        <v>2.545454545454545</v>
      </c>
      <c r="AO5" s="23">
        <v>0.81818181818181823</v>
      </c>
      <c r="AP5" s="23">
        <v>0</v>
      </c>
      <c r="AQ5" s="23">
        <v>0.3392857142857143</v>
      </c>
      <c r="AR5" s="23">
        <v>0.5</v>
      </c>
      <c r="AS5" s="23">
        <v>0.1607142857142857</v>
      </c>
      <c r="AT5" s="23">
        <v>0</v>
      </c>
      <c r="AU5" s="20">
        <v>0.79</v>
      </c>
      <c r="AV5" s="20">
        <v>3.44</v>
      </c>
      <c r="AW5" s="20">
        <v>2.65</v>
      </c>
      <c r="AX5" s="20">
        <v>2.6518181818181819</v>
      </c>
      <c r="AY5">
        <v>2.6518181818181819</v>
      </c>
      <c r="AZ5">
        <v>5.9730281035195452</v>
      </c>
      <c r="BA5" s="64">
        <v>0.5243291310951993</v>
      </c>
      <c r="BB5" s="64">
        <v>0.55275184384813547</v>
      </c>
      <c r="BE5">
        <v>3.8958167690490257E-2</v>
      </c>
      <c r="BF5">
        <v>4.1070003070177517E-2</v>
      </c>
      <c r="BH5">
        <v>8.0028170760667788E-2</v>
      </c>
      <c r="BI5">
        <v>4.0014085380333887E-2</v>
      </c>
      <c r="BJ5">
        <v>0.53854048747166738</v>
      </c>
    </row>
    <row r="6" spans="1:62" x14ac:dyDescent="0.3">
      <c r="A6" t="s">
        <v>4</v>
      </c>
      <c r="B6" s="62" t="s">
        <v>689</v>
      </c>
      <c r="C6" s="12"/>
      <c r="F6">
        <v>3.35</v>
      </c>
      <c r="G6" t="s">
        <v>454</v>
      </c>
      <c r="H6" s="8" t="s">
        <v>527</v>
      </c>
      <c r="I6" t="s">
        <v>609</v>
      </c>
      <c r="K6" s="6"/>
      <c r="L6" s="20">
        <v>4</v>
      </c>
      <c r="M6">
        <v>4</v>
      </c>
      <c r="N6">
        <v>0</v>
      </c>
      <c r="O6">
        <v>7.7270000000000003</v>
      </c>
      <c r="P6">
        <v>7.7270000000000003</v>
      </c>
      <c r="Q6">
        <v>29.466000000000001</v>
      </c>
      <c r="R6" t="s">
        <v>452</v>
      </c>
      <c r="T6" s="20">
        <v>7.8084429999999996</v>
      </c>
      <c r="U6" s="20">
        <v>7.8548809999999998</v>
      </c>
      <c r="V6" s="20">
        <v>15.19056011</v>
      </c>
      <c r="W6">
        <v>3.8801999999999999</v>
      </c>
      <c r="X6">
        <v>29.507999999999999</v>
      </c>
      <c r="Y6">
        <v>7.7140000000000004</v>
      </c>
      <c r="Z6">
        <v>0</v>
      </c>
      <c r="AC6">
        <v>3</v>
      </c>
      <c r="AD6">
        <v>20</v>
      </c>
      <c r="AE6" s="44">
        <f t="shared" si="0"/>
        <v>1759.3125835140002</v>
      </c>
      <c r="AF6" s="46">
        <v>924.74694800021894</v>
      </c>
      <c r="AG6" s="44">
        <v>883.22940750240002</v>
      </c>
      <c r="AH6" s="44">
        <v>0</v>
      </c>
      <c r="AI6" s="41"/>
      <c r="AJ6" s="40">
        <v>8.6510153045653584E-2</v>
      </c>
      <c r="AK6" s="41">
        <v>9.0576694254581439E-2</v>
      </c>
      <c r="AL6" s="41"/>
      <c r="AM6" s="23">
        <v>1.75</v>
      </c>
      <c r="AN6" s="23">
        <v>2.5</v>
      </c>
      <c r="AO6" s="23">
        <v>0.75</v>
      </c>
      <c r="AP6" s="23">
        <v>0</v>
      </c>
      <c r="AQ6" s="23">
        <v>0.35</v>
      </c>
      <c r="AR6" s="23">
        <v>0.5</v>
      </c>
      <c r="AS6" s="23">
        <v>0.15</v>
      </c>
      <c r="AT6" s="23">
        <v>0</v>
      </c>
      <c r="AU6" s="20">
        <v>0.82</v>
      </c>
      <c r="AV6" s="20">
        <v>3.44</v>
      </c>
      <c r="AW6" s="20">
        <v>2.62</v>
      </c>
      <c r="AX6" s="20">
        <v>2.6262500000000002</v>
      </c>
      <c r="AY6">
        <v>2.6262500000000002</v>
      </c>
      <c r="AZ6">
        <v>5.96680968125</v>
      </c>
      <c r="BA6" s="64">
        <v>0.50555206026575039</v>
      </c>
      <c r="BB6" s="64">
        <v>0</v>
      </c>
      <c r="BE6">
        <v>4.3255076522826792E-2</v>
      </c>
      <c r="BF6">
        <v>4.5288347127290719E-2</v>
      </c>
      <c r="BH6">
        <v>8.8543423650117511E-2</v>
      </c>
      <c r="BI6">
        <v>4.4271711825058763E-2</v>
      </c>
      <c r="BJ6">
        <v>0.2527760301328752</v>
      </c>
    </row>
    <row r="7" spans="1:62" x14ac:dyDescent="0.3">
      <c r="A7" t="s">
        <v>5</v>
      </c>
      <c r="B7" s="12" t="s">
        <v>690</v>
      </c>
      <c r="C7" s="12"/>
      <c r="F7">
        <v>3.5</v>
      </c>
      <c r="G7" t="s">
        <v>454</v>
      </c>
      <c r="H7" s="8" t="s">
        <v>528</v>
      </c>
      <c r="I7" t="s">
        <v>610</v>
      </c>
      <c r="K7" s="6"/>
      <c r="L7" s="20">
        <v>1</v>
      </c>
      <c r="M7">
        <v>1</v>
      </c>
      <c r="N7">
        <v>0</v>
      </c>
      <c r="O7">
        <v>7.7249999999999996</v>
      </c>
      <c r="P7">
        <v>7.7249999999999996</v>
      </c>
      <c r="Q7">
        <v>14.909000000000001</v>
      </c>
      <c r="R7" t="s">
        <v>451</v>
      </c>
      <c r="T7" s="20">
        <v>3.9661010000000001</v>
      </c>
      <c r="U7" s="20">
        <v>3.9661010000000001</v>
      </c>
      <c r="V7" s="20">
        <v>15.283337</v>
      </c>
      <c r="W7">
        <v>3.8586499999999999</v>
      </c>
      <c r="X7">
        <v>3.8586499999999999</v>
      </c>
      <c r="Y7">
        <v>14.9108</v>
      </c>
      <c r="Z7">
        <v>0</v>
      </c>
      <c r="AC7">
        <v>3</v>
      </c>
      <c r="AD7">
        <v>20</v>
      </c>
      <c r="AE7" s="44">
        <f t="shared" si="0"/>
        <v>889.70389312500004</v>
      </c>
      <c r="AF7" s="46">
        <v>240.40623599981481</v>
      </c>
      <c r="AG7" s="44">
        <v>222.00958249733301</v>
      </c>
      <c r="AH7" s="44">
        <v>0</v>
      </c>
      <c r="AI7" s="41"/>
      <c r="AJ7" s="40">
        <v>8.3192517518619641E-2</v>
      </c>
      <c r="AK7" s="41">
        <v>9.0086201573034624E-2</v>
      </c>
      <c r="AL7" s="41"/>
      <c r="AM7" s="23">
        <v>1.75</v>
      </c>
      <c r="AN7" s="23">
        <v>2.5</v>
      </c>
      <c r="AO7" s="23">
        <v>0.75</v>
      </c>
      <c r="AP7" s="23">
        <v>0</v>
      </c>
      <c r="AQ7" s="23">
        <v>0.35</v>
      </c>
      <c r="AR7" s="23">
        <v>0.5</v>
      </c>
      <c r="AS7" s="23">
        <v>0.15</v>
      </c>
      <c r="AT7" s="23">
        <v>0</v>
      </c>
      <c r="AU7" s="20">
        <v>0.82</v>
      </c>
      <c r="AV7" s="20">
        <v>3.44</v>
      </c>
      <c r="AW7" s="20">
        <v>2.62</v>
      </c>
      <c r="AX7" s="20">
        <v>2.6262500000000002</v>
      </c>
      <c r="AY7">
        <v>2.6262500000000002</v>
      </c>
      <c r="AZ7">
        <v>5.9612134765624996</v>
      </c>
      <c r="BA7" s="64">
        <v>0.50467688585120674</v>
      </c>
      <c r="BB7" s="64">
        <v>0.54649654829675798</v>
      </c>
      <c r="BE7">
        <v>4.159625875930982E-2</v>
      </c>
      <c r="BF7">
        <v>4.5043100786517312E-2</v>
      </c>
      <c r="BH7">
        <v>8.6639359545827133E-2</v>
      </c>
      <c r="BI7">
        <v>4.3319679772913573E-2</v>
      </c>
      <c r="BJ7">
        <v>0.5255867170739823</v>
      </c>
    </row>
    <row r="8" spans="1:62" x14ac:dyDescent="0.3">
      <c r="A8" t="s">
        <v>6</v>
      </c>
      <c r="B8" s="12" t="s">
        <v>691</v>
      </c>
      <c r="C8" s="12"/>
      <c r="F8">
        <v>3.5</v>
      </c>
      <c r="G8" t="s">
        <v>454</v>
      </c>
      <c r="H8" s="8" t="s">
        <v>529</v>
      </c>
      <c r="I8" t="s">
        <v>611</v>
      </c>
      <c r="K8" s="6"/>
      <c r="L8" s="20">
        <v>8</v>
      </c>
      <c r="M8">
        <v>8</v>
      </c>
      <c r="N8">
        <v>0</v>
      </c>
      <c r="O8">
        <v>7.7270000000000003</v>
      </c>
      <c r="P8">
        <v>7.7270000000000003</v>
      </c>
      <c r="Q8">
        <v>30.175999999999998</v>
      </c>
      <c r="R8" t="s">
        <v>452</v>
      </c>
      <c r="T8" s="20">
        <v>7.8252249999999997</v>
      </c>
      <c r="U8" s="20">
        <v>7.8345229999999999</v>
      </c>
      <c r="V8" s="20">
        <v>31.031406</v>
      </c>
      <c r="W8">
        <v>30.184999999999999</v>
      </c>
      <c r="X8">
        <v>7.74</v>
      </c>
      <c r="Y8">
        <v>7.7460000000000004</v>
      </c>
      <c r="Z8">
        <v>0</v>
      </c>
      <c r="AC8">
        <v>3</v>
      </c>
      <c r="AD8">
        <v>20</v>
      </c>
      <c r="AE8" s="44">
        <f t="shared" si="0"/>
        <v>1801.704219104</v>
      </c>
      <c r="AF8" s="46">
        <v>1902.4394671889761</v>
      </c>
      <c r="AG8" s="44">
        <v>1809.7126974</v>
      </c>
      <c r="AH8" s="44">
        <v>0</v>
      </c>
      <c r="AI8" s="41"/>
      <c r="AJ8" s="40">
        <v>8.4102544527429435E-2</v>
      </c>
      <c r="AK8" s="41">
        <v>8.8411823727529093E-2</v>
      </c>
      <c r="AL8" s="41"/>
      <c r="AM8" s="23">
        <v>1.75</v>
      </c>
      <c r="AN8" s="23">
        <v>2.5</v>
      </c>
      <c r="AO8" s="23">
        <v>0.75</v>
      </c>
      <c r="AP8" s="23">
        <v>0</v>
      </c>
      <c r="AQ8" s="23">
        <v>0.35</v>
      </c>
      <c r="AR8" s="23">
        <v>0.5</v>
      </c>
      <c r="AS8" s="23">
        <v>0.15</v>
      </c>
      <c r="AT8" s="23">
        <v>0</v>
      </c>
      <c r="AU8" s="20">
        <v>0.79</v>
      </c>
      <c r="AV8" s="20">
        <v>3.44</v>
      </c>
      <c r="AW8" s="20">
        <v>2.65</v>
      </c>
      <c r="AX8" s="20">
        <v>2.6243750000000001</v>
      </c>
      <c r="AY8">
        <v>2.6243750000000001</v>
      </c>
      <c r="AZ8">
        <v>5.9519163411696878</v>
      </c>
      <c r="BA8" s="64">
        <v>0.53407279423354193</v>
      </c>
      <c r="BB8" s="64">
        <v>0.5614378257728565</v>
      </c>
      <c r="BE8">
        <v>4.2051272263714717E-2</v>
      </c>
      <c r="BF8">
        <v>4.4205911863764553E-2</v>
      </c>
      <c r="BH8">
        <v>8.6257184127479264E-2</v>
      </c>
      <c r="BI8">
        <v>4.3128592063739632E-2</v>
      </c>
      <c r="BJ8">
        <v>0.54775531000319921</v>
      </c>
    </row>
    <row r="9" spans="1:62" x14ac:dyDescent="0.3">
      <c r="A9" t="s">
        <v>7</v>
      </c>
      <c r="B9" s="12" t="s">
        <v>692</v>
      </c>
      <c r="C9" s="12"/>
      <c r="F9">
        <v>3.16</v>
      </c>
      <c r="G9" t="s">
        <v>454</v>
      </c>
      <c r="H9" s="8">
        <v>-1</v>
      </c>
      <c r="I9">
        <v>-1</v>
      </c>
      <c r="K9">
        <v>4</v>
      </c>
      <c r="L9" s="20">
        <v>0</v>
      </c>
      <c r="M9">
        <v>0</v>
      </c>
      <c r="N9">
        <v>0</v>
      </c>
      <c r="O9">
        <v>7.8310000000000004</v>
      </c>
      <c r="P9">
        <v>7.8010000000000002</v>
      </c>
      <c r="Q9">
        <v>15.05</v>
      </c>
      <c r="R9" t="s">
        <v>1141</v>
      </c>
      <c r="S9">
        <v>15.05</v>
      </c>
      <c r="T9" s="20">
        <v>0</v>
      </c>
      <c r="U9" s="20"/>
      <c r="V9" s="20"/>
      <c r="W9">
        <v>0</v>
      </c>
      <c r="Z9">
        <v>0</v>
      </c>
      <c r="AC9">
        <v>3</v>
      </c>
      <c r="AD9">
        <v>20</v>
      </c>
      <c r="AE9" s="44">
        <f t="shared" si="0"/>
        <v>919.39894655000012</v>
      </c>
      <c r="AF9" s="46">
        <f>O9*P9*Q9*SIN(RADIANS(97.44))</f>
        <v>911.65853089860946</v>
      </c>
      <c r="AG9" s="44">
        <v>0</v>
      </c>
      <c r="AH9" s="44">
        <v>0</v>
      </c>
      <c r="AI9" s="41">
        <f>K9*AD9/AE9</f>
        <v>8.7013369223660861E-2</v>
      </c>
      <c r="AJ9" s="40"/>
      <c r="AK9" s="41"/>
      <c r="AL9" s="41"/>
      <c r="AM9" s="23">
        <v>1.75</v>
      </c>
      <c r="AN9" s="23">
        <v>2.5</v>
      </c>
      <c r="AO9" s="23">
        <v>0.75</v>
      </c>
      <c r="AP9" s="23">
        <v>0</v>
      </c>
      <c r="AQ9" s="23">
        <v>0.35</v>
      </c>
      <c r="AR9" s="23">
        <v>0.5</v>
      </c>
      <c r="AS9" s="23">
        <v>0.15</v>
      </c>
      <c r="AT9" s="23">
        <v>0</v>
      </c>
      <c r="AU9" s="20">
        <v>0.82</v>
      </c>
      <c r="AV9" s="20">
        <v>3.44</v>
      </c>
      <c r="AW9" s="20">
        <v>2.62</v>
      </c>
      <c r="AX9" s="20">
        <v>2.62</v>
      </c>
      <c r="AY9">
        <v>2.62</v>
      </c>
      <c r="AZ9">
        <v>5.9423863675000002</v>
      </c>
      <c r="BD9">
        <v>4.350668461183043E-2</v>
      </c>
      <c r="BE9">
        <v>0</v>
      </c>
      <c r="BH9">
        <v>8.7013369223660861E-2</v>
      </c>
      <c r="BI9">
        <v>2.1753342305915219E-2</v>
      </c>
      <c r="BJ9">
        <v>0</v>
      </c>
    </row>
    <row r="10" spans="1:62" x14ac:dyDescent="0.3">
      <c r="A10" t="s">
        <v>455</v>
      </c>
      <c r="B10" s="12" t="s">
        <v>693</v>
      </c>
      <c r="C10" s="12"/>
      <c r="F10">
        <v>3.21</v>
      </c>
      <c r="G10" t="s">
        <v>454</v>
      </c>
      <c r="H10" s="8">
        <v>-1</v>
      </c>
      <c r="I10">
        <v>-1</v>
      </c>
      <c r="K10">
        <v>8</v>
      </c>
      <c r="L10" s="20">
        <v>0</v>
      </c>
      <c r="M10">
        <v>0</v>
      </c>
      <c r="N10">
        <v>0</v>
      </c>
      <c r="O10">
        <v>7.7489999999999997</v>
      </c>
      <c r="P10">
        <v>7.7359999999999998</v>
      </c>
      <c r="Q10">
        <v>37.369999999999997</v>
      </c>
      <c r="R10" t="s">
        <v>1142</v>
      </c>
      <c r="S10">
        <f>Q10/2</f>
        <v>18.684999999999999</v>
      </c>
      <c r="T10" s="20">
        <v>0</v>
      </c>
      <c r="U10" s="20"/>
      <c r="V10" s="20"/>
      <c r="W10">
        <v>0</v>
      </c>
      <c r="Z10">
        <v>0</v>
      </c>
      <c r="AC10">
        <v>4</v>
      </c>
      <c r="AD10">
        <v>26</v>
      </c>
      <c r="AE10" s="44">
        <f t="shared" si="0"/>
        <v>2240.1918856799994</v>
      </c>
      <c r="AF10" s="46">
        <v>2240</v>
      </c>
      <c r="AG10" s="44">
        <v>0</v>
      </c>
      <c r="AH10" s="44">
        <v>0</v>
      </c>
      <c r="AI10" s="41">
        <f>K10*AD10/AE10</f>
        <v>9.2849189093845236E-2</v>
      </c>
      <c r="AJ10" s="40"/>
      <c r="AK10" s="41"/>
      <c r="AL10" s="41"/>
      <c r="AM10" s="23">
        <v>1.714285714285714</v>
      </c>
      <c r="AN10" s="23">
        <v>2.4761904761904758</v>
      </c>
      <c r="AO10" s="23">
        <v>0.76190476190476186</v>
      </c>
      <c r="AP10" s="23">
        <v>0</v>
      </c>
      <c r="AQ10" s="23">
        <v>0.34615384615384609</v>
      </c>
      <c r="AR10" s="23">
        <v>0.5</v>
      </c>
      <c r="AS10" s="23">
        <v>0.1538461538461538</v>
      </c>
      <c r="AT10" s="23">
        <v>0</v>
      </c>
      <c r="AU10" s="20">
        <v>0.82</v>
      </c>
      <c r="AV10" s="20">
        <v>3.44</v>
      </c>
      <c r="AW10" s="20">
        <v>2.62</v>
      </c>
      <c r="AX10" s="20">
        <v>2.612857142857143</v>
      </c>
      <c r="AY10">
        <v>2.612857142857143</v>
      </c>
      <c r="AZ10">
        <v>5.9413964502380949</v>
      </c>
      <c r="BD10">
        <v>4.6424594546922618E-2</v>
      </c>
      <c r="BE10">
        <v>0</v>
      </c>
      <c r="BH10">
        <v>9.2849189093845236E-2</v>
      </c>
      <c r="BI10">
        <v>2.3212297273461309E-2</v>
      </c>
      <c r="BJ10">
        <v>0</v>
      </c>
    </row>
    <row r="11" spans="1:62" x14ac:dyDescent="0.3">
      <c r="A11" t="s">
        <v>8</v>
      </c>
      <c r="B11" s="12" t="s">
        <v>694</v>
      </c>
      <c r="C11" s="12"/>
      <c r="F11">
        <v>3</v>
      </c>
      <c r="G11" t="s">
        <v>454</v>
      </c>
      <c r="H11" s="8" t="s">
        <v>530</v>
      </c>
      <c r="I11" t="s">
        <v>612</v>
      </c>
      <c r="L11" s="20">
        <v>30</v>
      </c>
      <c r="M11">
        <v>4</v>
      </c>
      <c r="N11">
        <v>0</v>
      </c>
      <c r="T11" s="20">
        <v>10.59112378</v>
      </c>
      <c r="U11" s="20">
        <v>10.784736629999999</v>
      </c>
      <c r="V11" s="20">
        <v>10.486176179999999</v>
      </c>
      <c r="W11">
        <v>3.73</v>
      </c>
      <c r="X11">
        <v>3.73</v>
      </c>
      <c r="Y11">
        <v>9.3699999999999992</v>
      </c>
      <c r="Z11">
        <v>0</v>
      </c>
      <c r="AC11" s="1" t="s">
        <v>459</v>
      </c>
      <c r="AD11">
        <v>4</v>
      </c>
      <c r="AE11" s="44">
        <f t="shared" si="0"/>
        <v>0</v>
      </c>
      <c r="AF11" s="46">
        <v>1182.741260108548</v>
      </c>
      <c r="AG11" s="44">
        <v>130.36387300000001</v>
      </c>
      <c r="AH11" s="44">
        <v>0</v>
      </c>
      <c r="AI11" s="41"/>
      <c r="AJ11" s="40">
        <v>0.1014592151701775</v>
      </c>
      <c r="AK11" s="41">
        <v>0.1227333894874388</v>
      </c>
      <c r="AL11" s="41"/>
      <c r="AM11" s="23">
        <v>2</v>
      </c>
      <c r="AN11" s="23">
        <v>2.666666666666667</v>
      </c>
      <c r="AO11" s="23">
        <v>0.66666666666666663</v>
      </c>
      <c r="AP11" s="23">
        <v>0</v>
      </c>
      <c r="AQ11" s="23">
        <v>0.375</v>
      </c>
      <c r="AR11" s="23">
        <v>0.5</v>
      </c>
      <c r="AS11" s="23">
        <v>0.125</v>
      </c>
      <c r="AT11" s="23">
        <v>0</v>
      </c>
      <c r="AU11" s="20">
        <v>1.54</v>
      </c>
      <c r="AV11" s="20">
        <v>3.44</v>
      </c>
      <c r="AW11" s="20">
        <v>1.9</v>
      </c>
      <c r="AX11" s="20">
        <v>2.8066666666666671</v>
      </c>
      <c r="AY11">
        <v>2.8066666666666662</v>
      </c>
      <c r="AZ11">
        <v>6.1769976</v>
      </c>
      <c r="BA11" s="64">
        <v>0.46900407026869628</v>
      </c>
      <c r="BB11" s="64">
        <v>0.56734579634715776</v>
      </c>
      <c r="BE11">
        <v>5.072960758508873E-2</v>
      </c>
      <c r="BF11">
        <v>6.136669474371937E-2</v>
      </c>
      <c r="BH11">
        <v>0.1120963023288082</v>
      </c>
      <c r="BI11">
        <v>5.604815116440405E-2</v>
      </c>
      <c r="BJ11">
        <v>0.51817493330792708</v>
      </c>
    </row>
    <row r="12" spans="1:62" x14ac:dyDescent="0.3">
      <c r="A12" t="s">
        <v>10</v>
      </c>
      <c r="B12" s="12" t="s">
        <v>695</v>
      </c>
      <c r="C12" s="12"/>
      <c r="F12">
        <v>3.9</v>
      </c>
      <c r="G12" t="s">
        <v>453</v>
      </c>
      <c r="H12" s="8" t="s">
        <v>531</v>
      </c>
      <c r="I12">
        <v>-1</v>
      </c>
      <c r="L12" s="20">
        <v>1</v>
      </c>
      <c r="M12">
        <v>0</v>
      </c>
      <c r="N12">
        <v>0</v>
      </c>
      <c r="O12">
        <v>3.8849999999999998</v>
      </c>
      <c r="P12">
        <v>3.8849999999999998</v>
      </c>
      <c r="Q12">
        <v>11.12</v>
      </c>
      <c r="R12" t="s">
        <v>439</v>
      </c>
      <c r="T12" s="20">
        <v>3.9103940000000001</v>
      </c>
      <c r="U12" s="20">
        <v>3.9103940000000001</v>
      </c>
      <c r="V12" s="20">
        <v>11.314458</v>
      </c>
      <c r="W12">
        <v>0</v>
      </c>
      <c r="Z12">
        <v>0</v>
      </c>
      <c r="AC12">
        <v>2</v>
      </c>
      <c r="AD12">
        <v>14</v>
      </c>
      <c r="AE12" s="44">
        <f t="shared" si="0"/>
        <v>167.83666199999996</v>
      </c>
      <c r="AF12" s="46">
        <v>173.0114278564659</v>
      </c>
      <c r="AG12" s="44">
        <v>0</v>
      </c>
      <c r="AH12" s="44">
        <v>0</v>
      </c>
      <c r="AI12" s="41"/>
      <c r="AJ12" s="40">
        <v>8.0919510193365449E-2</v>
      </c>
      <c r="AK12" s="41"/>
      <c r="AL12" s="41"/>
      <c r="AM12" s="23">
        <v>1.9090909090909089</v>
      </c>
      <c r="AN12" s="23">
        <v>2.545454545454545</v>
      </c>
      <c r="AO12" s="23">
        <v>0.63636363636363635</v>
      </c>
      <c r="AP12" s="23">
        <v>2.545454545454545</v>
      </c>
      <c r="AQ12" s="23">
        <v>0.25</v>
      </c>
      <c r="AR12" s="23">
        <v>0.33333333333333331</v>
      </c>
      <c r="AS12" s="23">
        <v>8.3333333333333329E-2</v>
      </c>
      <c r="AT12" s="23">
        <v>0.33333333333333331</v>
      </c>
      <c r="AU12" s="20">
        <v>0.82</v>
      </c>
      <c r="AV12" s="20">
        <v>3.44</v>
      </c>
      <c r="AW12" s="20">
        <v>2.62</v>
      </c>
      <c r="AX12" s="20">
        <v>2.6363636363636358</v>
      </c>
      <c r="AY12">
        <v>2.6363636363636371</v>
      </c>
      <c r="AZ12">
        <v>6.0044088459090901</v>
      </c>
      <c r="BA12" s="64">
        <v>0.5117218936152963</v>
      </c>
      <c r="BE12">
        <v>4.0459755096682717E-2</v>
      </c>
      <c r="BH12">
        <v>8.0919510193365449E-2</v>
      </c>
      <c r="BI12">
        <v>4.0459755096682717E-2</v>
      </c>
      <c r="BJ12">
        <v>0.5117218936152963</v>
      </c>
    </row>
    <row r="13" spans="1:62" x14ac:dyDescent="0.3">
      <c r="A13" t="s">
        <v>11</v>
      </c>
      <c r="B13" s="12" t="s">
        <v>696</v>
      </c>
      <c r="C13" s="12"/>
      <c r="F13">
        <v>3.6</v>
      </c>
      <c r="G13" t="s">
        <v>453</v>
      </c>
      <c r="H13" s="8">
        <v>-1</v>
      </c>
      <c r="I13">
        <v>-1</v>
      </c>
      <c r="J13" s="47" t="s">
        <v>1144</v>
      </c>
      <c r="L13" s="20">
        <v>0</v>
      </c>
      <c r="M13">
        <v>0</v>
      </c>
      <c r="N13">
        <v>1</v>
      </c>
      <c r="T13" s="20">
        <v>0</v>
      </c>
      <c r="U13" s="20"/>
      <c r="V13" s="20"/>
      <c r="W13">
        <v>0</v>
      </c>
      <c r="Z13">
        <v>3.8653</v>
      </c>
      <c r="AA13">
        <v>3.8653</v>
      </c>
      <c r="AB13">
        <v>11.0131</v>
      </c>
      <c r="AC13">
        <v>2</v>
      </c>
      <c r="AD13">
        <v>14</v>
      </c>
      <c r="AE13" s="44">
        <f t="shared" si="0"/>
        <v>0</v>
      </c>
      <c r="AF13" s="46">
        <v>0</v>
      </c>
      <c r="AG13" s="44">
        <v>0</v>
      </c>
      <c r="AH13" s="44">
        <v>164.541706117579</v>
      </c>
      <c r="AI13" s="41"/>
      <c r="AJ13" s="40"/>
      <c r="AK13" s="41"/>
      <c r="AL13" s="41">
        <v>8.5084811202795069E-2</v>
      </c>
      <c r="AM13" s="23">
        <v>1.9090909090909089</v>
      </c>
      <c r="AN13" s="23">
        <v>2.545454545454545</v>
      </c>
      <c r="AO13" s="23">
        <v>0.54545454545454541</v>
      </c>
      <c r="AP13" s="23">
        <v>2.8181818181818179</v>
      </c>
      <c r="AQ13" s="23">
        <v>0.2441860465116279</v>
      </c>
      <c r="AR13" s="23">
        <v>0.32558139534883718</v>
      </c>
      <c r="AS13" s="23">
        <v>6.9767441860465115E-2</v>
      </c>
      <c r="AT13" s="23">
        <v>0.3604651162790698</v>
      </c>
      <c r="AU13" s="20">
        <v>0.82</v>
      </c>
      <c r="AV13" s="20">
        <v>3.44</v>
      </c>
      <c r="AW13" s="20">
        <v>2.62</v>
      </c>
      <c r="AX13" s="20">
        <v>2.6390909090909092</v>
      </c>
      <c r="AY13">
        <v>2.6390909090909092</v>
      </c>
      <c r="AZ13">
        <v>5.9791810459090904</v>
      </c>
      <c r="BC13" s="64">
        <v>0.53381265134868672</v>
      </c>
      <c r="BG13">
        <v>4.2542405601397527E-2</v>
      </c>
      <c r="BH13">
        <v>8.5084811202795069E-2</v>
      </c>
      <c r="BI13">
        <v>4.2542405601397527E-2</v>
      </c>
      <c r="BJ13">
        <v>0.53381265134868672</v>
      </c>
    </row>
    <row r="14" spans="1:62" x14ac:dyDescent="0.3">
      <c r="A14" t="s">
        <v>12</v>
      </c>
      <c r="B14" s="12" t="s">
        <v>697</v>
      </c>
      <c r="C14" s="12"/>
      <c r="F14">
        <v>4.2</v>
      </c>
      <c r="G14" t="s">
        <v>453</v>
      </c>
      <c r="H14" s="8">
        <v>-1</v>
      </c>
      <c r="I14">
        <v>-1</v>
      </c>
      <c r="J14" s="8" t="s">
        <v>1145</v>
      </c>
      <c r="L14" s="20">
        <v>0</v>
      </c>
      <c r="M14">
        <v>0</v>
      </c>
      <c r="N14">
        <v>1</v>
      </c>
      <c r="T14" s="20">
        <v>0</v>
      </c>
      <c r="U14" s="20"/>
      <c r="V14" s="20"/>
      <c r="W14">
        <v>0</v>
      </c>
      <c r="Z14">
        <v>3.8445</v>
      </c>
      <c r="AA14">
        <v>3.8445</v>
      </c>
      <c r="AB14">
        <v>11.03</v>
      </c>
      <c r="AC14">
        <v>2</v>
      </c>
      <c r="AD14">
        <v>14</v>
      </c>
      <c r="AE14" s="44">
        <f t="shared" si="0"/>
        <v>0</v>
      </c>
      <c r="AF14" s="46">
        <v>0</v>
      </c>
      <c r="AG14" s="44">
        <v>0</v>
      </c>
      <c r="AH14" s="44">
        <v>163.0253881575</v>
      </c>
      <c r="AI14" s="41"/>
      <c r="AJ14" s="40"/>
      <c r="AK14" s="41"/>
      <c r="AL14" s="41">
        <v>8.5876194856683907E-2</v>
      </c>
      <c r="AM14" s="23">
        <v>1.9090909090909089</v>
      </c>
      <c r="AN14" s="23">
        <v>2.545454545454545</v>
      </c>
      <c r="AO14" s="23">
        <v>0.54545454545454541</v>
      </c>
      <c r="AP14" s="23">
        <v>2.9090909090909092</v>
      </c>
      <c r="AQ14" s="23">
        <v>0.2413793103448276</v>
      </c>
      <c r="AR14" s="23">
        <v>0.32183908045977011</v>
      </c>
      <c r="AS14" s="23">
        <v>6.8965517241379309E-2</v>
      </c>
      <c r="AT14" s="23">
        <v>0.36781609195402298</v>
      </c>
      <c r="AU14" s="20">
        <v>0.82</v>
      </c>
      <c r="AV14" s="20">
        <v>3.44</v>
      </c>
      <c r="AW14" s="20">
        <v>2.62</v>
      </c>
      <c r="AX14" s="20">
        <v>2.64</v>
      </c>
      <c r="AY14">
        <v>2.64</v>
      </c>
      <c r="AZ14">
        <v>5.9811382595454541</v>
      </c>
      <c r="BC14" s="64">
        <v>0.53809297903977493</v>
      </c>
      <c r="BG14">
        <v>4.2938097428341947E-2</v>
      </c>
      <c r="BH14">
        <v>8.5876194856683907E-2</v>
      </c>
      <c r="BI14">
        <v>4.2938097428341947E-2</v>
      </c>
      <c r="BJ14">
        <v>0.53809297903977493</v>
      </c>
    </row>
    <row r="15" spans="1:62" x14ac:dyDescent="0.3">
      <c r="A15" t="s">
        <v>13</v>
      </c>
      <c r="B15" s="12" t="s">
        <v>698</v>
      </c>
      <c r="C15" s="12"/>
      <c r="F15">
        <v>4.2</v>
      </c>
      <c r="G15" t="s">
        <v>453</v>
      </c>
      <c r="H15" s="8">
        <v>-1</v>
      </c>
      <c r="I15">
        <v>-1</v>
      </c>
      <c r="J15" t="s">
        <v>1147</v>
      </c>
      <c r="L15" s="20">
        <v>0</v>
      </c>
      <c r="M15">
        <v>0</v>
      </c>
      <c r="N15">
        <v>1</v>
      </c>
      <c r="T15" s="20">
        <v>0</v>
      </c>
      <c r="U15" s="20"/>
      <c r="V15" s="20"/>
      <c r="W15">
        <v>0</v>
      </c>
      <c r="Z15">
        <v>3.8252000000000002</v>
      </c>
      <c r="AA15">
        <v>3.8252000000000002</v>
      </c>
      <c r="AB15">
        <v>11.013500000000001</v>
      </c>
      <c r="AC15">
        <v>2</v>
      </c>
      <c r="AD15">
        <v>14</v>
      </c>
      <c r="AE15" s="44">
        <f t="shared" si="0"/>
        <v>0</v>
      </c>
      <c r="AF15" s="46">
        <v>0</v>
      </c>
      <c r="AG15" s="44">
        <v>0</v>
      </c>
      <c r="AH15" s="44">
        <v>161.15123953304001</v>
      </c>
      <c r="AI15" s="41"/>
      <c r="AJ15" s="40"/>
      <c r="AK15" s="41"/>
      <c r="AL15" s="41">
        <v>8.6874913531953646E-2</v>
      </c>
      <c r="AM15" s="23">
        <v>1.9090909090909089</v>
      </c>
      <c r="AN15" s="23">
        <v>2.545454545454545</v>
      </c>
      <c r="AO15" s="23">
        <v>0.54545454545454541</v>
      </c>
      <c r="AP15" s="23">
        <v>3.0909090909090908</v>
      </c>
      <c r="AQ15" s="23">
        <v>0.2359550561797753</v>
      </c>
      <c r="AR15" s="23">
        <v>0.3146067415730337</v>
      </c>
      <c r="AS15" s="23">
        <v>6.7415730337078636E-2</v>
      </c>
      <c r="AT15" s="23">
        <v>0.38202247191011229</v>
      </c>
      <c r="AU15" s="20">
        <v>0.82</v>
      </c>
      <c r="AV15" s="20">
        <v>3.44</v>
      </c>
      <c r="AW15" s="20">
        <v>2.62</v>
      </c>
      <c r="AX15" s="20">
        <v>2.642727272727273</v>
      </c>
      <c r="AY15">
        <v>2.642727272727273</v>
      </c>
      <c r="AZ15">
        <v>5.9894662913636356</v>
      </c>
      <c r="BC15" s="64">
        <v>0.54194665977883461</v>
      </c>
      <c r="BG15">
        <v>4.3437456765976823E-2</v>
      </c>
      <c r="BH15">
        <v>8.6874913531953646E-2</v>
      </c>
      <c r="BI15">
        <v>4.3437456765976823E-2</v>
      </c>
      <c r="BJ15">
        <v>0.54194665977883461</v>
      </c>
    </row>
    <row r="16" spans="1:62" x14ac:dyDescent="0.3">
      <c r="A16" t="s">
        <v>14</v>
      </c>
      <c r="B16" s="12" t="s">
        <v>699</v>
      </c>
      <c r="C16" s="12"/>
      <c r="F16">
        <v>4</v>
      </c>
      <c r="G16" t="s">
        <v>9</v>
      </c>
      <c r="H16" s="47" t="s">
        <v>532</v>
      </c>
      <c r="I16" t="s">
        <v>613</v>
      </c>
      <c r="L16" s="20">
        <v>4</v>
      </c>
      <c r="M16">
        <v>4</v>
      </c>
      <c r="N16">
        <v>0</v>
      </c>
      <c r="T16" s="20">
        <v>7.8568680000000004</v>
      </c>
      <c r="U16" s="20">
        <v>7.8568680000000004</v>
      </c>
      <c r="V16" s="20">
        <v>7.8568680000000004</v>
      </c>
      <c r="W16">
        <v>7.78</v>
      </c>
      <c r="X16">
        <v>7.78</v>
      </c>
      <c r="Y16">
        <v>7.78</v>
      </c>
      <c r="Z16">
        <v>0</v>
      </c>
      <c r="AD16">
        <v>12</v>
      </c>
      <c r="AE16" s="44">
        <f t="shared" si="0"/>
        <v>0</v>
      </c>
      <c r="AF16" s="46">
        <v>485.00740615389492</v>
      </c>
      <c r="AG16" s="44">
        <v>470.91095200000012</v>
      </c>
      <c r="AH16" s="44">
        <v>0</v>
      </c>
      <c r="AI16" s="41"/>
      <c r="AJ16" s="40">
        <v>9.896756088868755E-2</v>
      </c>
      <c r="AK16" s="41">
        <v>0.1019300990901566</v>
      </c>
      <c r="AL16" s="41"/>
      <c r="AM16" s="23">
        <v>2</v>
      </c>
      <c r="AN16" s="23">
        <v>2.666666666666667</v>
      </c>
      <c r="AO16" s="23">
        <v>0.66666666666666663</v>
      </c>
      <c r="AP16" s="23">
        <v>3.1111111111111112</v>
      </c>
      <c r="AQ16" s="23">
        <v>0.23684210526315791</v>
      </c>
      <c r="AR16" s="23">
        <v>0.31578947368421051</v>
      </c>
      <c r="AS16" s="23">
        <v>7.8947368421052627E-2</v>
      </c>
      <c r="AT16" s="23">
        <v>0.36842105263157893</v>
      </c>
      <c r="AU16" s="20">
        <v>1</v>
      </c>
      <c r="AV16" s="20">
        <v>3.44</v>
      </c>
      <c r="AW16" s="20">
        <v>2.44</v>
      </c>
      <c r="AX16" s="20">
        <v>2.7377777777777781</v>
      </c>
      <c r="AY16">
        <v>2.7377777777777781</v>
      </c>
      <c r="AZ16">
        <v>6.2421139038888889</v>
      </c>
      <c r="BA16" s="64">
        <v>0.49860192759728061</v>
      </c>
      <c r="BB16" s="64">
        <v>0.51352729551146459</v>
      </c>
      <c r="BE16">
        <v>4.9483780444343768E-2</v>
      </c>
      <c r="BF16">
        <v>5.0965049545078307E-2</v>
      </c>
      <c r="BH16">
        <v>0.1004488299894221</v>
      </c>
      <c r="BI16">
        <v>5.0224414994711038E-2</v>
      </c>
      <c r="BJ16">
        <v>0.50606461155437255</v>
      </c>
    </row>
    <row r="17" spans="1:62" x14ac:dyDescent="0.3">
      <c r="A17" t="s">
        <v>15</v>
      </c>
      <c r="B17" s="12" t="s">
        <v>700</v>
      </c>
      <c r="C17" s="12"/>
      <c r="F17">
        <v>4.4000000000000004</v>
      </c>
      <c r="G17" t="s">
        <v>9</v>
      </c>
      <c r="H17" s="8" t="s">
        <v>533</v>
      </c>
      <c r="I17" t="s">
        <v>614</v>
      </c>
      <c r="L17" s="20">
        <v>4</v>
      </c>
      <c r="M17">
        <v>4</v>
      </c>
      <c r="N17">
        <v>0</v>
      </c>
      <c r="T17" s="20">
        <v>5.63450966</v>
      </c>
      <c r="U17" s="20">
        <v>7.6422105</v>
      </c>
      <c r="V17" s="20">
        <v>11.066420430000001</v>
      </c>
      <c r="W17">
        <v>11.013</v>
      </c>
      <c r="X17">
        <v>7.6319999999999997</v>
      </c>
      <c r="Y17">
        <v>5.6210000000000004</v>
      </c>
      <c r="Z17">
        <v>0</v>
      </c>
      <c r="AD17">
        <v>12</v>
      </c>
      <c r="AE17" s="44">
        <f t="shared" si="0"/>
        <v>0</v>
      </c>
      <c r="AF17" s="46">
        <v>476.5212686940929</v>
      </c>
      <c r="AG17" s="44">
        <v>472.45188513599999</v>
      </c>
      <c r="AH17" s="44">
        <v>0</v>
      </c>
      <c r="AI17" s="41"/>
      <c r="AJ17" s="40">
        <v>0.1007300264509579</v>
      </c>
      <c r="AK17" s="41">
        <v>0.1015976473163669</v>
      </c>
      <c r="AL17" s="41"/>
      <c r="AM17" s="23">
        <v>2</v>
      </c>
      <c r="AN17" s="23">
        <v>2.666666666666667</v>
      </c>
      <c r="AO17" s="23">
        <v>0.66666666666666663</v>
      </c>
      <c r="AP17" s="23">
        <v>3.1111111111111112</v>
      </c>
      <c r="AQ17" s="23">
        <v>0.23684210526315791</v>
      </c>
      <c r="AR17" s="23">
        <v>0.31578947368421051</v>
      </c>
      <c r="AS17" s="23">
        <v>7.8947368421052627E-2</v>
      </c>
      <c r="AT17" s="23">
        <v>0.36842105263157893</v>
      </c>
      <c r="AU17" s="20">
        <v>0.95</v>
      </c>
      <c r="AV17" s="20">
        <v>3.44</v>
      </c>
      <c r="AW17" s="20">
        <v>2.4900000000000002</v>
      </c>
      <c r="AX17" s="20">
        <v>2.7322222222222221</v>
      </c>
      <c r="AY17">
        <v>2.7322222222222221</v>
      </c>
      <c r="AZ17">
        <v>6.2204042916666662</v>
      </c>
      <c r="BA17" s="64">
        <v>0.5362582325986015</v>
      </c>
      <c r="BB17" s="64">
        <v>0.54087720122437066</v>
      </c>
      <c r="BE17">
        <v>5.0365013225478962E-2</v>
      </c>
      <c r="BF17">
        <v>5.0798823658183438E-2</v>
      </c>
      <c r="BH17">
        <v>0.1011638368836624</v>
      </c>
      <c r="BI17">
        <v>5.05819184418312E-2</v>
      </c>
      <c r="BJ17">
        <v>0.53856771691148608</v>
      </c>
    </row>
    <row r="18" spans="1:62" x14ac:dyDescent="0.3">
      <c r="A18" t="s">
        <v>16</v>
      </c>
      <c r="B18" s="12" t="s">
        <v>701</v>
      </c>
      <c r="C18" s="12"/>
      <c r="F18">
        <v>4.0999999999999996</v>
      </c>
      <c r="G18" t="s">
        <v>9</v>
      </c>
      <c r="H18" s="8" t="s">
        <v>534</v>
      </c>
      <c r="I18" t="s">
        <v>615</v>
      </c>
      <c r="L18" s="20">
        <v>6</v>
      </c>
      <c r="M18">
        <v>12</v>
      </c>
      <c r="N18">
        <v>0</v>
      </c>
      <c r="T18" s="20">
        <v>9.2906580000000005</v>
      </c>
      <c r="U18" s="20">
        <v>9.8537374799999977</v>
      </c>
      <c r="V18" s="20">
        <v>14.19785074</v>
      </c>
      <c r="W18">
        <v>21.14</v>
      </c>
      <c r="X18">
        <v>21.14</v>
      </c>
      <c r="Y18">
        <v>3.9169999999999998</v>
      </c>
      <c r="Z18">
        <v>0</v>
      </c>
      <c r="AD18">
        <v>12</v>
      </c>
      <c r="AE18" s="44">
        <f t="shared" si="0"/>
        <v>0</v>
      </c>
      <c r="AF18" s="46">
        <v>1160.7096237378021</v>
      </c>
      <c r="AG18" s="44">
        <v>1515.9824344215051</v>
      </c>
      <c r="AH18" s="44">
        <v>0</v>
      </c>
      <c r="AI18" s="41"/>
      <c r="AJ18" s="40">
        <v>6.2031018376620617E-2</v>
      </c>
      <c r="AK18" s="41">
        <v>9.4987907993109438E-2</v>
      </c>
      <c r="AL18" s="41"/>
      <c r="AM18" s="23">
        <v>2</v>
      </c>
      <c r="AN18" s="23">
        <v>2.666666666666667</v>
      </c>
      <c r="AO18" s="23">
        <v>0.66666666666666663</v>
      </c>
      <c r="AP18" s="23">
        <v>3.1111111111111112</v>
      </c>
      <c r="AQ18" s="23">
        <v>0.23684210526315791</v>
      </c>
      <c r="AR18" s="23">
        <v>0.31578947368421051</v>
      </c>
      <c r="AS18" s="23">
        <v>7.8947368421052627E-2</v>
      </c>
      <c r="AT18" s="23">
        <v>0.36842105263157893</v>
      </c>
      <c r="AU18" s="20">
        <v>0.89</v>
      </c>
      <c r="AV18" s="20">
        <v>3.44</v>
      </c>
      <c r="AW18" s="20">
        <v>2.5499999999999998</v>
      </c>
      <c r="AX18" s="20">
        <v>2.7255555555555562</v>
      </c>
      <c r="AY18">
        <v>2.7255555555555548</v>
      </c>
      <c r="AZ18">
        <v>6.1987019111111108</v>
      </c>
      <c r="BA18" s="64">
        <v>0.35206135737794247</v>
      </c>
      <c r="BB18" s="64">
        <v>0.53911047565759851</v>
      </c>
      <c r="BE18">
        <v>3.1015509188310308E-2</v>
      </c>
      <c r="BF18">
        <v>4.7493953996554719E-2</v>
      </c>
      <c r="BH18">
        <v>7.8509463184865028E-2</v>
      </c>
      <c r="BI18">
        <v>3.9254731592432507E-2</v>
      </c>
      <c r="BJ18">
        <v>0.44558591651777052</v>
      </c>
    </row>
    <row r="19" spans="1:62" x14ac:dyDescent="0.3">
      <c r="A19" t="s">
        <v>17</v>
      </c>
      <c r="B19" s="12" t="s">
        <v>702</v>
      </c>
      <c r="C19" s="12"/>
      <c r="F19">
        <v>3.67</v>
      </c>
      <c r="G19" t="s">
        <v>117</v>
      </c>
      <c r="H19" s="8" t="s">
        <v>535</v>
      </c>
      <c r="I19" t="s">
        <v>616</v>
      </c>
      <c r="L19" s="20">
        <v>1</v>
      </c>
      <c r="M19">
        <v>4</v>
      </c>
      <c r="N19">
        <v>0</v>
      </c>
      <c r="O19">
        <v>5.4669999999999996</v>
      </c>
      <c r="P19">
        <v>5.4269999999999996</v>
      </c>
      <c r="Q19">
        <v>24.931000000000001</v>
      </c>
      <c r="R19" t="s">
        <v>450</v>
      </c>
      <c r="T19" s="20">
        <v>13.46934785</v>
      </c>
      <c r="U19" s="20">
        <v>13.46934785</v>
      </c>
      <c r="V19" s="20">
        <v>13.46934785</v>
      </c>
      <c r="W19">
        <v>5.4659000000000004</v>
      </c>
      <c r="X19">
        <v>5.4318</v>
      </c>
      <c r="Y19">
        <v>24.9619</v>
      </c>
      <c r="Z19">
        <v>0</v>
      </c>
      <c r="AC19">
        <v>2</v>
      </c>
      <c r="AD19">
        <v>18</v>
      </c>
      <c r="AE19" s="44">
        <f t="shared" si="0"/>
        <v>739.68803577899985</v>
      </c>
      <c r="AF19" s="46">
        <v>189.22149105491849</v>
      </c>
      <c r="AG19" s="44">
        <v>741.11071385887806</v>
      </c>
      <c r="AH19" s="44">
        <v>0</v>
      </c>
      <c r="AI19" s="41"/>
      <c r="AJ19" s="40">
        <v>9.5126615373598261E-2</v>
      </c>
      <c r="AK19" s="41">
        <v>9.7151476363233638E-2</v>
      </c>
      <c r="AL19" s="41"/>
      <c r="AM19" s="23">
        <v>2</v>
      </c>
      <c r="AN19" s="23">
        <v>3</v>
      </c>
      <c r="AO19" s="23">
        <v>1.857142857142857</v>
      </c>
      <c r="AP19" s="23">
        <v>4</v>
      </c>
      <c r="AQ19" s="23">
        <v>0.18421052631578949</v>
      </c>
      <c r="AR19" s="23">
        <v>0.27631578947368418</v>
      </c>
      <c r="AS19" s="23">
        <v>0.1710526315789474</v>
      </c>
      <c r="AT19" s="23">
        <v>0.36842105263157893</v>
      </c>
      <c r="AU19" s="20">
        <v>1</v>
      </c>
      <c r="AV19" s="20">
        <v>3.44</v>
      </c>
      <c r="AW19" s="20">
        <v>2.44</v>
      </c>
      <c r="AX19" s="20">
        <v>2.785714285714286</v>
      </c>
      <c r="AY19">
        <v>2.785714285714286</v>
      </c>
      <c r="AZ19">
        <v>6.216117408214286</v>
      </c>
      <c r="BA19" s="64">
        <v>0.52325723799350143</v>
      </c>
      <c r="BE19">
        <v>4.7563307686799138E-2</v>
      </c>
      <c r="BF19">
        <v>4.8575738181616819E-2</v>
      </c>
      <c r="BH19">
        <v>9.6139045868415957E-2</v>
      </c>
      <c r="BI19">
        <v>4.8069522934207978E-2</v>
      </c>
      <c r="BJ19">
        <v>0.52325723799350143</v>
      </c>
    </row>
    <row r="20" spans="1:62" x14ac:dyDescent="0.3">
      <c r="A20" t="s">
        <v>51</v>
      </c>
      <c r="B20" s="12" t="s">
        <v>703</v>
      </c>
      <c r="C20" s="12"/>
      <c r="F20">
        <v>3.64</v>
      </c>
      <c r="G20" t="s">
        <v>117</v>
      </c>
      <c r="H20" s="8" t="s">
        <v>536</v>
      </c>
      <c r="I20" t="s">
        <v>617</v>
      </c>
      <c r="L20" s="20">
        <v>1</v>
      </c>
      <c r="M20">
        <v>4</v>
      </c>
      <c r="N20">
        <v>0</v>
      </c>
      <c r="O20">
        <v>5.4729999999999999</v>
      </c>
      <c r="P20">
        <v>5.5269999999999992</v>
      </c>
      <c r="Q20">
        <v>25.030999999999999</v>
      </c>
      <c r="R20" t="s">
        <v>450</v>
      </c>
      <c r="T20" s="20">
        <v>12.88926011</v>
      </c>
      <c r="U20" s="20">
        <v>12.88926011</v>
      </c>
      <c r="V20" s="20">
        <v>12.88926011</v>
      </c>
      <c r="W20">
        <v>5.5223699999999996</v>
      </c>
      <c r="X20">
        <v>5.5240799999999997</v>
      </c>
      <c r="Y20">
        <v>25.026399999999999</v>
      </c>
      <c r="Z20">
        <v>0</v>
      </c>
      <c r="AC20">
        <v>2</v>
      </c>
      <c r="AD20">
        <v>18</v>
      </c>
      <c r="AE20" s="44">
        <f t="shared" si="0"/>
        <v>757.16950240099993</v>
      </c>
      <c r="AF20" s="46">
        <v>195.03203980213701</v>
      </c>
      <c r="AG20" s="44">
        <v>763.45570050087724</v>
      </c>
      <c r="AH20" s="44">
        <v>0</v>
      </c>
      <c r="AI20" s="41"/>
      <c r="AJ20" s="40">
        <v>9.2292528029042184E-2</v>
      </c>
      <c r="AK20" s="41">
        <v>9.4308025930991482E-2</v>
      </c>
      <c r="AL20" s="41"/>
      <c r="AM20" s="23">
        <v>2</v>
      </c>
      <c r="AN20" s="23">
        <v>3</v>
      </c>
      <c r="AO20" s="23">
        <v>1.857142857142857</v>
      </c>
      <c r="AP20" s="23">
        <v>4</v>
      </c>
      <c r="AQ20" s="23">
        <v>0.18421052631578949</v>
      </c>
      <c r="AR20" s="23">
        <v>0.27631578947368418</v>
      </c>
      <c r="AS20" s="23">
        <v>0.1710526315789474</v>
      </c>
      <c r="AT20" s="23">
        <v>0.36842105263157893</v>
      </c>
      <c r="AU20" s="20">
        <v>0.95</v>
      </c>
      <c r="AV20" s="20">
        <v>3.44</v>
      </c>
      <c r="AW20" s="20">
        <v>2.4900000000000002</v>
      </c>
      <c r="AX20" s="20">
        <v>2.782142857142857</v>
      </c>
      <c r="AY20">
        <v>2.7821428571428579</v>
      </c>
      <c r="AZ20">
        <v>6.2021612289285706</v>
      </c>
      <c r="BA20" s="64">
        <v>0.52524560229640982</v>
      </c>
      <c r="BB20" s="64">
        <v>0.53671599358424449</v>
      </c>
      <c r="BE20">
        <v>4.6146264014521092E-2</v>
      </c>
      <c r="BF20">
        <v>4.7154012965495741E-2</v>
      </c>
      <c r="BH20">
        <v>9.3300276980016833E-2</v>
      </c>
      <c r="BI20">
        <v>4.6650138490008423E-2</v>
      </c>
      <c r="BJ20">
        <v>0.53098079794032715</v>
      </c>
    </row>
    <row r="21" spans="1:62" x14ac:dyDescent="0.3">
      <c r="A21" t="s">
        <v>18</v>
      </c>
      <c r="B21" s="12" t="s">
        <v>704</v>
      </c>
      <c r="C21" s="12"/>
      <c r="F21">
        <v>3.52</v>
      </c>
      <c r="G21" t="s">
        <v>117</v>
      </c>
      <c r="H21" s="8" t="s">
        <v>537</v>
      </c>
      <c r="I21" t="s">
        <v>618</v>
      </c>
      <c r="L21" s="20">
        <v>1</v>
      </c>
      <c r="M21">
        <v>1</v>
      </c>
      <c r="N21">
        <v>0</v>
      </c>
      <c r="O21">
        <v>3.9539999999999997</v>
      </c>
      <c r="P21">
        <v>3.9539999999999997</v>
      </c>
      <c r="Q21">
        <v>25.487000000000002</v>
      </c>
      <c r="R21" t="s">
        <v>440</v>
      </c>
      <c r="T21" s="20">
        <v>12.939761450000001</v>
      </c>
      <c r="U21" s="20">
        <v>12.939761450000001</v>
      </c>
      <c r="V21" s="20">
        <v>12.939761450000001</v>
      </c>
      <c r="W21">
        <v>3.9355000000000002</v>
      </c>
      <c r="X21">
        <v>3.9355000000000002</v>
      </c>
      <c r="Y21">
        <v>25.5686</v>
      </c>
      <c r="Z21">
        <v>0</v>
      </c>
      <c r="AC21">
        <v>2</v>
      </c>
      <c r="AD21">
        <v>18</v>
      </c>
      <c r="AE21" s="44">
        <f t="shared" si="0"/>
        <v>398.46671449199999</v>
      </c>
      <c r="AF21" s="46">
        <v>198.96095988642259</v>
      </c>
      <c r="AG21" s="44">
        <v>396.01057416815007</v>
      </c>
      <c r="AH21" s="44">
        <v>0</v>
      </c>
      <c r="AI21" s="41"/>
      <c r="AJ21" s="40">
        <v>9.047000984653146E-2</v>
      </c>
      <c r="AK21" s="41">
        <v>4.5453331739462637E-2</v>
      </c>
      <c r="AL21" s="41"/>
      <c r="AM21" s="23">
        <v>2</v>
      </c>
      <c r="AN21" s="23">
        <v>3</v>
      </c>
      <c r="AO21" s="23">
        <v>1.857142857142857</v>
      </c>
      <c r="AP21" s="23">
        <v>4</v>
      </c>
      <c r="AQ21" s="23">
        <v>0.18421052631578949</v>
      </c>
      <c r="AR21" s="23">
        <v>0.27631578947368418</v>
      </c>
      <c r="AS21" s="23">
        <v>0.1710526315789474</v>
      </c>
      <c r="AT21" s="23">
        <v>0.36842105263157893</v>
      </c>
      <c r="AU21" s="20">
        <v>0.89</v>
      </c>
      <c r="AV21" s="20">
        <v>3.44</v>
      </c>
      <c r="AW21" s="20">
        <v>2.5499999999999998</v>
      </c>
      <c r="AX21" s="20">
        <v>2.777857142857143</v>
      </c>
      <c r="AY21">
        <v>2.777857142857143</v>
      </c>
      <c r="AZ21">
        <v>6.1882096985714297</v>
      </c>
      <c r="BA21" s="64">
        <v>0.53609483093200738</v>
      </c>
      <c r="BE21">
        <v>4.5235004923265723E-2</v>
      </c>
      <c r="BF21">
        <v>2.2726665869731318E-2</v>
      </c>
      <c r="BH21">
        <v>6.7961670792997045E-2</v>
      </c>
      <c r="BI21">
        <v>3.3980835396498522E-2</v>
      </c>
      <c r="BJ21">
        <v>0.53609483093200738</v>
      </c>
    </row>
    <row r="22" spans="1:62" x14ac:dyDescent="0.3">
      <c r="A22" t="s">
        <v>19</v>
      </c>
      <c r="B22" s="12" t="s">
        <v>705</v>
      </c>
      <c r="C22" s="12"/>
      <c r="F22">
        <v>3.46</v>
      </c>
      <c r="G22" t="s">
        <v>435</v>
      </c>
      <c r="H22" s="8" t="s">
        <v>538</v>
      </c>
      <c r="I22">
        <v>-1</v>
      </c>
      <c r="L22" s="20">
        <v>1</v>
      </c>
      <c r="M22">
        <v>0</v>
      </c>
      <c r="N22">
        <v>0</v>
      </c>
      <c r="O22" t="s">
        <v>464</v>
      </c>
      <c r="P22" t="s">
        <v>464</v>
      </c>
      <c r="Q22" t="s">
        <v>464</v>
      </c>
      <c r="R22" t="s">
        <v>450</v>
      </c>
      <c r="T22" s="20">
        <v>13.83861243</v>
      </c>
      <c r="U22" s="20">
        <v>13.83861243</v>
      </c>
      <c r="V22" s="20">
        <v>13.83861243</v>
      </c>
      <c r="W22">
        <v>0</v>
      </c>
      <c r="Z22">
        <v>0</v>
      </c>
      <c r="AC22">
        <v>2</v>
      </c>
      <c r="AD22">
        <v>18</v>
      </c>
      <c r="AE22" s="44" t="e">
        <f t="shared" si="0"/>
        <v>#VALUE!</v>
      </c>
      <c r="AF22" s="46">
        <v>208.2630581553295</v>
      </c>
      <c r="AG22" s="44">
        <v>0</v>
      </c>
      <c r="AH22" s="44">
        <v>0</v>
      </c>
      <c r="AI22" s="41"/>
      <c r="AJ22" s="40">
        <v>8.6429154356194082E-2</v>
      </c>
      <c r="AK22" s="41"/>
      <c r="AL22" s="41"/>
      <c r="AM22" s="23">
        <v>1.857142857142857</v>
      </c>
      <c r="AN22" s="23">
        <v>3</v>
      </c>
      <c r="AO22" s="23">
        <v>2</v>
      </c>
      <c r="AP22" s="23">
        <v>2</v>
      </c>
      <c r="AQ22" s="23">
        <v>0.20967741935483869</v>
      </c>
      <c r="AR22" s="23">
        <v>0.33870967741935482</v>
      </c>
      <c r="AS22" s="23">
        <v>0.22580645161290319</v>
      </c>
      <c r="AT22" s="23">
        <v>0.22580645161290319</v>
      </c>
      <c r="AU22" s="20">
        <v>1</v>
      </c>
      <c r="AV22" s="20">
        <v>3.44</v>
      </c>
      <c r="AW22" s="20">
        <v>2.44</v>
      </c>
      <c r="AX22" s="20">
        <v>2.8</v>
      </c>
      <c r="AY22">
        <v>2.8</v>
      </c>
      <c r="AZ22">
        <v>6.2020864082142868</v>
      </c>
      <c r="BA22" s="64">
        <v>0.47541563854575991</v>
      </c>
      <c r="BE22">
        <v>4.3214577178097048E-2</v>
      </c>
      <c r="BH22">
        <v>8.6429154356194082E-2</v>
      </c>
      <c r="BI22">
        <v>4.3214577178097048E-2</v>
      </c>
      <c r="BJ22">
        <v>0.47541563854575991</v>
      </c>
    </row>
    <row r="23" spans="1:62" x14ac:dyDescent="0.3">
      <c r="A23" t="s">
        <v>20</v>
      </c>
      <c r="B23" s="12" t="s">
        <v>706</v>
      </c>
      <c r="C23" s="12"/>
      <c r="F23">
        <v>3.43</v>
      </c>
      <c r="G23" t="s">
        <v>435</v>
      </c>
      <c r="H23" s="8" t="s">
        <v>539</v>
      </c>
      <c r="I23" t="s">
        <v>619</v>
      </c>
      <c r="L23" s="20">
        <v>2</v>
      </c>
      <c r="M23">
        <v>4</v>
      </c>
      <c r="N23">
        <v>0</v>
      </c>
      <c r="O23" t="s">
        <v>464</v>
      </c>
      <c r="P23" t="s">
        <v>464</v>
      </c>
      <c r="Q23" t="s">
        <v>464</v>
      </c>
      <c r="R23" t="s">
        <v>450</v>
      </c>
      <c r="T23" s="20">
        <v>13.01244535</v>
      </c>
      <c r="U23" s="20">
        <v>13.01244535</v>
      </c>
      <c r="V23" s="20">
        <v>5.6884839999999999</v>
      </c>
      <c r="W23">
        <v>5.5060000000000002</v>
      </c>
      <c r="X23">
        <v>5.5060000000000002</v>
      </c>
      <c r="Y23">
        <v>25</v>
      </c>
      <c r="Z23">
        <v>0</v>
      </c>
      <c r="AC23">
        <v>2</v>
      </c>
      <c r="AD23">
        <v>18</v>
      </c>
      <c r="AE23" s="44" t="e">
        <f t="shared" si="0"/>
        <v>#VALUE!</v>
      </c>
      <c r="AF23" s="46">
        <v>408.08048566890238</v>
      </c>
      <c r="AG23" s="44">
        <v>757.90090000000009</v>
      </c>
      <c r="AH23" s="44">
        <v>0</v>
      </c>
      <c r="AI23" s="41"/>
      <c r="AJ23" s="40">
        <v>8.8217891480379992E-2</v>
      </c>
      <c r="AK23" s="41">
        <v>9.4999227471559922E-2</v>
      </c>
      <c r="AL23" s="41"/>
      <c r="AM23" s="23">
        <v>1.857142857142857</v>
      </c>
      <c r="AN23" s="23">
        <v>3</v>
      </c>
      <c r="AO23" s="23">
        <v>2</v>
      </c>
      <c r="AP23" s="23">
        <v>2</v>
      </c>
      <c r="AQ23" s="23">
        <v>0.20967741935483869</v>
      </c>
      <c r="AR23" s="23">
        <v>0.33870967741935482</v>
      </c>
      <c r="AS23" s="23">
        <v>0.22580645161290319</v>
      </c>
      <c r="AT23" s="23">
        <v>0.22580645161290319</v>
      </c>
      <c r="AU23" s="20">
        <v>0.95</v>
      </c>
      <c r="AV23" s="20">
        <v>3.44</v>
      </c>
      <c r="AW23" s="20">
        <v>2.4900000000000002</v>
      </c>
      <c r="AX23" s="20">
        <v>2.7964285714285722</v>
      </c>
      <c r="AY23">
        <v>2.7964285714285722</v>
      </c>
      <c r="AZ23">
        <v>6.1881302289285713</v>
      </c>
      <c r="BA23" s="64">
        <v>0.50205645606923555</v>
      </c>
      <c r="BB23" s="64">
        <v>0.54064968764634491</v>
      </c>
      <c r="BE23">
        <v>4.4108945740190003E-2</v>
      </c>
      <c r="BF23">
        <v>4.7499613735779961E-2</v>
      </c>
      <c r="BH23">
        <v>9.1608559475969964E-2</v>
      </c>
      <c r="BI23">
        <v>4.5804279737984982E-2</v>
      </c>
      <c r="BJ23">
        <v>0.52135307185779023</v>
      </c>
    </row>
    <row r="24" spans="1:62" x14ac:dyDescent="0.3">
      <c r="A24" t="s">
        <v>21</v>
      </c>
      <c r="B24" s="12" t="s">
        <v>707</v>
      </c>
      <c r="C24" s="12"/>
      <c r="F24">
        <v>3.3</v>
      </c>
      <c r="G24" t="s">
        <v>435</v>
      </c>
      <c r="H24" s="8" t="s">
        <v>540</v>
      </c>
      <c r="I24" t="s">
        <v>620</v>
      </c>
      <c r="L24" s="20">
        <v>2</v>
      </c>
      <c r="M24">
        <v>2</v>
      </c>
      <c r="N24">
        <v>0</v>
      </c>
      <c r="O24" t="s">
        <v>464</v>
      </c>
      <c r="P24" t="s">
        <v>464</v>
      </c>
      <c r="Q24" t="s">
        <v>464</v>
      </c>
      <c r="R24" t="s">
        <v>440</v>
      </c>
      <c r="T24" s="20">
        <v>13.052871550000001</v>
      </c>
      <c r="U24" s="20">
        <v>13.052871550000001</v>
      </c>
      <c r="V24" s="20">
        <v>5.7602650000000004</v>
      </c>
      <c r="W24">
        <v>3.9390000000000001</v>
      </c>
      <c r="X24">
        <v>3.9390000000000001</v>
      </c>
      <c r="Y24">
        <v>25.636399999999998</v>
      </c>
      <c r="Z24">
        <v>0</v>
      </c>
      <c r="AC24">
        <v>2</v>
      </c>
      <c r="AD24">
        <v>18</v>
      </c>
      <c r="AE24" s="44" t="e">
        <f t="shared" si="0"/>
        <v>#VALUE!</v>
      </c>
      <c r="AF24" s="46">
        <v>419.87909289623292</v>
      </c>
      <c r="AG24" s="44">
        <v>397.76722984439999</v>
      </c>
      <c r="AH24" s="44">
        <v>0</v>
      </c>
      <c r="AI24" s="41"/>
      <c r="AJ24" s="40">
        <v>8.5738967738736363E-2</v>
      </c>
      <c r="AK24" s="41">
        <v>9.0505193235960166E-2</v>
      </c>
      <c r="AL24" s="41"/>
      <c r="AM24" s="23">
        <v>1.857142857142857</v>
      </c>
      <c r="AN24" s="23">
        <v>3</v>
      </c>
      <c r="AO24" s="23">
        <v>2</v>
      </c>
      <c r="AP24" s="23">
        <v>2</v>
      </c>
      <c r="AQ24" s="23">
        <v>0.20967741935483869</v>
      </c>
      <c r="AR24" s="23">
        <v>0.33870967741935482</v>
      </c>
      <c r="AS24" s="23">
        <v>0.22580645161290319</v>
      </c>
      <c r="AT24" s="23">
        <v>0.22580645161290319</v>
      </c>
      <c r="AU24" s="20">
        <v>0.89</v>
      </c>
      <c r="AV24" s="20">
        <v>3.44</v>
      </c>
      <c r="AW24" s="20">
        <v>2.5499999999999998</v>
      </c>
      <c r="AX24" s="20">
        <v>2.7921428571428568</v>
      </c>
      <c r="AY24">
        <v>2.7921428571428568</v>
      </c>
      <c r="AZ24">
        <v>6.1741786985714304</v>
      </c>
      <c r="BA24" s="64">
        <v>0.50806026761966716</v>
      </c>
      <c r="BB24" s="64">
        <v>0</v>
      </c>
      <c r="BE24">
        <v>4.2869483869368182E-2</v>
      </c>
      <c r="BF24">
        <v>4.5252596617980083E-2</v>
      </c>
      <c r="BH24">
        <v>8.8122080487348264E-2</v>
      </c>
      <c r="BI24">
        <v>4.4061040243674132E-2</v>
      </c>
      <c r="BJ24">
        <v>0.25403013380983358</v>
      </c>
    </row>
    <row r="25" spans="1:62" x14ac:dyDescent="0.3">
      <c r="A25" t="s">
        <v>22</v>
      </c>
      <c r="B25" s="12" t="s">
        <v>876</v>
      </c>
      <c r="C25" s="12"/>
      <c r="F25">
        <v>2.74</v>
      </c>
      <c r="G25" t="s">
        <v>213</v>
      </c>
      <c r="H25" s="25" t="s">
        <v>541</v>
      </c>
      <c r="I25" t="s">
        <v>621</v>
      </c>
      <c r="L25" s="20">
        <v>0</v>
      </c>
      <c r="M25">
        <v>4</v>
      </c>
      <c r="N25">
        <v>0</v>
      </c>
      <c r="T25" s="20">
        <v>0</v>
      </c>
      <c r="U25" s="20"/>
      <c r="V25" s="20"/>
      <c r="W25">
        <v>5.5453000000000001</v>
      </c>
      <c r="X25">
        <v>5.5453000000000001</v>
      </c>
      <c r="Y25">
        <v>25.686699999999998</v>
      </c>
      <c r="Z25">
        <v>0</v>
      </c>
      <c r="AC25" t="s">
        <v>464</v>
      </c>
      <c r="AD25">
        <v>18</v>
      </c>
      <c r="AE25" s="44">
        <f t="shared" si="0"/>
        <v>0</v>
      </c>
      <c r="AF25" s="46">
        <v>0</v>
      </c>
      <c r="AG25" s="44">
        <v>789.87506903020289</v>
      </c>
      <c r="AH25" s="44">
        <v>0</v>
      </c>
      <c r="AI25" s="41"/>
      <c r="AJ25" s="40"/>
      <c r="AK25" s="41">
        <v>9.1153655588092616E-2</v>
      </c>
      <c r="AL25" s="41"/>
      <c r="AM25" s="23">
        <v>1.871428571428571</v>
      </c>
      <c r="AN25" s="23">
        <v>3.1428571428571428</v>
      </c>
      <c r="AO25" s="23">
        <v>2.714285714285714</v>
      </c>
      <c r="AP25" s="23">
        <v>3.2</v>
      </c>
      <c r="AQ25" s="23">
        <v>0.17124183006535951</v>
      </c>
      <c r="AR25" s="23">
        <v>0.28758169934640521</v>
      </c>
      <c r="AS25" s="23">
        <v>0.2483660130718954</v>
      </c>
      <c r="AT25" s="23">
        <v>0.29281045751633977</v>
      </c>
      <c r="AU25" s="20">
        <v>1.6</v>
      </c>
      <c r="AV25" s="20">
        <v>3.44</v>
      </c>
      <c r="AW25" s="20">
        <v>1.84</v>
      </c>
      <c r="AX25" s="20">
        <v>2.9058571428571431</v>
      </c>
      <c r="AY25">
        <v>2.9058571428571431</v>
      </c>
      <c r="AZ25">
        <v>6.2676757950000006</v>
      </c>
      <c r="BA25" s="64">
        <v>0.51995616258071919</v>
      </c>
      <c r="BB25" s="64">
        <v>0.51988140722208986</v>
      </c>
      <c r="BF25">
        <v>4.5576827794046308E-2</v>
      </c>
      <c r="BH25">
        <v>9.1153655588092616E-2</v>
      </c>
      <c r="BI25">
        <v>4.5576827794046308E-2</v>
      </c>
      <c r="BJ25">
        <v>0.51991878490140453</v>
      </c>
    </row>
    <row r="26" spans="1:62" x14ac:dyDescent="0.3">
      <c r="A26" t="s">
        <v>23</v>
      </c>
      <c r="B26" s="12" t="s">
        <v>877</v>
      </c>
      <c r="C26" s="12"/>
      <c r="F26">
        <v>2.74</v>
      </c>
      <c r="G26" t="s">
        <v>213</v>
      </c>
      <c r="H26" s="25" t="s">
        <v>541</v>
      </c>
      <c r="I26" t="s">
        <v>621</v>
      </c>
      <c r="L26" s="20">
        <v>0</v>
      </c>
      <c r="M26">
        <v>4</v>
      </c>
      <c r="N26">
        <v>0</v>
      </c>
      <c r="T26" s="20">
        <v>0</v>
      </c>
      <c r="U26" s="20"/>
      <c r="V26" s="20"/>
      <c r="W26">
        <v>5.5453000000000001</v>
      </c>
      <c r="X26">
        <v>5.5453000000000001</v>
      </c>
      <c r="Y26">
        <v>25.686699999999998</v>
      </c>
      <c r="Z26">
        <v>0</v>
      </c>
      <c r="AC26" t="s">
        <v>464</v>
      </c>
      <c r="AD26">
        <v>18</v>
      </c>
      <c r="AE26" s="44">
        <f t="shared" si="0"/>
        <v>0</v>
      </c>
      <c r="AF26" s="46">
        <v>0</v>
      </c>
      <c r="AG26" s="44">
        <v>789.87506903020289</v>
      </c>
      <c r="AH26" s="44">
        <v>0</v>
      </c>
      <c r="AI26" s="41"/>
      <c r="AJ26" s="40"/>
      <c r="AK26" s="41">
        <v>9.1153655588092616E-2</v>
      </c>
      <c r="AL26" s="41"/>
      <c r="AM26" s="23">
        <v>1.8678571428571431</v>
      </c>
      <c r="AN26" s="23">
        <v>3.1428571428571428</v>
      </c>
      <c r="AO26" s="23">
        <v>2.714285714285714</v>
      </c>
      <c r="AP26" s="23">
        <v>3.15</v>
      </c>
      <c r="AQ26" s="23">
        <v>0.1717569786535304</v>
      </c>
      <c r="AR26" s="23">
        <v>0.28899835796387519</v>
      </c>
      <c r="AS26" s="23">
        <v>0.24958949096880129</v>
      </c>
      <c r="AT26" s="23">
        <v>0.28965517241379313</v>
      </c>
      <c r="AU26" s="20">
        <v>1.6</v>
      </c>
      <c r="AV26" s="20">
        <v>3.44</v>
      </c>
      <c r="AW26" s="20">
        <v>1.84</v>
      </c>
      <c r="AX26" s="20">
        <v>2.903142857142857</v>
      </c>
      <c r="AY26">
        <v>2.903142857142857</v>
      </c>
      <c r="AZ26">
        <v>6.2658828646428582</v>
      </c>
      <c r="BA26" s="64">
        <v>0.51995616258071919</v>
      </c>
      <c r="BB26" s="64">
        <v>0.51988140722208986</v>
      </c>
      <c r="BF26">
        <v>4.5576827794046308E-2</v>
      </c>
      <c r="BH26">
        <v>9.1153655588092616E-2</v>
      </c>
      <c r="BI26">
        <v>4.5576827794046308E-2</v>
      </c>
      <c r="BJ26">
        <v>0.51991878490140453</v>
      </c>
    </row>
    <row r="27" spans="1:62" x14ac:dyDescent="0.3">
      <c r="A27" t="s">
        <v>24</v>
      </c>
      <c r="B27" s="12" t="s">
        <v>878</v>
      </c>
      <c r="C27" s="12"/>
      <c r="F27">
        <v>2.75</v>
      </c>
      <c r="G27" t="s">
        <v>213</v>
      </c>
      <c r="H27" s="25" t="s">
        <v>541</v>
      </c>
      <c r="I27" t="s">
        <v>621</v>
      </c>
      <c r="L27" s="20">
        <v>0</v>
      </c>
      <c r="M27">
        <v>4</v>
      </c>
      <c r="N27">
        <v>0</v>
      </c>
      <c r="T27" s="20">
        <v>0</v>
      </c>
      <c r="U27" s="20"/>
      <c r="V27" s="20"/>
      <c r="W27">
        <v>5.5453000000000001</v>
      </c>
      <c r="X27">
        <v>5.5453000000000001</v>
      </c>
      <c r="Y27">
        <v>25.686699999999998</v>
      </c>
      <c r="Z27">
        <v>0</v>
      </c>
      <c r="AC27" t="s">
        <v>464</v>
      </c>
      <c r="AD27">
        <v>18</v>
      </c>
      <c r="AE27" s="44">
        <f t="shared" si="0"/>
        <v>0</v>
      </c>
      <c r="AF27" s="46">
        <v>0</v>
      </c>
      <c r="AG27" s="44">
        <v>789.87506903020289</v>
      </c>
      <c r="AH27" s="44">
        <v>0</v>
      </c>
      <c r="AI27" s="41"/>
      <c r="AJ27" s="40"/>
      <c r="AK27" s="41">
        <v>9.1153655588092616E-2</v>
      </c>
      <c r="AL27" s="41"/>
      <c r="AM27" s="23">
        <v>1.8642857142857141</v>
      </c>
      <c r="AN27" s="23">
        <v>3.1428571428571428</v>
      </c>
      <c r="AO27" s="23">
        <v>2.714285714285714</v>
      </c>
      <c r="AP27" s="23">
        <v>3.1</v>
      </c>
      <c r="AQ27" s="23">
        <v>0.17227722772277229</v>
      </c>
      <c r="AR27" s="23">
        <v>0.29042904290429039</v>
      </c>
      <c r="AS27" s="23">
        <v>0.25082508250825092</v>
      </c>
      <c r="AT27" s="23">
        <v>0.28646864686468648</v>
      </c>
      <c r="AU27" s="20">
        <v>1.6</v>
      </c>
      <c r="AV27" s="20">
        <v>3.44</v>
      </c>
      <c r="AW27" s="20">
        <v>1.84</v>
      </c>
      <c r="AX27" s="20">
        <v>2.9004285714285709</v>
      </c>
      <c r="AY27">
        <v>2.9004285714285718</v>
      </c>
      <c r="AZ27">
        <v>6.2640899342857157</v>
      </c>
      <c r="BA27" s="64">
        <v>0.51995616258071919</v>
      </c>
      <c r="BB27" s="64">
        <v>0.51988140722208986</v>
      </c>
      <c r="BF27">
        <v>4.5576827794046308E-2</v>
      </c>
      <c r="BH27">
        <v>9.1153655588092616E-2</v>
      </c>
      <c r="BI27">
        <v>4.5576827794046308E-2</v>
      </c>
      <c r="BJ27">
        <v>0.51991878490140453</v>
      </c>
    </row>
    <row r="28" spans="1:62" x14ac:dyDescent="0.3">
      <c r="A28" t="s">
        <v>25</v>
      </c>
      <c r="B28" s="12" t="s">
        <v>708</v>
      </c>
      <c r="C28" s="12"/>
      <c r="F28">
        <v>2.88</v>
      </c>
      <c r="G28" t="s">
        <v>213</v>
      </c>
      <c r="H28" s="8" t="s">
        <v>541</v>
      </c>
      <c r="I28" t="s">
        <v>621</v>
      </c>
      <c r="L28" s="20">
        <v>1</v>
      </c>
      <c r="M28">
        <v>4</v>
      </c>
      <c r="N28">
        <v>0</v>
      </c>
      <c r="O28">
        <v>5.4960000000000004</v>
      </c>
      <c r="P28">
        <v>5.4960000000000004</v>
      </c>
      <c r="Q28">
        <v>25.55</v>
      </c>
      <c r="R28" t="s">
        <v>450</v>
      </c>
      <c r="T28" s="20">
        <v>12.868820120000001</v>
      </c>
      <c r="U28" s="20">
        <v>12.868820120000001</v>
      </c>
      <c r="V28" s="20">
        <v>12.868820120000001</v>
      </c>
      <c r="W28">
        <v>5.5453000000000001</v>
      </c>
      <c r="X28">
        <v>5.5453000000000001</v>
      </c>
      <c r="Y28">
        <v>25.686699999999998</v>
      </c>
      <c r="Z28">
        <v>0</v>
      </c>
      <c r="AC28">
        <v>4</v>
      </c>
      <c r="AD28">
        <v>18</v>
      </c>
      <c r="AE28" s="44">
        <f t="shared" si="0"/>
        <v>771.76370880000013</v>
      </c>
      <c r="AF28" s="46">
        <v>197.4403766939285</v>
      </c>
      <c r="AG28" s="44">
        <v>789.87506903020289</v>
      </c>
      <c r="AH28" s="44">
        <v>0</v>
      </c>
      <c r="AI28" s="41"/>
      <c r="AJ28" s="40">
        <v>9.1166762854710051E-2</v>
      </c>
      <c r="AK28" s="41">
        <v>9.1153655588092616E-2</v>
      </c>
      <c r="AL28" s="41"/>
      <c r="AM28" s="23">
        <v>1.857142857142857</v>
      </c>
      <c r="AN28" s="23">
        <v>3.1428571428571428</v>
      </c>
      <c r="AO28" s="23">
        <v>2.714285714285714</v>
      </c>
      <c r="AP28" s="23">
        <v>3</v>
      </c>
      <c r="AQ28" s="23">
        <v>0.17333333333333331</v>
      </c>
      <c r="AR28" s="23">
        <v>0.29333333333333328</v>
      </c>
      <c r="AS28" s="23">
        <v>0.25333333333333341</v>
      </c>
      <c r="AT28" s="23">
        <v>0.28000000000000003</v>
      </c>
      <c r="AU28" s="20">
        <v>1.6</v>
      </c>
      <c r="AV28" s="20">
        <v>3.44</v>
      </c>
      <c r="AW28" s="20">
        <v>1.84</v>
      </c>
      <c r="AX28" s="20">
        <v>2.895</v>
      </c>
      <c r="AY28">
        <v>2.895</v>
      </c>
      <c r="AZ28">
        <v>6.260504073571429</v>
      </c>
      <c r="BA28" s="64">
        <v>0.51995616258071919</v>
      </c>
      <c r="BB28" s="64">
        <v>0.51988140722208986</v>
      </c>
      <c r="BE28">
        <v>4.5583381427355033E-2</v>
      </c>
      <c r="BF28">
        <v>4.5576827794046308E-2</v>
      </c>
      <c r="BH28">
        <v>9.1160209221401334E-2</v>
      </c>
      <c r="BI28">
        <v>4.5580104610700667E-2</v>
      </c>
      <c r="BJ28">
        <v>0.51991878490140453</v>
      </c>
    </row>
    <row r="29" spans="1:62" x14ac:dyDescent="0.3">
      <c r="A29" t="s">
        <v>26</v>
      </c>
      <c r="B29" s="12" t="s">
        <v>879</v>
      </c>
      <c r="C29" s="12"/>
      <c r="F29">
        <v>2.91</v>
      </c>
      <c r="G29" t="s">
        <v>213</v>
      </c>
      <c r="H29" s="25" t="s">
        <v>541</v>
      </c>
      <c r="I29" t="s">
        <v>621</v>
      </c>
      <c r="L29" s="20">
        <v>0</v>
      </c>
      <c r="M29">
        <v>4</v>
      </c>
      <c r="N29">
        <v>0</v>
      </c>
      <c r="T29" s="20">
        <v>0</v>
      </c>
      <c r="U29" s="20"/>
      <c r="V29" s="20"/>
      <c r="W29">
        <v>5.5453000000000001</v>
      </c>
      <c r="X29">
        <v>5.5453000000000001</v>
      </c>
      <c r="Y29">
        <v>25.686699999999998</v>
      </c>
      <c r="Z29">
        <v>0</v>
      </c>
      <c r="AC29" t="s">
        <v>464</v>
      </c>
      <c r="AD29">
        <v>18</v>
      </c>
      <c r="AE29" s="44">
        <f t="shared" si="0"/>
        <v>0</v>
      </c>
      <c r="AF29" s="46">
        <v>0</v>
      </c>
      <c r="AG29" s="44">
        <v>789.87506903020289</v>
      </c>
      <c r="AH29" s="44">
        <v>0</v>
      </c>
      <c r="AI29" s="41"/>
      <c r="AJ29" s="40"/>
      <c r="AK29" s="41">
        <v>9.1153655588092616E-2</v>
      </c>
      <c r="AL29" s="41"/>
      <c r="AM29" s="23">
        <v>1.8642857142857141</v>
      </c>
      <c r="AN29" s="23">
        <v>3.1428571428571428</v>
      </c>
      <c r="AO29" s="23">
        <v>2.7</v>
      </c>
      <c r="AP29" s="23">
        <v>3</v>
      </c>
      <c r="AQ29" s="23">
        <v>0.1741160773849233</v>
      </c>
      <c r="AR29" s="23">
        <v>0.29352901934623082</v>
      </c>
      <c r="AS29" s="23">
        <v>0.25216811207471651</v>
      </c>
      <c r="AT29" s="23">
        <v>0.28018679119412943</v>
      </c>
      <c r="AU29" s="20">
        <v>1.54</v>
      </c>
      <c r="AV29" s="20">
        <v>3.44</v>
      </c>
      <c r="AW29" s="20">
        <v>1.9</v>
      </c>
      <c r="AX29" s="20">
        <v>2.894571428571429</v>
      </c>
      <c r="AY29">
        <v>2.894571428571429</v>
      </c>
      <c r="AZ29">
        <v>6.2577448164285716</v>
      </c>
      <c r="BA29" s="64">
        <v>0.51995616258071919</v>
      </c>
      <c r="BB29" s="64">
        <v>0.51988140722208986</v>
      </c>
      <c r="BF29">
        <v>4.5576827794046308E-2</v>
      </c>
      <c r="BH29">
        <v>9.1153655588092616E-2</v>
      </c>
      <c r="BI29">
        <v>4.5576827794046308E-2</v>
      </c>
      <c r="BJ29">
        <v>0.51991878490140453</v>
      </c>
    </row>
    <row r="30" spans="1:62" x14ac:dyDescent="0.3">
      <c r="A30" t="s">
        <v>8</v>
      </c>
      <c r="B30" s="12" t="s">
        <v>694</v>
      </c>
      <c r="C30" s="12"/>
      <c r="D30" t="s">
        <v>676</v>
      </c>
      <c r="E30" t="s">
        <v>1067</v>
      </c>
      <c r="F30">
        <v>2.73</v>
      </c>
      <c r="G30" t="s">
        <v>213</v>
      </c>
      <c r="H30" s="8" t="s">
        <v>530</v>
      </c>
      <c r="I30" t="s">
        <v>612</v>
      </c>
      <c r="L30" s="20">
        <v>30</v>
      </c>
      <c r="M30">
        <v>4</v>
      </c>
      <c r="N30">
        <v>0</v>
      </c>
      <c r="T30" s="20">
        <v>10.59112378</v>
      </c>
      <c r="U30" s="20">
        <v>10.784736629999999</v>
      </c>
      <c r="V30" s="20">
        <v>10.486176179999999</v>
      </c>
      <c r="W30">
        <v>3.73</v>
      </c>
      <c r="X30">
        <v>3.73</v>
      </c>
      <c r="Y30">
        <v>9.3699999999999992</v>
      </c>
      <c r="Z30">
        <v>0</v>
      </c>
      <c r="AC30" t="s">
        <v>464</v>
      </c>
      <c r="AD30">
        <v>4</v>
      </c>
      <c r="AE30" s="44">
        <f t="shared" si="0"/>
        <v>0</v>
      </c>
      <c r="AF30" s="46">
        <v>1182.741260108548</v>
      </c>
      <c r="AG30" s="44">
        <v>130.36387300000001</v>
      </c>
      <c r="AH30" s="44">
        <v>0</v>
      </c>
      <c r="AI30" s="41"/>
      <c r="AJ30" s="40">
        <v>0.1014592151701775</v>
      </c>
      <c r="AK30" s="41">
        <v>0.1227333894874388</v>
      </c>
      <c r="AL30" s="41"/>
      <c r="AM30" s="23">
        <v>2</v>
      </c>
      <c r="AN30" s="23">
        <v>2.666666666666667</v>
      </c>
      <c r="AO30" s="23">
        <v>0.66666666666666663</v>
      </c>
      <c r="AP30" s="23">
        <v>0</v>
      </c>
      <c r="AQ30" s="23">
        <v>0.375</v>
      </c>
      <c r="AR30" s="23">
        <v>0.5</v>
      </c>
      <c r="AS30" s="23">
        <v>0.125</v>
      </c>
      <c r="AT30" s="23">
        <v>0</v>
      </c>
      <c r="AU30" s="20">
        <v>1.54</v>
      </c>
      <c r="AV30" s="20">
        <v>3.44</v>
      </c>
      <c r="AW30" s="20">
        <v>1.9</v>
      </c>
      <c r="AX30" s="20">
        <v>2.8066666666666671</v>
      </c>
      <c r="AY30">
        <v>2.8066666666666662</v>
      </c>
      <c r="AZ30">
        <v>6.1769976</v>
      </c>
      <c r="BA30" s="64">
        <v>0.46900407026869628</v>
      </c>
      <c r="BB30" s="64">
        <v>0.56734579634715776</v>
      </c>
      <c r="BE30">
        <v>5.072960758508873E-2</v>
      </c>
      <c r="BF30">
        <v>6.136669474371937E-2</v>
      </c>
      <c r="BH30">
        <v>0.1120963023288082</v>
      </c>
      <c r="BI30">
        <v>5.604815116440405E-2</v>
      </c>
      <c r="BJ30">
        <v>0.51817493330792708</v>
      </c>
    </row>
    <row r="31" spans="1:62" x14ac:dyDescent="0.3">
      <c r="A31" t="s">
        <v>10</v>
      </c>
      <c r="B31" s="12" t="s">
        <v>695</v>
      </c>
      <c r="C31" s="12"/>
      <c r="F31">
        <v>3.9</v>
      </c>
      <c r="G31" t="s">
        <v>134</v>
      </c>
      <c r="H31" s="8" t="s">
        <v>531</v>
      </c>
      <c r="I31">
        <v>-1</v>
      </c>
      <c r="L31" s="20">
        <v>1</v>
      </c>
      <c r="M31">
        <v>0</v>
      </c>
      <c r="N31">
        <v>0</v>
      </c>
      <c r="O31">
        <v>3.8849999999999998</v>
      </c>
      <c r="P31">
        <v>3.8849999999999998</v>
      </c>
      <c r="Q31">
        <v>11.12</v>
      </c>
      <c r="R31" t="s">
        <v>439</v>
      </c>
      <c r="T31" s="20">
        <v>3.9103940000000001</v>
      </c>
      <c r="U31" s="20">
        <v>3.9103940000000001</v>
      </c>
      <c r="V31" s="20">
        <v>11.314458</v>
      </c>
      <c r="W31">
        <v>0</v>
      </c>
      <c r="Z31">
        <v>0</v>
      </c>
      <c r="AC31">
        <v>2</v>
      </c>
      <c r="AD31">
        <v>14</v>
      </c>
      <c r="AE31" s="44">
        <f t="shared" si="0"/>
        <v>167.83666199999996</v>
      </c>
      <c r="AF31" s="46">
        <v>173.0114278564659</v>
      </c>
      <c r="AG31" s="44">
        <v>0</v>
      </c>
      <c r="AH31" s="44">
        <v>0</v>
      </c>
      <c r="AI31" s="41"/>
      <c r="AJ31" s="40">
        <v>8.0919510193365449E-2</v>
      </c>
      <c r="AK31" s="41"/>
      <c r="AL31" s="41"/>
      <c r="AM31" s="23">
        <v>1.9090909090909089</v>
      </c>
      <c r="AN31" s="23">
        <v>2.545454545454545</v>
      </c>
      <c r="AO31" s="23">
        <v>0.63636363636363635</v>
      </c>
      <c r="AP31" s="23">
        <v>2.545454545454545</v>
      </c>
      <c r="AQ31" s="23">
        <v>0.25</v>
      </c>
      <c r="AR31" s="23">
        <v>0.33333333333333331</v>
      </c>
      <c r="AS31" s="23">
        <v>8.3333333333333329E-2</v>
      </c>
      <c r="AT31" s="23">
        <v>0.33333333333333331</v>
      </c>
      <c r="AU31" s="20">
        <v>0.82</v>
      </c>
      <c r="AV31" s="20">
        <v>3.44</v>
      </c>
      <c r="AW31" s="20">
        <v>2.62</v>
      </c>
      <c r="AX31" s="20">
        <v>2.6363636363636358</v>
      </c>
      <c r="AY31">
        <v>2.6363636363636371</v>
      </c>
      <c r="AZ31">
        <v>6.0044088459090901</v>
      </c>
      <c r="BA31" s="64">
        <v>0.5117218936152963</v>
      </c>
      <c r="BE31">
        <v>4.0459755096682717E-2</v>
      </c>
      <c r="BH31">
        <v>8.0919510193365449E-2</v>
      </c>
      <c r="BI31">
        <v>4.0459755096682717E-2</v>
      </c>
      <c r="BJ31">
        <v>0.5117218936152963</v>
      </c>
    </row>
    <row r="32" spans="1:62" x14ac:dyDescent="0.3">
      <c r="A32" t="s">
        <v>11</v>
      </c>
      <c r="B32" s="12" t="s">
        <v>696</v>
      </c>
      <c r="C32" s="12"/>
      <c r="F32">
        <v>3.5</v>
      </c>
      <c r="G32" t="s">
        <v>134</v>
      </c>
      <c r="H32" s="8">
        <v>-1</v>
      </c>
      <c r="I32">
        <v>-1</v>
      </c>
      <c r="J32" s="8" t="s">
        <v>1144</v>
      </c>
      <c r="L32" s="20">
        <v>0</v>
      </c>
      <c r="M32">
        <v>0</v>
      </c>
      <c r="N32">
        <v>1</v>
      </c>
      <c r="O32">
        <v>3.8839999999999999</v>
      </c>
      <c r="P32">
        <v>3.8839999999999999</v>
      </c>
      <c r="Q32">
        <v>11.12</v>
      </c>
      <c r="R32" t="s">
        <v>439</v>
      </c>
      <c r="T32" s="20">
        <v>0</v>
      </c>
      <c r="U32" s="20"/>
      <c r="V32" s="20"/>
      <c r="W32">
        <v>0</v>
      </c>
      <c r="Z32">
        <v>3.8653</v>
      </c>
      <c r="AA32">
        <v>3.8653</v>
      </c>
      <c r="AB32">
        <v>11.0131</v>
      </c>
      <c r="AC32">
        <v>2</v>
      </c>
      <c r="AD32">
        <v>14</v>
      </c>
      <c r="AE32" s="44">
        <f t="shared" si="0"/>
        <v>167.75027071999997</v>
      </c>
      <c r="AF32" s="46">
        <v>0</v>
      </c>
      <c r="AG32" s="44">
        <v>0</v>
      </c>
      <c r="AH32" s="44">
        <v>164.541706117579</v>
      </c>
      <c r="AI32" s="41"/>
      <c r="AJ32" s="40"/>
      <c r="AK32" s="41"/>
      <c r="AL32" s="41">
        <v>8.5084811202795069E-2</v>
      </c>
      <c r="AM32" s="23">
        <v>1.9090909090909089</v>
      </c>
      <c r="AN32" s="23">
        <v>2.545454545454545</v>
      </c>
      <c r="AO32" s="23">
        <v>0.54545454545454541</v>
      </c>
      <c r="AP32" s="23">
        <v>2.8181818181818179</v>
      </c>
      <c r="AQ32" s="23">
        <v>0.2441860465116279</v>
      </c>
      <c r="AR32" s="23">
        <v>0.32558139534883718</v>
      </c>
      <c r="AS32" s="23">
        <v>6.9767441860465115E-2</v>
      </c>
      <c r="AT32" s="23">
        <v>0.3604651162790698</v>
      </c>
      <c r="AU32" s="20">
        <v>0.82</v>
      </c>
      <c r="AV32" s="20">
        <v>3.44</v>
      </c>
      <c r="AW32" s="20">
        <v>2.62</v>
      </c>
      <c r="AX32" s="20">
        <v>2.6390909090909092</v>
      </c>
      <c r="AY32">
        <v>2.6390909090909092</v>
      </c>
      <c r="AZ32">
        <v>5.9791810459090904</v>
      </c>
      <c r="BC32" s="64">
        <v>0.53381265134868672</v>
      </c>
      <c r="BG32">
        <v>4.2542405601397527E-2</v>
      </c>
      <c r="BH32">
        <v>8.5084811202795069E-2</v>
      </c>
      <c r="BI32">
        <v>4.2542405601397527E-2</v>
      </c>
      <c r="BJ32">
        <v>0.53381265134868672</v>
      </c>
    </row>
    <row r="33" spans="1:62" x14ac:dyDescent="0.3">
      <c r="A33" t="s">
        <v>12</v>
      </c>
      <c r="B33" s="12" t="s">
        <v>697</v>
      </c>
      <c r="C33" s="12"/>
      <c r="F33">
        <v>3.8</v>
      </c>
      <c r="G33" t="s">
        <v>134</v>
      </c>
      <c r="H33" s="8">
        <v>-1</v>
      </c>
      <c r="I33">
        <v>-1</v>
      </c>
      <c r="J33" s="8" t="s">
        <v>1145</v>
      </c>
      <c r="L33" s="20">
        <v>0</v>
      </c>
      <c r="M33">
        <v>0</v>
      </c>
      <c r="N33">
        <v>1</v>
      </c>
      <c r="O33">
        <v>3.8460000000000001</v>
      </c>
      <c r="P33">
        <v>3.8460000000000001</v>
      </c>
      <c r="Q33">
        <v>11.1</v>
      </c>
      <c r="R33" t="s">
        <v>439</v>
      </c>
      <c r="T33" s="20">
        <v>0</v>
      </c>
      <c r="U33" s="20"/>
      <c r="V33" s="20"/>
      <c r="W33">
        <v>0</v>
      </c>
      <c r="Z33">
        <v>3.8445</v>
      </c>
      <c r="AA33">
        <v>3.8445</v>
      </c>
      <c r="AB33">
        <v>11.03</v>
      </c>
      <c r="AC33">
        <v>2</v>
      </c>
      <c r="AD33">
        <v>14</v>
      </c>
      <c r="AE33" s="44">
        <f t="shared" si="0"/>
        <v>164.1880476</v>
      </c>
      <c r="AF33" s="46">
        <v>0</v>
      </c>
      <c r="AG33" s="44">
        <v>0</v>
      </c>
      <c r="AH33" s="44">
        <v>163.0253881575</v>
      </c>
      <c r="AI33" s="41"/>
      <c r="AJ33" s="40"/>
      <c r="AK33" s="41"/>
      <c r="AL33" s="41">
        <v>8.5876194856683907E-2</v>
      </c>
      <c r="AM33" s="23">
        <v>1.9090909090909089</v>
      </c>
      <c r="AN33" s="23">
        <v>2.545454545454545</v>
      </c>
      <c r="AO33" s="23">
        <v>0.54545454545454541</v>
      </c>
      <c r="AP33" s="23">
        <v>2.9090909090909092</v>
      </c>
      <c r="AQ33" s="23">
        <v>0.2413793103448276</v>
      </c>
      <c r="AR33" s="23">
        <v>0.32183908045977011</v>
      </c>
      <c r="AS33" s="23">
        <v>6.8965517241379309E-2</v>
      </c>
      <c r="AT33" s="23">
        <v>0.36781609195402298</v>
      </c>
      <c r="AU33" s="20">
        <v>0.82</v>
      </c>
      <c r="AV33" s="20">
        <v>3.44</v>
      </c>
      <c r="AW33" s="20">
        <v>2.62</v>
      </c>
      <c r="AX33" s="20">
        <v>2.64</v>
      </c>
      <c r="AY33">
        <v>2.64</v>
      </c>
      <c r="AZ33">
        <v>5.9811382595454541</v>
      </c>
      <c r="BC33" s="64">
        <v>0.53809297903977493</v>
      </c>
      <c r="BG33">
        <v>4.2938097428341947E-2</v>
      </c>
      <c r="BH33">
        <v>8.5876194856683907E-2</v>
      </c>
      <c r="BI33">
        <v>4.2938097428341947E-2</v>
      </c>
      <c r="BJ33">
        <v>0.53809297903977493</v>
      </c>
    </row>
    <row r="34" spans="1:62" x14ac:dyDescent="0.3">
      <c r="A34" t="s">
        <v>13</v>
      </c>
      <c r="B34" s="12" t="s">
        <v>698</v>
      </c>
      <c r="C34" s="12"/>
      <c r="F34">
        <v>3.8</v>
      </c>
      <c r="G34" t="s">
        <v>134</v>
      </c>
      <c r="H34" s="8">
        <v>-1</v>
      </c>
      <c r="I34">
        <v>-1</v>
      </c>
      <c r="J34" t="s">
        <v>1147</v>
      </c>
      <c r="L34" s="20">
        <v>0</v>
      </c>
      <c r="M34">
        <v>0</v>
      </c>
      <c r="N34">
        <v>1</v>
      </c>
      <c r="O34">
        <v>3.8420000000000001</v>
      </c>
      <c r="P34">
        <v>3.8420000000000001</v>
      </c>
      <c r="Q34">
        <v>11.11</v>
      </c>
      <c r="R34" t="s">
        <v>439</v>
      </c>
      <c r="T34" s="20">
        <v>0</v>
      </c>
      <c r="U34" s="20"/>
      <c r="V34" s="20"/>
      <c r="W34">
        <v>0</v>
      </c>
      <c r="Z34">
        <v>3.8252000000000002</v>
      </c>
      <c r="AA34">
        <v>3.8252000000000002</v>
      </c>
      <c r="AB34">
        <v>11.013500000000001</v>
      </c>
      <c r="AC34">
        <v>2</v>
      </c>
      <c r="AD34">
        <v>14</v>
      </c>
      <c r="AE34" s="44">
        <f t="shared" si="0"/>
        <v>163.99431004000002</v>
      </c>
      <c r="AF34" s="46">
        <v>0</v>
      </c>
      <c r="AG34" s="44">
        <v>0</v>
      </c>
      <c r="AH34" s="44">
        <v>161.15123953304001</v>
      </c>
      <c r="AI34" s="41"/>
      <c r="AJ34" s="40"/>
      <c r="AK34" s="41"/>
      <c r="AL34" s="41">
        <v>8.6874913531953646E-2</v>
      </c>
      <c r="AM34" s="23">
        <v>1.9090909090909089</v>
      </c>
      <c r="AN34" s="23">
        <v>2.545454545454545</v>
      </c>
      <c r="AO34" s="23">
        <v>0.54545454545454541</v>
      </c>
      <c r="AP34" s="23">
        <v>3.0909090909090908</v>
      </c>
      <c r="AQ34" s="23">
        <v>0.2359550561797753</v>
      </c>
      <c r="AR34" s="23">
        <v>0.3146067415730337</v>
      </c>
      <c r="AS34" s="23">
        <v>6.7415730337078636E-2</v>
      </c>
      <c r="AT34" s="23">
        <v>0.38202247191011229</v>
      </c>
      <c r="AU34" s="20">
        <v>0.82</v>
      </c>
      <c r="AV34" s="20">
        <v>3.44</v>
      </c>
      <c r="AW34" s="20">
        <v>2.62</v>
      </c>
      <c r="AX34" s="20">
        <v>2.642727272727273</v>
      </c>
      <c r="AY34">
        <v>2.642727272727273</v>
      </c>
      <c r="AZ34">
        <v>5.9894662913636356</v>
      </c>
      <c r="BC34" s="64">
        <v>0.54194665977883461</v>
      </c>
      <c r="BG34">
        <v>4.3437456765976823E-2</v>
      </c>
      <c r="BH34">
        <v>8.6874913531953646E-2</v>
      </c>
      <c r="BI34">
        <v>4.3437456765976823E-2</v>
      </c>
      <c r="BJ34">
        <v>0.54194665977883461</v>
      </c>
    </row>
    <row r="35" spans="1:62" x14ac:dyDescent="0.3">
      <c r="A35" t="s">
        <v>30</v>
      </c>
      <c r="B35" s="12" t="s">
        <v>709</v>
      </c>
      <c r="C35" s="12"/>
      <c r="F35">
        <v>3.36</v>
      </c>
      <c r="G35" t="s">
        <v>29</v>
      </c>
      <c r="H35" s="8">
        <v>-1</v>
      </c>
      <c r="I35" t="s">
        <v>622</v>
      </c>
      <c r="L35" s="20">
        <v>0</v>
      </c>
      <c r="M35">
        <v>4</v>
      </c>
      <c r="N35">
        <v>0</v>
      </c>
      <c r="O35">
        <v>5.4324000000000003</v>
      </c>
      <c r="P35">
        <v>5.4151999999999996</v>
      </c>
      <c r="Q35">
        <v>40.78</v>
      </c>
      <c r="T35" s="20">
        <v>0</v>
      </c>
      <c r="U35" s="20"/>
      <c r="V35" s="20"/>
      <c r="W35">
        <v>5.4234</v>
      </c>
      <c r="X35">
        <v>5.4020999999999999</v>
      </c>
      <c r="Y35">
        <v>40.593499999999999</v>
      </c>
      <c r="Z35">
        <v>0</v>
      </c>
      <c r="AC35" t="s">
        <v>464</v>
      </c>
      <c r="AD35">
        <v>30</v>
      </c>
      <c r="AE35" s="44">
        <f t="shared" si="0"/>
        <v>1199.6469745344</v>
      </c>
      <c r="AF35" s="46">
        <v>0</v>
      </c>
      <c r="AG35" s="44">
        <v>1189.2981797145901</v>
      </c>
      <c r="AH35" s="44">
        <v>0</v>
      </c>
      <c r="AI35" s="41"/>
      <c r="AJ35" s="40"/>
      <c r="AK35" s="41">
        <v>0.1008998433250758</v>
      </c>
      <c r="AL35" s="41"/>
      <c r="AM35" s="23">
        <v>2</v>
      </c>
      <c r="AN35" s="23">
        <v>3</v>
      </c>
      <c r="AO35" s="23">
        <v>2</v>
      </c>
      <c r="AP35" s="23">
        <v>2.333333333333333</v>
      </c>
      <c r="AQ35" s="23">
        <v>0.2142857142857143</v>
      </c>
      <c r="AR35" s="23">
        <v>0.3214285714285714</v>
      </c>
      <c r="AS35" s="23">
        <v>0.2142857142857143</v>
      </c>
      <c r="AT35" s="23">
        <v>0.25</v>
      </c>
      <c r="AU35" s="20">
        <v>1</v>
      </c>
      <c r="AV35" s="20">
        <v>3.44</v>
      </c>
      <c r="AW35" s="20">
        <v>2.44</v>
      </c>
      <c r="AX35" s="20">
        <v>2.7850000000000001</v>
      </c>
      <c r="AY35">
        <v>2.7850000000000001</v>
      </c>
      <c r="AZ35">
        <v>6.1010684060416667</v>
      </c>
      <c r="BF35">
        <v>5.0449921662537908E-2</v>
      </c>
      <c r="BH35">
        <v>0.1008998433250758</v>
      </c>
      <c r="BI35">
        <v>5.0449921662537908E-2</v>
      </c>
      <c r="BJ35">
        <v>0</v>
      </c>
    </row>
    <row r="36" spans="1:62" x14ac:dyDescent="0.3">
      <c r="A36" t="s">
        <v>31</v>
      </c>
      <c r="B36" s="12" t="s">
        <v>710</v>
      </c>
      <c r="C36" s="12"/>
      <c r="F36">
        <v>3.02</v>
      </c>
      <c r="G36" t="s">
        <v>29</v>
      </c>
      <c r="H36" s="8">
        <v>-1</v>
      </c>
      <c r="I36">
        <v>-1</v>
      </c>
      <c r="J36" t="s">
        <v>1148</v>
      </c>
      <c r="L36" s="20">
        <v>0</v>
      </c>
      <c r="M36">
        <v>0</v>
      </c>
      <c r="N36">
        <v>4</v>
      </c>
      <c r="O36" t="s">
        <v>464</v>
      </c>
      <c r="P36" t="s">
        <v>464</v>
      </c>
      <c r="Q36" t="s">
        <v>464</v>
      </c>
      <c r="T36" s="20">
        <v>0</v>
      </c>
      <c r="U36" s="20"/>
      <c r="V36" s="20"/>
      <c r="W36">
        <v>0</v>
      </c>
      <c r="Z36">
        <v>41.36</v>
      </c>
      <c r="AA36">
        <v>5.4370000000000003</v>
      </c>
      <c r="AB36">
        <v>5.55</v>
      </c>
      <c r="AC36" t="s">
        <v>464</v>
      </c>
      <c r="AD36">
        <v>30</v>
      </c>
      <c r="AE36" s="44" t="e">
        <f t="shared" si="0"/>
        <v>#VALUE!</v>
      </c>
      <c r="AF36" s="46">
        <v>0</v>
      </c>
      <c r="AG36" s="44">
        <v>0</v>
      </c>
      <c r="AH36" s="44">
        <v>1248.0524760000001</v>
      </c>
      <c r="AI36" s="41"/>
      <c r="AJ36" s="40"/>
      <c r="AK36" s="41"/>
      <c r="AL36" s="41">
        <v>9.6149803239523393E-2</v>
      </c>
      <c r="AM36" s="23">
        <v>2</v>
      </c>
      <c r="AN36" s="23">
        <v>3.083333333333333</v>
      </c>
      <c r="AO36" s="23">
        <v>2.416666666666667</v>
      </c>
      <c r="AP36" s="23">
        <v>2.916666666666667</v>
      </c>
      <c r="AQ36" s="23">
        <v>0.192</v>
      </c>
      <c r="AR36" s="23">
        <v>0.29599999999999999</v>
      </c>
      <c r="AS36" s="23">
        <v>0.23200000000000001</v>
      </c>
      <c r="AT36" s="23">
        <v>0.28000000000000003</v>
      </c>
      <c r="AU36" s="20">
        <v>1.54</v>
      </c>
      <c r="AV36" s="20">
        <v>3.44</v>
      </c>
      <c r="AW36" s="20">
        <v>1.9</v>
      </c>
      <c r="AX36" s="20">
        <v>2.840416666666667</v>
      </c>
      <c r="AY36">
        <v>2.840416666666667</v>
      </c>
      <c r="AZ36">
        <v>6.1351453775000007</v>
      </c>
      <c r="BG36">
        <v>4.8074901619761697E-2</v>
      </c>
      <c r="BH36">
        <v>9.6149803239523393E-2</v>
      </c>
      <c r="BI36">
        <v>4.8074901619761697E-2</v>
      </c>
      <c r="BJ36">
        <v>0</v>
      </c>
    </row>
    <row r="37" spans="1:62" x14ac:dyDescent="0.3">
      <c r="A37" t="s">
        <v>19</v>
      </c>
      <c r="B37" s="12" t="s">
        <v>705</v>
      </c>
      <c r="C37" s="12"/>
      <c r="F37">
        <v>3.18</v>
      </c>
      <c r="G37" t="s">
        <v>29</v>
      </c>
      <c r="H37" s="8" t="s">
        <v>538</v>
      </c>
      <c r="I37">
        <v>-1</v>
      </c>
      <c r="L37" s="20">
        <v>1</v>
      </c>
      <c r="M37">
        <v>0</v>
      </c>
      <c r="N37">
        <v>0</v>
      </c>
      <c r="O37" t="s">
        <v>464</v>
      </c>
      <c r="P37" t="s">
        <v>464</v>
      </c>
      <c r="Q37" t="s">
        <v>464</v>
      </c>
      <c r="T37" s="20">
        <v>13.83861243</v>
      </c>
      <c r="U37" s="20">
        <v>13.83861243</v>
      </c>
      <c r="V37" s="20">
        <v>13.83861243</v>
      </c>
      <c r="W37">
        <v>0</v>
      </c>
      <c r="Z37">
        <v>0</v>
      </c>
      <c r="AC37">
        <v>2</v>
      </c>
      <c r="AD37">
        <v>18</v>
      </c>
      <c r="AE37" s="44" t="e">
        <f t="shared" si="0"/>
        <v>#VALUE!</v>
      </c>
      <c r="AF37" s="46">
        <v>208.2630581553295</v>
      </c>
      <c r="AG37" s="44">
        <v>0</v>
      </c>
      <c r="AH37" s="44">
        <v>0</v>
      </c>
      <c r="AI37" s="41"/>
      <c r="AJ37" s="40">
        <v>8.6429154356194082E-2</v>
      </c>
      <c r="AK37" s="41"/>
      <c r="AL37" s="41"/>
      <c r="AM37" s="23">
        <v>1.857142857142857</v>
      </c>
      <c r="AN37" s="23">
        <v>3</v>
      </c>
      <c r="AO37" s="23">
        <v>2</v>
      </c>
      <c r="AP37" s="23">
        <v>2</v>
      </c>
      <c r="AQ37" s="23">
        <v>0.20967741935483869</v>
      </c>
      <c r="AR37" s="23">
        <v>0.33870967741935482</v>
      </c>
      <c r="AS37" s="23">
        <v>0.22580645161290319</v>
      </c>
      <c r="AT37" s="23">
        <v>0.22580645161290319</v>
      </c>
      <c r="AU37" s="20">
        <v>1</v>
      </c>
      <c r="AV37" s="20">
        <v>3.44</v>
      </c>
      <c r="AW37" s="20">
        <v>2.44</v>
      </c>
      <c r="AX37" s="20">
        <v>2.8</v>
      </c>
      <c r="AY37">
        <v>2.8</v>
      </c>
      <c r="AZ37">
        <v>6.2020864082142868</v>
      </c>
      <c r="BA37" s="64">
        <v>0.47541563854575991</v>
      </c>
      <c r="BE37">
        <v>4.3214577178097048E-2</v>
      </c>
      <c r="BH37">
        <v>8.6429154356194082E-2</v>
      </c>
      <c r="BI37">
        <v>4.3214577178097048E-2</v>
      </c>
      <c r="BJ37">
        <v>0.47541563854575991</v>
      </c>
    </row>
    <row r="38" spans="1:62" x14ac:dyDescent="0.3">
      <c r="A38" t="s">
        <v>25</v>
      </c>
      <c r="B38" s="12" t="s">
        <v>708</v>
      </c>
      <c r="C38" s="12"/>
      <c r="F38">
        <v>2.88</v>
      </c>
      <c r="G38" t="s">
        <v>29</v>
      </c>
      <c r="H38" s="8" t="s">
        <v>541</v>
      </c>
      <c r="I38" t="s">
        <v>621</v>
      </c>
      <c r="L38" s="20">
        <v>1</v>
      </c>
      <c r="M38">
        <v>4</v>
      </c>
      <c r="N38">
        <v>0</v>
      </c>
      <c r="O38" t="s">
        <v>464</v>
      </c>
      <c r="P38" t="s">
        <v>464</v>
      </c>
      <c r="Q38" t="s">
        <v>464</v>
      </c>
      <c r="T38" s="20">
        <v>12.868820120000001</v>
      </c>
      <c r="U38" s="20">
        <v>12.868820120000001</v>
      </c>
      <c r="V38" s="20">
        <v>12.868820120000001</v>
      </c>
      <c r="W38">
        <v>5.5453000000000001</v>
      </c>
      <c r="X38">
        <v>5.5453000000000001</v>
      </c>
      <c r="Y38">
        <v>25.686699999999998</v>
      </c>
      <c r="Z38">
        <v>0</v>
      </c>
      <c r="AC38">
        <v>2</v>
      </c>
      <c r="AD38">
        <v>18</v>
      </c>
      <c r="AE38" s="44" t="e">
        <f t="shared" si="0"/>
        <v>#VALUE!</v>
      </c>
      <c r="AF38" s="46">
        <v>197.4403766939285</v>
      </c>
      <c r="AG38" s="44">
        <v>789.87506903020289</v>
      </c>
      <c r="AH38" s="44">
        <v>0</v>
      </c>
      <c r="AI38" s="41"/>
      <c r="AJ38" s="40">
        <v>9.1166762854710051E-2</v>
      </c>
      <c r="AK38" s="41">
        <v>9.1153655588092616E-2</v>
      </c>
      <c r="AL38" s="41"/>
      <c r="AM38" s="23">
        <v>1.857142857142857</v>
      </c>
      <c r="AN38" s="23">
        <v>3.1428571428571428</v>
      </c>
      <c r="AO38" s="23">
        <v>2.714285714285714</v>
      </c>
      <c r="AP38" s="23">
        <v>3</v>
      </c>
      <c r="AQ38" s="23">
        <v>0.17333333333333331</v>
      </c>
      <c r="AR38" s="23">
        <v>0.29333333333333328</v>
      </c>
      <c r="AS38" s="23">
        <v>0.25333333333333341</v>
      </c>
      <c r="AT38" s="23">
        <v>0.28000000000000003</v>
      </c>
      <c r="AU38" s="20">
        <v>1.6</v>
      </c>
      <c r="AV38" s="20">
        <v>3.44</v>
      </c>
      <c r="AW38" s="20">
        <v>1.84</v>
      </c>
      <c r="AX38" s="20">
        <v>2.895</v>
      </c>
      <c r="AY38">
        <v>2.895</v>
      </c>
      <c r="AZ38">
        <v>6.260504073571429</v>
      </c>
      <c r="BA38" s="64">
        <v>0.51995616258071919</v>
      </c>
      <c r="BB38" s="64">
        <v>0.51988140722208986</v>
      </c>
      <c r="BE38">
        <v>4.5583381427355033E-2</v>
      </c>
      <c r="BF38">
        <v>4.5576827794046308E-2</v>
      </c>
      <c r="BH38">
        <v>9.1160209221401334E-2</v>
      </c>
      <c r="BI38">
        <v>4.5580104610700667E-2</v>
      </c>
      <c r="BJ38">
        <v>0.51991878490140453</v>
      </c>
    </row>
    <row r="39" spans="1:62" x14ac:dyDescent="0.3">
      <c r="A39" t="s">
        <v>32</v>
      </c>
      <c r="B39" s="12" t="s">
        <v>881</v>
      </c>
      <c r="C39" s="12"/>
      <c r="F39">
        <v>3.44</v>
      </c>
      <c r="G39" t="s">
        <v>29</v>
      </c>
      <c r="H39" s="8">
        <v>-1</v>
      </c>
      <c r="I39">
        <v>-1</v>
      </c>
      <c r="J39" t="s">
        <v>1149</v>
      </c>
      <c r="L39" s="20">
        <v>0</v>
      </c>
      <c r="M39">
        <v>0</v>
      </c>
      <c r="N39">
        <v>2</v>
      </c>
      <c r="O39">
        <v>3.9</v>
      </c>
      <c r="P39">
        <v>3.9</v>
      </c>
      <c r="Q39">
        <v>29.65</v>
      </c>
      <c r="R39" t="s">
        <v>472</v>
      </c>
      <c r="T39" s="20">
        <v>0</v>
      </c>
      <c r="U39" s="20"/>
      <c r="V39" s="20"/>
      <c r="W39">
        <v>0</v>
      </c>
      <c r="AC39" t="s">
        <v>464</v>
      </c>
      <c r="AD39">
        <v>20</v>
      </c>
      <c r="AE39" s="44">
        <f t="shared" si="0"/>
        <v>450.97649999999993</v>
      </c>
      <c r="AF39" s="46">
        <v>0</v>
      </c>
      <c r="AG39" s="44">
        <v>0</v>
      </c>
      <c r="AH39" s="44">
        <v>451.2</v>
      </c>
      <c r="AI39" s="41"/>
      <c r="AJ39" s="40"/>
      <c r="AK39" s="41"/>
      <c r="AL39" s="56">
        <f>N39*AD39/AH39</f>
        <v>8.8652482269503549E-2</v>
      </c>
      <c r="AM39" s="23">
        <v>1.774193548387097</v>
      </c>
      <c r="AN39" s="23">
        <v>2.580645161290323</v>
      </c>
      <c r="AO39" s="23">
        <v>0.80645161290322576</v>
      </c>
      <c r="AP39" s="23">
        <v>0</v>
      </c>
      <c r="AQ39" s="23">
        <v>0.34375</v>
      </c>
      <c r="AR39" s="23">
        <v>0.5</v>
      </c>
      <c r="AS39" s="23">
        <v>0.15625</v>
      </c>
      <c r="AT39" s="23">
        <v>0</v>
      </c>
      <c r="AU39" s="20">
        <v>0.82</v>
      </c>
      <c r="AV39" s="20">
        <v>3.44</v>
      </c>
      <c r="AW39" s="20">
        <v>2.62</v>
      </c>
      <c r="AX39" s="20">
        <v>2.6877419354838712</v>
      </c>
      <c r="AY39">
        <v>2.6877419354838712</v>
      </c>
      <c r="AZ39">
        <v>6.0811360720967738</v>
      </c>
      <c r="BC39" s="64">
        <v>0</v>
      </c>
      <c r="BG39">
        <v>4.4326241134751768E-2</v>
      </c>
      <c r="BH39">
        <v>8.8652482269503549E-2</v>
      </c>
      <c r="BI39">
        <v>4.4326241134751768E-2</v>
      </c>
      <c r="BJ39">
        <v>0</v>
      </c>
    </row>
    <row r="40" spans="1:62" x14ac:dyDescent="0.3">
      <c r="A40" s="4" t="s">
        <v>974</v>
      </c>
      <c r="B40" s="33" t="s">
        <v>975</v>
      </c>
      <c r="C40" s="29"/>
      <c r="D40" s="4"/>
      <c r="E40" s="4"/>
      <c r="F40" s="4">
        <v>3.09</v>
      </c>
      <c r="G40" s="4" t="s">
        <v>29</v>
      </c>
      <c r="H40" s="30">
        <v>-2</v>
      </c>
      <c r="I40" s="4">
        <v>-1</v>
      </c>
      <c r="J40" s="4"/>
      <c r="K40" s="4"/>
      <c r="L40" s="31">
        <v>0</v>
      </c>
      <c r="M40">
        <v>0</v>
      </c>
      <c r="N40">
        <v>0</v>
      </c>
      <c r="O40" s="4" t="s">
        <v>464</v>
      </c>
      <c r="P40" s="4" t="s">
        <v>464</v>
      </c>
      <c r="Q40" s="4" t="s">
        <v>464</v>
      </c>
      <c r="R40" s="4"/>
      <c r="S40" s="4"/>
      <c r="T40" s="31">
        <v>0</v>
      </c>
      <c r="U40" s="31"/>
      <c r="V40" s="31"/>
      <c r="W40">
        <v>0</v>
      </c>
      <c r="Z40">
        <v>0</v>
      </c>
      <c r="AC40" s="4" t="s">
        <v>464</v>
      </c>
      <c r="AD40" s="4">
        <v>20</v>
      </c>
      <c r="AE40" s="44" t="e">
        <f t="shared" si="0"/>
        <v>#VALUE!</v>
      </c>
      <c r="AF40" s="46">
        <v>0</v>
      </c>
      <c r="AG40" s="44">
        <v>0</v>
      </c>
      <c r="AH40" s="44">
        <v>0</v>
      </c>
      <c r="AI40" s="41"/>
      <c r="AJ40" s="40"/>
      <c r="AK40" s="41"/>
      <c r="AL40" s="41"/>
      <c r="AM40" s="4">
        <v>1.774193548387097</v>
      </c>
      <c r="AN40" s="4">
        <v>2.67741935483871</v>
      </c>
      <c r="AO40" s="4">
        <v>1.290322580645161</v>
      </c>
      <c r="AP40" s="4">
        <v>0.67741935483870963</v>
      </c>
      <c r="AQ40" s="4">
        <v>0.27638190954773872</v>
      </c>
      <c r="AR40" s="4">
        <v>0.41708542713567842</v>
      </c>
      <c r="AS40" s="4">
        <v>0.20100502512562821</v>
      </c>
      <c r="AT40" s="4">
        <v>0.1055276381909548</v>
      </c>
      <c r="AU40" s="31">
        <v>0.82</v>
      </c>
      <c r="AV40" s="31">
        <v>3.44</v>
      </c>
      <c r="AW40" s="31">
        <v>2.62</v>
      </c>
      <c r="AX40" s="31">
        <v>2.7520967741935478</v>
      </c>
      <c r="AY40" s="4">
        <v>2.7520967741935478</v>
      </c>
      <c r="AZ40" s="4">
        <v>6.1207093292741934</v>
      </c>
      <c r="BH40">
        <v>0</v>
      </c>
      <c r="BI40">
        <v>0</v>
      </c>
      <c r="BJ40">
        <v>0</v>
      </c>
    </row>
    <row r="41" spans="1:62" x14ac:dyDescent="0.3">
      <c r="A41" s="4" t="s">
        <v>33</v>
      </c>
      <c r="B41" s="29" t="s">
        <v>882</v>
      </c>
      <c r="C41" s="29"/>
      <c r="D41" s="4"/>
      <c r="E41" s="4"/>
      <c r="F41" s="4">
        <v>3.06</v>
      </c>
      <c r="G41" s="4" t="s">
        <v>29</v>
      </c>
      <c r="H41" s="30">
        <v>-2</v>
      </c>
      <c r="I41" s="4">
        <v>-1</v>
      </c>
      <c r="J41" s="4"/>
      <c r="K41" s="4"/>
      <c r="L41" s="31">
        <v>0</v>
      </c>
      <c r="M41">
        <v>0</v>
      </c>
      <c r="N41">
        <v>0</v>
      </c>
      <c r="O41" s="4" t="s">
        <v>464</v>
      </c>
      <c r="P41" s="4" t="s">
        <v>464</v>
      </c>
      <c r="Q41" s="4" t="s">
        <v>464</v>
      </c>
      <c r="R41" s="4"/>
      <c r="S41" s="4"/>
      <c r="T41" s="31">
        <v>0</v>
      </c>
      <c r="U41" s="31"/>
      <c r="V41" s="31"/>
      <c r="W41">
        <v>0</v>
      </c>
      <c r="Z41">
        <v>0</v>
      </c>
      <c r="AC41" s="4" t="s">
        <v>464</v>
      </c>
      <c r="AD41" s="4">
        <v>20</v>
      </c>
      <c r="AE41" s="44" t="e">
        <f t="shared" si="0"/>
        <v>#VALUE!</v>
      </c>
      <c r="AF41" s="46">
        <v>0</v>
      </c>
      <c r="AG41" s="44">
        <v>0</v>
      </c>
      <c r="AH41" s="44">
        <v>0</v>
      </c>
      <c r="AI41" s="41"/>
      <c r="AJ41" s="40"/>
      <c r="AK41" s="41"/>
      <c r="AL41" s="41"/>
      <c r="AM41" s="4">
        <v>1.774193548387097</v>
      </c>
      <c r="AN41" s="4">
        <v>2.725806451612903</v>
      </c>
      <c r="AO41" s="4">
        <v>1.435483870967742</v>
      </c>
      <c r="AP41" s="4">
        <v>0.90322580645161288</v>
      </c>
      <c r="AQ41" s="4">
        <v>0.25943396226415089</v>
      </c>
      <c r="AR41" s="4">
        <v>0.3985849056603773</v>
      </c>
      <c r="AS41" s="4">
        <v>0.2099056603773585</v>
      </c>
      <c r="AT41" s="4">
        <v>0.13207547169811321</v>
      </c>
      <c r="AU41" s="31">
        <v>0.82</v>
      </c>
      <c r="AV41" s="31">
        <v>3.44</v>
      </c>
      <c r="AW41" s="31">
        <v>2.62</v>
      </c>
      <c r="AX41" s="31">
        <v>2.7669354838709679</v>
      </c>
      <c r="AY41" s="4">
        <v>2.7669354838709679</v>
      </c>
      <c r="AZ41" s="4">
        <v>6.1375918448387097</v>
      </c>
      <c r="BH41">
        <v>0</v>
      </c>
      <c r="BI41">
        <v>0</v>
      </c>
      <c r="BJ41">
        <v>0</v>
      </c>
    </row>
    <row r="42" spans="1:62" x14ac:dyDescent="0.3">
      <c r="A42" t="s">
        <v>34</v>
      </c>
      <c r="B42" s="12" t="s">
        <v>711</v>
      </c>
      <c r="C42" s="12"/>
      <c r="F42">
        <v>3.31</v>
      </c>
      <c r="G42" t="s">
        <v>29</v>
      </c>
      <c r="H42" s="8" t="s">
        <v>542</v>
      </c>
      <c r="I42" t="s">
        <v>623</v>
      </c>
      <c r="L42" s="20">
        <v>1</v>
      </c>
      <c r="M42">
        <v>2</v>
      </c>
      <c r="N42">
        <v>0</v>
      </c>
      <c r="O42">
        <v>3.9</v>
      </c>
      <c r="P42">
        <v>3.9</v>
      </c>
      <c r="Q42">
        <v>29.65</v>
      </c>
      <c r="R42" t="s">
        <v>440</v>
      </c>
      <c r="T42" s="20">
        <v>3.9086759899999999</v>
      </c>
      <c r="U42" s="20">
        <v>3.908676100000001</v>
      </c>
      <c r="V42" s="20">
        <v>10.552604730000001</v>
      </c>
      <c r="W42">
        <v>3.899</v>
      </c>
      <c r="X42">
        <v>3.899</v>
      </c>
      <c r="Y42">
        <v>20.399989999999999</v>
      </c>
      <c r="Z42">
        <v>0</v>
      </c>
      <c r="AC42" t="s">
        <v>464</v>
      </c>
      <c r="AD42">
        <v>14</v>
      </c>
      <c r="AE42" s="44">
        <f t="shared" si="0"/>
        <v>450.97649999999993</v>
      </c>
      <c r="AF42" s="46">
        <v>155.59136328639269</v>
      </c>
      <c r="AG42" s="44">
        <v>310.12474837798999</v>
      </c>
      <c r="AH42" s="44">
        <v>0</v>
      </c>
      <c r="AI42" s="41"/>
      <c r="AJ42" s="40">
        <v>8.9979287437893268E-2</v>
      </c>
      <c r="AK42" s="41">
        <v>9.0286248183820222E-2</v>
      </c>
      <c r="AL42" s="41"/>
      <c r="AM42" s="23">
        <v>2</v>
      </c>
      <c r="AN42" s="23">
        <v>2.333333333333333</v>
      </c>
      <c r="AO42" s="23">
        <v>0.33333333333333331</v>
      </c>
      <c r="AP42" s="23">
        <v>0</v>
      </c>
      <c r="AQ42" s="23">
        <v>0.42857142857142849</v>
      </c>
      <c r="AR42" s="23">
        <v>0.5</v>
      </c>
      <c r="AS42" s="23">
        <v>7.1428571428571425E-2</v>
      </c>
      <c r="AT42" s="23">
        <v>0</v>
      </c>
      <c r="AU42" s="20">
        <v>0.95</v>
      </c>
      <c r="AV42" s="20">
        <v>3.44</v>
      </c>
      <c r="AW42" s="20">
        <v>2.4900000000000002</v>
      </c>
      <c r="AX42" s="20">
        <v>2.500833333333333</v>
      </c>
      <c r="AY42">
        <v>2.500833333333333</v>
      </c>
      <c r="AZ42">
        <v>5.6917605187500007</v>
      </c>
      <c r="BA42" s="64">
        <v>0.58499657192886345</v>
      </c>
      <c r="BB42" s="64">
        <v>0.58699226437317098</v>
      </c>
      <c r="BE42">
        <v>4.4989643718946627E-2</v>
      </c>
      <c r="BF42">
        <v>4.5143124091910111E-2</v>
      </c>
      <c r="BH42">
        <v>9.0132767810856745E-2</v>
      </c>
      <c r="BI42">
        <v>4.5066383905428373E-2</v>
      </c>
      <c r="BJ42">
        <v>0.58599441815101727</v>
      </c>
    </row>
    <row r="43" spans="1:62" x14ac:dyDescent="0.3">
      <c r="A43" t="s">
        <v>35</v>
      </c>
      <c r="B43" s="12" t="s">
        <v>712</v>
      </c>
      <c r="C43" s="12"/>
      <c r="F43">
        <v>2.98</v>
      </c>
      <c r="G43" t="s">
        <v>29</v>
      </c>
      <c r="H43" s="8" t="s">
        <v>543</v>
      </c>
      <c r="I43" t="s">
        <v>624</v>
      </c>
      <c r="L43" s="20">
        <v>1</v>
      </c>
      <c r="M43">
        <v>1</v>
      </c>
      <c r="N43">
        <v>0</v>
      </c>
      <c r="O43" t="s">
        <v>464</v>
      </c>
      <c r="P43" t="s">
        <v>464</v>
      </c>
      <c r="Q43" t="s">
        <v>464</v>
      </c>
      <c r="R43" t="s">
        <v>440</v>
      </c>
      <c r="T43" s="20">
        <v>3.969049</v>
      </c>
      <c r="U43" s="20">
        <v>3.969049</v>
      </c>
      <c r="V43" s="20">
        <v>3.969049</v>
      </c>
      <c r="W43">
        <v>4</v>
      </c>
      <c r="X43">
        <v>4.2110000000000003</v>
      </c>
      <c r="Y43">
        <v>3.875</v>
      </c>
      <c r="Z43">
        <v>0</v>
      </c>
      <c r="AC43" t="s">
        <v>464</v>
      </c>
      <c r="AD43">
        <v>6</v>
      </c>
      <c r="AE43" s="44" t="e">
        <f t="shared" si="0"/>
        <v>#VALUE!</v>
      </c>
      <c r="AF43" s="46">
        <v>62.525817922855822</v>
      </c>
      <c r="AG43" s="44">
        <v>65.270499999999998</v>
      </c>
      <c r="AH43" s="44">
        <v>0</v>
      </c>
      <c r="AI43" s="41"/>
      <c r="AJ43" s="40">
        <v>9.5960360045234158E-2</v>
      </c>
      <c r="AK43" s="41">
        <v>9.1925142292459849E-2</v>
      </c>
      <c r="AL43" s="41"/>
      <c r="AM43" s="23">
        <v>2</v>
      </c>
      <c r="AN43" s="23">
        <v>2.8</v>
      </c>
      <c r="AO43" s="23">
        <v>2.4</v>
      </c>
      <c r="AP43" s="23">
        <v>2.8</v>
      </c>
      <c r="AQ43" s="23">
        <v>0.2</v>
      </c>
      <c r="AR43" s="23">
        <v>0.28000000000000003</v>
      </c>
      <c r="AS43" s="23">
        <v>0.24</v>
      </c>
      <c r="AT43" s="23">
        <v>0.28000000000000003</v>
      </c>
      <c r="AU43" s="20">
        <v>1.54</v>
      </c>
      <c r="AV43" s="20">
        <v>3.44</v>
      </c>
      <c r="AW43" s="20">
        <v>1.9</v>
      </c>
      <c r="AX43" s="20">
        <v>2.8380000000000001</v>
      </c>
      <c r="AY43">
        <v>2.8380000000000001</v>
      </c>
      <c r="AZ43">
        <v>5.9914547000000002</v>
      </c>
      <c r="BA43" s="64">
        <v>0.58734468850194366</v>
      </c>
      <c r="BB43" s="64">
        <v>0.56264632646033053</v>
      </c>
      <c r="BE43">
        <v>4.7980180022617079E-2</v>
      </c>
      <c r="BF43">
        <v>4.5962571146229918E-2</v>
      </c>
      <c r="BH43">
        <v>9.3942751168847011E-2</v>
      </c>
      <c r="BI43">
        <v>4.6971375584423498E-2</v>
      </c>
      <c r="BJ43">
        <v>0.57499550748113704</v>
      </c>
    </row>
    <row r="44" spans="1:62" x14ac:dyDescent="0.3">
      <c r="A44" t="s">
        <v>37</v>
      </c>
      <c r="B44" s="12" t="s">
        <v>713</v>
      </c>
      <c r="C44" s="12"/>
      <c r="F44">
        <v>4.04</v>
      </c>
      <c r="G44" t="s">
        <v>36</v>
      </c>
      <c r="H44" s="8" t="s">
        <v>544</v>
      </c>
      <c r="I44" t="s">
        <v>625</v>
      </c>
      <c r="L44" s="20">
        <v>1</v>
      </c>
      <c r="M44">
        <v>2</v>
      </c>
      <c r="N44">
        <v>0</v>
      </c>
      <c r="T44" s="20">
        <v>5.7458564399999998</v>
      </c>
      <c r="U44" s="20">
        <v>5.7458564399999998</v>
      </c>
      <c r="V44" s="20">
        <v>11.67169612</v>
      </c>
      <c r="W44">
        <v>5.6660000000000004</v>
      </c>
      <c r="X44">
        <v>5.6659999999999986</v>
      </c>
      <c r="Y44">
        <v>22.968</v>
      </c>
      <c r="Z44">
        <v>0</v>
      </c>
      <c r="AC44" t="s">
        <v>464</v>
      </c>
      <c r="AD44">
        <v>30</v>
      </c>
      <c r="AE44" s="44">
        <f t="shared" si="0"/>
        <v>0</v>
      </c>
      <c r="AF44" s="46">
        <v>333.30247418302179</v>
      </c>
      <c r="AG44" s="44">
        <v>638.56770625824583</v>
      </c>
      <c r="AH44" s="44">
        <v>0</v>
      </c>
      <c r="AI44" s="41"/>
      <c r="AJ44" s="40">
        <v>9.0008332742008132E-2</v>
      </c>
      <c r="AK44" s="41">
        <v>9.3960279249911127E-2</v>
      </c>
      <c r="AL44" s="41"/>
      <c r="AM44" s="23">
        <v>1.833333333333333</v>
      </c>
      <c r="AN44" s="23">
        <v>2.5</v>
      </c>
      <c r="AO44" s="23">
        <v>0.66666666666666663</v>
      </c>
      <c r="AP44" s="23">
        <v>0</v>
      </c>
      <c r="AQ44" s="23">
        <v>0.36666666666666659</v>
      </c>
      <c r="AR44" s="23">
        <v>0.5</v>
      </c>
      <c r="AS44" s="23">
        <v>0.1333333333333333</v>
      </c>
      <c r="AT44" s="23">
        <v>0</v>
      </c>
      <c r="AU44" s="20">
        <v>0.95</v>
      </c>
      <c r="AV44" s="20">
        <v>3.44</v>
      </c>
      <c r="AW44" s="20">
        <v>2.4900000000000002</v>
      </c>
      <c r="AX44" s="20">
        <v>2.614583333333333</v>
      </c>
      <c r="AY44">
        <v>2.614583333333333</v>
      </c>
      <c r="AZ44">
        <v>5.9505645781250003</v>
      </c>
      <c r="BA44" s="64">
        <v>0.54547732833861384</v>
      </c>
      <c r="BB44" s="64">
        <v>0.56942730227099381</v>
      </c>
      <c r="BE44">
        <v>4.5004166371004073E-2</v>
      </c>
      <c r="BF44">
        <v>4.6980139624955557E-2</v>
      </c>
      <c r="BH44">
        <v>9.1984305995959637E-2</v>
      </c>
      <c r="BI44">
        <v>4.5992152997979818E-2</v>
      </c>
      <c r="BJ44">
        <v>0.55745231530480388</v>
      </c>
    </row>
    <row r="45" spans="1:62" x14ac:dyDescent="0.3">
      <c r="A45" t="s">
        <v>38</v>
      </c>
      <c r="B45" s="12" t="s">
        <v>714</v>
      </c>
      <c r="C45" s="12"/>
      <c r="F45">
        <v>3.91</v>
      </c>
      <c r="G45" t="s">
        <v>36</v>
      </c>
      <c r="H45" s="8" t="s">
        <v>545</v>
      </c>
      <c r="I45" t="s">
        <v>626</v>
      </c>
      <c r="L45" s="20">
        <v>1</v>
      </c>
      <c r="M45">
        <v>1</v>
      </c>
      <c r="N45">
        <v>0</v>
      </c>
      <c r="T45" s="20">
        <v>5.8532381300000003</v>
      </c>
      <c r="U45" s="20">
        <v>5.8532371599999999</v>
      </c>
      <c r="V45" s="20">
        <v>11.912811489999999</v>
      </c>
      <c r="W45">
        <v>5.7946</v>
      </c>
      <c r="X45">
        <v>5.7946</v>
      </c>
      <c r="Y45">
        <v>11.787599999999999</v>
      </c>
      <c r="Z45">
        <v>0</v>
      </c>
      <c r="AC45" t="s">
        <v>464</v>
      </c>
      <c r="AD45">
        <v>30</v>
      </c>
      <c r="AE45" s="44">
        <f t="shared" si="0"/>
        <v>0</v>
      </c>
      <c r="AF45" s="46">
        <v>353.45760058531442</v>
      </c>
      <c r="AG45" s="44">
        <v>342.77011164986573</v>
      </c>
      <c r="AH45" s="44">
        <v>0</v>
      </c>
      <c r="AI45" s="41"/>
      <c r="AJ45" s="40">
        <v>8.487580957467307E-2</v>
      </c>
      <c r="AK45" s="41">
        <v>8.752221672887435E-2</v>
      </c>
      <c r="AL45" s="41"/>
      <c r="AM45" s="23">
        <v>1.833333333333333</v>
      </c>
      <c r="AN45" s="23">
        <v>2.5</v>
      </c>
      <c r="AO45" s="23">
        <v>0.66666666666666663</v>
      </c>
      <c r="AP45" s="23">
        <v>0</v>
      </c>
      <c r="AQ45" s="23">
        <v>0.36666666666666659</v>
      </c>
      <c r="AR45" s="23">
        <v>0.5</v>
      </c>
      <c r="AS45" s="23">
        <v>0.1333333333333333</v>
      </c>
      <c r="AT45" s="23">
        <v>0</v>
      </c>
      <c r="AU45" s="20">
        <v>0.89</v>
      </c>
      <c r="AV45" s="20">
        <v>3.44</v>
      </c>
      <c r="AW45" s="20">
        <v>2.5499999999999998</v>
      </c>
      <c r="AX45" s="20">
        <v>2.6020833333333329</v>
      </c>
      <c r="AY45">
        <v>2.6020833333333329</v>
      </c>
      <c r="AZ45">
        <v>5.9098726145833336</v>
      </c>
      <c r="BA45" s="64">
        <v>0.57410011132036598</v>
      </c>
      <c r="BB45" s="64">
        <v>0.59200041353179045</v>
      </c>
      <c r="BE45">
        <v>4.2437904787336528E-2</v>
      </c>
      <c r="BF45">
        <v>4.3761108364437168E-2</v>
      </c>
      <c r="BH45">
        <v>8.619901315177371E-2</v>
      </c>
      <c r="BI45">
        <v>4.3099506575886848E-2</v>
      </c>
      <c r="BJ45">
        <v>0.58305026242607827</v>
      </c>
    </row>
    <row r="46" spans="1:62" x14ac:dyDescent="0.3">
      <c r="A46" t="s">
        <v>39</v>
      </c>
      <c r="B46" s="12" t="s">
        <v>715</v>
      </c>
      <c r="C46" s="12"/>
      <c r="F46">
        <v>3.79</v>
      </c>
      <c r="G46" t="s">
        <v>36</v>
      </c>
      <c r="H46" s="8">
        <v>-1</v>
      </c>
      <c r="I46">
        <v>-1</v>
      </c>
      <c r="J46" t="s">
        <v>1150</v>
      </c>
      <c r="L46" s="20">
        <v>0</v>
      </c>
      <c r="M46">
        <v>0</v>
      </c>
      <c r="N46">
        <v>1</v>
      </c>
      <c r="T46" s="20">
        <v>0</v>
      </c>
      <c r="U46" s="20"/>
      <c r="V46" s="20"/>
      <c r="W46">
        <v>0</v>
      </c>
      <c r="Z46">
        <v>5.532</v>
      </c>
      <c r="AA46">
        <v>5.532</v>
      </c>
      <c r="AB46">
        <v>11.016</v>
      </c>
      <c r="AC46" t="s">
        <v>464</v>
      </c>
      <c r="AD46">
        <v>30</v>
      </c>
      <c r="AE46" s="44">
        <f t="shared" si="0"/>
        <v>0</v>
      </c>
      <c r="AF46" s="46">
        <v>0</v>
      </c>
      <c r="AG46" s="44">
        <v>0</v>
      </c>
      <c r="AH46" s="44">
        <v>291.95700632233962</v>
      </c>
      <c r="AI46" s="41"/>
      <c r="AJ46" s="40"/>
      <c r="AK46" s="41"/>
      <c r="AL46" s="41">
        <v>0.1027548555107393</v>
      </c>
      <c r="AM46" s="23">
        <v>2</v>
      </c>
      <c r="AN46" s="23">
        <v>2.5</v>
      </c>
      <c r="AO46" s="23">
        <v>0.5</v>
      </c>
      <c r="AP46" s="23">
        <v>0</v>
      </c>
      <c r="AQ46" s="23">
        <v>0.4</v>
      </c>
      <c r="AR46" s="23">
        <v>0.5</v>
      </c>
      <c r="AS46" s="23">
        <v>0.1</v>
      </c>
      <c r="AT46" s="23">
        <v>0</v>
      </c>
      <c r="AU46" s="20">
        <v>1</v>
      </c>
      <c r="AV46" s="20">
        <v>3.44</v>
      </c>
      <c r="AW46" s="20">
        <v>2.44</v>
      </c>
      <c r="AX46" s="20">
        <v>2.6316666666666659</v>
      </c>
      <c r="AY46">
        <v>2.6316666666666668</v>
      </c>
      <c r="AZ46">
        <v>5.9266157452083332</v>
      </c>
      <c r="BC46" s="64">
        <v>0</v>
      </c>
      <c r="BG46">
        <v>5.1377427755369638E-2</v>
      </c>
      <c r="BH46">
        <v>0.1027548555107393</v>
      </c>
      <c r="BI46">
        <v>5.1377427755369638E-2</v>
      </c>
      <c r="BJ46">
        <v>0</v>
      </c>
    </row>
    <row r="47" spans="1:62" x14ac:dyDescent="0.3">
      <c r="A47" t="s">
        <v>40</v>
      </c>
      <c r="B47" s="12" t="s">
        <v>716</v>
      </c>
      <c r="C47" s="12"/>
      <c r="F47">
        <v>3.85</v>
      </c>
      <c r="G47" t="s">
        <v>36</v>
      </c>
      <c r="H47" s="8" t="s">
        <v>546</v>
      </c>
      <c r="I47" t="s">
        <v>627</v>
      </c>
      <c r="L47" s="20">
        <v>2</v>
      </c>
      <c r="M47">
        <v>2</v>
      </c>
      <c r="N47">
        <v>0</v>
      </c>
      <c r="T47" s="20">
        <v>5.6269875200000001</v>
      </c>
      <c r="U47" s="20">
        <v>5.6269875200000001</v>
      </c>
      <c r="V47" s="20">
        <v>22.749475</v>
      </c>
      <c r="W47">
        <v>5.5670999999999999</v>
      </c>
      <c r="X47">
        <v>5.5670999999999999</v>
      </c>
      <c r="Y47">
        <v>22.4603</v>
      </c>
      <c r="Z47">
        <v>0</v>
      </c>
      <c r="AC47" t="s">
        <v>464</v>
      </c>
      <c r="AD47">
        <v>30</v>
      </c>
      <c r="AE47" s="44">
        <f t="shared" si="0"/>
        <v>0</v>
      </c>
      <c r="AF47" s="46">
        <v>623.81230762201892</v>
      </c>
      <c r="AG47" s="44">
        <v>602.84300974379039</v>
      </c>
      <c r="AH47" s="44">
        <v>0</v>
      </c>
      <c r="AI47" s="41"/>
      <c r="AJ47" s="40">
        <v>9.6182776881592519E-2</v>
      </c>
      <c r="AK47" s="41">
        <v>9.9528399650018556E-2</v>
      </c>
      <c r="AL47" s="41"/>
      <c r="AM47" s="23">
        <v>2</v>
      </c>
      <c r="AN47" s="23">
        <v>2.5</v>
      </c>
      <c r="AO47" s="23">
        <v>0.5</v>
      </c>
      <c r="AP47" s="23">
        <v>0</v>
      </c>
      <c r="AQ47" s="23">
        <v>0.4</v>
      </c>
      <c r="AR47" s="23">
        <v>0.5</v>
      </c>
      <c r="AS47" s="23">
        <v>0.1</v>
      </c>
      <c r="AT47" s="23">
        <v>0</v>
      </c>
      <c r="AU47" s="20">
        <v>0.89</v>
      </c>
      <c r="AV47" s="20">
        <v>3.44</v>
      </c>
      <c r="AW47" s="20">
        <v>2.5499999999999998</v>
      </c>
      <c r="AX47" s="20">
        <v>2.6270833333333332</v>
      </c>
      <c r="AY47">
        <v>2.6270833333333332</v>
      </c>
      <c r="AZ47">
        <v>5.9103362479166668</v>
      </c>
      <c r="BA47" s="64">
        <v>0.55608047790729209</v>
      </c>
      <c r="BB47" s="64">
        <v>0</v>
      </c>
      <c r="BE47">
        <v>4.8091388440796259E-2</v>
      </c>
      <c r="BF47">
        <v>4.9764199825009278E-2</v>
      </c>
      <c r="BH47">
        <v>9.7855588265805538E-2</v>
      </c>
      <c r="BI47">
        <v>4.8927794132902769E-2</v>
      </c>
      <c r="BJ47">
        <v>0.27804023895364599</v>
      </c>
    </row>
    <row r="48" spans="1:62" x14ac:dyDescent="0.3">
      <c r="A48" t="s">
        <v>41</v>
      </c>
      <c r="B48" s="12" t="s">
        <v>717</v>
      </c>
      <c r="C48" s="12"/>
      <c r="F48">
        <v>3.95</v>
      </c>
      <c r="G48" t="s">
        <v>36</v>
      </c>
      <c r="H48" s="8" t="s">
        <v>547</v>
      </c>
      <c r="I48" t="s">
        <v>628</v>
      </c>
      <c r="L48" s="20">
        <v>1</v>
      </c>
      <c r="M48">
        <v>3</v>
      </c>
      <c r="N48">
        <v>0</v>
      </c>
      <c r="T48" s="20">
        <v>9.3662349099999993</v>
      </c>
      <c r="U48" s="20">
        <v>9.3662349099999993</v>
      </c>
      <c r="V48" s="20">
        <v>9.3662351000000008</v>
      </c>
      <c r="W48">
        <v>5.5609999999999999</v>
      </c>
      <c r="X48">
        <v>5.5609999999999999</v>
      </c>
      <c r="Y48">
        <v>26.24</v>
      </c>
      <c r="Z48">
        <v>0</v>
      </c>
      <c r="AC48" t="s">
        <v>464</v>
      </c>
      <c r="AD48">
        <v>24</v>
      </c>
      <c r="AE48" s="44">
        <f t="shared" si="0"/>
        <v>0</v>
      </c>
      <c r="AF48" s="46">
        <v>238.908881754341</v>
      </c>
      <c r="AG48" s="44">
        <v>702.74902632242595</v>
      </c>
      <c r="AH48" s="44">
        <v>0</v>
      </c>
      <c r="AI48" s="41"/>
      <c r="AJ48" s="40">
        <v>0.10045670895014321</v>
      </c>
      <c r="AK48" s="41">
        <v>0.1024547844296349</v>
      </c>
      <c r="AL48" s="41"/>
      <c r="AM48" s="23">
        <v>2</v>
      </c>
      <c r="AN48" s="23">
        <v>2.5263157894736841</v>
      </c>
      <c r="AO48" s="23">
        <v>0.52631578947368418</v>
      </c>
      <c r="AP48" s="23">
        <v>0</v>
      </c>
      <c r="AQ48" s="23">
        <v>0.39583333333333343</v>
      </c>
      <c r="AR48" s="23">
        <v>0.5</v>
      </c>
      <c r="AS48" s="23">
        <v>0.1041666666666667</v>
      </c>
      <c r="AT48" s="23">
        <v>0</v>
      </c>
      <c r="AU48" s="20">
        <v>1.1000000000000001</v>
      </c>
      <c r="AV48" s="20">
        <v>3.44</v>
      </c>
      <c r="AW48" s="20">
        <v>2.34</v>
      </c>
      <c r="AX48" s="20">
        <v>2.647368421052632</v>
      </c>
      <c r="AY48">
        <v>2.6473684210526311</v>
      </c>
      <c r="AZ48">
        <v>5.9525974578947363</v>
      </c>
      <c r="BA48" s="64">
        <v>0.55552189395192297</v>
      </c>
      <c r="BB48" s="64">
        <v>0.56657117763069742</v>
      </c>
      <c r="BE48">
        <v>5.0228354475071582E-2</v>
      </c>
      <c r="BF48">
        <v>5.1227392214817473E-2</v>
      </c>
      <c r="BH48">
        <v>0.10145574668988901</v>
      </c>
      <c r="BI48">
        <v>5.0727873344944517E-2</v>
      </c>
      <c r="BJ48">
        <v>0.56104653579131014</v>
      </c>
    </row>
    <row r="49" spans="1:62" x14ac:dyDescent="0.3">
      <c r="A49" t="s">
        <v>39</v>
      </c>
      <c r="B49" s="12" t="s">
        <v>715</v>
      </c>
      <c r="C49" s="12"/>
      <c r="F49">
        <v>3.79</v>
      </c>
      <c r="G49" t="s">
        <v>36</v>
      </c>
      <c r="H49" s="8">
        <v>-1</v>
      </c>
      <c r="I49">
        <v>-1</v>
      </c>
      <c r="J49" t="s">
        <v>1150</v>
      </c>
      <c r="L49" s="20">
        <v>0</v>
      </c>
      <c r="M49">
        <v>0</v>
      </c>
      <c r="N49">
        <v>1</v>
      </c>
      <c r="T49" s="20">
        <v>0</v>
      </c>
      <c r="U49" s="20"/>
      <c r="V49" s="20"/>
      <c r="W49">
        <v>0</v>
      </c>
      <c r="Z49">
        <v>5.532</v>
      </c>
      <c r="AA49">
        <v>5.532</v>
      </c>
      <c r="AB49">
        <v>11.016</v>
      </c>
      <c r="AC49" t="s">
        <v>464</v>
      </c>
      <c r="AD49">
        <v>30</v>
      </c>
      <c r="AE49" s="44">
        <f t="shared" si="0"/>
        <v>0</v>
      </c>
      <c r="AF49" s="46">
        <v>0</v>
      </c>
      <c r="AG49" s="44">
        <v>0</v>
      </c>
      <c r="AH49" s="44">
        <v>291.95700632233962</v>
      </c>
      <c r="AI49" s="41"/>
      <c r="AJ49" s="40"/>
      <c r="AK49" s="41"/>
      <c r="AL49" s="41">
        <v>0.1027548555107393</v>
      </c>
      <c r="AM49" s="23">
        <v>2</v>
      </c>
      <c r="AN49" s="23">
        <v>2.5</v>
      </c>
      <c r="AO49" s="23">
        <v>0.5</v>
      </c>
      <c r="AP49" s="23">
        <v>0</v>
      </c>
      <c r="AQ49" s="23">
        <v>0.4</v>
      </c>
      <c r="AR49" s="23">
        <v>0.5</v>
      </c>
      <c r="AS49" s="23">
        <v>0.1</v>
      </c>
      <c r="AT49" s="23">
        <v>0</v>
      </c>
      <c r="AU49" s="20">
        <v>1</v>
      </c>
      <c r="AV49" s="20">
        <v>3.44</v>
      </c>
      <c r="AW49" s="20">
        <v>2.44</v>
      </c>
      <c r="AX49" s="20">
        <v>2.6316666666666659</v>
      </c>
      <c r="AY49">
        <v>2.6316666666666668</v>
      </c>
      <c r="AZ49">
        <v>5.9266157452083332</v>
      </c>
      <c r="BC49" s="64">
        <v>0</v>
      </c>
      <c r="BG49">
        <v>5.1377427755369638E-2</v>
      </c>
      <c r="BH49">
        <v>0.1027548555107393</v>
      </c>
      <c r="BI49">
        <v>5.1377427755369638E-2</v>
      </c>
      <c r="BJ49">
        <v>0</v>
      </c>
    </row>
    <row r="50" spans="1:62" x14ac:dyDescent="0.3">
      <c r="A50" t="s">
        <v>42</v>
      </c>
      <c r="B50" s="12" t="s">
        <v>718</v>
      </c>
      <c r="C50" s="12"/>
      <c r="F50">
        <v>3.82</v>
      </c>
      <c r="G50" t="s">
        <v>36</v>
      </c>
      <c r="H50" s="8">
        <v>-1</v>
      </c>
      <c r="I50">
        <v>-1</v>
      </c>
      <c r="J50" t="s">
        <v>1151</v>
      </c>
      <c r="L50" s="20">
        <v>0</v>
      </c>
      <c r="M50">
        <v>0</v>
      </c>
      <c r="N50">
        <v>1</v>
      </c>
      <c r="T50" s="20">
        <v>0</v>
      </c>
      <c r="U50" s="20"/>
      <c r="V50" s="20"/>
      <c r="W50">
        <v>0</v>
      </c>
      <c r="Z50">
        <v>5.55</v>
      </c>
      <c r="AA50">
        <v>5.55</v>
      </c>
      <c r="AB50">
        <v>11.066000000000001</v>
      </c>
      <c r="AC50" t="s">
        <v>464</v>
      </c>
      <c r="AD50">
        <v>30</v>
      </c>
      <c r="AE50" s="44">
        <f t="shared" si="0"/>
        <v>0</v>
      </c>
      <c r="AF50" s="46">
        <v>0</v>
      </c>
      <c r="AG50" s="44">
        <v>0</v>
      </c>
      <c r="AH50" s="44">
        <v>295.19382183577648</v>
      </c>
      <c r="AI50" s="41"/>
      <c r="AJ50" s="40"/>
      <c r="AK50" s="41"/>
      <c r="AL50" s="41">
        <v>0.1016281432092089</v>
      </c>
      <c r="AM50" s="23">
        <v>2</v>
      </c>
      <c r="AN50" s="23">
        <v>2.5</v>
      </c>
      <c r="AO50" s="23">
        <v>0.5</v>
      </c>
      <c r="AP50" s="23">
        <v>0</v>
      </c>
      <c r="AQ50" s="23">
        <v>0.4</v>
      </c>
      <c r="AR50" s="23">
        <v>0.5</v>
      </c>
      <c r="AS50" s="23">
        <v>0.1</v>
      </c>
      <c r="AT50" s="23">
        <v>0</v>
      </c>
      <c r="AU50" s="20">
        <v>0.95</v>
      </c>
      <c r="AV50" s="20">
        <v>3.44</v>
      </c>
      <c r="AW50" s="20">
        <v>2.4900000000000002</v>
      </c>
      <c r="AX50" s="20">
        <v>2.6295833333333332</v>
      </c>
      <c r="AY50">
        <v>2.6295833333333332</v>
      </c>
      <c r="AZ50">
        <v>5.9184746406250008</v>
      </c>
      <c r="BC50" s="64">
        <v>0</v>
      </c>
      <c r="BG50">
        <v>5.0814071604604473E-2</v>
      </c>
      <c r="BH50">
        <v>0.1016281432092089</v>
      </c>
      <c r="BI50">
        <v>5.0814071604604473E-2</v>
      </c>
      <c r="BJ50">
        <v>0</v>
      </c>
    </row>
    <row r="51" spans="1:62" x14ac:dyDescent="0.3">
      <c r="A51" t="s">
        <v>40</v>
      </c>
      <c r="B51" s="12" t="s">
        <v>716</v>
      </c>
      <c r="C51" s="12"/>
      <c r="F51">
        <v>3.85</v>
      </c>
      <c r="G51" t="s">
        <v>36</v>
      </c>
      <c r="H51" s="8" t="s">
        <v>546</v>
      </c>
      <c r="I51" t="s">
        <v>627</v>
      </c>
      <c r="L51" s="20">
        <v>2</v>
      </c>
      <c r="M51">
        <v>2</v>
      </c>
      <c r="N51">
        <v>0</v>
      </c>
      <c r="T51" s="20">
        <v>5.6269875200000001</v>
      </c>
      <c r="U51" s="20">
        <v>5.6269875200000001</v>
      </c>
      <c r="V51" s="20">
        <v>22.749475</v>
      </c>
      <c r="W51">
        <v>5.5670999999999999</v>
      </c>
      <c r="X51">
        <v>5.5670999999999999</v>
      </c>
      <c r="Y51">
        <v>22.4603</v>
      </c>
      <c r="Z51">
        <v>0</v>
      </c>
      <c r="AC51" t="s">
        <v>464</v>
      </c>
      <c r="AD51">
        <v>30</v>
      </c>
      <c r="AE51" s="44">
        <f t="shared" si="0"/>
        <v>0</v>
      </c>
      <c r="AF51" s="46">
        <v>623.81230762201892</v>
      </c>
      <c r="AG51" s="44">
        <v>602.84300974379039</v>
      </c>
      <c r="AH51" s="44">
        <v>0</v>
      </c>
      <c r="AI51" s="41"/>
      <c r="AJ51" s="40">
        <v>9.6182776881592519E-2</v>
      </c>
      <c r="AK51" s="41">
        <v>9.9528399650018556E-2</v>
      </c>
      <c r="AL51" s="41"/>
      <c r="AM51" s="23">
        <v>2</v>
      </c>
      <c r="AN51" s="23">
        <v>2.5</v>
      </c>
      <c r="AO51" s="23">
        <v>0.5</v>
      </c>
      <c r="AP51" s="23">
        <v>0</v>
      </c>
      <c r="AQ51" s="23">
        <v>0.4</v>
      </c>
      <c r="AR51" s="23">
        <v>0.5</v>
      </c>
      <c r="AS51" s="23">
        <v>0.1</v>
      </c>
      <c r="AT51" s="23">
        <v>0</v>
      </c>
      <c r="AU51" s="20">
        <v>0.89</v>
      </c>
      <c r="AV51" s="20">
        <v>3.44</v>
      </c>
      <c r="AW51" s="20">
        <v>2.5499999999999998</v>
      </c>
      <c r="AX51" s="20">
        <v>2.6270833333333332</v>
      </c>
      <c r="AY51">
        <v>2.6270833333333332</v>
      </c>
      <c r="AZ51">
        <v>5.9103362479166668</v>
      </c>
      <c r="BA51" s="64">
        <v>0.55608047790729209</v>
      </c>
      <c r="BB51" s="64">
        <v>0</v>
      </c>
      <c r="BE51">
        <v>4.8091388440796259E-2</v>
      </c>
      <c r="BF51">
        <v>4.9764199825009278E-2</v>
      </c>
      <c r="BH51">
        <v>9.7855588265805538E-2</v>
      </c>
      <c r="BI51">
        <v>4.8927794132902769E-2</v>
      </c>
      <c r="BJ51">
        <v>0.27804023895364599</v>
      </c>
    </row>
    <row r="52" spans="1:62" x14ac:dyDescent="0.3">
      <c r="A52" t="s">
        <v>43</v>
      </c>
      <c r="B52" s="12" t="s">
        <v>719</v>
      </c>
      <c r="C52" s="12"/>
      <c r="F52">
        <v>4.07</v>
      </c>
      <c r="G52" t="s">
        <v>36</v>
      </c>
      <c r="H52" s="8" t="s">
        <v>548</v>
      </c>
      <c r="I52">
        <v>-1</v>
      </c>
      <c r="L52" s="20">
        <v>1</v>
      </c>
      <c r="M52">
        <v>0</v>
      </c>
      <c r="N52">
        <v>0</v>
      </c>
      <c r="T52" s="20">
        <v>9.9321903099999993</v>
      </c>
      <c r="U52" s="20">
        <v>9.9321903099999993</v>
      </c>
      <c r="V52" s="20">
        <v>9.9321899499999997</v>
      </c>
      <c r="W52">
        <v>0</v>
      </c>
      <c r="Z52">
        <v>0</v>
      </c>
      <c r="AC52" t="s">
        <v>464</v>
      </c>
      <c r="AD52">
        <v>24</v>
      </c>
      <c r="AE52" s="44">
        <f t="shared" si="0"/>
        <v>0</v>
      </c>
      <c r="AF52" s="46">
        <v>275.17611786249188</v>
      </c>
      <c r="AG52" s="44">
        <v>0</v>
      </c>
      <c r="AH52" s="44">
        <v>0</v>
      </c>
      <c r="AI52" s="41"/>
      <c r="AJ52" s="40">
        <v>8.7216871094871057E-2</v>
      </c>
      <c r="AK52" s="41"/>
      <c r="AL52" s="41"/>
      <c r="AM52" s="23">
        <v>1.8421052631578949</v>
      </c>
      <c r="AN52" s="23">
        <v>2.5263157894736841</v>
      </c>
      <c r="AO52" s="23">
        <v>0.68421052631578949</v>
      </c>
      <c r="AP52" s="23">
        <v>0</v>
      </c>
      <c r="AQ52" s="23">
        <v>0.36458333333333343</v>
      </c>
      <c r="AR52" s="23">
        <v>0.5</v>
      </c>
      <c r="AS52" s="23">
        <v>0.13541666666666671</v>
      </c>
      <c r="AT52" s="23">
        <v>0</v>
      </c>
      <c r="AU52" s="20">
        <v>0.89</v>
      </c>
      <c r="AV52" s="20">
        <v>3.44</v>
      </c>
      <c r="AW52" s="20">
        <v>2.5499999999999998</v>
      </c>
      <c r="AX52" s="20">
        <v>2.6236842105263158</v>
      </c>
      <c r="AY52">
        <v>2.623684210526315</v>
      </c>
      <c r="AZ52">
        <v>5.9521582263157891</v>
      </c>
      <c r="BA52" s="64">
        <v>0.56264133404440497</v>
      </c>
      <c r="BE52">
        <v>4.3608435547435528E-2</v>
      </c>
      <c r="BH52">
        <v>8.7216871094871057E-2</v>
      </c>
      <c r="BI52">
        <v>4.3608435547435528E-2</v>
      </c>
      <c r="BJ52">
        <v>0.56264133404440497</v>
      </c>
    </row>
    <row r="53" spans="1:62" x14ac:dyDescent="0.3">
      <c r="A53" t="s">
        <v>37</v>
      </c>
      <c r="B53" s="12" t="s">
        <v>713</v>
      </c>
      <c r="C53" s="12"/>
      <c r="F53">
        <v>4.04</v>
      </c>
      <c r="G53" t="s">
        <v>36</v>
      </c>
      <c r="H53" s="8" t="s">
        <v>544</v>
      </c>
      <c r="I53" t="s">
        <v>625</v>
      </c>
      <c r="L53" s="20">
        <v>1</v>
      </c>
      <c r="M53">
        <v>2</v>
      </c>
      <c r="N53">
        <v>0</v>
      </c>
      <c r="T53" s="20">
        <v>5.7458564399999998</v>
      </c>
      <c r="U53" s="20">
        <v>5.7458564399999998</v>
      </c>
      <c r="V53" s="20">
        <v>11.67169612</v>
      </c>
      <c r="W53">
        <v>5.6660000000000004</v>
      </c>
      <c r="X53">
        <v>5.6659999999999986</v>
      </c>
      <c r="Y53">
        <v>22.968</v>
      </c>
      <c r="Z53">
        <v>0</v>
      </c>
      <c r="AC53" t="s">
        <v>464</v>
      </c>
      <c r="AD53">
        <v>30</v>
      </c>
      <c r="AE53" s="44">
        <f t="shared" si="0"/>
        <v>0</v>
      </c>
      <c r="AF53" s="46">
        <v>333.30247418302179</v>
      </c>
      <c r="AG53" s="44">
        <v>638.56770625824583</v>
      </c>
      <c r="AH53" s="44">
        <v>0</v>
      </c>
      <c r="AI53" s="41"/>
      <c r="AJ53" s="40">
        <v>9.0008332742008132E-2</v>
      </c>
      <c r="AK53" s="41">
        <v>9.3960279249911127E-2</v>
      </c>
      <c r="AL53" s="41"/>
      <c r="AM53" s="23">
        <v>1.833333333333333</v>
      </c>
      <c r="AN53" s="23">
        <v>2.5</v>
      </c>
      <c r="AO53" s="23">
        <v>0.66666666666666663</v>
      </c>
      <c r="AP53" s="23">
        <v>0</v>
      </c>
      <c r="AQ53" s="23">
        <v>0.36666666666666659</v>
      </c>
      <c r="AR53" s="23">
        <v>0.5</v>
      </c>
      <c r="AS53" s="23">
        <v>0.1333333333333333</v>
      </c>
      <c r="AT53" s="23">
        <v>0</v>
      </c>
      <c r="AU53" s="20">
        <v>0.95</v>
      </c>
      <c r="AV53" s="20">
        <v>3.44</v>
      </c>
      <c r="AW53" s="20">
        <v>2.4900000000000002</v>
      </c>
      <c r="AX53" s="20">
        <v>2.614583333333333</v>
      </c>
      <c r="AY53">
        <v>2.614583333333333</v>
      </c>
      <c r="AZ53">
        <v>5.9505645781250003</v>
      </c>
      <c r="BA53" s="64">
        <v>0.54547732833861384</v>
      </c>
      <c r="BB53" s="64">
        <v>0.56942730227099381</v>
      </c>
      <c r="BE53">
        <v>4.5004166371004073E-2</v>
      </c>
      <c r="BF53">
        <v>4.6980139624955557E-2</v>
      </c>
      <c r="BH53">
        <v>9.1984305995959637E-2</v>
      </c>
      <c r="BI53">
        <v>4.5992152997979818E-2</v>
      </c>
      <c r="BJ53">
        <v>0.55745231530480388</v>
      </c>
    </row>
    <row r="54" spans="1:62" x14ac:dyDescent="0.3">
      <c r="A54" t="s">
        <v>38</v>
      </c>
      <c r="B54" s="12" t="s">
        <v>714</v>
      </c>
      <c r="C54" s="12"/>
      <c r="F54">
        <v>3.87</v>
      </c>
      <c r="G54" t="s">
        <v>36</v>
      </c>
      <c r="H54" s="8" t="s">
        <v>545</v>
      </c>
      <c r="I54" t="s">
        <v>626</v>
      </c>
      <c r="L54" s="20">
        <v>1</v>
      </c>
      <c r="M54">
        <v>1</v>
      </c>
      <c r="N54">
        <v>0</v>
      </c>
      <c r="T54" s="20">
        <v>5.8532381300000003</v>
      </c>
      <c r="U54" s="20">
        <v>5.8532371599999999</v>
      </c>
      <c r="V54" s="20">
        <v>11.912811489999999</v>
      </c>
      <c r="W54">
        <v>5.7946</v>
      </c>
      <c r="X54">
        <v>5.7946</v>
      </c>
      <c r="Y54">
        <v>11.787599999999999</v>
      </c>
      <c r="Z54">
        <v>0</v>
      </c>
      <c r="AC54" t="s">
        <v>464</v>
      </c>
      <c r="AD54">
        <v>30</v>
      </c>
      <c r="AE54" s="44">
        <f t="shared" si="0"/>
        <v>0</v>
      </c>
      <c r="AF54" s="46">
        <v>353.45760058531442</v>
      </c>
      <c r="AG54" s="44">
        <v>342.77011164986573</v>
      </c>
      <c r="AH54" s="44">
        <v>0</v>
      </c>
      <c r="AI54" s="41"/>
      <c r="AJ54" s="40">
        <v>8.487580957467307E-2</v>
      </c>
      <c r="AK54" s="41">
        <v>8.752221672887435E-2</v>
      </c>
      <c r="AL54" s="41"/>
      <c r="AM54" s="23">
        <v>1.833333333333333</v>
      </c>
      <c r="AN54" s="23">
        <v>2.5</v>
      </c>
      <c r="AO54" s="23">
        <v>0.66666666666666663</v>
      </c>
      <c r="AP54" s="23">
        <v>0</v>
      </c>
      <c r="AQ54" s="23">
        <v>0.36666666666666659</v>
      </c>
      <c r="AR54" s="23">
        <v>0.5</v>
      </c>
      <c r="AS54" s="23">
        <v>0.1333333333333333</v>
      </c>
      <c r="AT54" s="23">
        <v>0</v>
      </c>
      <c r="AU54" s="20">
        <v>0.89</v>
      </c>
      <c r="AV54" s="20">
        <v>3.44</v>
      </c>
      <c r="AW54" s="20">
        <v>2.5499999999999998</v>
      </c>
      <c r="AX54" s="20">
        <v>2.6020833333333329</v>
      </c>
      <c r="AY54">
        <v>2.6020833333333329</v>
      </c>
      <c r="AZ54">
        <v>5.9098726145833336</v>
      </c>
      <c r="BA54" s="64">
        <v>0.57410011132036598</v>
      </c>
      <c r="BB54" s="64">
        <v>0.59200041353179045</v>
      </c>
      <c r="BE54">
        <v>4.2437904787336528E-2</v>
      </c>
      <c r="BF54">
        <v>4.3761108364437168E-2</v>
      </c>
      <c r="BH54">
        <v>8.619901315177371E-2</v>
      </c>
      <c r="BI54">
        <v>4.3099506575886848E-2</v>
      </c>
      <c r="BJ54">
        <v>0.58305026242607827</v>
      </c>
    </row>
    <row r="55" spans="1:62" x14ac:dyDescent="0.3">
      <c r="A55" t="s">
        <v>44</v>
      </c>
      <c r="B55" s="12" t="s">
        <v>720</v>
      </c>
      <c r="C55" s="12"/>
      <c r="F55">
        <v>3.4</v>
      </c>
      <c r="G55" t="s">
        <v>36</v>
      </c>
      <c r="H55" s="8" t="s">
        <v>549</v>
      </c>
      <c r="I55">
        <v>-1</v>
      </c>
      <c r="L55" s="20">
        <v>1</v>
      </c>
      <c r="M55">
        <v>0</v>
      </c>
      <c r="N55">
        <v>0</v>
      </c>
      <c r="T55" s="20">
        <v>15.28115725</v>
      </c>
      <c r="U55" s="20">
        <v>15.28115725</v>
      </c>
      <c r="V55" s="20">
        <v>15.28115725</v>
      </c>
      <c r="W55">
        <v>0</v>
      </c>
      <c r="Z55">
        <v>0</v>
      </c>
      <c r="AC55" t="s">
        <v>464</v>
      </c>
      <c r="AD55">
        <v>20</v>
      </c>
      <c r="AE55" s="44">
        <f t="shared" si="0"/>
        <v>0</v>
      </c>
      <c r="AF55" s="46">
        <v>229.90248606119221</v>
      </c>
      <c r="AG55" s="44">
        <v>0</v>
      </c>
      <c r="AH55" s="44">
        <v>0</v>
      </c>
      <c r="AI55" s="41"/>
      <c r="AJ55" s="40">
        <v>8.6993404650164072E-2</v>
      </c>
      <c r="AK55" s="41"/>
      <c r="AL55" s="41"/>
      <c r="AM55" s="23">
        <v>1.882352941176471</v>
      </c>
      <c r="AN55" s="23">
        <v>2.3529411764705879</v>
      </c>
      <c r="AO55" s="23">
        <v>0.47058823529411759</v>
      </c>
      <c r="AP55" s="23">
        <v>0</v>
      </c>
      <c r="AQ55" s="23">
        <v>0.4</v>
      </c>
      <c r="AR55" s="23">
        <v>0.5</v>
      </c>
      <c r="AS55" s="23">
        <v>9.9999999999999992E-2</v>
      </c>
      <c r="AT55" s="23">
        <v>0</v>
      </c>
      <c r="AU55" s="20">
        <v>0.82</v>
      </c>
      <c r="AV55" s="20">
        <v>3.44</v>
      </c>
      <c r="AW55" s="20">
        <v>2.62</v>
      </c>
      <c r="AX55" s="20">
        <v>2.5211764705882351</v>
      </c>
      <c r="AY55">
        <v>2.521176470588236</v>
      </c>
      <c r="AZ55">
        <v>5.6898745917647062</v>
      </c>
      <c r="BA55" s="64">
        <v>0.57369840599679445</v>
      </c>
      <c r="BE55">
        <v>4.3496702325082043E-2</v>
      </c>
      <c r="BH55">
        <v>8.6993404650164072E-2</v>
      </c>
      <c r="BI55">
        <v>4.3496702325082043E-2</v>
      </c>
      <c r="BJ55">
        <v>0.57369840599679445</v>
      </c>
    </row>
    <row r="56" spans="1:62" x14ac:dyDescent="0.3">
      <c r="A56" t="s">
        <v>34</v>
      </c>
      <c r="B56" s="12" t="s">
        <v>711</v>
      </c>
      <c r="C56" s="12"/>
      <c r="F56">
        <v>3.2</v>
      </c>
      <c r="G56" t="s">
        <v>36</v>
      </c>
      <c r="H56" s="8" t="s">
        <v>542</v>
      </c>
      <c r="I56" t="s">
        <v>623</v>
      </c>
      <c r="L56" s="20">
        <v>1</v>
      </c>
      <c r="M56">
        <v>2</v>
      </c>
      <c r="N56">
        <v>0</v>
      </c>
      <c r="T56" s="20">
        <v>3.9086759899999999</v>
      </c>
      <c r="U56" s="20">
        <v>3.908676100000001</v>
      </c>
      <c r="V56" s="20">
        <v>10.552604730000001</v>
      </c>
      <c r="W56">
        <v>3.899</v>
      </c>
      <c r="X56">
        <v>3.899</v>
      </c>
      <c r="Y56">
        <v>20.399989999999999</v>
      </c>
      <c r="Z56">
        <v>0</v>
      </c>
      <c r="AC56" t="s">
        <v>464</v>
      </c>
      <c r="AD56">
        <v>14</v>
      </c>
      <c r="AE56" s="44">
        <f t="shared" si="0"/>
        <v>0</v>
      </c>
      <c r="AF56" s="46">
        <v>155.59136328639269</v>
      </c>
      <c r="AG56" s="44">
        <v>310.12474837798999</v>
      </c>
      <c r="AH56" s="44">
        <v>0</v>
      </c>
      <c r="AI56" s="41"/>
      <c r="AJ56" s="40">
        <v>8.9979287437893268E-2</v>
      </c>
      <c r="AK56" s="41">
        <v>9.0286248183820222E-2</v>
      </c>
      <c r="AL56" s="41"/>
      <c r="AM56" s="23">
        <v>2</v>
      </c>
      <c r="AN56" s="23">
        <v>2.333333333333333</v>
      </c>
      <c r="AO56" s="23">
        <v>0.33333333333333331</v>
      </c>
      <c r="AP56" s="23">
        <v>0</v>
      </c>
      <c r="AQ56" s="23">
        <v>0.42857142857142849</v>
      </c>
      <c r="AR56" s="23">
        <v>0.5</v>
      </c>
      <c r="AS56" s="23">
        <v>7.1428571428571425E-2</v>
      </c>
      <c r="AT56" s="23">
        <v>0</v>
      </c>
      <c r="AU56" s="20">
        <v>0.95</v>
      </c>
      <c r="AV56" s="20">
        <v>3.44</v>
      </c>
      <c r="AW56" s="20">
        <v>2.4900000000000002</v>
      </c>
      <c r="AX56" s="20">
        <v>2.500833333333333</v>
      </c>
      <c r="AY56">
        <v>2.500833333333333</v>
      </c>
      <c r="AZ56">
        <v>5.6917605187500007</v>
      </c>
      <c r="BA56" s="64">
        <v>0.58499657192886345</v>
      </c>
      <c r="BB56" s="64">
        <v>0.58699226437317098</v>
      </c>
      <c r="BE56">
        <v>4.4989643718946627E-2</v>
      </c>
      <c r="BF56">
        <v>4.5143124091910111E-2</v>
      </c>
      <c r="BH56">
        <v>9.0132767810856745E-2</v>
      </c>
      <c r="BI56">
        <v>4.5066383905428373E-2</v>
      </c>
      <c r="BJ56">
        <v>0.58599441815101727</v>
      </c>
    </row>
    <row r="57" spans="1:62" x14ac:dyDescent="0.3">
      <c r="A57" t="s">
        <v>45</v>
      </c>
      <c r="B57" s="12" t="s">
        <v>721</v>
      </c>
      <c r="C57" s="12"/>
      <c r="F57">
        <v>3.3</v>
      </c>
      <c r="G57" t="s">
        <v>36</v>
      </c>
      <c r="H57" s="8" t="s">
        <v>550</v>
      </c>
      <c r="I57">
        <v>-1</v>
      </c>
      <c r="L57" s="20">
        <v>1</v>
      </c>
      <c r="M57">
        <v>0</v>
      </c>
      <c r="N57">
        <v>0</v>
      </c>
      <c r="T57" s="20">
        <v>3.91068857</v>
      </c>
      <c r="U57" s="20">
        <v>3.9106874500000002</v>
      </c>
      <c r="V57" s="20">
        <v>14.360376649999999</v>
      </c>
      <c r="W57">
        <v>0</v>
      </c>
      <c r="Z57">
        <v>0</v>
      </c>
      <c r="AC57" t="s">
        <v>464</v>
      </c>
      <c r="AD57">
        <v>20</v>
      </c>
      <c r="AE57" s="44">
        <f t="shared" si="0"/>
        <v>0</v>
      </c>
      <c r="AF57" s="46">
        <v>215.5098899352688</v>
      </c>
      <c r="AG57" s="44">
        <v>0</v>
      </c>
      <c r="AH57" s="44">
        <v>0</v>
      </c>
      <c r="AI57" s="41"/>
      <c r="AJ57" s="40">
        <v>9.2803165580972902E-2</v>
      </c>
      <c r="AK57" s="41"/>
      <c r="AL57" s="41"/>
      <c r="AM57" s="23">
        <v>2</v>
      </c>
      <c r="AN57" s="23">
        <v>2.3529411764705879</v>
      </c>
      <c r="AO57" s="23">
        <v>0.35294117647058831</v>
      </c>
      <c r="AP57" s="23">
        <v>0</v>
      </c>
      <c r="AQ57" s="23">
        <v>0.42499999999999999</v>
      </c>
      <c r="AR57" s="23">
        <v>0.5</v>
      </c>
      <c r="AS57" s="23">
        <v>7.4999999999999997E-2</v>
      </c>
      <c r="AT57" s="23">
        <v>0</v>
      </c>
      <c r="AU57" s="20">
        <v>0.95</v>
      </c>
      <c r="AV57" s="20">
        <v>3.44</v>
      </c>
      <c r="AW57" s="20">
        <v>2.4900000000000002</v>
      </c>
      <c r="AX57" s="20">
        <v>2.518823529411764</v>
      </c>
      <c r="AY57">
        <v>2.5188235294117649</v>
      </c>
      <c r="AZ57">
        <v>5.720303876470588</v>
      </c>
      <c r="BA57" s="64">
        <v>0.59173155274922506</v>
      </c>
      <c r="BE57">
        <v>4.6401582790486458E-2</v>
      </c>
      <c r="BH57">
        <v>9.2803165580972902E-2</v>
      </c>
      <c r="BI57">
        <v>4.6401582790486458E-2</v>
      </c>
      <c r="BJ57">
        <v>0.59173155274922506</v>
      </c>
    </row>
    <row r="58" spans="1:62" x14ac:dyDescent="0.3">
      <c r="A58" t="s">
        <v>46</v>
      </c>
      <c r="B58" s="12" t="s">
        <v>722</v>
      </c>
      <c r="C58" s="12"/>
      <c r="F58">
        <v>3.8</v>
      </c>
      <c r="G58" t="s">
        <v>36</v>
      </c>
      <c r="H58" s="8" t="s">
        <v>551</v>
      </c>
      <c r="I58" t="s">
        <v>629</v>
      </c>
      <c r="L58" s="20">
        <v>2</v>
      </c>
      <c r="M58">
        <v>4</v>
      </c>
      <c r="N58">
        <v>0</v>
      </c>
      <c r="T58" s="20">
        <v>7.41544296</v>
      </c>
      <c r="U58" s="20">
        <v>7.4154429599999991</v>
      </c>
      <c r="V58" s="20">
        <v>7.41544296</v>
      </c>
      <c r="W58">
        <v>7.8</v>
      </c>
      <c r="X58">
        <v>13.010999999999999</v>
      </c>
      <c r="Y58">
        <v>5.5460000000000003</v>
      </c>
      <c r="Z58">
        <v>0</v>
      </c>
      <c r="AC58" t="s">
        <v>464</v>
      </c>
      <c r="AD58">
        <v>14</v>
      </c>
      <c r="AE58" s="44">
        <f t="shared" si="0"/>
        <v>0</v>
      </c>
      <c r="AF58" s="46">
        <v>288.33429290182369</v>
      </c>
      <c r="AG58" s="44">
        <v>556.51188553357167</v>
      </c>
      <c r="AH58" s="44">
        <v>0</v>
      </c>
      <c r="AI58" s="41"/>
      <c r="AJ58" s="40">
        <v>9.7109503410799117E-2</v>
      </c>
      <c r="AK58" s="41">
        <v>0.10062678166578309</v>
      </c>
      <c r="AL58" s="41"/>
      <c r="AM58" s="23">
        <v>2</v>
      </c>
      <c r="AN58" s="23">
        <v>2.545454545454545</v>
      </c>
      <c r="AO58" s="23">
        <v>0.54545454545454541</v>
      </c>
      <c r="AP58" s="23">
        <v>0</v>
      </c>
      <c r="AQ58" s="23">
        <v>0.39285714285714279</v>
      </c>
      <c r="AR58" s="23">
        <v>0.5</v>
      </c>
      <c r="AS58" s="23">
        <v>0.1071428571428571</v>
      </c>
      <c r="AT58" s="23">
        <v>0</v>
      </c>
      <c r="AU58" s="20">
        <v>1.1000000000000001</v>
      </c>
      <c r="AV58" s="20">
        <v>3.44</v>
      </c>
      <c r="AW58" s="20">
        <v>2.34</v>
      </c>
      <c r="AX58" s="20">
        <v>2.669090909090909</v>
      </c>
      <c r="AY58">
        <v>2.669090909090909</v>
      </c>
      <c r="AZ58">
        <v>5.9831974772727277</v>
      </c>
      <c r="BA58" s="64">
        <v>0.52442413903612473</v>
      </c>
      <c r="BB58" s="64">
        <v>0.54341863036636606</v>
      </c>
      <c r="BE58">
        <v>4.8554751705399558E-2</v>
      </c>
      <c r="BF58">
        <v>5.0313390832891547E-2</v>
      </c>
      <c r="BH58">
        <v>9.8868142538291098E-2</v>
      </c>
      <c r="BI58">
        <v>4.9434071269145549E-2</v>
      </c>
      <c r="BJ58">
        <v>0.53392138470124539</v>
      </c>
    </row>
    <row r="59" spans="1:62" x14ac:dyDescent="0.3">
      <c r="A59" t="s">
        <v>47</v>
      </c>
      <c r="B59" s="12" t="s">
        <v>723</v>
      </c>
      <c r="C59" s="12"/>
      <c r="F59">
        <v>3.8</v>
      </c>
      <c r="G59" t="s">
        <v>36</v>
      </c>
      <c r="H59" s="8">
        <v>-1</v>
      </c>
      <c r="I59">
        <v>-1</v>
      </c>
      <c r="J59" t="s">
        <v>1152</v>
      </c>
      <c r="L59" s="20">
        <v>0</v>
      </c>
      <c r="M59">
        <v>0</v>
      </c>
      <c r="N59">
        <v>2</v>
      </c>
      <c r="T59" s="20">
        <v>0</v>
      </c>
      <c r="U59" s="20"/>
      <c r="V59" s="20"/>
      <c r="W59">
        <v>0</v>
      </c>
      <c r="Z59">
        <v>5.5170000000000003</v>
      </c>
      <c r="AA59">
        <v>31.274999999999999</v>
      </c>
      <c r="AB59">
        <v>3.8942000000000001</v>
      </c>
      <c r="AC59" t="s">
        <v>464</v>
      </c>
      <c r="AD59">
        <v>34</v>
      </c>
      <c r="AE59" s="44">
        <f t="shared" si="0"/>
        <v>0</v>
      </c>
      <c r="AF59" s="46">
        <v>0</v>
      </c>
      <c r="AG59" s="44">
        <v>0</v>
      </c>
      <c r="AH59" s="44">
        <v>671.92152628500003</v>
      </c>
      <c r="AI59" s="41"/>
      <c r="AJ59" s="40"/>
      <c r="AK59" s="41"/>
      <c r="AL59" s="41">
        <v>0.1012022942261822</v>
      </c>
      <c r="AM59" s="23">
        <v>2</v>
      </c>
      <c r="AN59" s="23">
        <v>2.518518518518519</v>
      </c>
      <c r="AO59" s="23">
        <v>0.51851851851851849</v>
      </c>
      <c r="AP59" s="23">
        <v>0</v>
      </c>
      <c r="AQ59" s="23">
        <v>0.39705882352941169</v>
      </c>
      <c r="AR59" s="23">
        <v>0.5</v>
      </c>
      <c r="AS59" s="23">
        <v>0.1029411764705882</v>
      </c>
      <c r="AT59" s="23">
        <v>0</v>
      </c>
      <c r="AU59" s="20">
        <v>1</v>
      </c>
      <c r="AV59" s="20">
        <v>3.44</v>
      </c>
      <c r="AW59" s="20">
        <v>2.44</v>
      </c>
      <c r="AX59" s="20">
        <v>2.6511111111111112</v>
      </c>
      <c r="AY59">
        <v>2.6511111111111112</v>
      </c>
      <c r="AZ59">
        <v>5.9544359512962952</v>
      </c>
      <c r="BG59">
        <v>5.0601147113091112E-2</v>
      </c>
      <c r="BH59">
        <v>0.1012022942261822</v>
      </c>
      <c r="BI59">
        <v>5.0601147113091112E-2</v>
      </c>
      <c r="BJ59">
        <v>0</v>
      </c>
    </row>
    <row r="60" spans="1:62" x14ac:dyDescent="0.3">
      <c r="A60" t="s">
        <v>40</v>
      </c>
      <c r="B60" s="12" t="s">
        <v>716</v>
      </c>
      <c r="C60" s="12"/>
      <c r="F60">
        <v>3.85</v>
      </c>
      <c r="G60" t="s">
        <v>36</v>
      </c>
      <c r="H60" s="8" t="s">
        <v>546</v>
      </c>
      <c r="I60" t="s">
        <v>627</v>
      </c>
      <c r="L60" s="20">
        <v>2</v>
      </c>
      <c r="M60">
        <v>2</v>
      </c>
      <c r="N60">
        <v>0</v>
      </c>
      <c r="T60" s="20">
        <v>5.6269875200000001</v>
      </c>
      <c r="U60" s="20">
        <v>5.6269875200000001</v>
      </c>
      <c r="V60" s="20">
        <v>22.749475</v>
      </c>
      <c r="W60">
        <v>5.5670999999999999</v>
      </c>
      <c r="X60">
        <v>5.5670999999999999</v>
      </c>
      <c r="Y60">
        <v>22.4603</v>
      </c>
      <c r="Z60">
        <v>0</v>
      </c>
      <c r="AC60" t="s">
        <v>464</v>
      </c>
      <c r="AD60">
        <v>30</v>
      </c>
      <c r="AE60" s="44">
        <f t="shared" si="0"/>
        <v>0</v>
      </c>
      <c r="AF60" s="46">
        <v>623.81230762201892</v>
      </c>
      <c r="AG60" s="44">
        <v>602.84300974379039</v>
      </c>
      <c r="AH60" s="44">
        <v>0</v>
      </c>
      <c r="AI60" s="41"/>
      <c r="AJ60" s="40">
        <v>9.6182776881592519E-2</v>
      </c>
      <c r="AK60" s="41">
        <v>9.9528399650018556E-2</v>
      </c>
      <c r="AL60" s="41"/>
      <c r="AM60" s="23">
        <v>2</v>
      </c>
      <c r="AN60" s="23">
        <v>2.5</v>
      </c>
      <c r="AO60" s="23">
        <v>0.5</v>
      </c>
      <c r="AP60" s="23">
        <v>0</v>
      </c>
      <c r="AQ60" s="23">
        <v>0.4</v>
      </c>
      <c r="AR60" s="23">
        <v>0.5</v>
      </c>
      <c r="AS60" s="23">
        <v>0.1</v>
      </c>
      <c r="AT60" s="23">
        <v>0</v>
      </c>
      <c r="AU60" s="20">
        <v>0.89</v>
      </c>
      <c r="AV60" s="20">
        <v>3.44</v>
      </c>
      <c r="AW60" s="20">
        <v>2.5499999999999998</v>
      </c>
      <c r="AX60" s="20">
        <v>2.6270833333333332</v>
      </c>
      <c r="AY60">
        <v>2.6270833333333332</v>
      </c>
      <c r="AZ60">
        <v>5.9103362479166668</v>
      </c>
      <c r="BA60" s="64">
        <v>0.55608047790729209</v>
      </c>
      <c r="BB60" s="64">
        <v>0</v>
      </c>
      <c r="BE60">
        <v>4.8091388440796259E-2</v>
      </c>
      <c r="BF60">
        <v>4.9764199825009278E-2</v>
      </c>
      <c r="BH60">
        <v>9.7855588265805538E-2</v>
      </c>
      <c r="BI60">
        <v>4.8927794132902769E-2</v>
      </c>
      <c r="BJ60">
        <v>0.27804023895364599</v>
      </c>
    </row>
    <row r="61" spans="1:62" x14ac:dyDescent="0.3">
      <c r="A61" t="s">
        <v>48</v>
      </c>
      <c r="B61" s="12" t="s">
        <v>724</v>
      </c>
      <c r="C61" s="12"/>
      <c r="F61">
        <v>4.3</v>
      </c>
      <c r="G61" t="s">
        <v>36</v>
      </c>
      <c r="H61" s="8" t="s">
        <v>552</v>
      </c>
      <c r="I61" t="s">
        <v>630</v>
      </c>
      <c r="L61" s="20">
        <v>2</v>
      </c>
      <c r="M61">
        <v>8</v>
      </c>
      <c r="N61">
        <v>0</v>
      </c>
      <c r="T61" s="20">
        <v>7.4836094600000003</v>
      </c>
      <c r="U61" s="20">
        <v>7.4836094600000003</v>
      </c>
      <c r="V61" s="20">
        <v>7.4836094600000003</v>
      </c>
      <c r="W61">
        <v>10.34</v>
      </c>
      <c r="X61">
        <v>10.34</v>
      </c>
      <c r="Y61">
        <v>10.34</v>
      </c>
      <c r="Z61">
        <v>0</v>
      </c>
      <c r="AC61" t="s">
        <v>464</v>
      </c>
      <c r="AD61">
        <v>14</v>
      </c>
      <c r="AE61" s="44">
        <f t="shared" si="0"/>
        <v>0</v>
      </c>
      <c r="AF61" s="46">
        <v>296.35915518228359</v>
      </c>
      <c r="AG61" s="44">
        <v>1105.507304</v>
      </c>
      <c r="AH61" s="44">
        <v>0</v>
      </c>
      <c r="AI61" s="41"/>
      <c r="AJ61" s="40">
        <v>9.4479956196318104E-2</v>
      </c>
      <c r="AK61" s="41">
        <v>0.1013109543417363</v>
      </c>
      <c r="AL61" s="41"/>
      <c r="AM61" s="23">
        <v>1.8181818181818179</v>
      </c>
      <c r="AN61" s="23">
        <v>2.545454545454545</v>
      </c>
      <c r="AO61" s="23">
        <v>0.72727272727272729</v>
      </c>
      <c r="AP61" s="23">
        <v>0</v>
      </c>
      <c r="AQ61" s="23">
        <v>0.35714285714285721</v>
      </c>
      <c r="AR61" s="23">
        <v>0.5</v>
      </c>
      <c r="AS61" s="23">
        <v>0.1428571428571429</v>
      </c>
      <c r="AT61" s="23">
        <v>0</v>
      </c>
      <c r="AU61" s="20">
        <v>1</v>
      </c>
      <c r="AV61" s="20">
        <v>3.44</v>
      </c>
      <c r="AW61" s="20">
        <v>2.44</v>
      </c>
      <c r="AX61" s="20">
        <v>2.6618181818181821</v>
      </c>
      <c r="AY61">
        <v>2.6618181818181821</v>
      </c>
      <c r="AZ61">
        <v>6.0537295018181814</v>
      </c>
      <c r="BA61" s="64">
        <v>0.50642227837041764</v>
      </c>
      <c r="BB61" s="64">
        <v>0.5430371307011983</v>
      </c>
      <c r="BE61">
        <v>4.7239978098159073E-2</v>
      </c>
      <c r="BF61">
        <v>5.0655477170868157E-2</v>
      </c>
      <c r="BH61">
        <v>9.789545526902721E-2</v>
      </c>
      <c r="BI61">
        <v>4.8947727634513619E-2</v>
      </c>
      <c r="BJ61">
        <v>0.52472970453580792</v>
      </c>
    </row>
    <row r="62" spans="1:62" x14ac:dyDescent="0.3">
      <c r="A62" t="s">
        <v>49</v>
      </c>
      <c r="B62" s="12" t="s">
        <v>725</v>
      </c>
      <c r="C62" s="12"/>
      <c r="F62">
        <v>4</v>
      </c>
      <c r="G62" t="s">
        <v>36</v>
      </c>
      <c r="H62" s="8" t="s">
        <v>553</v>
      </c>
      <c r="I62" t="s">
        <v>631</v>
      </c>
      <c r="L62" s="20">
        <v>8</v>
      </c>
      <c r="M62">
        <v>8</v>
      </c>
      <c r="N62">
        <v>0</v>
      </c>
      <c r="T62" s="20">
        <v>5.8017180100000001</v>
      </c>
      <c r="U62" s="20">
        <v>7.9756520899999996</v>
      </c>
      <c r="V62" s="20">
        <v>27.352093400000001</v>
      </c>
      <c r="W62">
        <v>26.646989999999999</v>
      </c>
      <c r="X62">
        <v>7.9359999999999999</v>
      </c>
      <c r="Y62">
        <v>5.7050000000000001</v>
      </c>
      <c r="Z62">
        <v>0</v>
      </c>
      <c r="AC62" t="s">
        <v>464</v>
      </c>
      <c r="AD62">
        <v>14</v>
      </c>
      <c r="AE62" s="44">
        <f t="shared" si="0"/>
        <v>0</v>
      </c>
      <c r="AF62" s="46">
        <v>1265.6493143942739</v>
      </c>
      <c r="AG62" s="44">
        <v>1206.4392746112001</v>
      </c>
      <c r="AH62" s="44">
        <v>0</v>
      </c>
      <c r="AI62" s="41"/>
      <c r="AJ62" s="40">
        <v>8.8492127105210025E-2</v>
      </c>
      <c r="AK62" s="41">
        <v>9.2835174017436004E-2</v>
      </c>
      <c r="AL62" s="41"/>
      <c r="AM62" s="23">
        <v>1.8181818181818179</v>
      </c>
      <c r="AN62" s="23">
        <v>2.545454545454545</v>
      </c>
      <c r="AO62" s="23">
        <v>0.72727272727272729</v>
      </c>
      <c r="AP62" s="23">
        <v>0</v>
      </c>
      <c r="AQ62" s="23">
        <v>0.35714285714285721</v>
      </c>
      <c r="AR62" s="23">
        <v>0.5</v>
      </c>
      <c r="AS62" s="23">
        <v>0.1428571428571429</v>
      </c>
      <c r="AT62" s="23">
        <v>0</v>
      </c>
      <c r="AU62" s="20">
        <v>0.95</v>
      </c>
      <c r="AV62" s="20">
        <v>3.44</v>
      </c>
      <c r="AW62" s="20">
        <v>2.4900000000000002</v>
      </c>
      <c r="AX62" s="20">
        <v>2.6527272727272719</v>
      </c>
      <c r="AY62">
        <v>2.6527272727272728</v>
      </c>
      <c r="AZ62">
        <v>6.0182046818181814</v>
      </c>
      <c r="BA62" s="64">
        <v>0.5176653673612065</v>
      </c>
      <c r="BB62" s="64">
        <v>0.54307152550012683</v>
      </c>
      <c r="BE62">
        <v>4.4246063552605013E-2</v>
      </c>
      <c r="BF62">
        <v>4.6417587008717988E-2</v>
      </c>
      <c r="BH62">
        <v>9.0663650561323014E-2</v>
      </c>
      <c r="BI62">
        <v>4.53318252806615E-2</v>
      </c>
      <c r="BJ62">
        <v>0.53036844643066661</v>
      </c>
    </row>
    <row r="63" spans="1:62" x14ac:dyDescent="0.3">
      <c r="A63" t="s">
        <v>38</v>
      </c>
      <c r="B63" s="12" t="s">
        <v>714</v>
      </c>
      <c r="C63" s="12"/>
      <c r="F63">
        <v>3.91</v>
      </c>
      <c r="G63" t="s">
        <v>36</v>
      </c>
      <c r="H63" s="8" t="s">
        <v>545</v>
      </c>
      <c r="I63" t="s">
        <v>626</v>
      </c>
      <c r="L63" s="20">
        <v>1</v>
      </c>
      <c r="M63">
        <v>1</v>
      </c>
      <c r="N63">
        <v>0</v>
      </c>
      <c r="T63" s="20">
        <v>5.8532381300000003</v>
      </c>
      <c r="U63" s="20">
        <v>5.8532371599999999</v>
      </c>
      <c r="V63" s="20">
        <v>11.912811489999999</v>
      </c>
      <c r="W63">
        <v>5.7946</v>
      </c>
      <c r="X63">
        <v>5.7946</v>
      </c>
      <c r="Y63">
        <v>11.787599999999999</v>
      </c>
      <c r="Z63">
        <v>0</v>
      </c>
      <c r="AC63" t="s">
        <v>464</v>
      </c>
      <c r="AD63">
        <v>30</v>
      </c>
      <c r="AE63" s="44">
        <f t="shared" si="0"/>
        <v>0</v>
      </c>
      <c r="AF63" s="46">
        <v>353.45760058531442</v>
      </c>
      <c r="AG63" s="44">
        <v>342.77011164986573</v>
      </c>
      <c r="AH63" s="44">
        <v>0</v>
      </c>
      <c r="AI63" s="41"/>
      <c r="AJ63" s="40">
        <v>8.487580957467307E-2</v>
      </c>
      <c r="AK63" s="41">
        <v>8.752221672887435E-2</v>
      </c>
      <c r="AL63" s="41"/>
      <c r="AM63" s="23">
        <v>1.833333333333333</v>
      </c>
      <c r="AN63" s="23">
        <v>2.5</v>
      </c>
      <c r="AO63" s="23">
        <v>0.66666666666666663</v>
      </c>
      <c r="AP63" s="23">
        <v>0</v>
      </c>
      <c r="AQ63" s="23">
        <v>0.36666666666666659</v>
      </c>
      <c r="AR63" s="23">
        <v>0.5</v>
      </c>
      <c r="AS63" s="23">
        <v>0.1333333333333333</v>
      </c>
      <c r="AT63" s="23">
        <v>0</v>
      </c>
      <c r="AU63" s="20">
        <v>0.89</v>
      </c>
      <c r="AV63" s="20">
        <v>3.44</v>
      </c>
      <c r="AW63" s="20">
        <v>2.5499999999999998</v>
      </c>
      <c r="AX63" s="20">
        <v>2.6020833333333329</v>
      </c>
      <c r="AY63">
        <v>2.6020833333333329</v>
      </c>
      <c r="AZ63">
        <v>5.9098726145833336</v>
      </c>
      <c r="BA63" s="64">
        <v>0.57410011132036598</v>
      </c>
      <c r="BB63" s="64">
        <v>0.59200041353179045</v>
      </c>
      <c r="BE63">
        <v>4.2437904787336528E-2</v>
      </c>
      <c r="BF63">
        <v>4.3761108364437168E-2</v>
      </c>
      <c r="BH63">
        <v>8.619901315177371E-2</v>
      </c>
      <c r="BI63">
        <v>4.3099506575886848E-2</v>
      </c>
      <c r="BJ63">
        <v>0.58305026242607827</v>
      </c>
    </row>
    <row r="64" spans="1:62" x14ac:dyDescent="0.3">
      <c r="A64" t="s">
        <v>51</v>
      </c>
      <c r="B64" s="12" t="s">
        <v>703</v>
      </c>
      <c r="C64" s="12"/>
      <c r="F64">
        <v>5.5</v>
      </c>
      <c r="G64" t="s">
        <v>52</v>
      </c>
      <c r="H64" s="8" t="s">
        <v>536</v>
      </c>
      <c r="I64" t="s">
        <v>617</v>
      </c>
      <c r="L64" s="20">
        <v>1</v>
      </c>
      <c r="M64">
        <v>4</v>
      </c>
      <c r="N64">
        <v>0</v>
      </c>
      <c r="T64" s="20">
        <v>12.88926011</v>
      </c>
      <c r="U64" s="20">
        <v>12.88926011</v>
      </c>
      <c r="V64" s="20">
        <v>12.88926011</v>
      </c>
      <c r="W64">
        <v>5.5223699999999996</v>
      </c>
      <c r="X64">
        <v>5.5240799999999997</v>
      </c>
      <c r="Y64">
        <v>25.026399999999999</v>
      </c>
      <c r="Z64">
        <v>0</v>
      </c>
      <c r="AC64" t="s">
        <v>464</v>
      </c>
      <c r="AD64">
        <v>18</v>
      </c>
      <c r="AE64" s="44">
        <f t="shared" si="0"/>
        <v>0</v>
      </c>
      <c r="AF64" s="46">
        <v>195.03203980213701</v>
      </c>
      <c r="AG64" s="44">
        <v>763.45570050087724</v>
      </c>
      <c r="AH64" s="44">
        <v>0</v>
      </c>
      <c r="AI64" s="41"/>
      <c r="AJ64" s="40">
        <v>9.2292528029042184E-2</v>
      </c>
      <c r="AK64" s="41">
        <v>9.4308025930991482E-2</v>
      </c>
      <c r="AL64" s="41"/>
      <c r="AM64" s="23">
        <v>2</v>
      </c>
      <c r="AN64" s="23">
        <v>3</v>
      </c>
      <c r="AO64" s="23">
        <v>1.857142857142857</v>
      </c>
      <c r="AP64" s="23">
        <v>4</v>
      </c>
      <c r="AQ64" s="23">
        <v>0.18421052631578949</v>
      </c>
      <c r="AR64" s="23">
        <v>0.27631578947368418</v>
      </c>
      <c r="AS64" s="23">
        <v>0.1710526315789474</v>
      </c>
      <c r="AT64" s="23">
        <v>0.36842105263157893</v>
      </c>
      <c r="AU64" s="20">
        <v>0.95</v>
      </c>
      <c r="AV64" s="20">
        <v>3.44</v>
      </c>
      <c r="AW64" s="20">
        <v>2.4900000000000002</v>
      </c>
      <c r="AX64" s="20">
        <v>2.782142857142857</v>
      </c>
      <c r="AY64">
        <v>2.7821428571428579</v>
      </c>
      <c r="AZ64">
        <v>6.2021612289285706</v>
      </c>
      <c r="BA64" s="64">
        <v>0.52524560229640982</v>
      </c>
      <c r="BB64" s="64">
        <v>0.53671599358424449</v>
      </c>
      <c r="BE64">
        <v>4.6146264014521092E-2</v>
      </c>
      <c r="BF64">
        <v>4.7154012965495741E-2</v>
      </c>
      <c r="BH64">
        <v>9.3300276980016833E-2</v>
      </c>
      <c r="BI64">
        <v>4.6650138490008423E-2</v>
      </c>
      <c r="BJ64">
        <v>0.53098079794032715</v>
      </c>
    </row>
    <row r="65" spans="1:62" x14ac:dyDescent="0.3">
      <c r="A65" t="s">
        <v>53</v>
      </c>
      <c r="B65" s="12" t="s">
        <v>726</v>
      </c>
      <c r="C65" s="12"/>
      <c r="F65">
        <v>1.96</v>
      </c>
      <c r="G65" t="s">
        <v>54</v>
      </c>
      <c r="H65" s="8" t="s">
        <v>554</v>
      </c>
      <c r="I65">
        <v>-1</v>
      </c>
      <c r="L65" s="20">
        <v>1</v>
      </c>
      <c r="M65">
        <v>0</v>
      </c>
      <c r="N65">
        <v>0</v>
      </c>
      <c r="R65" t="s">
        <v>444</v>
      </c>
      <c r="T65" s="20">
        <v>5.6904349999999999</v>
      </c>
      <c r="U65" s="20">
        <v>5.6904349999999999</v>
      </c>
      <c r="V65" s="20">
        <v>4.0362910000000003</v>
      </c>
      <c r="W65">
        <v>0</v>
      </c>
      <c r="Z65">
        <v>0</v>
      </c>
      <c r="AC65" t="s">
        <v>464</v>
      </c>
      <c r="AD65">
        <v>12</v>
      </c>
      <c r="AE65" s="44">
        <f t="shared" si="0"/>
        <v>0</v>
      </c>
      <c r="AF65" s="46">
        <v>130.69934266020451</v>
      </c>
      <c r="AG65" s="44">
        <v>0</v>
      </c>
      <c r="AH65" s="44">
        <v>0</v>
      </c>
      <c r="AI65" s="41"/>
      <c r="AJ65" s="40">
        <v>9.1813774696617348E-2</v>
      </c>
      <c r="AK65" s="41"/>
      <c r="AL65" s="41"/>
      <c r="AM65" s="23">
        <v>2</v>
      </c>
      <c r="AN65" s="23">
        <v>2.6</v>
      </c>
      <c r="AO65" s="23">
        <v>1.6</v>
      </c>
      <c r="AP65" s="23">
        <v>0</v>
      </c>
      <c r="AQ65" s="23">
        <v>0.32258064516129031</v>
      </c>
      <c r="AR65" s="23">
        <v>0.41935483870967738</v>
      </c>
      <c r="AS65" s="23">
        <v>0.25806451612903231</v>
      </c>
      <c r="AT65" s="23">
        <v>0</v>
      </c>
      <c r="AU65" s="20">
        <v>0.95</v>
      </c>
      <c r="AV65" s="20">
        <v>3.44</v>
      </c>
      <c r="AW65" s="20">
        <v>2.4900000000000002</v>
      </c>
      <c r="AX65" s="20">
        <v>2.633</v>
      </c>
      <c r="AY65">
        <v>2.633</v>
      </c>
      <c r="AZ65">
        <v>5.9240260669999998</v>
      </c>
      <c r="BA65" s="64">
        <v>0</v>
      </c>
      <c r="BE65">
        <v>4.5906887348308653E-2</v>
      </c>
      <c r="BH65">
        <v>9.1813774696617348E-2</v>
      </c>
      <c r="BI65">
        <v>4.5906887348308653E-2</v>
      </c>
      <c r="BJ65">
        <v>0</v>
      </c>
    </row>
    <row r="66" spans="1:62" x14ac:dyDescent="0.3">
      <c r="A66" t="s">
        <v>44</v>
      </c>
      <c r="B66" s="12" t="s">
        <v>720</v>
      </c>
      <c r="C66" s="12"/>
      <c r="F66">
        <v>3.63</v>
      </c>
      <c r="G66" t="s">
        <v>55</v>
      </c>
      <c r="H66" s="8" t="s">
        <v>549</v>
      </c>
      <c r="I66">
        <v>-1</v>
      </c>
      <c r="L66" s="20">
        <v>1</v>
      </c>
      <c r="M66">
        <v>0</v>
      </c>
      <c r="N66">
        <v>0</v>
      </c>
      <c r="O66">
        <v>3.8769</v>
      </c>
      <c r="P66">
        <v>3.8769</v>
      </c>
      <c r="Q66">
        <v>29.824000000000002</v>
      </c>
      <c r="R66" t="s">
        <v>440</v>
      </c>
      <c r="T66" s="20">
        <v>15.28115725</v>
      </c>
      <c r="U66" s="20">
        <v>15.28115725</v>
      </c>
      <c r="V66" s="20">
        <v>15.28115725</v>
      </c>
      <c r="W66">
        <v>0</v>
      </c>
      <c r="Z66">
        <v>0</v>
      </c>
      <c r="AC66" t="s">
        <v>464</v>
      </c>
      <c r="AD66">
        <v>20</v>
      </c>
      <c r="AE66" s="44">
        <f t="shared" si="0"/>
        <v>448.26526606464006</v>
      </c>
      <c r="AF66" s="46">
        <v>229.90248606119221</v>
      </c>
      <c r="AG66" s="44">
        <v>0</v>
      </c>
      <c r="AH66" s="44">
        <v>0</v>
      </c>
      <c r="AI66" s="41"/>
      <c r="AJ66" s="40">
        <v>8.6993404650164072E-2</v>
      </c>
      <c r="AK66" s="41"/>
      <c r="AL66" s="41"/>
      <c r="AM66" s="23">
        <v>1.882352941176471</v>
      </c>
      <c r="AN66" s="23">
        <v>2.3529411764705879</v>
      </c>
      <c r="AO66" s="23">
        <v>0.47058823529411759</v>
      </c>
      <c r="AP66" s="23">
        <v>0</v>
      </c>
      <c r="AQ66" s="23">
        <v>0.4</v>
      </c>
      <c r="AR66" s="23">
        <v>0.5</v>
      </c>
      <c r="AS66" s="23">
        <v>9.9999999999999992E-2</v>
      </c>
      <c r="AT66" s="23">
        <v>0</v>
      </c>
      <c r="AU66" s="20">
        <v>0.82</v>
      </c>
      <c r="AV66" s="20">
        <v>3.44</v>
      </c>
      <c r="AW66" s="20">
        <v>2.62</v>
      </c>
      <c r="AX66" s="20">
        <v>2.5211764705882351</v>
      </c>
      <c r="AY66">
        <v>2.521176470588236</v>
      </c>
      <c r="AZ66">
        <v>5.6898745917647062</v>
      </c>
      <c r="BA66" s="64">
        <v>0.57369840599679445</v>
      </c>
      <c r="BE66">
        <v>4.3496702325082043E-2</v>
      </c>
      <c r="BH66">
        <v>8.6993404650164072E-2</v>
      </c>
      <c r="BI66">
        <v>4.3496702325082043E-2</v>
      </c>
      <c r="BJ66">
        <v>0.57369840599679445</v>
      </c>
    </row>
    <row r="67" spans="1:62" x14ac:dyDescent="0.3">
      <c r="A67" t="s">
        <v>677</v>
      </c>
      <c r="B67" s="16" t="s">
        <v>893</v>
      </c>
      <c r="C67" s="12"/>
      <c r="F67">
        <v>2.67</v>
      </c>
      <c r="G67" t="s">
        <v>55</v>
      </c>
      <c r="H67" s="8">
        <v>-1</v>
      </c>
      <c r="I67">
        <v>-1</v>
      </c>
      <c r="K67">
        <v>2</v>
      </c>
      <c r="L67" s="20">
        <v>0</v>
      </c>
      <c r="M67">
        <v>0</v>
      </c>
      <c r="N67">
        <v>0</v>
      </c>
      <c r="O67">
        <v>3.8079999999999998</v>
      </c>
      <c r="P67">
        <v>3.8079999999999998</v>
      </c>
      <c r="Q67">
        <v>28.87</v>
      </c>
      <c r="R67" t="s">
        <v>440</v>
      </c>
      <c r="T67" s="20">
        <v>0</v>
      </c>
      <c r="U67" s="20"/>
      <c r="V67" s="20"/>
      <c r="W67">
        <v>0</v>
      </c>
      <c r="Z67">
        <v>0</v>
      </c>
      <c r="AC67" t="s">
        <v>464</v>
      </c>
      <c r="AD67">
        <v>20</v>
      </c>
      <c r="AE67" s="44">
        <f t="shared" ref="AE67:AE130" si="1">O67*P67*Q67</f>
        <v>418.63994367999999</v>
      </c>
      <c r="AF67" s="46">
        <v>0</v>
      </c>
      <c r="AG67" s="44">
        <v>0</v>
      </c>
      <c r="AH67" s="44">
        <v>0</v>
      </c>
      <c r="AI67" s="41">
        <f>K67*AD67/AE67</f>
        <v>9.5547499955176765E-2</v>
      </c>
      <c r="AJ67" s="40"/>
      <c r="AK67" s="41"/>
      <c r="AL67" s="41"/>
      <c r="AM67" s="23">
        <v>1.933534743202417</v>
      </c>
      <c r="AN67" s="23">
        <v>2.4712990936555901</v>
      </c>
      <c r="AO67" s="23">
        <v>0.75528700906344426</v>
      </c>
      <c r="AP67" s="23">
        <v>0</v>
      </c>
      <c r="AQ67" s="23">
        <v>0.37470725995316168</v>
      </c>
      <c r="AR67" s="23">
        <v>0.47892271662763469</v>
      </c>
      <c r="AS67" s="23">
        <v>0.1463700234192038</v>
      </c>
      <c r="AT67" s="23">
        <v>0</v>
      </c>
      <c r="AU67" s="20">
        <v>0.82</v>
      </c>
      <c r="AV67" s="20">
        <v>3.44</v>
      </c>
      <c r="AW67" s="20">
        <v>2.62</v>
      </c>
      <c r="AX67" s="20">
        <v>2.673474320241692</v>
      </c>
      <c r="AY67">
        <v>2.673474320241692</v>
      </c>
      <c r="AZ67">
        <v>6.086490604281928</v>
      </c>
      <c r="BD67">
        <v>4.7773749977588383E-2</v>
      </c>
      <c r="BH67">
        <v>9.5547499955176765E-2</v>
      </c>
      <c r="BI67">
        <v>4.7773749977588383E-2</v>
      </c>
      <c r="BJ67">
        <v>0</v>
      </c>
    </row>
    <row r="68" spans="1:62" x14ac:dyDescent="0.3">
      <c r="A68" t="s">
        <v>44</v>
      </c>
      <c r="B68" s="16" t="s">
        <v>720</v>
      </c>
      <c r="C68" s="12"/>
      <c r="D68" t="s">
        <v>676</v>
      </c>
      <c r="E68" t="s">
        <v>1067</v>
      </c>
      <c r="F68">
        <v>3.59</v>
      </c>
      <c r="G68" t="s">
        <v>55</v>
      </c>
      <c r="H68" s="8" t="s">
        <v>549</v>
      </c>
      <c r="I68">
        <v>-1</v>
      </c>
      <c r="L68" s="20">
        <v>1</v>
      </c>
      <c r="M68">
        <v>0</v>
      </c>
      <c r="N68">
        <v>0</v>
      </c>
      <c r="O68">
        <f xml:space="preserve"> 3.857</f>
        <v>3.8570000000000002</v>
      </c>
      <c r="P68">
        <f xml:space="preserve"> 3.857</f>
        <v>3.8570000000000002</v>
      </c>
      <c r="Q68">
        <v>14.692</v>
      </c>
      <c r="R68" t="s">
        <v>439</v>
      </c>
      <c r="T68" s="20">
        <v>15.28115725</v>
      </c>
      <c r="U68" s="20">
        <v>15.28115725</v>
      </c>
      <c r="V68" s="20">
        <v>15.28115725</v>
      </c>
      <c r="W68">
        <v>0</v>
      </c>
      <c r="Z68">
        <v>0</v>
      </c>
      <c r="AC68" t="s">
        <v>464</v>
      </c>
      <c r="AD68">
        <v>20</v>
      </c>
      <c r="AE68" s="44">
        <f t="shared" si="1"/>
        <v>218.56478870800001</v>
      </c>
      <c r="AF68" s="46">
        <v>229.90248606119221</v>
      </c>
      <c r="AG68" s="44">
        <v>0</v>
      </c>
      <c r="AH68" s="44">
        <v>0</v>
      </c>
      <c r="AI68" s="41"/>
      <c r="AJ68" s="40">
        <v>8.6993404650164072E-2</v>
      </c>
      <c r="AK68" s="41"/>
      <c r="AL68" s="41"/>
      <c r="AM68" s="23">
        <v>1.882352941176471</v>
      </c>
      <c r="AN68" s="23">
        <v>2.3529411764705879</v>
      </c>
      <c r="AO68" s="23">
        <v>0.47058823529411759</v>
      </c>
      <c r="AP68" s="23">
        <v>0</v>
      </c>
      <c r="AQ68" s="23">
        <v>0.4</v>
      </c>
      <c r="AR68" s="23">
        <v>0.5</v>
      </c>
      <c r="AS68" s="23">
        <v>9.9999999999999992E-2</v>
      </c>
      <c r="AT68" s="23">
        <v>0</v>
      </c>
      <c r="AU68" s="20">
        <v>0.82</v>
      </c>
      <c r="AV68" s="20">
        <v>3.44</v>
      </c>
      <c r="AW68" s="20">
        <v>2.62</v>
      </c>
      <c r="AX68" s="20">
        <v>2.5211764705882351</v>
      </c>
      <c r="AY68">
        <v>2.521176470588236</v>
      </c>
      <c r="AZ68">
        <v>5.6898745917647062</v>
      </c>
      <c r="BA68" s="64">
        <v>0.57369840599679445</v>
      </c>
      <c r="BE68">
        <v>4.3496702325082043E-2</v>
      </c>
      <c r="BH68">
        <v>8.6993404650164072E-2</v>
      </c>
      <c r="BI68">
        <v>4.3496702325082043E-2</v>
      </c>
      <c r="BJ68">
        <v>0.57369840599679445</v>
      </c>
    </row>
    <row r="69" spans="1:62" x14ac:dyDescent="0.3">
      <c r="A69" t="s">
        <v>107</v>
      </c>
      <c r="B69" s="12" t="s">
        <v>728</v>
      </c>
      <c r="C69" s="12"/>
      <c r="F69">
        <v>2.34</v>
      </c>
      <c r="G69" t="s">
        <v>447</v>
      </c>
      <c r="H69" s="8" t="s">
        <v>555</v>
      </c>
      <c r="I69" t="s">
        <v>632</v>
      </c>
      <c r="L69" s="20">
        <v>0</v>
      </c>
      <c r="M69">
        <v>4</v>
      </c>
      <c r="N69">
        <v>0</v>
      </c>
      <c r="T69" s="20">
        <v>0</v>
      </c>
      <c r="U69" s="20"/>
      <c r="V69" s="20"/>
      <c r="W69">
        <v>32.83</v>
      </c>
      <c r="X69">
        <v>5.4109999999999996</v>
      </c>
      <c r="Y69">
        <v>5.4480000000000004</v>
      </c>
      <c r="Z69">
        <v>0</v>
      </c>
      <c r="AD69">
        <v>20</v>
      </c>
      <c r="AE69" s="44">
        <f t="shared" si="1"/>
        <v>0</v>
      </c>
      <c r="AF69" s="46">
        <v>0</v>
      </c>
      <c r="AG69" s="44">
        <v>967.79977224000004</v>
      </c>
      <c r="AH69" s="44">
        <v>0</v>
      </c>
      <c r="AI69" s="41"/>
      <c r="AJ69" s="40"/>
      <c r="AK69" s="41">
        <v>8.2661726417684239E-2</v>
      </c>
      <c r="AL69" s="41"/>
      <c r="AM69" s="23">
        <v>2</v>
      </c>
      <c r="AN69" s="23">
        <v>3.0666666666666669</v>
      </c>
      <c r="AO69" s="23">
        <v>1.7333333333333329</v>
      </c>
      <c r="AP69" s="23">
        <v>1.8666666666666669</v>
      </c>
      <c r="AQ69" s="23">
        <v>0.23076923076923081</v>
      </c>
      <c r="AR69" s="23">
        <v>0.35384615384615392</v>
      </c>
      <c r="AS69" s="23">
        <v>0.2</v>
      </c>
      <c r="AT69" s="23">
        <v>0.2153846153846154</v>
      </c>
      <c r="AU69" s="20">
        <v>1.54</v>
      </c>
      <c r="AV69" s="20">
        <v>3.44</v>
      </c>
      <c r="AW69" s="20">
        <v>1.9</v>
      </c>
      <c r="AX69" s="20">
        <v>2.8706666666666658</v>
      </c>
      <c r="AY69">
        <v>2.8706666666666671</v>
      </c>
      <c r="AZ69">
        <v>6.2652784753333339</v>
      </c>
      <c r="BA69" s="64">
        <v>0.52818907539878324</v>
      </c>
      <c r="BB69" s="64">
        <v>0.54796980145127927</v>
      </c>
      <c r="BF69">
        <v>4.133086320884212E-2</v>
      </c>
      <c r="BH69">
        <v>8.2661726417684239E-2</v>
      </c>
      <c r="BI69">
        <v>4.133086320884212E-2</v>
      </c>
      <c r="BJ69">
        <v>0.53807943842503125</v>
      </c>
    </row>
    <row r="70" spans="1:62" x14ac:dyDescent="0.3">
      <c r="A70" t="s">
        <v>107</v>
      </c>
      <c r="B70" s="16" t="s">
        <v>728</v>
      </c>
      <c r="C70" s="12"/>
      <c r="D70" t="s">
        <v>678</v>
      </c>
      <c r="E70" t="s">
        <v>1067</v>
      </c>
      <c r="F70">
        <v>1.64</v>
      </c>
      <c r="G70" t="s">
        <v>447</v>
      </c>
      <c r="H70" s="8" t="s">
        <v>555</v>
      </c>
      <c r="I70" t="s">
        <v>632</v>
      </c>
      <c r="L70" s="20">
        <v>0</v>
      </c>
      <c r="M70">
        <v>4</v>
      </c>
      <c r="N70">
        <v>0</v>
      </c>
      <c r="T70" s="20">
        <v>0</v>
      </c>
      <c r="U70" s="20"/>
      <c r="V70" s="20"/>
      <c r="W70">
        <v>32.83</v>
      </c>
      <c r="X70">
        <v>5.4109999999999996</v>
      </c>
      <c r="Y70">
        <v>5.4480000000000004</v>
      </c>
      <c r="Z70">
        <v>0</v>
      </c>
      <c r="AD70">
        <v>20</v>
      </c>
      <c r="AE70" s="44">
        <f t="shared" si="1"/>
        <v>0</v>
      </c>
      <c r="AF70" s="46">
        <v>0</v>
      </c>
      <c r="AG70" s="44">
        <v>967.79977224000004</v>
      </c>
      <c r="AH70" s="44">
        <v>0</v>
      </c>
      <c r="AI70" s="41"/>
      <c r="AJ70" s="40"/>
      <c r="AK70" s="41">
        <v>8.2661726417684239E-2</v>
      </c>
      <c r="AL70" s="41"/>
      <c r="AM70" s="23">
        <v>2</v>
      </c>
      <c r="AN70" s="23">
        <v>3.0666666666666669</v>
      </c>
      <c r="AO70" s="23">
        <v>1.7333333333333329</v>
      </c>
      <c r="AP70" s="23">
        <v>1.8666666666666669</v>
      </c>
      <c r="AQ70" s="23">
        <v>0.23076923076923081</v>
      </c>
      <c r="AR70" s="23">
        <v>0.35384615384615392</v>
      </c>
      <c r="AS70" s="23">
        <v>0.2</v>
      </c>
      <c r="AT70" s="23">
        <v>0.2153846153846154</v>
      </c>
      <c r="AU70" s="20">
        <v>1.54</v>
      </c>
      <c r="AV70" s="20">
        <v>3.44</v>
      </c>
      <c r="AW70" s="20">
        <v>1.9</v>
      </c>
      <c r="AX70" s="20">
        <v>2.8706666666666658</v>
      </c>
      <c r="AY70">
        <v>2.8706666666666671</v>
      </c>
      <c r="AZ70">
        <v>6.2652784753333339</v>
      </c>
      <c r="BA70" s="64">
        <v>0.52818907539878324</v>
      </c>
      <c r="BB70" s="64">
        <v>0.54796980145127927</v>
      </c>
      <c r="BF70">
        <v>4.133086320884212E-2</v>
      </c>
      <c r="BH70">
        <v>8.2661726417684239E-2</v>
      </c>
      <c r="BI70">
        <v>4.133086320884212E-2</v>
      </c>
      <c r="BJ70">
        <v>0.53807943842503125</v>
      </c>
    </row>
    <row r="71" spans="1:62" x14ac:dyDescent="0.3">
      <c r="A71" t="s">
        <v>185</v>
      </c>
      <c r="B71" s="12" t="s">
        <v>729</v>
      </c>
      <c r="C71" s="12"/>
      <c r="F71">
        <v>4.5999999999999996</v>
      </c>
      <c r="G71" t="s">
        <v>57</v>
      </c>
      <c r="H71" s="8" t="s">
        <v>556</v>
      </c>
      <c r="I71" t="s">
        <v>633</v>
      </c>
      <c r="L71" s="20">
        <v>2</v>
      </c>
      <c r="M71">
        <v>4</v>
      </c>
      <c r="N71">
        <v>0</v>
      </c>
      <c r="T71" s="20">
        <v>13.81974189</v>
      </c>
      <c r="U71" s="20">
        <v>13.81974189</v>
      </c>
      <c r="V71" s="20">
        <v>5.7110870199999999</v>
      </c>
      <c r="W71">
        <v>3.94</v>
      </c>
      <c r="X71">
        <v>27.15</v>
      </c>
      <c r="Y71">
        <v>5.6920000000000002</v>
      </c>
      <c r="Z71">
        <v>0</v>
      </c>
      <c r="AD71">
        <v>14</v>
      </c>
      <c r="AE71" s="44">
        <f t="shared" si="1"/>
        <v>0</v>
      </c>
      <c r="AF71" s="46">
        <v>309.44138863753989</v>
      </c>
      <c r="AG71" s="44">
        <v>608.87893199999996</v>
      </c>
      <c r="AH71" s="44">
        <v>0</v>
      </c>
      <c r="AI71" s="41"/>
      <c r="AJ71" s="40">
        <v>9.0485633235046756E-2</v>
      </c>
      <c r="AK71" s="41">
        <v>9.1972306901891634E-2</v>
      </c>
      <c r="AL71" s="41"/>
      <c r="AM71" s="23">
        <v>2</v>
      </c>
      <c r="AN71" s="23">
        <v>2.545454545454545</v>
      </c>
      <c r="AO71" s="23">
        <v>0.54545454545454541</v>
      </c>
      <c r="AP71" s="23">
        <v>2.545454545454545</v>
      </c>
      <c r="AQ71" s="23">
        <v>0.26190476190476192</v>
      </c>
      <c r="AR71" s="23">
        <v>0.33333333333333331</v>
      </c>
      <c r="AS71" s="23">
        <v>7.1428571428571425E-2</v>
      </c>
      <c r="AT71" s="23">
        <v>0.33333333333333331</v>
      </c>
      <c r="AU71" s="20">
        <v>0.95</v>
      </c>
      <c r="AV71" s="20">
        <v>3.44</v>
      </c>
      <c r="AW71" s="20">
        <v>2.4900000000000002</v>
      </c>
      <c r="AX71" s="20">
        <v>2.6345454545454539</v>
      </c>
      <c r="AY71">
        <v>2.6345454545454552</v>
      </c>
      <c r="AZ71">
        <v>6.036062318181818</v>
      </c>
      <c r="BA71" s="64">
        <v>0.52932707238284982</v>
      </c>
      <c r="BB71" s="64">
        <v>0.53802388525275069</v>
      </c>
      <c r="BE71">
        <v>4.5242816617523378E-2</v>
      </c>
      <c r="BF71">
        <v>4.5986153450945817E-2</v>
      </c>
      <c r="BH71">
        <v>9.1228970068469195E-2</v>
      </c>
      <c r="BI71">
        <v>4.5614485034234598E-2</v>
      </c>
      <c r="BJ71">
        <v>0.5336754788178002</v>
      </c>
    </row>
    <row r="72" spans="1:62" x14ac:dyDescent="0.3">
      <c r="A72" t="s">
        <v>49</v>
      </c>
      <c r="B72" s="12" t="s">
        <v>725</v>
      </c>
      <c r="C72" s="12"/>
      <c r="F72">
        <v>3.9</v>
      </c>
      <c r="G72" t="s">
        <v>57</v>
      </c>
      <c r="H72" s="8" t="s">
        <v>553</v>
      </c>
      <c r="I72" t="s">
        <v>631</v>
      </c>
      <c r="L72" s="20">
        <v>8</v>
      </c>
      <c r="M72">
        <v>8</v>
      </c>
      <c r="N72">
        <v>0</v>
      </c>
      <c r="T72" s="20">
        <v>5.8017180100000001</v>
      </c>
      <c r="U72" s="20">
        <v>7.9756520899999996</v>
      </c>
      <c r="V72" s="20">
        <v>27.352093400000001</v>
      </c>
      <c r="W72">
        <v>26.646989999999999</v>
      </c>
      <c r="X72">
        <v>7.9359999999999999</v>
      </c>
      <c r="Y72">
        <v>5.7050000000000001</v>
      </c>
      <c r="Z72">
        <v>0</v>
      </c>
      <c r="AD72">
        <v>14</v>
      </c>
      <c r="AE72" s="44">
        <f t="shared" si="1"/>
        <v>0</v>
      </c>
      <c r="AF72" s="46">
        <v>1265.6493143942739</v>
      </c>
      <c r="AG72" s="44">
        <v>1206.4392746112001</v>
      </c>
      <c r="AH72" s="44">
        <v>0</v>
      </c>
      <c r="AI72" s="41"/>
      <c r="AJ72" s="40">
        <v>8.8492127105210025E-2</v>
      </c>
      <c r="AK72" s="41">
        <v>9.2835174017436004E-2</v>
      </c>
      <c r="AL72" s="41"/>
      <c r="AM72" s="23">
        <v>1.8181818181818179</v>
      </c>
      <c r="AN72" s="23">
        <v>2.545454545454545</v>
      </c>
      <c r="AO72" s="23">
        <v>0.72727272727272729</v>
      </c>
      <c r="AP72" s="23">
        <v>0</v>
      </c>
      <c r="AQ72" s="23">
        <v>0.35714285714285721</v>
      </c>
      <c r="AR72" s="23">
        <v>0.5</v>
      </c>
      <c r="AS72" s="23">
        <v>0.1428571428571429</v>
      </c>
      <c r="AT72" s="23">
        <v>0</v>
      </c>
      <c r="AU72" s="20">
        <v>0.95</v>
      </c>
      <c r="AV72" s="20">
        <v>3.44</v>
      </c>
      <c r="AW72" s="20">
        <v>2.4900000000000002</v>
      </c>
      <c r="AX72" s="20">
        <v>2.6527272727272719</v>
      </c>
      <c r="AY72">
        <v>2.6527272727272728</v>
      </c>
      <c r="AZ72">
        <v>6.0182046818181814</v>
      </c>
      <c r="BA72" s="64">
        <v>0.5176653673612065</v>
      </c>
      <c r="BB72" s="64">
        <v>0.54307152550012683</v>
      </c>
      <c r="BE72">
        <v>4.4246063552605013E-2</v>
      </c>
      <c r="BF72">
        <v>4.6417587008717988E-2</v>
      </c>
      <c r="BH72">
        <v>9.0663650561323014E-2</v>
      </c>
      <c r="BI72">
        <v>4.53318252806615E-2</v>
      </c>
      <c r="BJ72">
        <v>0.53036844643066661</v>
      </c>
    </row>
    <row r="73" spans="1:62" x14ac:dyDescent="0.3">
      <c r="A73" t="s">
        <v>56</v>
      </c>
      <c r="B73" s="12" t="s">
        <v>730</v>
      </c>
      <c r="C73" s="12"/>
      <c r="F73">
        <v>3.6</v>
      </c>
      <c r="G73" t="s">
        <v>57</v>
      </c>
      <c r="H73" s="8" t="s">
        <v>557</v>
      </c>
      <c r="I73" t="s">
        <v>634</v>
      </c>
      <c r="L73" s="20">
        <v>1</v>
      </c>
      <c r="M73">
        <v>4</v>
      </c>
      <c r="N73">
        <v>0</v>
      </c>
      <c r="T73" s="20">
        <v>2.92483936</v>
      </c>
      <c r="U73" s="20">
        <v>2.92483936</v>
      </c>
      <c r="V73" s="20">
        <v>3.4422619999999999</v>
      </c>
      <c r="W73">
        <v>4.1684000000000001</v>
      </c>
      <c r="X73">
        <v>4.1684000000000001</v>
      </c>
      <c r="Y73">
        <v>4.1684000000000001</v>
      </c>
      <c r="Z73">
        <v>0</v>
      </c>
      <c r="AD73">
        <v>2</v>
      </c>
      <c r="AE73" s="44">
        <f t="shared" si="1"/>
        <v>0</v>
      </c>
      <c r="AF73" s="46">
        <v>25.502259160055111</v>
      </c>
      <c r="AG73" s="44">
        <v>72.428278301504008</v>
      </c>
      <c r="AH73" s="44">
        <v>0</v>
      </c>
      <c r="AI73" s="41"/>
      <c r="AJ73" s="40">
        <v>7.8424424575398208E-2</v>
      </c>
      <c r="AK73" s="41">
        <v>0.1104540959360879</v>
      </c>
      <c r="AL73" s="41"/>
      <c r="AM73" s="23">
        <v>2</v>
      </c>
      <c r="AN73" s="23">
        <v>2</v>
      </c>
      <c r="AO73" s="23">
        <v>4</v>
      </c>
      <c r="AP73" s="23">
        <v>0</v>
      </c>
      <c r="AQ73" s="23">
        <v>0.25</v>
      </c>
      <c r="AR73" s="23">
        <v>0.25</v>
      </c>
      <c r="AS73" s="23">
        <v>0.5</v>
      </c>
      <c r="AT73" s="23">
        <v>0</v>
      </c>
      <c r="AU73" s="20">
        <v>1.91</v>
      </c>
      <c r="AV73" s="20">
        <v>3.44</v>
      </c>
      <c r="AW73" s="20">
        <v>1.53</v>
      </c>
      <c r="AX73" s="20">
        <v>2.6749999999999998</v>
      </c>
      <c r="AY73">
        <v>2.6749999999999998</v>
      </c>
      <c r="AZ73">
        <v>5.9690498749999996</v>
      </c>
      <c r="BA73" s="64">
        <v>0.32856522012819489</v>
      </c>
      <c r="BB73" s="64">
        <v>0.46275601691422702</v>
      </c>
      <c r="BE73">
        <v>3.9212212287699097E-2</v>
      </c>
      <c r="BF73">
        <v>5.5227047968043973E-2</v>
      </c>
      <c r="BH73">
        <v>9.4439260255743063E-2</v>
      </c>
      <c r="BI73">
        <v>4.7219630127871531E-2</v>
      </c>
      <c r="BJ73">
        <v>0.39566061852121093</v>
      </c>
    </row>
    <row r="74" spans="1:62" x14ac:dyDescent="0.3">
      <c r="A74" t="s">
        <v>58</v>
      </c>
      <c r="B74" s="12" t="s">
        <v>731</v>
      </c>
      <c r="C74" s="12"/>
      <c r="F74">
        <v>4.2</v>
      </c>
      <c r="G74" t="s">
        <v>57</v>
      </c>
      <c r="H74" s="8">
        <v>-1</v>
      </c>
      <c r="I74">
        <v>-1</v>
      </c>
      <c r="K74">
        <v>4</v>
      </c>
      <c r="L74" s="20">
        <v>0</v>
      </c>
      <c r="M74">
        <v>0</v>
      </c>
      <c r="N74">
        <v>0</v>
      </c>
      <c r="O74">
        <v>44.2</v>
      </c>
      <c r="P74">
        <v>7.92</v>
      </c>
      <c r="Q74">
        <v>6.46</v>
      </c>
      <c r="S74" t="s">
        <v>1142</v>
      </c>
      <c r="T74" s="20">
        <v>0</v>
      </c>
      <c r="U74" s="20"/>
      <c r="V74" s="20"/>
      <c r="W74">
        <v>0</v>
      </c>
      <c r="Z74">
        <v>0</v>
      </c>
      <c r="AD74">
        <v>34</v>
      </c>
      <c r="AE74" s="44">
        <f t="shared" si="1"/>
        <v>2261.4134400000003</v>
      </c>
      <c r="AF74" s="46">
        <v>0</v>
      </c>
      <c r="AG74" s="44">
        <v>0</v>
      </c>
      <c r="AH74" s="44">
        <v>0</v>
      </c>
      <c r="AI74" s="41">
        <f>K74*AD74/AE74</f>
        <v>6.0139379024827931E-2</v>
      </c>
      <c r="AJ74" s="40"/>
      <c r="AK74" s="41"/>
      <c r="AL74" s="41"/>
      <c r="AM74" s="23">
        <v>1.8518518518518521</v>
      </c>
      <c r="AN74" s="23">
        <v>2.518518518518519</v>
      </c>
      <c r="AO74" s="23">
        <v>0.66666666666666663</v>
      </c>
      <c r="AP74" s="23">
        <v>3.1111111111111112</v>
      </c>
      <c r="AQ74" s="23">
        <v>0.22727272727272729</v>
      </c>
      <c r="AR74" s="23">
        <v>0.30909090909090908</v>
      </c>
      <c r="AS74" s="23">
        <v>8.1818181818181804E-2</v>
      </c>
      <c r="AT74" s="23">
        <v>0.38181818181818178</v>
      </c>
      <c r="AU74" s="20">
        <v>0.82</v>
      </c>
      <c r="AV74" s="20">
        <v>3.44</v>
      </c>
      <c r="AW74" s="20">
        <v>2.62</v>
      </c>
      <c r="AX74" s="20">
        <v>2.6207407407407399</v>
      </c>
      <c r="AY74">
        <v>2.6207407407407408</v>
      </c>
      <c r="AZ74">
        <v>5.9672971914814816</v>
      </c>
      <c r="BD74">
        <v>3.0069689512413969E-2</v>
      </c>
      <c r="BH74">
        <v>6.0139379024827931E-2</v>
      </c>
      <c r="BI74">
        <v>3.0069689512413969E-2</v>
      </c>
      <c r="BJ74">
        <v>0</v>
      </c>
    </row>
    <row r="75" spans="1:62" x14ac:dyDescent="0.3">
      <c r="A75" t="s">
        <v>59</v>
      </c>
      <c r="B75" s="12" t="s">
        <v>732</v>
      </c>
      <c r="C75" s="12"/>
      <c r="F75">
        <v>3.55</v>
      </c>
      <c r="G75" t="s">
        <v>57</v>
      </c>
      <c r="H75" s="8">
        <v>-1</v>
      </c>
      <c r="I75">
        <v>-1</v>
      </c>
      <c r="J75" t="s">
        <v>1153</v>
      </c>
      <c r="L75" s="20">
        <v>0</v>
      </c>
      <c r="M75">
        <v>0</v>
      </c>
      <c r="N75">
        <v>4</v>
      </c>
      <c r="T75" s="20">
        <v>0</v>
      </c>
      <c r="U75" s="20"/>
      <c r="V75" s="20"/>
      <c r="W75">
        <v>0</v>
      </c>
      <c r="Z75">
        <v>34.1</v>
      </c>
      <c r="AA75">
        <v>7.85</v>
      </c>
      <c r="AB75">
        <v>6.52</v>
      </c>
      <c r="AD75">
        <v>34</v>
      </c>
      <c r="AE75" s="44">
        <f t="shared" si="1"/>
        <v>0</v>
      </c>
      <c r="AF75" s="46">
        <v>0</v>
      </c>
      <c r="AG75" s="44">
        <v>0</v>
      </c>
      <c r="AH75" s="44">
        <v>1745.3062</v>
      </c>
      <c r="AI75" s="41"/>
      <c r="AJ75" s="40"/>
      <c r="AK75" s="41"/>
      <c r="AL75" s="41">
        <v>7.7923289334559179E-2</v>
      </c>
      <c r="AM75" s="23">
        <v>1.62962962962963</v>
      </c>
      <c r="AN75" s="23">
        <v>2.518518518518519</v>
      </c>
      <c r="AO75" s="23">
        <v>0.88888888888888884</v>
      </c>
      <c r="AP75" s="23">
        <v>0</v>
      </c>
      <c r="AQ75" s="23">
        <v>0.32352941176470579</v>
      </c>
      <c r="AR75" s="23">
        <v>0.5</v>
      </c>
      <c r="AS75" s="23">
        <v>0.1764705882352941</v>
      </c>
      <c r="AT75" s="23">
        <v>0</v>
      </c>
      <c r="AU75" s="20">
        <v>0.82</v>
      </c>
      <c r="AV75" s="20">
        <v>3.44</v>
      </c>
      <c r="AW75" s="20">
        <v>2.62</v>
      </c>
      <c r="AX75" s="20">
        <v>2.642962962962963</v>
      </c>
      <c r="AY75">
        <v>2.642962962962963</v>
      </c>
      <c r="AZ75">
        <v>5.9454711914814808</v>
      </c>
      <c r="BC75" s="64">
        <v>0.52945551775309363</v>
      </c>
      <c r="BG75">
        <v>3.8961644667279589E-2</v>
      </c>
      <c r="BH75">
        <v>7.7923289334559179E-2</v>
      </c>
      <c r="BI75">
        <v>3.8961644667279589E-2</v>
      </c>
      <c r="BJ75">
        <v>0.52945551775309363</v>
      </c>
    </row>
    <row r="76" spans="1:62" x14ac:dyDescent="0.3">
      <c r="A76" t="s">
        <v>60</v>
      </c>
      <c r="B76" s="12" t="s">
        <v>733</v>
      </c>
      <c r="C76" s="12"/>
      <c r="F76">
        <v>2.54</v>
      </c>
      <c r="G76" t="s">
        <v>62</v>
      </c>
      <c r="H76" s="8" t="s">
        <v>558</v>
      </c>
      <c r="I76" t="s">
        <v>635</v>
      </c>
      <c r="L76" s="20">
        <v>1</v>
      </c>
      <c r="M76">
        <v>2</v>
      </c>
      <c r="N76">
        <v>0</v>
      </c>
      <c r="O76">
        <v>3.8860999999999999</v>
      </c>
      <c r="P76">
        <v>3.8860999999999999</v>
      </c>
      <c r="Q76">
        <v>12.5922</v>
      </c>
      <c r="R76" t="s">
        <v>440</v>
      </c>
      <c r="T76" s="20">
        <v>3.8962357000000001</v>
      </c>
      <c r="U76" s="20">
        <v>3.8962353200000002</v>
      </c>
      <c r="V76" s="20">
        <v>6.87349342</v>
      </c>
      <c r="W76">
        <v>3.8839999999999999</v>
      </c>
      <c r="X76">
        <v>3.8839999999999999</v>
      </c>
      <c r="Y76">
        <v>12.6</v>
      </c>
      <c r="Z76">
        <v>0</v>
      </c>
      <c r="AD76">
        <v>8</v>
      </c>
      <c r="AE76" s="44">
        <f t="shared" si="1"/>
        <v>190.164548614962</v>
      </c>
      <c r="AF76" s="46">
        <v>95.595427689592043</v>
      </c>
      <c r="AG76" s="44">
        <v>190.07674560000001</v>
      </c>
      <c r="AH76" s="44">
        <v>0</v>
      </c>
      <c r="AI76" s="41"/>
      <c r="AJ76" s="40">
        <v>8.3686010862117841E-2</v>
      </c>
      <c r="AK76" s="41">
        <v>8.4176525379230829E-2</v>
      </c>
      <c r="AL76" s="41"/>
      <c r="AM76" s="23">
        <v>2</v>
      </c>
      <c r="AN76" s="23">
        <v>2.285714285714286</v>
      </c>
      <c r="AO76" s="23">
        <v>0.2857142857142857</v>
      </c>
      <c r="AP76" s="23">
        <v>0</v>
      </c>
      <c r="AQ76" s="23">
        <v>0.4375</v>
      </c>
      <c r="AR76" s="23">
        <v>0.5</v>
      </c>
      <c r="AS76" s="23">
        <v>6.25E-2</v>
      </c>
      <c r="AT76" s="23">
        <v>0</v>
      </c>
      <c r="AU76" s="20">
        <v>0.95</v>
      </c>
      <c r="AV76" s="20">
        <v>3.44</v>
      </c>
      <c r="AW76" s="20">
        <v>2.4900000000000002</v>
      </c>
      <c r="AX76" s="20">
        <v>2.4571428571428569</v>
      </c>
      <c r="AY76">
        <v>2.4571428571428569</v>
      </c>
      <c r="AZ76">
        <v>5.6224409357142857</v>
      </c>
      <c r="BA76" s="64">
        <v>0.57028696666713652</v>
      </c>
      <c r="BB76" s="64">
        <v>0.57362962851932398</v>
      </c>
      <c r="BE76">
        <v>4.184300543105892E-2</v>
      </c>
      <c r="BF76">
        <v>4.2088262689615408E-2</v>
      </c>
      <c r="BH76">
        <v>8.3931268120674335E-2</v>
      </c>
      <c r="BI76">
        <v>4.1965634060337167E-2</v>
      </c>
      <c r="BJ76">
        <v>0.57195829759323025</v>
      </c>
    </row>
    <row r="77" spans="1:62" x14ac:dyDescent="0.3">
      <c r="A77" t="s">
        <v>61</v>
      </c>
      <c r="B77" s="16" t="s">
        <v>894</v>
      </c>
      <c r="C77" s="12"/>
      <c r="F77">
        <v>2.3199999999999998</v>
      </c>
      <c r="G77" t="s">
        <v>62</v>
      </c>
      <c r="H77" s="25" t="s">
        <v>558</v>
      </c>
      <c r="I77" s="1" t="s">
        <v>635</v>
      </c>
      <c r="L77" s="20">
        <v>0</v>
      </c>
      <c r="M77">
        <v>2</v>
      </c>
      <c r="N77">
        <v>0</v>
      </c>
      <c r="O77">
        <v>3.8915000000000002</v>
      </c>
      <c r="P77">
        <v>3.8915000000000002</v>
      </c>
      <c r="Q77">
        <v>12.589499999999999</v>
      </c>
      <c r="R77" t="s">
        <v>440</v>
      </c>
      <c r="T77" s="20">
        <v>0</v>
      </c>
      <c r="U77" s="20"/>
      <c r="V77" s="20"/>
      <c r="W77">
        <v>3.8839999999999999</v>
      </c>
      <c r="X77">
        <v>3.8839999999999999</v>
      </c>
      <c r="Y77">
        <v>12.6</v>
      </c>
      <c r="Z77">
        <v>0</v>
      </c>
      <c r="AD77">
        <v>8</v>
      </c>
      <c r="AE77" s="44">
        <f t="shared" si="1"/>
        <v>190.65252074137501</v>
      </c>
      <c r="AF77" s="46">
        <v>0</v>
      </c>
      <c r="AG77" s="44">
        <v>190.07674560000001</v>
      </c>
      <c r="AH77" s="44">
        <v>0</v>
      </c>
      <c r="AI77" s="41"/>
      <c r="AJ77" s="40"/>
      <c r="AK77" s="41">
        <v>8.4176525379230829E-2</v>
      </c>
      <c r="AL77" s="41"/>
      <c r="AM77" s="23">
        <v>2</v>
      </c>
      <c r="AN77" s="23">
        <v>2.285714285714286</v>
      </c>
      <c r="AO77" s="23">
        <v>0.3</v>
      </c>
      <c r="AP77" s="23">
        <v>0</v>
      </c>
      <c r="AQ77" s="23">
        <v>0.43613707165109028</v>
      </c>
      <c r="AR77" s="23">
        <v>0.49844236760124599</v>
      </c>
      <c r="AS77" s="23">
        <v>6.5420560747663545E-2</v>
      </c>
      <c r="AT77" s="23">
        <v>0</v>
      </c>
      <c r="AU77" s="20">
        <v>0.95</v>
      </c>
      <c r="AV77" s="20">
        <v>3.44</v>
      </c>
      <c r="AW77" s="20">
        <v>2.4900000000000002</v>
      </c>
      <c r="AX77" s="20">
        <v>2.4592857142857141</v>
      </c>
      <c r="AY77">
        <v>2.459285714285715</v>
      </c>
      <c r="AZ77">
        <v>5.625208883928571</v>
      </c>
      <c r="BA77" s="64">
        <v>0.57028696666713652</v>
      </c>
      <c r="BB77" s="64">
        <v>0.57362962851932398</v>
      </c>
      <c r="BF77">
        <v>4.2088262689615408E-2</v>
      </c>
      <c r="BH77">
        <v>8.4176525379230829E-2</v>
      </c>
      <c r="BI77">
        <v>4.2088262689615408E-2</v>
      </c>
      <c r="BJ77">
        <v>0.57195829759323025</v>
      </c>
    </row>
    <row r="78" spans="1:62" x14ac:dyDescent="0.3">
      <c r="A78" t="s">
        <v>883</v>
      </c>
      <c r="B78" s="16" t="s">
        <v>895</v>
      </c>
      <c r="C78" s="12"/>
      <c r="F78">
        <v>2.2200000000000002</v>
      </c>
      <c r="G78" t="s">
        <v>62</v>
      </c>
      <c r="H78" s="25" t="s">
        <v>558</v>
      </c>
      <c r="I78" s="1" t="s">
        <v>635</v>
      </c>
      <c r="L78" s="20">
        <v>0</v>
      </c>
      <c r="M78">
        <v>2</v>
      </c>
      <c r="N78">
        <v>0</v>
      </c>
      <c r="O78">
        <v>3.8965000000000001</v>
      </c>
      <c r="P78">
        <v>3.8965000000000001</v>
      </c>
      <c r="Q78">
        <v>12.6137</v>
      </c>
      <c r="R78" t="s">
        <v>440</v>
      </c>
      <c r="T78" s="20">
        <v>0</v>
      </c>
      <c r="U78" s="20"/>
      <c r="V78" s="20"/>
      <c r="W78">
        <v>3.8839999999999999</v>
      </c>
      <c r="X78">
        <v>3.8839999999999999</v>
      </c>
      <c r="Y78">
        <v>12.6</v>
      </c>
      <c r="Z78">
        <v>0</v>
      </c>
      <c r="AD78">
        <v>8</v>
      </c>
      <c r="AE78" s="44">
        <f t="shared" si="1"/>
        <v>191.51017750782501</v>
      </c>
      <c r="AF78" s="46">
        <v>0</v>
      </c>
      <c r="AG78" s="44">
        <v>190.07674560000001</v>
      </c>
      <c r="AH78" s="44">
        <v>0</v>
      </c>
      <c r="AI78" s="41"/>
      <c r="AJ78" s="40"/>
      <c r="AK78" s="41">
        <v>8.4176525379230829E-2</v>
      </c>
      <c r="AL78" s="41"/>
      <c r="AM78" s="23">
        <v>2</v>
      </c>
      <c r="AN78" s="23">
        <v>2.285714285714286</v>
      </c>
      <c r="AO78" s="23">
        <v>0.31428571428571428</v>
      </c>
      <c r="AP78" s="23">
        <v>0</v>
      </c>
      <c r="AQ78" s="23">
        <v>0.43478260869565211</v>
      </c>
      <c r="AR78" s="23">
        <v>0.49689440993788808</v>
      </c>
      <c r="AS78" s="23">
        <v>6.8322981366459631E-2</v>
      </c>
      <c r="AT78" s="23">
        <v>0</v>
      </c>
      <c r="AU78" s="20">
        <v>0.95</v>
      </c>
      <c r="AV78" s="20">
        <v>3.44</v>
      </c>
      <c r="AW78" s="20">
        <v>2.4900000000000002</v>
      </c>
      <c r="AX78" s="20">
        <v>2.4614285714285709</v>
      </c>
      <c r="AY78">
        <v>2.4614285714285709</v>
      </c>
      <c r="AZ78">
        <v>5.627976832142858</v>
      </c>
      <c r="BA78" s="64">
        <v>0.57028696666713652</v>
      </c>
      <c r="BB78" s="64">
        <v>0.57362962851932398</v>
      </c>
      <c r="BF78">
        <v>4.2088262689615408E-2</v>
      </c>
      <c r="BH78">
        <v>8.4176525379230829E-2</v>
      </c>
      <c r="BI78">
        <v>4.2088262689615408E-2</v>
      </c>
      <c r="BJ78">
        <v>0.57195829759323025</v>
      </c>
    </row>
    <row r="79" spans="1:62" x14ac:dyDescent="0.3">
      <c r="A79" t="s">
        <v>884</v>
      </c>
      <c r="B79" s="16" t="s">
        <v>896</v>
      </c>
      <c r="C79" s="12"/>
      <c r="F79">
        <v>2.16</v>
      </c>
      <c r="G79" t="s">
        <v>62</v>
      </c>
      <c r="H79" s="25" t="s">
        <v>558</v>
      </c>
      <c r="I79" s="1" t="s">
        <v>635</v>
      </c>
      <c r="L79" s="20">
        <v>0</v>
      </c>
      <c r="M79">
        <v>2</v>
      </c>
      <c r="N79">
        <v>0</v>
      </c>
      <c r="O79">
        <v>3.9016999999999999</v>
      </c>
      <c r="P79">
        <v>3.9016999999999999</v>
      </c>
      <c r="Q79">
        <v>12.593500000000001</v>
      </c>
      <c r="R79" t="s">
        <v>440</v>
      </c>
      <c r="T79" s="20">
        <v>0</v>
      </c>
      <c r="U79" s="20"/>
      <c r="V79" s="20"/>
      <c r="W79">
        <v>3.8839999999999999</v>
      </c>
      <c r="X79">
        <v>3.8839999999999999</v>
      </c>
      <c r="Y79">
        <v>12.6</v>
      </c>
      <c r="Z79">
        <v>0</v>
      </c>
      <c r="AD79">
        <v>8</v>
      </c>
      <c r="AE79" s="44">
        <f t="shared" si="1"/>
        <v>191.71416120521499</v>
      </c>
      <c r="AF79" s="46">
        <v>0</v>
      </c>
      <c r="AG79" s="44">
        <v>190.07674560000001</v>
      </c>
      <c r="AH79" s="44">
        <v>0</v>
      </c>
      <c r="AI79" s="41"/>
      <c r="AJ79" s="40"/>
      <c r="AK79" s="41">
        <v>8.4176525379230829E-2</v>
      </c>
      <c r="AL79" s="41"/>
      <c r="AM79" s="23">
        <v>2</v>
      </c>
      <c r="AN79" s="23">
        <v>2.285714285714286</v>
      </c>
      <c r="AO79" s="23">
        <v>0.32857142857142863</v>
      </c>
      <c r="AP79" s="23">
        <v>0</v>
      </c>
      <c r="AQ79" s="23">
        <v>0.43343653250774</v>
      </c>
      <c r="AR79" s="23">
        <v>0.49535603715170279</v>
      </c>
      <c r="AS79" s="23">
        <v>7.1207430340557279E-2</v>
      </c>
      <c r="AT79" s="23">
        <v>0</v>
      </c>
      <c r="AU79" s="20">
        <v>0.95</v>
      </c>
      <c r="AV79" s="20">
        <v>3.44</v>
      </c>
      <c r="AW79" s="20">
        <v>2.4900000000000002</v>
      </c>
      <c r="AX79" s="20">
        <v>2.463571428571429</v>
      </c>
      <c r="AY79">
        <v>2.463571428571429</v>
      </c>
      <c r="AZ79">
        <v>5.6307447803571433</v>
      </c>
      <c r="BA79" s="64">
        <v>0.57028696666713652</v>
      </c>
      <c r="BB79" s="64">
        <v>0.57362962851932398</v>
      </c>
      <c r="BF79">
        <v>4.2088262689615408E-2</v>
      </c>
      <c r="BH79">
        <v>8.4176525379230829E-2</v>
      </c>
      <c r="BI79">
        <v>4.2088262689615408E-2</v>
      </c>
      <c r="BJ79">
        <v>0.57195829759323025</v>
      </c>
    </row>
    <row r="80" spans="1:62" x14ac:dyDescent="0.3">
      <c r="A80" t="s">
        <v>885</v>
      </c>
      <c r="B80" s="16" t="s">
        <v>897</v>
      </c>
      <c r="C80" s="12"/>
      <c r="F80">
        <v>2.1</v>
      </c>
      <c r="G80" t="s">
        <v>62</v>
      </c>
      <c r="H80" s="25" t="s">
        <v>558</v>
      </c>
      <c r="I80" s="1" t="s">
        <v>635</v>
      </c>
      <c r="L80" s="20">
        <v>0</v>
      </c>
      <c r="M80">
        <v>2</v>
      </c>
      <c r="N80">
        <v>0</v>
      </c>
      <c r="O80">
        <v>3.9022000000000001</v>
      </c>
      <c r="P80">
        <v>3.9022000000000001</v>
      </c>
      <c r="Q80">
        <v>12.6189</v>
      </c>
      <c r="R80" t="s">
        <v>440</v>
      </c>
      <c r="T80" s="20">
        <v>0</v>
      </c>
      <c r="U80" s="20"/>
      <c r="V80" s="20"/>
      <c r="W80">
        <v>3.8839999999999999</v>
      </c>
      <c r="X80">
        <v>3.8839999999999999</v>
      </c>
      <c r="Y80">
        <v>12.6</v>
      </c>
      <c r="Z80">
        <v>0</v>
      </c>
      <c r="AD80">
        <v>8</v>
      </c>
      <c r="AE80" s="44">
        <f t="shared" si="1"/>
        <v>192.15007039947599</v>
      </c>
      <c r="AF80" s="46">
        <v>0</v>
      </c>
      <c r="AG80" s="44">
        <v>190.07674560000001</v>
      </c>
      <c r="AH80" s="44">
        <v>0</v>
      </c>
      <c r="AI80" s="41"/>
      <c r="AJ80" s="40"/>
      <c r="AK80" s="41">
        <v>8.4176525379230829E-2</v>
      </c>
      <c r="AL80" s="41"/>
      <c r="AM80" s="23">
        <v>2</v>
      </c>
      <c r="AN80" s="23">
        <v>2.285714285714286</v>
      </c>
      <c r="AO80" s="23">
        <v>0.34285714285714292</v>
      </c>
      <c r="AP80" s="23">
        <v>0</v>
      </c>
      <c r="AQ80" s="23">
        <v>0.4320987654320988</v>
      </c>
      <c r="AR80" s="23">
        <v>0.49382716049382719</v>
      </c>
      <c r="AS80" s="23">
        <v>7.4074074074074084E-2</v>
      </c>
      <c r="AT80" s="23">
        <v>0</v>
      </c>
      <c r="AU80" s="20">
        <v>0.95</v>
      </c>
      <c r="AV80" s="20">
        <v>3.44</v>
      </c>
      <c r="AW80" s="20">
        <v>2.4900000000000002</v>
      </c>
      <c r="AX80" s="20">
        <v>2.4657142857142849</v>
      </c>
      <c r="AY80">
        <v>2.4657142857142862</v>
      </c>
      <c r="AZ80">
        <v>5.6335127285714286</v>
      </c>
      <c r="BA80" s="64">
        <v>0.57028696666713652</v>
      </c>
      <c r="BB80" s="64">
        <v>0.57362962851932398</v>
      </c>
      <c r="BF80">
        <v>4.2088262689615408E-2</v>
      </c>
      <c r="BH80">
        <v>8.4176525379230829E-2</v>
      </c>
      <c r="BI80">
        <v>4.2088262689615408E-2</v>
      </c>
      <c r="BJ80">
        <v>0.57195829759323025</v>
      </c>
    </row>
    <row r="81" spans="1:62" x14ac:dyDescent="0.3">
      <c r="A81" t="s">
        <v>886</v>
      </c>
      <c r="B81" s="16" t="s">
        <v>898</v>
      </c>
      <c r="C81" s="12"/>
      <c r="F81">
        <v>2.08</v>
      </c>
      <c r="G81" t="s">
        <v>62</v>
      </c>
      <c r="H81" s="25" t="s">
        <v>558</v>
      </c>
      <c r="I81" s="1" t="s">
        <v>635</v>
      </c>
      <c r="L81" s="20">
        <v>0</v>
      </c>
      <c r="M81">
        <v>2</v>
      </c>
      <c r="N81">
        <v>0</v>
      </c>
      <c r="O81">
        <v>3.9043999999999999</v>
      </c>
      <c r="P81">
        <v>3.9043999999999999</v>
      </c>
      <c r="Q81">
        <v>12.6092</v>
      </c>
      <c r="R81" t="s">
        <v>440</v>
      </c>
      <c r="T81" s="20">
        <v>0</v>
      </c>
      <c r="U81" s="20"/>
      <c r="V81" s="20"/>
      <c r="W81">
        <v>3.8839999999999999</v>
      </c>
      <c r="X81">
        <v>3.8839999999999999</v>
      </c>
      <c r="Y81">
        <v>12.6</v>
      </c>
      <c r="Z81">
        <v>0</v>
      </c>
      <c r="AD81">
        <v>8</v>
      </c>
      <c r="AE81" s="44">
        <f t="shared" si="1"/>
        <v>192.21892385811199</v>
      </c>
      <c r="AF81" s="46">
        <v>0</v>
      </c>
      <c r="AG81" s="44">
        <v>190.07674560000001</v>
      </c>
      <c r="AH81" s="44">
        <v>0</v>
      </c>
      <c r="AI81" s="41"/>
      <c r="AJ81" s="40"/>
      <c r="AK81" s="41">
        <v>8.4176525379230829E-2</v>
      </c>
      <c r="AL81" s="41"/>
      <c r="AM81" s="23">
        <v>2</v>
      </c>
      <c r="AN81" s="23">
        <v>2.285714285714286</v>
      </c>
      <c r="AO81" s="23">
        <v>0.35714285714285721</v>
      </c>
      <c r="AP81" s="23">
        <v>0</v>
      </c>
      <c r="AQ81" s="23">
        <v>0.43076923076923068</v>
      </c>
      <c r="AR81" s="23">
        <v>0.49230769230769222</v>
      </c>
      <c r="AS81" s="23">
        <v>7.6923076923076913E-2</v>
      </c>
      <c r="AT81" s="23">
        <v>0</v>
      </c>
      <c r="AU81" s="20">
        <v>0.95</v>
      </c>
      <c r="AV81" s="20">
        <v>3.44</v>
      </c>
      <c r="AW81" s="20">
        <v>2.4900000000000002</v>
      </c>
      <c r="AX81" s="20">
        <v>2.467857142857143</v>
      </c>
      <c r="AY81">
        <v>2.467857142857143</v>
      </c>
      <c r="AZ81">
        <v>5.6362806767857148</v>
      </c>
      <c r="BA81" s="64">
        <v>0.57028696666713652</v>
      </c>
      <c r="BB81" s="64">
        <v>0.57362962851932398</v>
      </c>
      <c r="BF81">
        <v>4.2088262689615408E-2</v>
      </c>
      <c r="BH81">
        <v>8.4176525379230829E-2</v>
      </c>
      <c r="BI81">
        <v>4.2088262689615408E-2</v>
      </c>
      <c r="BJ81">
        <v>0.57195829759323025</v>
      </c>
    </row>
    <row r="82" spans="1:62" x14ac:dyDescent="0.3">
      <c r="A82" t="s">
        <v>215</v>
      </c>
      <c r="B82" s="16" t="s">
        <v>734</v>
      </c>
      <c r="C82" s="12"/>
      <c r="F82">
        <v>4.0999999999999996</v>
      </c>
      <c r="G82" t="s">
        <v>64</v>
      </c>
      <c r="H82" s="8" t="s">
        <v>587</v>
      </c>
      <c r="I82" t="s">
        <v>636</v>
      </c>
      <c r="L82" s="20">
        <v>1</v>
      </c>
      <c r="M82">
        <v>1</v>
      </c>
      <c r="N82">
        <v>0</v>
      </c>
      <c r="O82">
        <v>3.87</v>
      </c>
      <c r="P82">
        <v>3.87</v>
      </c>
      <c r="Q82">
        <v>15.1</v>
      </c>
      <c r="R82" t="s">
        <v>439</v>
      </c>
      <c r="T82" s="20">
        <v>3.950634</v>
      </c>
      <c r="U82" s="20">
        <v>3.950634</v>
      </c>
      <c r="V82" s="20">
        <v>15.513552000000001</v>
      </c>
      <c r="W82">
        <v>3.8658999999999999</v>
      </c>
      <c r="X82">
        <v>3.8658999999999999</v>
      </c>
      <c r="Y82">
        <v>15.2538</v>
      </c>
      <c r="Z82">
        <v>0</v>
      </c>
      <c r="AD82">
        <v>20</v>
      </c>
      <c r="AE82" s="44">
        <f t="shared" si="1"/>
        <v>226.15119000000001</v>
      </c>
      <c r="AF82" s="46">
        <v>242.1279024923125</v>
      </c>
      <c r="AG82" s="44">
        <v>227.970829547178</v>
      </c>
      <c r="AH82" s="44">
        <v>0</v>
      </c>
      <c r="AI82" s="41"/>
      <c r="AJ82" s="40">
        <v>8.2600971611006269E-2</v>
      </c>
      <c r="AK82" s="41">
        <v>8.7730522539775438E-2</v>
      </c>
      <c r="AL82" s="41"/>
      <c r="AM82" s="23">
        <v>1.9375</v>
      </c>
      <c r="AN82" s="23">
        <v>2.5</v>
      </c>
      <c r="AO82" s="23">
        <v>0.5625</v>
      </c>
      <c r="AP82" s="23">
        <v>2.625</v>
      </c>
      <c r="AQ82" s="23">
        <v>0.25409836065573771</v>
      </c>
      <c r="AR82" s="23">
        <v>0.32786885245901642</v>
      </c>
      <c r="AS82" s="23">
        <v>7.3770491803278687E-2</v>
      </c>
      <c r="AT82" s="23">
        <v>0.34426229508196721</v>
      </c>
      <c r="AU82" s="20">
        <v>0.79</v>
      </c>
      <c r="AV82" s="20">
        <v>3.44</v>
      </c>
      <c r="AW82" s="20">
        <v>2.65</v>
      </c>
      <c r="AX82" s="20">
        <v>2.6056249999999999</v>
      </c>
      <c r="AY82">
        <v>2.6056249999999999</v>
      </c>
      <c r="AZ82">
        <v>5.9703320286696879</v>
      </c>
      <c r="BA82" s="64">
        <v>0.52453741991489755</v>
      </c>
      <c r="BB82" s="64">
        <v>0.55711138795694093</v>
      </c>
      <c r="BE82">
        <v>4.1300485805503127E-2</v>
      </c>
      <c r="BF82">
        <v>4.3865261269887712E-2</v>
      </c>
      <c r="BH82">
        <v>8.5165747075390846E-2</v>
      </c>
      <c r="BI82">
        <v>4.2582873537695423E-2</v>
      </c>
      <c r="BJ82">
        <v>0.54082440393591924</v>
      </c>
    </row>
    <row r="83" spans="1:62" x14ac:dyDescent="0.3">
      <c r="A83" t="s">
        <v>679</v>
      </c>
      <c r="B83" s="16" t="s">
        <v>899</v>
      </c>
      <c r="C83" t="s">
        <v>681</v>
      </c>
      <c r="F83">
        <v>4.3</v>
      </c>
      <c r="G83" t="s">
        <v>64</v>
      </c>
      <c r="H83" s="11" t="s">
        <v>683</v>
      </c>
      <c r="I83">
        <v>7221084</v>
      </c>
      <c r="L83" s="20">
        <v>0</v>
      </c>
      <c r="M83">
        <v>2</v>
      </c>
      <c r="N83">
        <v>0</v>
      </c>
      <c r="O83" s="1">
        <v>3.87</v>
      </c>
      <c r="P83" s="1">
        <v>3.87</v>
      </c>
      <c r="Q83">
        <v>17.2</v>
      </c>
      <c r="R83" t="s">
        <v>439</v>
      </c>
      <c r="T83" s="20">
        <v>0</v>
      </c>
      <c r="U83" s="20"/>
      <c r="V83" s="20"/>
      <c r="W83">
        <v>3.8607</v>
      </c>
      <c r="X83">
        <v>3.8607</v>
      </c>
      <c r="Y83">
        <v>29.216000000000001</v>
      </c>
      <c r="Z83">
        <v>0</v>
      </c>
      <c r="AD83">
        <v>20</v>
      </c>
      <c r="AE83" s="44">
        <f t="shared" si="1"/>
        <v>257.60268000000002</v>
      </c>
      <c r="AF83" s="46">
        <v>0</v>
      </c>
      <c r="AG83" s="44">
        <v>435.46461117984001</v>
      </c>
      <c r="AH83" s="44">
        <v>0</v>
      </c>
      <c r="AI83" s="41"/>
      <c r="AJ83" s="40"/>
      <c r="AK83" s="41">
        <v>9.1855914288016927E-2</v>
      </c>
      <c r="AL83" s="41"/>
      <c r="AM83" s="23">
        <v>1.940917661847894</v>
      </c>
      <c r="AN83" s="23">
        <v>2.5141420490257702</v>
      </c>
      <c r="AO83" s="23">
        <v>0.56568196103079826</v>
      </c>
      <c r="AP83" s="23">
        <v>2.6398491514770579</v>
      </c>
      <c r="AQ83" s="23">
        <v>0.2533639645553003</v>
      </c>
      <c r="AR83" s="23">
        <v>0.32819166393173621</v>
      </c>
      <c r="AS83" s="23">
        <v>7.3843124384640635E-2</v>
      </c>
      <c r="AT83" s="23">
        <v>0.34460124712832302</v>
      </c>
      <c r="AU83" s="20">
        <v>0.79</v>
      </c>
      <c r="AV83" s="20">
        <v>3.44</v>
      </c>
      <c r="AW83" s="20">
        <v>2.65</v>
      </c>
      <c r="AX83" s="20">
        <v>2.62350722815839</v>
      </c>
      <c r="AY83">
        <v>2.6235072281583909</v>
      </c>
      <c r="AZ83">
        <v>6.0278785903935539</v>
      </c>
      <c r="BB83" s="64">
        <v>0</v>
      </c>
      <c r="BF83">
        <v>4.5927957144008463E-2</v>
      </c>
      <c r="BH83">
        <v>9.1855914288016927E-2</v>
      </c>
      <c r="BI83">
        <v>4.5927957144008463E-2</v>
      </c>
      <c r="BJ83">
        <v>0</v>
      </c>
    </row>
    <row r="84" spans="1:62" x14ac:dyDescent="0.3">
      <c r="A84" t="s">
        <v>680</v>
      </c>
      <c r="B84" s="16" t="s">
        <v>900</v>
      </c>
      <c r="C84" t="s">
        <v>682</v>
      </c>
      <c r="F84">
        <v>4.2</v>
      </c>
      <c r="G84" t="s">
        <v>64</v>
      </c>
      <c r="H84" s="8">
        <v>-1</v>
      </c>
      <c r="I84">
        <v>-1</v>
      </c>
      <c r="K84">
        <v>1</v>
      </c>
      <c r="L84" s="20">
        <v>0</v>
      </c>
      <c r="M84">
        <v>0</v>
      </c>
      <c r="N84">
        <v>0</v>
      </c>
      <c r="O84" s="1">
        <v>3.87</v>
      </c>
      <c r="P84" s="1">
        <v>3.87</v>
      </c>
      <c r="Q84">
        <v>14.4</v>
      </c>
      <c r="R84" t="s">
        <v>439</v>
      </c>
      <c r="T84" s="20">
        <v>0</v>
      </c>
      <c r="U84" s="20"/>
      <c r="V84" s="20"/>
      <c r="W84">
        <v>0</v>
      </c>
      <c r="Z84">
        <v>0</v>
      </c>
      <c r="AD84">
        <v>20</v>
      </c>
      <c r="AE84" s="44">
        <f t="shared" si="1"/>
        <v>215.66736</v>
      </c>
      <c r="AF84" s="46">
        <v>0</v>
      </c>
      <c r="AG84" s="44">
        <v>0</v>
      </c>
      <c r="AH84" s="44">
        <v>0</v>
      </c>
      <c r="AI84" s="41">
        <f>K84*AD84/AE84</f>
        <v>9.2735405116471964E-2</v>
      </c>
      <c r="AJ84" s="40"/>
      <c r="AK84" s="41"/>
      <c r="AL84" s="41"/>
      <c r="AM84" s="23">
        <v>1.937926753569212</v>
      </c>
      <c r="AN84" s="23">
        <v>2.4829298572315328</v>
      </c>
      <c r="AO84" s="23">
        <v>0.55865921787709494</v>
      </c>
      <c r="AP84" s="23">
        <v>2.6070763500931098</v>
      </c>
      <c r="AQ84" s="23">
        <v>0.25544100801832759</v>
      </c>
      <c r="AR84" s="23">
        <v>0.32727867779414171</v>
      </c>
      <c r="AS84" s="23">
        <v>7.3637702503681887E-2</v>
      </c>
      <c r="AT84" s="23">
        <v>0.3436426116838488</v>
      </c>
      <c r="AU84" s="20">
        <v>0.79</v>
      </c>
      <c r="AV84" s="20">
        <v>3.44</v>
      </c>
      <c r="AW84" s="20">
        <v>2.65</v>
      </c>
      <c r="AX84" s="20">
        <v>2.671675977653631</v>
      </c>
      <c r="AY84">
        <v>2.671675977653631</v>
      </c>
      <c r="AZ84">
        <v>6.2243029613210306</v>
      </c>
      <c r="BD84">
        <v>4.6367702558235982E-2</v>
      </c>
      <c r="BH84">
        <v>9.2735405116471964E-2</v>
      </c>
      <c r="BI84">
        <v>4.6367702558235982E-2</v>
      </c>
      <c r="BJ84">
        <v>0</v>
      </c>
    </row>
    <row r="85" spans="1:62" x14ac:dyDescent="0.3">
      <c r="A85" t="s">
        <v>855</v>
      </c>
      <c r="B85" s="16" t="s">
        <v>901</v>
      </c>
      <c r="C85" t="s">
        <v>854</v>
      </c>
      <c r="F85">
        <v>4</v>
      </c>
      <c r="G85" t="s">
        <v>64</v>
      </c>
      <c r="H85" s="8">
        <v>-1</v>
      </c>
      <c r="I85">
        <v>-1</v>
      </c>
      <c r="K85">
        <v>2</v>
      </c>
      <c r="L85" s="20">
        <v>0</v>
      </c>
      <c r="M85">
        <v>0</v>
      </c>
      <c r="N85">
        <v>0</v>
      </c>
      <c r="O85" s="1">
        <v>3.87</v>
      </c>
      <c r="P85" s="1">
        <v>3.87</v>
      </c>
      <c r="Q85">
        <v>28.5</v>
      </c>
      <c r="R85" t="s">
        <v>439</v>
      </c>
      <c r="T85" s="20">
        <v>0</v>
      </c>
      <c r="U85" s="20"/>
      <c r="V85" s="20"/>
      <c r="W85">
        <v>0</v>
      </c>
      <c r="Z85">
        <v>0</v>
      </c>
      <c r="AD85">
        <v>20</v>
      </c>
      <c r="AE85" s="44">
        <f t="shared" si="1"/>
        <v>426.84165000000002</v>
      </c>
      <c r="AF85" s="46">
        <v>0</v>
      </c>
      <c r="AG85" s="44">
        <v>0</v>
      </c>
      <c r="AH85" s="44">
        <v>0</v>
      </c>
      <c r="AI85" s="41">
        <f>K85*AD85/AE85</f>
        <v>9.3711567275592711E-2</v>
      </c>
      <c r="AJ85" s="40"/>
      <c r="AK85" s="41"/>
      <c r="AL85" s="41"/>
      <c r="AM85" s="23">
        <v>1.9375</v>
      </c>
      <c r="AN85" s="23">
        <v>2.5</v>
      </c>
      <c r="AO85" s="23">
        <v>0.5625</v>
      </c>
      <c r="AP85" s="23">
        <v>2.625</v>
      </c>
      <c r="AQ85" s="23">
        <v>0.25409836065573771</v>
      </c>
      <c r="AR85" s="23">
        <v>0.32786885245901642</v>
      </c>
      <c r="AS85" s="23">
        <v>7.3770491803278687E-2</v>
      </c>
      <c r="AT85" s="23">
        <v>0.34426229508196721</v>
      </c>
      <c r="AU85" s="20">
        <v>1</v>
      </c>
      <c r="AV85" s="20">
        <v>3.44</v>
      </c>
      <c r="AW85" s="20">
        <v>2.44</v>
      </c>
      <c r="AX85" s="20">
        <v>2.6937500000000001</v>
      </c>
      <c r="AY85">
        <v>2.6937500000000001</v>
      </c>
      <c r="AZ85">
        <v>6.2824412981156881</v>
      </c>
      <c r="BD85">
        <v>4.6855783637796362E-2</v>
      </c>
      <c r="BH85">
        <v>9.3711567275592711E-2</v>
      </c>
      <c r="BI85">
        <v>4.6855783637796362E-2</v>
      </c>
      <c r="BJ85">
        <v>0</v>
      </c>
    </row>
    <row r="86" spans="1:62" x14ac:dyDescent="0.3">
      <c r="A86" t="s">
        <v>65</v>
      </c>
      <c r="B86" s="12" t="s">
        <v>735</v>
      </c>
      <c r="C86" s="12"/>
      <c r="F86">
        <v>2.62</v>
      </c>
      <c r="G86" t="s">
        <v>66</v>
      </c>
      <c r="H86" s="8" t="s">
        <v>559</v>
      </c>
      <c r="I86" t="s">
        <v>637</v>
      </c>
      <c r="L86" s="20">
        <v>2</v>
      </c>
      <c r="M86">
        <v>4</v>
      </c>
      <c r="N86">
        <v>0</v>
      </c>
      <c r="O86">
        <v>5.4580000000000002</v>
      </c>
      <c r="P86">
        <v>5.4210000000000003</v>
      </c>
      <c r="Q86">
        <v>41.02</v>
      </c>
      <c r="R86" t="s">
        <v>450</v>
      </c>
      <c r="T86" s="20">
        <v>5.5344280000000001</v>
      </c>
      <c r="U86" s="20">
        <v>5.4860709999999999</v>
      </c>
      <c r="V86" s="20">
        <v>20.96113527</v>
      </c>
      <c r="W86">
        <v>5.4676999999999998</v>
      </c>
      <c r="X86">
        <v>5.4396000000000004</v>
      </c>
      <c r="Y86">
        <v>41.247500000000002</v>
      </c>
      <c r="Z86">
        <v>0</v>
      </c>
      <c r="AD86">
        <v>30</v>
      </c>
      <c r="AE86" s="44">
        <f t="shared" si="1"/>
        <v>1213.6922943600002</v>
      </c>
      <c r="AF86" s="46">
        <v>630.95473618941708</v>
      </c>
      <c r="AG86" s="44">
        <v>1226.7873076977</v>
      </c>
      <c r="AH86" s="44">
        <v>0</v>
      </c>
      <c r="AI86" s="41"/>
      <c r="AJ86" s="40">
        <v>9.5093984653104466E-2</v>
      </c>
      <c r="AK86" s="41">
        <v>9.781646683743643E-2</v>
      </c>
      <c r="AL86" s="41"/>
      <c r="AM86" s="23">
        <v>2</v>
      </c>
      <c r="AN86" s="23">
        <v>3.125</v>
      </c>
      <c r="AO86" s="23">
        <v>2.583333333333333</v>
      </c>
      <c r="AP86" s="23">
        <v>2.916666666666667</v>
      </c>
      <c r="AQ86" s="23">
        <v>0.18823529411764711</v>
      </c>
      <c r="AR86" s="23">
        <v>0.29411764705882348</v>
      </c>
      <c r="AS86" s="23">
        <v>0.24313725490196081</v>
      </c>
      <c r="AT86" s="23">
        <v>0.2745098039215686</v>
      </c>
      <c r="AU86" s="20">
        <v>1.54</v>
      </c>
      <c r="AV86" s="20">
        <v>3.44</v>
      </c>
      <c r="AW86" s="20">
        <v>1.9</v>
      </c>
      <c r="AX86" s="20">
        <v>2.839583333333334</v>
      </c>
      <c r="AY86">
        <v>2.8395833333333331</v>
      </c>
      <c r="AZ86">
        <v>6.168614470625001</v>
      </c>
      <c r="BA86" s="64">
        <v>0.52762523515344584</v>
      </c>
      <c r="BB86" s="64">
        <v>0</v>
      </c>
      <c r="BE86">
        <v>4.7546992326552233E-2</v>
      </c>
      <c r="BF86">
        <v>4.8908233418718222E-2</v>
      </c>
      <c r="BH86">
        <v>9.6455225745270448E-2</v>
      </c>
      <c r="BI86">
        <v>4.8227612872635231E-2</v>
      </c>
      <c r="BJ86">
        <v>0.26381261757672292</v>
      </c>
    </row>
    <row r="87" spans="1:62" x14ac:dyDescent="0.3">
      <c r="A87" t="s">
        <v>67</v>
      </c>
      <c r="B87" s="12" t="s">
        <v>736</v>
      </c>
      <c r="C87" s="12"/>
      <c r="F87">
        <v>2.67</v>
      </c>
      <c r="G87" t="s">
        <v>66</v>
      </c>
      <c r="H87" s="8">
        <v>-1</v>
      </c>
      <c r="I87">
        <v>-1</v>
      </c>
      <c r="K87">
        <v>4</v>
      </c>
      <c r="L87" s="20">
        <v>0</v>
      </c>
      <c r="M87">
        <v>0</v>
      </c>
      <c r="N87">
        <v>0</v>
      </c>
      <c r="O87">
        <v>5.4359999999999999</v>
      </c>
      <c r="P87">
        <v>5.42</v>
      </c>
      <c r="Q87">
        <v>41.19</v>
      </c>
      <c r="R87" t="s">
        <v>450</v>
      </c>
      <c r="T87" s="20">
        <v>0</v>
      </c>
      <c r="U87" s="20"/>
      <c r="V87" s="20"/>
      <c r="W87">
        <v>0</v>
      </c>
      <c r="Z87">
        <v>0</v>
      </c>
      <c r="AD87">
        <v>30</v>
      </c>
      <c r="AE87" s="44">
        <f t="shared" si="1"/>
        <v>1213.5859128</v>
      </c>
      <c r="AF87" s="46">
        <v>0</v>
      </c>
      <c r="AG87" s="44">
        <v>0</v>
      </c>
      <c r="AH87" s="44">
        <v>0</v>
      </c>
      <c r="AI87" s="41">
        <f>K87*AD87/AE87</f>
        <v>9.8880514955166685E-2</v>
      </c>
      <c r="AJ87" s="40"/>
      <c r="AK87" s="41"/>
      <c r="AL87" s="41"/>
      <c r="AM87" s="23">
        <v>2</v>
      </c>
      <c r="AN87" s="23">
        <v>3</v>
      </c>
      <c r="AO87" s="23">
        <v>2.208333333333333</v>
      </c>
      <c r="AP87" s="23">
        <v>2.333333333333333</v>
      </c>
      <c r="AQ87" s="23">
        <v>0.20960698689956331</v>
      </c>
      <c r="AR87" s="23">
        <v>0.31441048034934499</v>
      </c>
      <c r="AS87" s="23">
        <v>0.23144104803493451</v>
      </c>
      <c r="AT87" s="23">
        <v>0.24454148471615719</v>
      </c>
      <c r="AU87" s="20">
        <v>1.1000000000000001</v>
      </c>
      <c r="AV87" s="20">
        <v>3.44</v>
      </c>
      <c r="AW87" s="20">
        <v>2.34</v>
      </c>
      <c r="AX87" s="20">
        <v>2.80125</v>
      </c>
      <c r="AY87">
        <v>2.80125</v>
      </c>
      <c r="AZ87">
        <v>6.1250013054166672</v>
      </c>
      <c r="BD87">
        <v>4.9440257477583342E-2</v>
      </c>
      <c r="BH87">
        <v>9.8880514955166685E-2</v>
      </c>
      <c r="BI87">
        <v>4.9440257477583342E-2</v>
      </c>
      <c r="BJ87">
        <v>0</v>
      </c>
    </row>
    <row r="88" spans="1:62" x14ac:dyDescent="0.3">
      <c r="A88" t="s">
        <v>68</v>
      </c>
      <c r="B88" s="12" t="s">
        <v>737</v>
      </c>
      <c r="C88" s="12"/>
      <c r="F88">
        <v>2.71</v>
      </c>
      <c r="G88" t="s">
        <v>66</v>
      </c>
      <c r="H88" s="8">
        <v>-1</v>
      </c>
      <c r="I88">
        <v>-1</v>
      </c>
      <c r="K88">
        <v>4</v>
      </c>
      <c r="L88" s="20">
        <v>0</v>
      </c>
      <c r="M88">
        <v>0</v>
      </c>
      <c r="N88">
        <v>0</v>
      </c>
      <c r="O88">
        <v>5.4370000000000003</v>
      </c>
      <c r="P88">
        <v>5.4359999999999999</v>
      </c>
      <c r="Q88">
        <v>41.29</v>
      </c>
      <c r="R88" t="s">
        <v>450</v>
      </c>
      <c r="T88" s="20">
        <v>0</v>
      </c>
      <c r="U88" s="20"/>
      <c r="V88" s="20"/>
      <c r="W88">
        <v>0</v>
      </c>
      <c r="Z88">
        <v>0</v>
      </c>
      <c r="AD88">
        <v>30</v>
      </c>
      <c r="AE88" s="44">
        <f t="shared" si="1"/>
        <v>1220.3479162799999</v>
      </c>
      <c r="AF88" s="46">
        <v>0</v>
      </c>
      <c r="AG88" s="44">
        <v>0</v>
      </c>
      <c r="AH88" s="44">
        <v>0</v>
      </c>
      <c r="AI88" s="41">
        <f>K88*AD88/AE88</f>
        <v>9.8332613510577649E-2</v>
      </c>
      <c r="AJ88" s="40"/>
      <c r="AK88" s="41"/>
      <c r="AL88" s="41"/>
      <c r="AM88" s="23">
        <v>2</v>
      </c>
      <c r="AN88" s="23">
        <v>2.875</v>
      </c>
      <c r="AO88" s="23">
        <v>1.833333333333333</v>
      </c>
      <c r="AP88" s="23">
        <v>1.75</v>
      </c>
      <c r="AQ88" s="23">
        <v>0.23645320197044331</v>
      </c>
      <c r="AR88" s="23">
        <v>0.33990147783251229</v>
      </c>
      <c r="AS88" s="23">
        <v>0.21674876847290639</v>
      </c>
      <c r="AT88" s="23">
        <v>0.2068965517241379</v>
      </c>
      <c r="AU88" s="20">
        <v>1.1000000000000001</v>
      </c>
      <c r="AV88" s="20">
        <v>3.44</v>
      </c>
      <c r="AW88" s="20">
        <v>2.34</v>
      </c>
      <c r="AX88" s="20">
        <v>2.7629166666666669</v>
      </c>
      <c r="AY88">
        <v>2.762916666666666</v>
      </c>
      <c r="AZ88">
        <v>6.0813881402083334</v>
      </c>
      <c r="BD88">
        <v>4.9166306755288817E-2</v>
      </c>
      <c r="BH88">
        <v>9.8332613510577649E-2</v>
      </c>
      <c r="BI88">
        <v>4.9166306755288817E-2</v>
      </c>
      <c r="BJ88">
        <v>0</v>
      </c>
    </row>
    <row r="89" spans="1:62" x14ac:dyDescent="0.3">
      <c r="A89" t="s">
        <v>69</v>
      </c>
      <c r="B89" s="12" t="s">
        <v>738</v>
      </c>
      <c r="C89" s="12"/>
      <c r="F89">
        <v>2.75</v>
      </c>
      <c r="G89" t="s">
        <v>70</v>
      </c>
      <c r="H89" s="8" t="s">
        <v>560</v>
      </c>
      <c r="I89" t="s">
        <v>638</v>
      </c>
      <c r="L89" s="20">
        <v>2</v>
      </c>
      <c r="M89">
        <v>4</v>
      </c>
      <c r="N89">
        <v>0</v>
      </c>
      <c r="T89" s="20">
        <v>8.3195821399999996</v>
      </c>
      <c r="U89" s="20">
        <v>8.3195821399999996</v>
      </c>
      <c r="V89" s="20">
        <v>8.2425581700000006</v>
      </c>
      <c r="W89">
        <v>5.5339970000000003</v>
      </c>
      <c r="X89">
        <v>5.4998300000000002</v>
      </c>
      <c r="Y89">
        <v>16.550709999999999</v>
      </c>
      <c r="Z89">
        <v>0</v>
      </c>
      <c r="AD89">
        <v>12</v>
      </c>
      <c r="AE89" s="44">
        <f t="shared" si="1"/>
        <v>0</v>
      </c>
      <c r="AF89" s="46">
        <v>248.80917443900231</v>
      </c>
      <c r="AG89" s="44">
        <v>503.73811661477208</v>
      </c>
      <c r="AH89" s="44">
        <v>0</v>
      </c>
      <c r="AI89" s="41"/>
      <c r="AJ89" s="40">
        <v>9.6459465588893734E-2</v>
      </c>
      <c r="AK89" s="41">
        <v>9.5287607621536111E-2</v>
      </c>
      <c r="AL89" s="41"/>
      <c r="AM89" s="23">
        <v>2</v>
      </c>
      <c r="AN89" s="23">
        <v>3.333333333333333</v>
      </c>
      <c r="AO89" s="23">
        <v>2.666666666666667</v>
      </c>
      <c r="AP89" s="23">
        <v>4.666666666666667</v>
      </c>
      <c r="AQ89" s="23">
        <v>0.15789473684210531</v>
      </c>
      <c r="AR89" s="23">
        <v>0.26315789473684209</v>
      </c>
      <c r="AS89" s="23">
        <v>0.2105263157894737</v>
      </c>
      <c r="AT89" s="23">
        <v>0.36842105263157898</v>
      </c>
      <c r="AU89" s="20">
        <v>2.02</v>
      </c>
      <c r="AV89" s="20">
        <v>3.44</v>
      </c>
      <c r="AW89" s="20">
        <v>1.42</v>
      </c>
      <c r="AX89" s="20">
        <v>3.0044444444444438</v>
      </c>
      <c r="AY89">
        <v>3.0044444444444438</v>
      </c>
      <c r="AZ89">
        <v>6.4228342255555546</v>
      </c>
      <c r="BA89" s="64">
        <v>0.52562348257484404</v>
      </c>
      <c r="BB89" s="64">
        <v>0.51923783589802341</v>
      </c>
      <c r="BE89">
        <v>4.8229732794446867E-2</v>
      </c>
      <c r="BF89">
        <v>4.7643803810768062E-2</v>
      </c>
      <c r="BH89">
        <v>9.5873536605214915E-2</v>
      </c>
      <c r="BI89">
        <v>4.7936768302607458E-2</v>
      </c>
      <c r="BJ89">
        <v>0.52243065923643373</v>
      </c>
    </row>
    <row r="90" spans="1:62" x14ac:dyDescent="0.3">
      <c r="A90" t="s">
        <v>71</v>
      </c>
      <c r="B90" s="12" t="s">
        <v>739</v>
      </c>
      <c r="C90" s="12"/>
      <c r="F90">
        <v>3.59</v>
      </c>
      <c r="G90" t="s">
        <v>77</v>
      </c>
      <c r="H90" s="8" t="s">
        <v>561</v>
      </c>
      <c r="I90" t="s">
        <v>639</v>
      </c>
      <c r="L90" s="20">
        <v>2</v>
      </c>
      <c r="M90">
        <v>2</v>
      </c>
      <c r="N90">
        <v>0</v>
      </c>
      <c r="T90" s="20">
        <v>3.8703880000000002</v>
      </c>
      <c r="U90" s="20">
        <v>3.8703880000000002</v>
      </c>
      <c r="V90" s="20">
        <v>13.604850000000001</v>
      </c>
      <c r="W90">
        <v>3.8415499999999998</v>
      </c>
      <c r="X90">
        <v>3.8415499999999998</v>
      </c>
      <c r="Y90">
        <v>13.4695</v>
      </c>
      <c r="Z90">
        <v>0</v>
      </c>
      <c r="AD90">
        <v>8</v>
      </c>
      <c r="AE90" s="44">
        <f t="shared" si="1"/>
        <v>0</v>
      </c>
      <c r="AF90" s="46">
        <v>203.79933701026059</v>
      </c>
      <c r="AG90" s="44">
        <v>198.77623248847371</v>
      </c>
      <c r="AH90" s="44">
        <v>0</v>
      </c>
      <c r="AI90" s="41"/>
      <c r="AJ90" s="40">
        <v>7.8508596910668346E-2</v>
      </c>
      <c r="AK90" s="41">
        <v>8.0492520658513728E-2</v>
      </c>
      <c r="AL90" s="41"/>
      <c r="AM90" s="23">
        <v>1.857142857142857</v>
      </c>
      <c r="AN90" s="23">
        <v>2.285714285714286</v>
      </c>
      <c r="AO90" s="23">
        <v>0.42857142857142849</v>
      </c>
      <c r="AP90" s="23">
        <v>0</v>
      </c>
      <c r="AQ90" s="23">
        <v>0.40625000000000011</v>
      </c>
      <c r="AR90" s="23">
        <v>0.5</v>
      </c>
      <c r="AS90" s="23">
        <v>9.375E-2</v>
      </c>
      <c r="AT90" s="23">
        <v>0</v>
      </c>
      <c r="AU90" s="20">
        <v>0.82</v>
      </c>
      <c r="AV90" s="20">
        <v>3.44</v>
      </c>
      <c r="AW90" s="20">
        <v>2.62</v>
      </c>
      <c r="AX90" s="20">
        <v>2.46</v>
      </c>
      <c r="AY90">
        <v>2.46</v>
      </c>
      <c r="AZ90">
        <v>5.5854910899999997</v>
      </c>
      <c r="BA90" s="64">
        <v>0.55645098073491572</v>
      </c>
      <c r="BB90" s="64">
        <v>0.57051257855519</v>
      </c>
      <c r="BE90">
        <v>3.9254298455334173E-2</v>
      </c>
      <c r="BF90">
        <v>4.0246260329256871E-2</v>
      </c>
      <c r="BH90">
        <v>7.950055878459103E-2</v>
      </c>
      <c r="BI90">
        <v>3.9750279392295522E-2</v>
      </c>
      <c r="BJ90">
        <v>0.56348177964505286</v>
      </c>
    </row>
    <row r="91" spans="1:62" x14ac:dyDescent="0.3">
      <c r="A91" t="s">
        <v>72</v>
      </c>
      <c r="B91" s="16" t="s">
        <v>902</v>
      </c>
      <c r="C91" s="12"/>
      <c r="F91">
        <v>3.74</v>
      </c>
      <c r="G91" t="s">
        <v>77</v>
      </c>
      <c r="H91" s="25" t="s">
        <v>561</v>
      </c>
      <c r="I91" s="1" t="s">
        <v>639</v>
      </c>
      <c r="L91" s="20">
        <v>0</v>
      </c>
      <c r="M91">
        <v>2</v>
      </c>
      <c r="N91">
        <v>0</v>
      </c>
      <c r="T91" s="20">
        <v>0</v>
      </c>
      <c r="U91" s="20"/>
      <c r="V91" s="20"/>
      <c r="W91">
        <v>3.8415499999999998</v>
      </c>
      <c r="X91">
        <v>3.8415499999999998</v>
      </c>
      <c r="Y91">
        <v>13.4695</v>
      </c>
      <c r="Z91">
        <v>0</v>
      </c>
      <c r="AD91">
        <v>8</v>
      </c>
      <c r="AE91" s="44">
        <f t="shared" si="1"/>
        <v>0</v>
      </c>
      <c r="AF91" s="46">
        <v>0</v>
      </c>
      <c r="AG91" s="44">
        <v>198.77623248847371</v>
      </c>
      <c r="AH91" s="44">
        <v>0</v>
      </c>
      <c r="AI91" s="41"/>
      <c r="AJ91" s="40"/>
      <c r="AK91" s="41">
        <v>8.0492520658513728E-2</v>
      </c>
      <c r="AL91" s="41"/>
      <c r="AM91" s="23">
        <v>1.857142857142857</v>
      </c>
      <c r="AN91" s="23">
        <v>2.285714285714286</v>
      </c>
      <c r="AO91" s="23">
        <v>0.42857142857142849</v>
      </c>
      <c r="AP91" s="23">
        <v>0</v>
      </c>
      <c r="AQ91" s="23">
        <v>0.40625000000000011</v>
      </c>
      <c r="AR91" s="23">
        <v>0.5</v>
      </c>
      <c r="AS91" s="23">
        <v>9.375E-2</v>
      </c>
      <c r="AT91" s="23">
        <v>0</v>
      </c>
      <c r="AU91" s="20">
        <v>0.82</v>
      </c>
      <c r="AV91" s="20">
        <v>3.44</v>
      </c>
      <c r="AW91" s="20">
        <v>2.62</v>
      </c>
      <c r="AX91" s="20">
        <v>2.4569999999999999</v>
      </c>
      <c r="AY91">
        <v>2.4569999999999999</v>
      </c>
      <c r="AZ91">
        <v>5.5866607328571423</v>
      </c>
      <c r="BA91" s="64">
        <v>0.55645098073491572</v>
      </c>
      <c r="BB91" s="64">
        <v>0.57051257855519</v>
      </c>
      <c r="BF91">
        <v>4.0246260329256871E-2</v>
      </c>
      <c r="BH91">
        <v>8.0492520658513728E-2</v>
      </c>
      <c r="BI91">
        <v>4.0246260329256871E-2</v>
      </c>
      <c r="BJ91">
        <v>0.56348177964505286</v>
      </c>
    </row>
    <row r="92" spans="1:62" x14ac:dyDescent="0.3">
      <c r="A92" t="s">
        <v>76</v>
      </c>
      <c r="B92" s="16" t="s">
        <v>903</v>
      </c>
      <c r="C92" s="12"/>
      <c r="F92">
        <v>3.82</v>
      </c>
      <c r="G92" t="s">
        <v>77</v>
      </c>
      <c r="H92" s="25" t="s">
        <v>1154</v>
      </c>
      <c r="I92" s="1" t="s">
        <v>1155</v>
      </c>
      <c r="L92" s="20">
        <v>0</v>
      </c>
      <c r="M92">
        <v>1</v>
      </c>
      <c r="N92">
        <v>0</v>
      </c>
      <c r="T92" s="20">
        <v>0</v>
      </c>
      <c r="U92" s="20"/>
      <c r="V92" s="20"/>
      <c r="W92">
        <v>6.7352999999999987</v>
      </c>
      <c r="X92">
        <v>8.0756999999999994</v>
      </c>
      <c r="Y92">
        <v>15.016999999999999</v>
      </c>
      <c r="Z92">
        <v>0</v>
      </c>
      <c r="AD92">
        <v>8</v>
      </c>
      <c r="AE92" s="44">
        <f t="shared" si="1"/>
        <v>0</v>
      </c>
      <c r="AF92" s="46">
        <v>0</v>
      </c>
      <c r="AG92" s="44">
        <v>801.31327174450405</v>
      </c>
      <c r="AH92" s="44">
        <v>0</v>
      </c>
      <c r="AI92" s="41"/>
      <c r="AJ92" s="40"/>
      <c r="AK92" s="41">
        <v>9.9836110071951645E-3</v>
      </c>
      <c r="AL92" s="41"/>
      <c r="AM92" s="23">
        <v>1.857142857142857</v>
      </c>
      <c r="AN92" s="23">
        <v>2.285714285714286</v>
      </c>
      <c r="AO92" s="23">
        <v>0.42857142857142849</v>
      </c>
      <c r="AP92" s="23">
        <v>0</v>
      </c>
      <c r="AQ92" s="23">
        <v>0.40625000000000011</v>
      </c>
      <c r="AR92" s="23">
        <v>0.5</v>
      </c>
      <c r="AS92" s="23">
        <v>9.375E-2</v>
      </c>
      <c r="AT92" s="23">
        <v>0</v>
      </c>
      <c r="AU92" s="20">
        <v>0.82</v>
      </c>
      <c r="AV92" s="20">
        <v>3.44</v>
      </c>
      <c r="AW92" s="20">
        <v>2.62</v>
      </c>
      <c r="AX92" s="20">
        <v>2.4510000000000001</v>
      </c>
      <c r="AY92">
        <v>2.4510000000000001</v>
      </c>
      <c r="AZ92">
        <v>5.5890000185714284</v>
      </c>
      <c r="BB92" s="64">
        <v>0.26693366029414328</v>
      </c>
      <c r="BF92">
        <v>4.9918055035975822E-3</v>
      </c>
      <c r="BH92">
        <v>9.9836110071951645E-3</v>
      </c>
      <c r="BI92">
        <v>4.9918055035975822E-3</v>
      </c>
      <c r="BJ92">
        <v>0.26693366029414328</v>
      </c>
    </row>
    <row r="93" spans="1:62" x14ac:dyDescent="0.3">
      <c r="A93" t="s">
        <v>75</v>
      </c>
      <c r="B93" s="16" t="s">
        <v>904</v>
      </c>
      <c r="C93" s="12"/>
      <c r="F93">
        <v>4.16</v>
      </c>
      <c r="G93" t="s">
        <v>77</v>
      </c>
      <c r="H93" s="25" t="s">
        <v>1156</v>
      </c>
      <c r="I93" s="1" t="s">
        <v>1157</v>
      </c>
      <c r="L93" s="20">
        <v>0</v>
      </c>
      <c r="M93">
        <v>4</v>
      </c>
      <c r="N93">
        <v>0</v>
      </c>
      <c r="T93" s="20">
        <v>0</v>
      </c>
      <c r="U93" s="20"/>
      <c r="V93" s="20"/>
      <c r="W93">
        <v>18.184000000000001</v>
      </c>
      <c r="X93">
        <v>13.009</v>
      </c>
      <c r="Y93">
        <v>13.112</v>
      </c>
      <c r="Z93">
        <v>0</v>
      </c>
      <c r="AD93">
        <v>8</v>
      </c>
      <c r="AE93" s="44">
        <f t="shared" si="1"/>
        <v>0</v>
      </c>
      <c r="AF93" s="46">
        <v>0</v>
      </c>
      <c r="AG93" s="44">
        <v>2626.6697286954709</v>
      </c>
      <c r="AH93" s="44">
        <v>0</v>
      </c>
      <c r="AI93" s="41"/>
      <c r="AJ93" s="40"/>
      <c r="AK93" s="41">
        <v>1.2182726914773829E-2</v>
      </c>
      <c r="AL93" s="41"/>
      <c r="AM93" s="23">
        <v>1.857142857142857</v>
      </c>
      <c r="AN93" s="23">
        <v>2.285714285714286</v>
      </c>
      <c r="AO93" s="23">
        <v>0.42857142857142849</v>
      </c>
      <c r="AP93" s="23">
        <v>0</v>
      </c>
      <c r="AQ93" s="23">
        <v>0.40625000000000011</v>
      </c>
      <c r="AR93" s="23">
        <v>0.5</v>
      </c>
      <c r="AS93" s="23">
        <v>9.375E-2</v>
      </c>
      <c r="AT93" s="23">
        <v>0</v>
      </c>
      <c r="AU93" s="20">
        <v>0.82</v>
      </c>
      <c r="AV93" s="20">
        <v>3.44</v>
      </c>
      <c r="AW93" s="20">
        <v>2.62</v>
      </c>
      <c r="AX93" s="20">
        <v>2.4449999999999998</v>
      </c>
      <c r="AY93">
        <v>2.4449999999999998</v>
      </c>
      <c r="AZ93">
        <v>5.5913393042857136</v>
      </c>
      <c r="BF93">
        <v>6.0913634573869172E-3</v>
      </c>
      <c r="BH93">
        <v>1.2182726914773829E-2</v>
      </c>
      <c r="BI93">
        <v>6.0913634573869172E-3</v>
      </c>
      <c r="BJ93">
        <v>0</v>
      </c>
    </row>
    <row r="94" spans="1:62" x14ac:dyDescent="0.3">
      <c r="A94" t="s">
        <v>74</v>
      </c>
      <c r="B94" s="16" t="s">
        <v>905</v>
      </c>
      <c r="C94" s="12"/>
      <c r="F94">
        <v>3.52</v>
      </c>
      <c r="G94" t="s">
        <v>77</v>
      </c>
      <c r="H94" s="25" t="s">
        <v>1158</v>
      </c>
      <c r="I94" s="1" t="s">
        <v>1159</v>
      </c>
      <c r="L94" s="20">
        <v>0</v>
      </c>
      <c r="M94">
        <v>4</v>
      </c>
      <c r="N94">
        <v>0</v>
      </c>
      <c r="T94" s="20">
        <v>0</v>
      </c>
      <c r="U94" s="20"/>
      <c r="V94" s="20"/>
      <c r="W94">
        <v>10.103899999999999</v>
      </c>
      <c r="X94">
        <v>13.944800000000001</v>
      </c>
      <c r="Y94">
        <v>16.4237</v>
      </c>
      <c r="Z94">
        <v>0</v>
      </c>
      <c r="AD94">
        <v>8</v>
      </c>
      <c r="AE94" s="44">
        <f t="shared" si="1"/>
        <v>0</v>
      </c>
      <c r="AF94" s="46">
        <v>0</v>
      </c>
      <c r="AG94" s="44">
        <v>2303.3090882103638</v>
      </c>
      <c r="AH94" s="44">
        <v>0</v>
      </c>
      <c r="AI94" s="41"/>
      <c r="AJ94" s="40"/>
      <c r="AK94" s="41">
        <v>1.3893055067508771E-2</v>
      </c>
      <c r="AL94" s="41"/>
      <c r="AM94" s="23">
        <v>1.857142857142857</v>
      </c>
      <c r="AN94" s="23">
        <v>2.285714285714286</v>
      </c>
      <c r="AO94" s="23">
        <v>0.42857142857142849</v>
      </c>
      <c r="AP94" s="23">
        <v>0</v>
      </c>
      <c r="AQ94" s="23">
        <v>0.40625000000000011</v>
      </c>
      <c r="AR94" s="23">
        <v>0.5</v>
      </c>
      <c r="AS94" s="23">
        <v>9.375E-2</v>
      </c>
      <c r="AT94" s="23">
        <v>0</v>
      </c>
      <c r="AU94" s="20">
        <v>0.82</v>
      </c>
      <c r="AV94" s="20">
        <v>3.44</v>
      </c>
      <c r="AW94" s="20">
        <v>2.62</v>
      </c>
      <c r="AX94" s="20">
        <v>2.4390000000000001</v>
      </c>
      <c r="AY94">
        <v>2.4390000000000001</v>
      </c>
      <c r="AZ94">
        <v>5.5936785899999997</v>
      </c>
      <c r="BF94">
        <v>6.9465275337543854E-3</v>
      </c>
      <c r="BH94">
        <v>1.3893055067508771E-2</v>
      </c>
      <c r="BI94">
        <v>6.9465275337543854E-3</v>
      </c>
      <c r="BJ94">
        <v>0</v>
      </c>
    </row>
    <row r="95" spans="1:62" x14ac:dyDescent="0.3">
      <c r="A95" t="s">
        <v>73</v>
      </c>
      <c r="B95" s="12" t="s">
        <v>740</v>
      </c>
      <c r="C95" s="12"/>
      <c r="F95">
        <v>3.43</v>
      </c>
      <c r="G95" t="s">
        <v>77</v>
      </c>
      <c r="H95" s="25" t="s">
        <v>1160</v>
      </c>
      <c r="I95" s="1" t="s">
        <v>1161</v>
      </c>
      <c r="L95" s="20">
        <v>0</v>
      </c>
      <c r="M95">
        <v>2</v>
      </c>
      <c r="N95">
        <v>0</v>
      </c>
      <c r="T95" s="20">
        <v>0</v>
      </c>
      <c r="U95" s="20"/>
      <c r="V95" s="20"/>
      <c r="W95">
        <v>5.4507000000000003</v>
      </c>
      <c r="X95">
        <v>9.7352000000000007</v>
      </c>
      <c r="Y95">
        <v>31.373799999999999</v>
      </c>
      <c r="Z95">
        <v>0</v>
      </c>
      <c r="AD95">
        <v>8</v>
      </c>
      <c r="AE95" s="44">
        <f t="shared" si="1"/>
        <v>0</v>
      </c>
      <c r="AF95" s="46">
        <v>0</v>
      </c>
      <c r="AG95" s="44">
        <v>1647.0185271674609</v>
      </c>
      <c r="AH95" s="44">
        <v>0</v>
      </c>
      <c r="AI95" s="41"/>
      <c r="AJ95" s="40"/>
      <c r="AK95" s="41">
        <v>9.714523386398553E-3</v>
      </c>
      <c r="AL95" s="41"/>
      <c r="AM95" s="23">
        <v>1.857142857142857</v>
      </c>
      <c r="AN95" s="23">
        <v>2.285714285714286</v>
      </c>
      <c r="AO95" s="23">
        <v>0.42857142857142849</v>
      </c>
      <c r="AP95" s="23">
        <v>0</v>
      </c>
      <c r="AQ95" s="23">
        <v>0.40625000000000011</v>
      </c>
      <c r="AR95" s="23">
        <v>0.5</v>
      </c>
      <c r="AS95" s="23">
        <v>9.375E-2</v>
      </c>
      <c r="AT95" s="23">
        <v>0</v>
      </c>
      <c r="AU95" s="20">
        <v>0.82</v>
      </c>
      <c r="AV95" s="20">
        <v>3.44</v>
      </c>
      <c r="AW95" s="20">
        <v>2.62</v>
      </c>
      <c r="AX95" s="20">
        <v>2.4300000000000002</v>
      </c>
      <c r="AY95">
        <v>2.4300000000000002</v>
      </c>
      <c r="AZ95">
        <v>5.5971875185714284</v>
      </c>
      <c r="BF95">
        <v>4.8572616931992756E-3</v>
      </c>
      <c r="BH95">
        <v>9.714523386398553E-3</v>
      </c>
      <c r="BI95">
        <v>4.8572616931992756E-3</v>
      </c>
      <c r="BJ95">
        <v>0</v>
      </c>
    </row>
    <row r="96" spans="1:62" x14ac:dyDescent="0.3">
      <c r="A96" t="s">
        <v>44</v>
      </c>
      <c r="B96" s="16" t="s">
        <v>720</v>
      </c>
      <c r="C96" s="12"/>
      <c r="D96" t="s">
        <v>676</v>
      </c>
      <c r="E96" t="s">
        <v>1067</v>
      </c>
      <c r="F96">
        <v>3.44</v>
      </c>
      <c r="G96" t="s">
        <v>78</v>
      </c>
      <c r="H96" s="8" t="s">
        <v>549</v>
      </c>
      <c r="I96">
        <v>-1</v>
      </c>
      <c r="L96" s="20">
        <v>1</v>
      </c>
      <c r="M96">
        <v>0</v>
      </c>
      <c r="N96">
        <v>0</v>
      </c>
      <c r="T96" s="20">
        <v>15.28115725</v>
      </c>
      <c r="U96" s="20">
        <v>15.28115725</v>
      </c>
      <c r="V96" s="20">
        <v>15.28115725</v>
      </c>
      <c r="W96">
        <v>0</v>
      </c>
      <c r="Z96">
        <v>0</v>
      </c>
      <c r="AD96">
        <v>20</v>
      </c>
      <c r="AE96" s="44">
        <f t="shared" si="1"/>
        <v>0</v>
      </c>
      <c r="AF96" s="46">
        <v>229.90248606119221</v>
      </c>
      <c r="AG96" s="44">
        <v>0</v>
      </c>
      <c r="AH96" s="44">
        <v>0</v>
      </c>
      <c r="AI96" s="41"/>
      <c r="AJ96" s="40">
        <v>8.6993404650164072E-2</v>
      </c>
      <c r="AK96" s="41"/>
      <c r="AL96" s="41"/>
      <c r="AM96" s="23">
        <v>1.882352941176471</v>
      </c>
      <c r="AN96" s="23">
        <v>2.3529411764705879</v>
      </c>
      <c r="AO96" s="23">
        <v>0.47058823529411759</v>
      </c>
      <c r="AP96" s="23">
        <v>0</v>
      </c>
      <c r="AQ96" s="23">
        <v>0.4</v>
      </c>
      <c r="AR96" s="23">
        <v>0.5</v>
      </c>
      <c r="AS96" s="23">
        <v>9.9999999999999992E-2</v>
      </c>
      <c r="AT96" s="23">
        <v>0</v>
      </c>
      <c r="AU96" s="20">
        <v>0.82</v>
      </c>
      <c r="AV96" s="20">
        <v>3.44</v>
      </c>
      <c r="AW96" s="20">
        <v>2.62</v>
      </c>
      <c r="AX96" s="20">
        <v>2.5211764705882351</v>
      </c>
      <c r="AY96">
        <v>2.521176470588236</v>
      </c>
      <c r="AZ96">
        <v>5.6898745917647062</v>
      </c>
      <c r="BA96" s="64">
        <v>0.57369840599679445</v>
      </c>
      <c r="BE96">
        <v>4.3496702325082043E-2</v>
      </c>
      <c r="BH96">
        <v>8.6993404650164072E-2</v>
      </c>
      <c r="BI96">
        <v>4.3496702325082043E-2</v>
      </c>
      <c r="BJ96">
        <v>0.57369840599679445</v>
      </c>
    </row>
    <row r="97" spans="1:62" x14ac:dyDescent="0.3">
      <c r="A97" t="s">
        <v>44</v>
      </c>
      <c r="B97" s="12" t="s">
        <v>720</v>
      </c>
      <c r="C97" s="12"/>
      <c r="F97">
        <v>3.69</v>
      </c>
      <c r="G97" t="s">
        <v>78</v>
      </c>
      <c r="H97" s="8" t="s">
        <v>549</v>
      </c>
      <c r="I97">
        <v>-1</v>
      </c>
      <c r="L97" s="20">
        <v>1</v>
      </c>
      <c r="M97">
        <v>0</v>
      </c>
      <c r="N97">
        <v>0</v>
      </c>
      <c r="O97">
        <v>3.87</v>
      </c>
      <c r="P97">
        <v>3.87</v>
      </c>
      <c r="Q97">
        <v>29.8</v>
      </c>
      <c r="R97" t="s">
        <v>440</v>
      </c>
      <c r="T97" s="20">
        <v>15.28115725</v>
      </c>
      <c r="U97" s="20">
        <v>15.28115725</v>
      </c>
      <c r="V97" s="20">
        <v>15.28115725</v>
      </c>
      <c r="W97">
        <v>0</v>
      </c>
      <c r="Z97">
        <v>0</v>
      </c>
      <c r="AC97">
        <v>3</v>
      </c>
      <c r="AD97">
        <v>20</v>
      </c>
      <c r="AE97" s="44">
        <f t="shared" si="1"/>
        <v>446.31162</v>
      </c>
      <c r="AF97" s="46">
        <v>229.90248606119221</v>
      </c>
      <c r="AG97" s="44">
        <v>0</v>
      </c>
      <c r="AH97" s="44">
        <v>0</v>
      </c>
      <c r="AI97" s="41"/>
      <c r="AJ97" s="40">
        <v>8.6993404650164072E-2</v>
      </c>
      <c r="AK97" s="41"/>
      <c r="AL97" s="41"/>
      <c r="AM97" s="23">
        <v>1.882352941176471</v>
      </c>
      <c r="AN97" s="23">
        <v>2.3529411764705879</v>
      </c>
      <c r="AO97" s="23">
        <v>0.47058823529411759</v>
      </c>
      <c r="AP97" s="23">
        <v>0</v>
      </c>
      <c r="AQ97" s="23">
        <v>0.4</v>
      </c>
      <c r="AR97" s="23">
        <v>0.5</v>
      </c>
      <c r="AS97" s="23">
        <v>9.9999999999999992E-2</v>
      </c>
      <c r="AT97" s="23">
        <v>0</v>
      </c>
      <c r="AU97" s="20">
        <v>0.82</v>
      </c>
      <c r="AV97" s="20">
        <v>3.44</v>
      </c>
      <c r="AW97" s="20">
        <v>2.62</v>
      </c>
      <c r="AX97" s="20">
        <v>2.5211764705882351</v>
      </c>
      <c r="AY97">
        <v>2.521176470588236</v>
      </c>
      <c r="AZ97">
        <v>5.6898745917647062</v>
      </c>
      <c r="BA97" s="64">
        <v>0.57369840599679445</v>
      </c>
      <c r="BE97">
        <v>4.3496702325082043E-2</v>
      </c>
      <c r="BH97">
        <v>8.6993404650164072E-2</v>
      </c>
      <c r="BI97">
        <v>4.3496702325082043E-2</v>
      </c>
      <c r="BJ97">
        <v>0.57369840599679445</v>
      </c>
    </row>
    <row r="98" spans="1:62" x14ac:dyDescent="0.3">
      <c r="A98" t="s">
        <v>44</v>
      </c>
      <c r="B98" s="12" t="s">
        <v>720</v>
      </c>
      <c r="C98" s="12"/>
      <c r="F98">
        <v>3.78</v>
      </c>
      <c r="G98" t="s">
        <v>80</v>
      </c>
      <c r="H98" s="8" t="s">
        <v>549</v>
      </c>
      <c r="I98">
        <v>-1</v>
      </c>
      <c r="L98" s="20">
        <v>1</v>
      </c>
      <c r="M98">
        <v>0</v>
      </c>
      <c r="N98">
        <v>0</v>
      </c>
      <c r="O98">
        <v>3.859</v>
      </c>
      <c r="P98">
        <v>3.859</v>
      </c>
      <c r="Q98">
        <v>29.047999999999998</v>
      </c>
      <c r="R98" t="s">
        <v>440</v>
      </c>
      <c r="T98" s="20">
        <v>15.28115725</v>
      </c>
      <c r="U98" s="20">
        <v>15.28115725</v>
      </c>
      <c r="V98" s="20">
        <v>15.28115725</v>
      </c>
      <c r="W98">
        <v>0</v>
      </c>
      <c r="Z98">
        <v>0</v>
      </c>
      <c r="AC98">
        <v>3</v>
      </c>
      <c r="AD98">
        <v>20</v>
      </c>
      <c r="AE98" s="44">
        <f t="shared" si="1"/>
        <v>432.57935928799998</v>
      </c>
      <c r="AF98" s="46">
        <v>229.90248606119221</v>
      </c>
      <c r="AG98" s="44">
        <v>0</v>
      </c>
      <c r="AH98" s="44">
        <v>0</v>
      </c>
      <c r="AI98" s="41"/>
      <c r="AJ98" s="40">
        <v>8.6993404650164072E-2</v>
      </c>
      <c r="AK98" s="41"/>
      <c r="AL98" s="41"/>
      <c r="AM98" s="23">
        <v>1.882352941176471</v>
      </c>
      <c r="AN98" s="23">
        <v>2.3529411764705879</v>
      </c>
      <c r="AO98" s="23">
        <v>0.47058823529411759</v>
      </c>
      <c r="AP98" s="23">
        <v>0</v>
      </c>
      <c r="AQ98" s="23">
        <v>0.4</v>
      </c>
      <c r="AR98" s="23">
        <v>0.5</v>
      </c>
      <c r="AS98" s="23">
        <v>9.9999999999999992E-2</v>
      </c>
      <c r="AT98" s="23">
        <v>0</v>
      </c>
      <c r="AU98" s="20">
        <v>0.82</v>
      </c>
      <c r="AV98" s="20">
        <v>3.44</v>
      </c>
      <c r="AW98" s="20">
        <v>2.62</v>
      </c>
      <c r="AX98" s="20">
        <v>2.5211764705882351</v>
      </c>
      <c r="AY98">
        <v>2.521176470588236</v>
      </c>
      <c r="AZ98">
        <v>5.6898745917647062</v>
      </c>
      <c r="BA98" s="64">
        <v>0.57369840599679445</v>
      </c>
      <c r="BE98">
        <v>4.3496702325082043E-2</v>
      </c>
      <c r="BH98">
        <v>8.6993404650164072E-2</v>
      </c>
      <c r="BI98">
        <v>4.3496702325082043E-2</v>
      </c>
      <c r="BJ98">
        <v>0.57369840599679445</v>
      </c>
    </row>
    <row r="99" spans="1:62" x14ac:dyDescent="0.3">
      <c r="A99" t="s">
        <v>79</v>
      </c>
      <c r="B99" s="16" t="s">
        <v>906</v>
      </c>
      <c r="C99" s="12"/>
      <c r="F99">
        <v>3.2</v>
      </c>
      <c r="G99" t="s">
        <v>80</v>
      </c>
      <c r="H99" s="8">
        <v>-1</v>
      </c>
      <c r="I99">
        <v>-1</v>
      </c>
      <c r="K99">
        <v>2</v>
      </c>
      <c r="L99" s="20">
        <v>0</v>
      </c>
      <c r="M99">
        <v>0</v>
      </c>
      <c r="N99">
        <v>0</v>
      </c>
      <c r="O99">
        <v>3.8650000000000002</v>
      </c>
      <c r="P99">
        <v>3.8650000000000002</v>
      </c>
      <c r="Q99">
        <v>29.241</v>
      </c>
      <c r="T99" s="20">
        <v>0</v>
      </c>
      <c r="U99" s="20"/>
      <c r="V99" s="20"/>
      <c r="W99">
        <v>0</v>
      </c>
      <c r="Z99">
        <v>0</v>
      </c>
      <c r="AC99">
        <v>3</v>
      </c>
      <c r="AD99">
        <v>20</v>
      </c>
      <c r="AE99" s="44">
        <f t="shared" si="1"/>
        <v>436.80863722500004</v>
      </c>
      <c r="AF99" s="46">
        <v>0</v>
      </c>
      <c r="AG99" s="44">
        <v>0</v>
      </c>
      <c r="AH99" s="44">
        <v>0</v>
      </c>
      <c r="AI99" s="41">
        <f>K99*AD99/AE99</f>
        <v>9.1573280817238076E-2</v>
      </c>
      <c r="AJ99" s="40"/>
      <c r="AK99" s="41"/>
      <c r="AL99" s="41"/>
      <c r="AM99" s="23">
        <v>1.882352941176471</v>
      </c>
      <c r="AN99" s="23">
        <v>2.3529411764705879</v>
      </c>
      <c r="AO99" s="23">
        <v>0.49411764705882361</v>
      </c>
      <c r="AP99" s="23">
        <v>0</v>
      </c>
      <c r="AQ99" s="23">
        <v>0.39800995024875629</v>
      </c>
      <c r="AR99" s="23">
        <v>0.4975124378109454</v>
      </c>
      <c r="AS99" s="23">
        <v>0.1044776119402985</v>
      </c>
      <c r="AT99" s="23">
        <v>0</v>
      </c>
      <c r="AU99" s="20">
        <v>0.82</v>
      </c>
      <c r="AV99" s="20">
        <v>3.44</v>
      </c>
      <c r="AW99" s="20">
        <v>2.62</v>
      </c>
      <c r="AX99" s="20">
        <v>2.5228823529411768</v>
      </c>
      <c r="AY99">
        <v>2.5228823529411768</v>
      </c>
      <c r="AZ99">
        <v>5.6932629430588237</v>
      </c>
      <c r="BD99">
        <v>4.5786640408619038E-2</v>
      </c>
      <c r="BH99">
        <v>9.1573280817238076E-2</v>
      </c>
      <c r="BI99">
        <v>4.5786640408619038E-2</v>
      </c>
      <c r="BJ99">
        <v>0</v>
      </c>
    </row>
    <row r="100" spans="1:62" x14ac:dyDescent="0.3">
      <c r="A100" t="s">
        <v>81</v>
      </c>
      <c r="B100" s="16" t="s">
        <v>907</v>
      </c>
      <c r="C100" s="12"/>
      <c r="F100">
        <v>2.93</v>
      </c>
      <c r="G100" t="s">
        <v>80</v>
      </c>
      <c r="H100" s="8">
        <v>-1</v>
      </c>
      <c r="I100">
        <v>-1</v>
      </c>
      <c r="K100">
        <v>2</v>
      </c>
      <c r="L100" s="20">
        <v>0</v>
      </c>
      <c r="M100">
        <v>0</v>
      </c>
      <c r="N100">
        <v>0</v>
      </c>
      <c r="O100">
        <v>3.8660000000000001</v>
      </c>
      <c r="P100">
        <v>3.8660000000000001</v>
      </c>
      <c r="Q100">
        <v>29.145</v>
      </c>
      <c r="T100" s="20">
        <v>0</v>
      </c>
      <c r="U100" s="20"/>
      <c r="V100" s="20"/>
      <c r="W100">
        <v>0</v>
      </c>
      <c r="Z100">
        <v>0</v>
      </c>
      <c r="AC100">
        <v>3</v>
      </c>
      <c r="AD100">
        <v>20</v>
      </c>
      <c r="AE100" s="44">
        <f t="shared" si="1"/>
        <v>435.59988762</v>
      </c>
      <c r="AF100" s="46">
        <v>0</v>
      </c>
      <c r="AG100" s="44">
        <v>0</v>
      </c>
      <c r="AH100" s="44">
        <v>0</v>
      </c>
      <c r="AI100" s="41">
        <f t="shared" ref="AI100:AI105" si="2">K100*AD100/AE100</f>
        <v>9.1827388245091582E-2</v>
      </c>
      <c r="AJ100" s="40"/>
      <c r="AK100" s="41"/>
      <c r="AL100" s="41"/>
      <c r="AM100" s="23">
        <v>1.882352941176471</v>
      </c>
      <c r="AN100" s="23">
        <v>2.3529411764705879</v>
      </c>
      <c r="AO100" s="23">
        <v>0.51764705882352946</v>
      </c>
      <c r="AP100" s="23">
        <v>0</v>
      </c>
      <c r="AQ100" s="23">
        <v>0.39603960396039611</v>
      </c>
      <c r="AR100" s="23">
        <v>0.49504950495049499</v>
      </c>
      <c r="AS100" s="23">
        <v>0.1089108910891089</v>
      </c>
      <c r="AT100" s="23">
        <v>0</v>
      </c>
      <c r="AU100" s="20">
        <v>0.82</v>
      </c>
      <c r="AV100" s="20">
        <v>3.44</v>
      </c>
      <c r="AW100" s="20">
        <v>2.62</v>
      </c>
      <c r="AX100" s="20">
        <v>2.5245882352941171</v>
      </c>
      <c r="AY100">
        <v>2.524588235294118</v>
      </c>
      <c r="AZ100">
        <v>5.6966512943529413</v>
      </c>
      <c r="BD100">
        <v>4.5913694122545791E-2</v>
      </c>
      <c r="BH100">
        <v>9.1827388245091582E-2</v>
      </c>
      <c r="BI100">
        <v>4.5913694122545791E-2</v>
      </c>
      <c r="BJ100">
        <v>0</v>
      </c>
    </row>
    <row r="101" spans="1:62" x14ac:dyDescent="0.3">
      <c r="A101" t="s">
        <v>82</v>
      </c>
      <c r="B101" s="16" t="s">
        <v>908</v>
      </c>
      <c r="C101" s="12"/>
      <c r="F101">
        <v>2.69</v>
      </c>
      <c r="G101" t="s">
        <v>80</v>
      </c>
      <c r="H101" s="8">
        <v>-1</v>
      </c>
      <c r="I101">
        <v>-1</v>
      </c>
      <c r="K101">
        <v>2</v>
      </c>
      <c r="L101" s="20">
        <v>0</v>
      </c>
      <c r="M101">
        <v>0</v>
      </c>
      <c r="N101">
        <v>0</v>
      </c>
      <c r="O101">
        <v>3.871</v>
      </c>
      <c r="P101">
        <v>3.871</v>
      </c>
      <c r="Q101">
        <v>29.241</v>
      </c>
      <c r="T101" s="20">
        <v>0</v>
      </c>
      <c r="U101" s="20"/>
      <c r="V101" s="20"/>
      <c r="W101">
        <v>0</v>
      </c>
      <c r="Z101">
        <v>0</v>
      </c>
      <c r="AC101">
        <v>3</v>
      </c>
      <c r="AD101">
        <v>20</v>
      </c>
      <c r="AE101" s="44">
        <f t="shared" si="1"/>
        <v>438.16588748099997</v>
      </c>
      <c r="AF101" s="46">
        <v>0</v>
      </c>
      <c r="AG101" s="44">
        <v>0</v>
      </c>
      <c r="AH101" s="44">
        <v>0</v>
      </c>
      <c r="AI101" s="41">
        <f t="shared" si="2"/>
        <v>9.1289626013468489E-2</v>
      </c>
      <c r="AJ101" s="40"/>
      <c r="AK101" s="41"/>
      <c r="AL101" s="41"/>
      <c r="AM101" s="23">
        <v>1.882352941176471</v>
      </c>
      <c r="AN101" s="23">
        <v>2.3529411764705879</v>
      </c>
      <c r="AO101" s="23">
        <v>0.54117647058823526</v>
      </c>
      <c r="AP101" s="23">
        <v>0</v>
      </c>
      <c r="AQ101" s="23">
        <v>0.39408866995073888</v>
      </c>
      <c r="AR101" s="23">
        <v>0.49261083743842371</v>
      </c>
      <c r="AS101" s="23">
        <v>0.1133004926108374</v>
      </c>
      <c r="AT101" s="23">
        <v>0</v>
      </c>
      <c r="AU101" s="20">
        <v>0.82</v>
      </c>
      <c r="AV101" s="20">
        <v>3.44</v>
      </c>
      <c r="AW101" s="20">
        <v>2.62</v>
      </c>
      <c r="AX101" s="20">
        <v>2.5262941176470588</v>
      </c>
      <c r="AY101">
        <v>2.5262941176470588</v>
      </c>
      <c r="AZ101">
        <v>5.7000396456470588</v>
      </c>
      <c r="BD101">
        <v>4.5644813006734238E-2</v>
      </c>
      <c r="BH101">
        <v>9.1289626013468489E-2</v>
      </c>
      <c r="BI101">
        <v>4.5644813006734238E-2</v>
      </c>
      <c r="BJ101">
        <v>0</v>
      </c>
    </row>
    <row r="102" spans="1:62" x14ac:dyDescent="0.3">
      <c r="A102" t="s">
        <v>83</v>
      </c>
      <c r="B102" s="16" t="s">
        <v>909</v>
      </c>
      <c r="C102" s="12"/>
      <c r="F102">
        <v>2.4300000000000002</v>
      </c>
      <c r="G102" t="s">
        <v>80</v>
      </c>
      <c r="H102" s="8">
        <v>-1</v>
      </c>
      <c r="I102">
        <v>-1</v>
      </c>
      <c r="K102">
        <v>2</v>
      </c>
      <c r="L102" s="20">
        <v>0</v>
      </c>
      <c r="M102">
        <v>0</v>
      </c>
      <c r="N102">
        <v>0</v>
      </c>
      <c r="O102">
        <v>3.8740000000000001</v>
      </c>
      <c r="P102">
        <v>3.8740000000000001</v>
      </c>
      <c r="Q102">
        <v>32.945999999999998</v>
      </c>
      <c r="T102" s="20">
        <v>0</v>
      </c>
      <c r="U102" s="20"/>
      <c r="V102" s="20"/>
      <c r="W102">
        <v>0</v>
      </c>
      <c r="Z102">
        <v>0</v>
      </c>
      <c r="AC102">
        <v>3</v>
      </c>
      <c r="AD102">
        <v>20</v>
      </c>
      <c r="AE102" s="44">
        <f t="shared" si="1"/>
        <v>494.44948269600002</v>
      </c>
      <c r="AF102" s="46">
        <v>0</v>
      </c>
      <c r="AG102" s="44">
        <v>0</v>
      </c>
      <c r="AH102" s="44">
        <v>0</v>
      </c>
      <c r="AI102" s="41">
        <f t="shared" si="2"/>
        <v>8.0898052075813381E-2</v>
      </c>
      <c r="AJ102" s="40"/>
      <c r="AK102" s="41"/>
      <c r="AL102" s="41"/>
      <c r="AM102" s="23">
        <v>1.882352941176471</v>
      </c>
      <c r="AN102" s="23">
        <v>2.3529411764705879</v>
      </c>
      <c r="AO102" s="23">
        <v>0.56470588235294128</v>
      </c>
      <c r="AP102" s="23">
        <v>0</v>
      </c>
      <c r="AQ102" s="23">
        <v>0.39215686274509798</v>
      </c>
      <c r="AR102" s="23">
        <v>0.49019607843137247</v>
      </c>
      <c r="AS102" s="23">
        <v>0.1176470588235294</v>
      </c>
      <c r="AT102" s="23">
        <v>0</v>
      </c>
      <c r="AU102" s="20">
        <v>0.82</v>
      </c>
      <c r="AV102" s="20">
        <v>3.44</v>
      </c>
      <c r="AW102" s="20">
        <v>2.62</v>
      </c>
      <c r="AX102" s="20">
        <v>2.528</v>
      </c>
      <c r="AY102">
        <v>2.528</v>
      </c>
      <c r="AZ102">
        <v>5.7034279969411772</v>
      </c>
      <c r="BD102">
        <v>4.0449026037906691E-2</v>
      </c>
      <c r="BH102">
        <v>8.0898052075813381E-2</v>
      </c>
      <c r="BI102">
        <v>4.0449026037906691E-2</v>
      </c>
      <c r="BJ102">
        <v>0</v>
      </c>
    </row>
    <row r="103" spans="1:62" x14ac:dyDescent="0.3">
      <c r="A103" s="4" t="s">
        <v>84</v>
      </c>
      <c r="B103" s="16" t="s">
        <v>910</v>
      </c>
      <c r="C103" s="12"/>
      <c r="F103">
        <v>2.41</v>
      </c>
      <c r="G103" t="s">
        <v>80</v>
      </c>
      <c r="H103" s="8">
        <v>-1</v>
      </c>
      <c r="I103">
        <v>-1</v>
      </c>
      <c r="K103">
        <v>2</v>
      </c>
      <c r="L103" s="20">
        <v>0</v>
      </c>
      <c r="M103">
        <v>0</v>
      </c>
      <c r="N103">
        <v>0</v>
      </c>
      <c r="O103">
        <v>3.8759999999999999</v>
      </c>
      <c r="P103">
        <v>3.8759999999999999</v>
      </c>
      <c r="Q103">
        <f>AVERAGE(Q99:Q102)</f>
        <v>30.143249999999998</v>
      </c>
      <c r="T103" s="20">
        <v>0</v>
      </c>
      <c r="U103" s="20"/>
      <c r="V103" s="20"/>
      <c r="W103">
        <v>0</v>
      </c>
      <c r="Z103">
        <v>0</v>
      </c>
      <c r="AC103">
        <v>3</v>
      </c>
      <c r="AD103">
        <v>20</v>
      </c>
      <c r="AE103" s="44">
        <f t="shared" si="1"/>
        <v>452.85337861199991</v>
      </c>
      <c r="AF103" s="46">
        <v>0</v>
      </c>
      <c r="AG103" s="44">
        <v>0</v>
      </c>
      <c r="AH103" s="44">
        <v>0</v>
      </c>
      <c r="AI103" s="41">
        <f t="shared" si="2"/>
        <v>8.8328809917683285E-2</v>
      </c>
      <c r="AJ103" s="40"/>
      <c r="AK103" s="41"/>
      <c r="AL103" s="41"/>
      <c r="AM103" s="23">
        <v>1.882352941176471</v>
      </c>
      <c r="AN103" s="23">
        <v>2.3529411764705879</v>
      </c>
      <c r="AO103" s="23">
        <v>0.58823529411764708</v>
      </c>
      <c r="AP103" s="23">
        <v>0</v>
      </c>
      <c r="AQ103" s="23">
        <v>0.3902439024390244</v>
      </c>
      <c r="AR103" s="23">
        <v>0.48780487804878048</v>
      </c>
      <c r="AS103" s="23">
        <v>0.12195121951219511</v>
      </c>
      <c r="AT103" s="23">
        <v>0</v>
      </c>
      <c r="AU103" s="20">
        <v>0.82</v>
      </c>
      <c r="AV103" s="20">
        <v>3.44</v>
      </c>
      <c r="AW103" s="20">
        <v>2.62</v>
      </c>
      <c r="AX103" s="20">
        <v>2.5297058823529408</v>
      </c>
      <c r="AY103">
        <v>2.5297058823529408</v>
      </c>
      <c r="AZ103">
        <v>5.7068163482352947</v>
      </c>
      <c r="BD103">
        <v>4.4164404958841642E-2</v>
      </c>
      <c r="BH103">
        <v>8.8328809917683285E-2</v>
      </c>
      <c r="BI103">
        <v>4.4164404958841642E-2</v>
      </c>
      <c r="BJ103">
        <v>0</v>
      </c>
    </row>
    <row r="104" spans="1:62" x14ac:dyDescent="0.3">
      <c r="A104" t="s">
        <v>85</v>
      </c>
      <c r="B104" s="16" t="s">
        <v>911</v>
      </c>
      <c r="C104" s="12"/>
      <c r="F104">
        <v>3.06</v>
      </c>
      <c r="G104" t="s">
        <v>80</v>
      </c>
      <c r="H104" s="8">
        <v>-1</v>
      </c>
      <c r="I104">
        <v>-1</v>
      </c>
      <c r="K104">
        <v>2</v>
      </c>
      <c r="L104" s="20">
        <v>0</v>
      </c>
      <c r="M104">
        <v>0</v>
      </c>
      <c r="N104">
        <v>0</v>
      </c>
      <c r="O104">
        <v>3.8660000000000001</v>
      </c>
      <c r="P104">
        <v>3.8660000000000001</v>
      </c>
      <c r="Q104">
        <v>29.114000000000001</v>
      </c>
      <c r="T104" s="20">
        <v>0</v>
      </c>
      <c r="U104" s="20"/>
      <c r="V104" s="20"/>
      <c r="W104">
        <v>0</v>
      </c>
      <c r="Z104">
        <v>0</v>
      </c>
      <c r="AC104">
        <v>3</v>
      </c>
      <c r="AD104">
        <v>20</v>
      </c>
      <c r="AE104" s="44">
        <f t="shared" si="1"/>
        <v>435.13656298400002</v>
      </c>
      <c r="AF104" s="46">
        <v>0</v>
      </c>
      <c r="AG104" s="44">
        <v>0</v>
      </c>
      <c r="AH104" s="44">
        <v>0</v>
      </c>
      <c r="AI104" s="41">
        <f t="shared" si="2"/>
        <v>9.1925164196029197E-2</v>
      </c>
      <c r="AJ104" s="40"/>
      <c r="AK104" s="41"/>
      <c r="AL104" s="41"/>
      <c r="AM104" s="23">
        <v>1.882352941176471</v>
      </c>
      <c r="AN104" s="23">
        <v>2.3529411764705879</v>
      </c>
      <c r="AO104" s="23">
        <v>0.49411764705882361</v>
      </c>
      <c r="AP104" s="23">
        <v>0.1647058823529412</v>
      </c>
      <c r="AQ104" s="23">
        <v>0.38461538461538458</v>
      </c>
      <c r="AR104" s="23">
        <v>0.48076923076923073</v>
      </c>
      <c r="AS104" s="23">
        <v>0.10096153846153851</v>
      </c>
      <c r="AT104" s="23">
        <v>3.3653846153846159E-2</v>
      </c>
      <c r="AU104" s="20">
        <v>0.82</v>
      </c>
      <c r="AV104" s="20">
        <v>3.44</v>
      </c>
      <c r="AW104" s="20">
        <v>2.62</v>
      </c>
      <c r="AX104" s="20">
        <v>2.530823529411764</v>
      </c>
      <c r="AY104">
        <v>2.5308235294117649</v>
      </c>
      <c r="AZ104">
        <v>5.7003253741176483</v>
      </c>
      <c r="BD104">
        <v>4.5962582098014598E-2</v>
      </c>
      <c r="BH104">
        <v>9.1925164196029197E-2</v>
      </c>
      <c r="BI104">
        <v>4.5962582098014598E-2</v>
      </c>
      <c r="BJ104">
        <v>0</v>
      </c>
    </row>
    <row r="105" spans="1:62" x14ac:dyDescent="0.3">
      <c r="A105" t="s">
        <v>86</v>
      </c>
      <c r="B105" s="16" t="s">
        <v>912</v>
      </c>
      <c r="C105" s="12"/>
      <c r="F105">
        <v>2.12</v>
      </c>
      <c r="G105" t="s">
        <v>80</v>
      </c>
      <c r="H105" s="8">
        <v>-1</v>
      </c>
      <c r="I105">
        <v>-1</v>
      </c>
      <c r="K105">
        <v>2</v>
      </c>
      <c r="L105" s="20">
        <v>0</v>
      </c>
      <c r="M105">
        <v>0</v>
      </c>
      <c r="N105">
        <v>0</v>
      </c>
      <c r="O105">
        <v>3.8570000000000002</v>
      </c>
      <c r="P105">
        <v>3.8570000000000002</v>
      </c>
      <c r="Q105">
        <v>29.533999999999999</v>
      </c>
      <c r="T105" s="20">
        <v>0</v>
      </c>
      <c r="U105" s="20"/>
      <c r="V105" s="20"/>
      <c r="W105">
        <v>0</v>
      </c>
      <c r="Z105">
        <v>0</v>
      </c>
      <c r="AC105">
        <v>3</v>
      </c>
      <c r="AD105">
        <v>20</v>
      </c>
      <c r="AE105" s="44">
        <f t="shared" si="1"/>
        <v>439.36104476600002</v>
      </c>
      <c r="AF105" s="46">
        <v>0</v>
      </c>
      <c r="AG105" s="44">
        <v>0</v>
      </c>
      <c r="AH105" s="44">
        <v>0</v>
      </c>
      <c r="AI105" s="41">
        <f t="shared" si="2"/>
        <v>9.1041298441248156E-2</v>
      </c>
      <c r="AJ105" s="40"/>
      <c r="AK105" s="41"/>
      <c r="AL105" s="41"/>
      <c r="AM105" s="23">
        <v>1.882352941176471</v>
      </c>
      <c r="AN105" s="23">
        <v>2.3529411764705879</v>
      </c>
      <c r="AO105" s="23">
        <v>0.54117647058823526</v>
      </c>
      <c r="AP105" s="23">
        <v>0</v>
      </c>
      <c r="AQ105" s="23">
        <v>0.39408866995073888</v>
      </c>
      <c r="AR105" s="23">
        <v>0.49261083743842371</v>
      </c>
      <c r="AS105" s="23">
        <v>0.1133004926108374</v>
      </c>
      <c r="AT105" s="23">
        <v>0</v>
      </c>
      <c r="AU105" s="20">
        <v>0.82</v>
      </c>
      <c r="AV105" s="20">
        <v>3.44</v>
      </c>
      <c r="AW105" s="20">
        <v>2.62</v>
      </c>
      <c r="AX105" s="20">
        <v>2.525529411764706</v>
      </c>
      <c r="AY105">
        <v>2.525529411764706</v>
      </c>
      <c r="AZ105">
        <v>5.7010120870588246</v>
      </c>
      <c r="BD105">
        <v>4.5520649220624078E-2</v>
      </c>
      <c r="BH105">
        <v>9.1041298441248156E-2</v>
      </c>
      <c r="BI105">
        <v>4.5520649220624078E-2</v>
      </c>
      <c r="BJ105">
        <v>0</v>
      </c>
    </row>
    <row r="106" spans="1:62" x14ac:dyDescent="0.3">
      <c r="A106" t="s">
        <v>87</v>
      </c>
      <c r="B106" s="16" t="s">
        <v>743</v>
      </c>
      <c r="C106" s="12"/>
      <c r="F106">
        <v>3.9</v>
      </c>
      <c r="G106" t="s">
        <v>89</v>
      </c>
      <c r="H106" s="8">
        <v>-1</v>
      </c>
      <c r="I106">
        <v>-1</v>
      </c>
      <c r="J106" t="s">
        <v>1162</v>
      </c>
      <c r="L106" s="20">
        <v>0</v>
      </c>
      <c r="M106">
        <v>0</v>
      </c>
      <c r="N106">
        <v>2</v>
      </c>
      <c r="O106">
        <v>3.9037999999999999</v>
      </c>
      <c r="P106">
        <v>3.9037999999999999</v>
      </c>
      <c r="Q106">
        <v>9.7742000000000004</v>
      </c>
      <c r="R106" t="s">
        <v>439</v>
      </c>
      <c r="T106" s="20">
        <v>0</v>
      </c>
      <c r="U106" s="20"/>
      <c r="V106" s="20"/>
      <c r="W106">
        <v>0</v>
      </c>
      <c r="Z106">
        <v>3.93</v>
      </c>
      <c r="AA106">
        <v>3.93</v>
      </c>
      <c r="AB106">
        <v>18.515000000000001</v>
      </c>
      <c r="AC106">
        <v>3</v>
      </c>
      <c r="AD106">
        <v>14</v>
      </c>
      <c r="AE106" s="44">
        <f t="shared" si="1"/>
        <v>148.95543042744799</v>
      </c>
      <c r="AF106" s="46">
        <v>0</v>
      </c>
      <c r="AG106" s="44">
        <v>0</v>
      </c>
      <c r="AH106" s="44">
        <v>285.96232350000002</v>
      </c>
      <c r="AI106" s="41"/>
      <c r="AJ106" s="40"/>
      <c r="AK106" s="41"/>
      <c r="AL106" s="41">
        <v>9.7914996833490184E-2</v>
      </c>
      <c r="AM106" s="23">
        <v>1.833333333333333</v>
      </c>
      <c r="AN106" s="23">
        <v>2.333333333333333</v>
      </c>
      <c r="AO106" s="23">
        <v>0.5</v>
      </c>
      <c r="AP106" s="23">
        <v>2.333333333333333</v>
      </c>
      <c r="AQ106" s="23">
        <v>0.26190476190476192</v>
      </c>
      <c r="AR106" s="23">
        <v>0.33333333333333343</v>
      </c>
      <c r="AS106" s="23">
        <v>7.1428571428571425E-2</v>
      </c>
      <c r="AT106" s="23">
        <v>0.33333333333333343</v>
      </c>
      <c r="AU106" s="20">
        <v>0.95</v>
      </c>
      <c r="AV106" s="20">
        <v>3.44</v>
      </c>
      <c r="AW106" s="20">
        <v>2.4900000000000002</v>
      </c>
      <c r="AX106" s="20">
        <v>2.7024999999999988</v>
      </c>
      <c r="AY106">
        <v>2.7025000000000001</v>
      </c>
      <c r="AZ106">
        <v>6.4896876145585001</v>
      </c>
      <c r="BC106" s="64">
        <v>0.392702013826212</v>
      </c>
      <c r="BG106">
        <v>4.8957498416745092E-2</v>
      </c>
      <c r="BH106">
        <v>9.7914996833490184E-2</v>
      </c>
      <c r="BI106">
        <v>4.8957498416745092E-2</v>
      </c>
      <c r="BJ106">
        <v>0.392702013826212</v>
      </c>
    </row>
    <row r="107" spans="1:62" x14ac:dyDescent="0.3">
      <c r="A107" t="s">
        <v>88</v>
      </c>
      <c r="B107" s="12" t="s">
        <v>741</v>
      </c>
      <c r="C107" s="12"/>
      <c r="F107">
        <v>3.9</v>
      </c>
      <c r="G107" t="s">
        <v>89</v>
      </c>
      <c r="H107" s="8" t="s">
        <v>562</v>
      </c>
      <c r="I107" t="s">
        <v>640</v>
      </c>
      <c r="L107" s="20">
        <v>1</v>
      </c>
      <c r="M107">
        <v>2</v>
      </c>
      <c r="N107">
        <v>0</v>
      </c>
      <c r="O107" s="1">
        <v>3.847</v>
      </c>
      <c r="P107" s="1">
        <v>3.847</v>
      </c>
      <c r="Q107" s="1">
        <v>18.109400000000001</v>
      </c>
      <c r="R107" s="1" t="s">
        <v>440</v>
      </c>
      <c r="S107" s="1"/>
      <c r="T107" s="20">
        <v>3.9407006600000001</v>
      </c>
      <c r="U107" s="20">
        <v>3.94070016</v>
      </c>
      <c r="V107" s="20">
        <v>9.4498532300000004</v>
      </c>
      <c r="W107">
        <v>3.9499</v>
      </c>
      <c r="X107">
        <v>3.9499</v>
      </c>
      <c r="Y107">
        <v>18.2</v>
      </c>
      <c r="Z107">
        <v>0</v>
      </c>
      <c r="AC107">
        <v>3</v>
      </c>
      <c r="AD107">
        <v>14</v>
      </c>
      <c r="AE107" s="44">
        <f t="shared" si="1"/>
        <v>268.00841734459999</v>
      </c>
      <c r="AF107" s="46">
        <v>140.22301532111419</v>
      </c>
      <c r="AG107" s="44">
        <v>283.95112218200001</v>
      </c>
      <c r="AH107" s="44">
        <v>0</v>
      </c>
      <c r="AI107" s="41"/>
      <c r="AJ107" s="40">
        <v>9.984095669273442E-2</v>
      </c>
      <c r="AK107" s="41">
        <v>9.8608520314468942E-2</v>
      </c>
      <c r="AL107" s="41"/>
      <c r="AM107" s="23">
        <v>1.833333333333333</v>
      </c>
      <c r="AN107" s="23">
        <v>2.333333333333333</v>
      </c>
      <c r="AO107" s="23">
        <v>0.5</v>
      </c>
      <c r="AP107" s="23">
        <v>2.333333333333333</v>
      </c>
      <c r="AQ107" s="23">
        <v>0.26190476190476192</v>
      </c>
      <c r="AR107" s="23">
        <v>0.33333333333333343</v>
      </c>
      <c r="AS107" s="23">
        <v>7.1428571428571425E-2</v>
      </c>
      <c r="AT107" s="23">
        <v>0.33333333333333343</v>
      </c>
      <c r="AU107" s="20">
        <v>0.95</v>
      </c>
      <c r="AV107" s="20">
        <v>3.44</v>
      </c>
      <c r="AW107" s="20">
        <v>2.4900000000000002</v>
      </c>
      <c r="AX107" s="20">
        <v>2.499166666666667</v>
      </c>
      <c r="AY107">
        <v>2.499166666666667</v>
      </c>
      <c r="AZ107">
        <v>5.7944152492500001</v>
      </c>
      <c r="BA107" s="64">
        <v>0.55890272128424257</v>
      </c>
      <c r="BB107" s="64">
        <v>0.55200362828233795</v>
      </c>
      <c r="BE107">
        <v>4.9920478346367217E-2</v>
      </c>
      <c r="BF107">
        <v>4.9304260157234471E-2</v>
      </c>
      <c r="BH107">
        <v>9.9224738503601681E-2</v>
      </c>
      <c r="BI107">
        <v>4.9612369251800847E-2</v>
      </c>
      <c r="BJ107">
        <v>0.55545317478329026</v>
      </c>
    </row>
    <row r="108" spans="1:62" x14ac:dyDescent="0.3">
      <c r="A108" t="s">
        <v>856</v>
      </c>
      <c r="B108" s="16" t="s">
        <v>913</v>
      </c>
      <c r="C108" s="12"/>
      <c r="F108">
        <v>3.9</v>
      </c>
      <c r="G108" t="s">
        <v>89</v>
      </c>
      <c r="H108" s="8">
        <v>-1</v>
      </c>
      <c r="I108">
        <v>-1</v>
      </c>
      <c r="K108">
        <v>1</v>
      </c>
      <c r="L108" s="20">
        <v>0</v>
      </c>
      <c r="M108">
        <v>0</v>
      </c>
      <c r="N108">
        <v>0</v>
      </c>
      <c r="O108">
        <v>3.9973999999999998</v>
      </c>
      <c r="P108">
        <v>3.9973999999999998</v>
      </c>
      <c r="Q108">
        <v>12.132999999999999</v>
      </c>
      <c r="R108" t="s">
        <v>439</v>
      </c>
      <c r="T108" s="20">
        <v>0</v>
      </c>
      <c r="U108" s="20"/>
      <c r="V108" s="20"/>
      <c r="W108">
        <v>0</v>
      </c>
      <c r="Z108">
        <v>0</v>
      </c>
      <c r="AC108">
        <v>3</v>
      </c>
      <c r="AD108">
        <v>14</v>
      </c>
      <c r="AE108" s="44">
        <f t="shared" si="1"/>
        <v>193.87571561907995</v>
      </c>
      <c r="AF108" s="46">
        <v>0</v>
      </c>
      <c r="AG108" s="44">
        <v>0</v>
      </c>
      <c r="AH108" s="44">
        <v>0</v>
      </c>
      <c r="AI108" s="41">
        <f t="shared" ref="AI108:AI112" si="3">K108*AD108/AE108</f>
        <v>7.2211209925366296E-2</v>
      </c>
      <c r="AJ108" s="40"/>
      <c r="AK108" s="41"/>
      <c r="AL108" s="41"/>
      <c r="AM108" s="23">
        <v>1.833333333333333</v>
      </c>
      <c r="AN108" s="23">
        <v>2.333333333333333</v>
      </c>
      <c r="AO108" s="23">
        <v>0.5</v>
      </c>
      <c r="AP108" s="23">
        <v>2.333333333333333</v>
      </c>
      <c r="AQ108" s="23">
        <v>0.26190476190476192</v>
      </c>
      <c r="AR108" s="23">
        <v>0.33333333333333343</v>
      </c>
      <c r="AS108" s="23">
        <v>7.1428571428571425E-2</v>
      </c>
      <c r="AT108" s="23">
        <v>0.33333333333333343</v>
      </c>
      <c r="AU108" s="20">
        <v>0.82</v>
      </c>
      <c r="AV108" s="20">
        <v>3.44</v>
      </c>
      <c r="AW108" s="20">
        <v>2.62</v>
      </c>
      <c r="AX108" s="20">
        <v>2.4725000000000001</v>
      </c>
      <c r="AY108">
        <v>2.4725000000000001</v>
      </c>
      <c r="AZ108">
        <v>5.697111802916667</v>
      </c>
      <c r="BD108">
        <v>3.6105604962683148E-2</v>
      </c>
      <c r="BH108">
        <v>7.2211209925366296E-2</v>
      </c>
      <c r="BI108">
        <v>3.6105604962683148E-2</v>
      </c>
      <c r="BJ108">
        <v>0</v>
      </c>
    </row>
    <row r="109" spans="1:62" x14ac:dyDescent="0.3">
      <c r="A109" t="s">
        <v>857</v>
      </c>
      <c r="B109" s="16" t="s">
        <v>914</v>
      </c>
      <c r="C109" s="12"/>
      <c r="F109">
        <v>3.9</v>
      </c>
      <c r="G109" t="s">
        <v>89</v>
      </c>
      <c r="H109" s="8">
        <v>-1</v>
      </c>
      <c r="I109">
        <v>-1</v>
      </c>
      <c r="K109">
        <v>1</v>
      </c>
      <c r="L109" s="20">
        <v>0</v>
      </c>
      <c r="M109">
        <v>0</v>
      </c>
      <c r="N109">
        <v>0</v>
      </c>
      <c r="O109">
        <v>3.9727000000000001</v>
      </c>
      <c r="P109">
        <v>3.9727000000000001</v>
      </c>
      <c r="Q109">
        <v>12.763199999999999</v>
      </c>
      <c r="R109" t="s">
        <v>439</v>
      </c>
      <c r="T109" s="20">
        <v>0</v>
      </c>
      <c r="U109" s="20"/>
      <c r="V109" s="20"/>
      <c r="W109">
        <v>0</v>
      </c>
      <c r="Z109">
        <v>0</v>
      </c>
      <c r="AC109">
        <v>3</v>
      </c>
      <c r="AD109">
        <v>14</v>
      </c>
      <c r="AE109" s="44">
        <f t="shared" si="1"/>
        <v>201.43322940532801</v>
      </c>
      <c r="AF109" s="46">
        <v>0</v>
      </c>
      <c r="AG109" s="44">
        <v>0</v>
      </c>
      <c r="AH109" s="44">
        <v>0</v>
      </c>
      <c r="AI109" s="41">
        <f t="shared" si="3"/>
        <v>6.9501938887297082E-2</v>
      </c>
      <c r="AJ109" s="40"/>
      <c r="AK109" s="41"/>
      <c r="AL109" s="41"/>
      <c r="AM109" s="23">
        <v>1.833333333333333</v>
      </c>
      <c r="AN109" s="23">
        <v>2.333333333333333</v>
      </c>
      <c r="AO109" s="23">
        <v>0.5</v>
      </c>
      <c r="AP109" s="23">
        <v>2.333333333333333</v>
      </c>
      <c r="AQ109" s="23">
        <v>0.26190476190476192</v>
      </c>
      <c r="AR109" s="23">
        <v>0.33333333333333343</v>
      </c>
      <c r="AS109" s="23">
        <v>7.1428571428571425E-2</v>
      </c>
      <c r="AT109" s="23">
        <v>0.33333333333333343</v>
      </c>
      <c r="AU109" s="20">
        <v>0.82</v>
      </c>
      <c r="AV109" s="20">
        <v>3.44</v>
      </c>
      <c r="AW109" s="20">
        <v>2.62</v>
      </c>
      <c r="AX109" s="20">
        <v>2.4725000000000001</v>
      </c>
      <c r="AY109">
        <v>2.4725000000000001</v>
      </c>
      <c r="AZ109">
        <v>5.6821885904166667</v>
      </c>
      <c r="BD109">
        <v>3.4750969443648541E-2</v>
      </c>
      <c r="BH109">
        <v>6.9501938887297082E-2</v>
      </c>
      <c r="BI109">
        <v>3.4750969443648541E-2</v>
      </c>
      <c r="BJ109">
        <v>0</v>
      </c>
    </row>
    <row r="110" spans="1:62" x14ac:dyDescent="0.3">
      <c r="A110" t="s">
        <v>27</v>
      </c>
      <c r="B110" s="12" t="s">
        <v>742</v>
      </c>
      <c r="C110" s="12"/>
      <c r="F110">
        <v>3.6</v>
      </c>
      <c r="G110" t="s">
        <v>89</v>
      </c>
      <c r="H110" s="8" t="s">
        <v>563</v>
      </c>
      <c r="I110" t="s">
        <v>641</v>
      </c>
      <c r="L110" s="20">
        <v>1</v>
      </c>
      <c r="M110">
        <v>1</v>
      </c>
      <c r="N110">
        <v>0</v>
      </c>
      <c r="T110" s="20">
        <v>3.9948813699999999</v>
      </c>
      <c r="U110" s="20">
        <v>3.9948813699999999</v>
      </c>
      <c r="V110" s="20">
        <v>3.9948813699999999</v>
      </c>
      <c r="W110">
        <v>3.9883000000000002</v>
      </c>
      <c r="X110">
        <v>3.9883000000000002</v>
      </c>
      <c r="Y110">
        <v>3.9883000000000002</v>
      </c>
      <c r="Z110">
        <v>0</v>
      </c>
      <c r="AD110">
        <v>6</v>
      </c>
      <c r="AE110" s="44">
        <f t="shared" si="1"/>
        <v>0</v>
      </c>
      <c r="AF110" s="46">
        <v>63.754620030366901</v>
      </c>
      <c r="AG110" s="44">
        <v>63.440041078387011</v>
      </c>
      <c r="AH110" s="44">
        <v>0</v>
      </c>
      <c r="AI110" s="41"/>
      <c r="AJ110" s="40">
        <v>9.4110826747020773E-2</v>
      </c>
      <c r="AK110" s="41">
        <v>9.4577492353549286E-2</v>
      </c>
      <c r="AL110" s="41"/>
      <c r="AM110" s="23">
        <v>1.8</v>
      </c>
      <c r="AN110" s="23">
        <v>2.4</v>
      </c>
      <c r="AO110" s="23">
        <v>0.6</v>
      </c>
      <c r="AP110" s="23">
        <v>2.8</v>
      </c>
      <c r="AQ110" s="23">
        <v>0.23684210526315791</v>
      </c>
      <c r="AR110" s="23">
        <v>0.31578947368421051</v>
      </c>
      <c r="AS110" s="23">
        <v>7.8947368421052627E-2</v>
      </c>
      <c r="AT110" s="23">
        <v>0.36842105263157893</v>
      </c>
      <c r="AU110" s="20">
        <v>0.82</v>
      </c>
      <c r="AV110" s="20">
        <v>3.44</v>
      </c>
      <c r="AW110" s="20">
        <v>2.62</v>
      </c>
      <c r="AX110" s="20">
        <v>2.528</v>
      </c>
      <c r="AY110">
        <v>2.528</v>
      </c>
      <c r="AZ110">
        <v>5.7952294759999994</v>
      </c>
      <c r="BA110" s="64">
        <v>0.65619545508850963</v>
      </c>
      <c r="BB110" s="64">
        <v>0.65944931928920669</v>
      </c>
      <c r="BE110">
        <v>4.7055413373510387E-2</v>
      </c>
      <c r="BF110">
        <v>4.7288746176774643E-2</v>
      </c>
      <c r="BH110">
        <v>9.4344159550285023E-2</v>
      </c>
      <c r="BI110">
        <v>4.7172079775142511E-2</v>
      </c>
      <c r="BJ110">
        <v>0.65782238718885822</v>
      </c>
    </row>
    <row r="111" spans="1:62" x14ac:dyDescent="0.3">
      <c r="A111" t="s">
        <v>864</v>
      </c>
      <c r="B111" s="12" t="s">
        <v>861</v>
      </c>
      <c r="C111" s="12"/>
      <c r="F111">
        <v>4</v>
      </c>
      <c r="G111" t="s">
        <v>91</v>
      </c>
      <c r="H111" s="8">
        <v>-1</v>
      </c>
      <c r="I111">
        <v>-1</v>
      </c>
      <c r="J111" t="s">
        <v>1212</v>
      </c>
      <c r="K111">
        <v>0.66666666699999999</v>
      </c>
      <c r="L111" s="20">
        <v>0</v>
      </c>
      <c r="M111">
        <v>0</v>
      </c>
      <c r="N111">
        <f>2/3</f>
        <v>0.66666666666666663</v>
      </c>
      <c r="O111">
        <v>3.9607999999999999</v>
      </c>
      <c r="P111">
        <v>3.9607999999999999</v>
      </c>
      <c r="Q111">
        <v>21.8126</v>
      </c>
      <c r="R111" t="s">
        <v>440</v>
      </c>
      <c r="T111" s="20">
        <v>0</v>
      </c>
      <c r="U111" s="20"/>
      <c r="V111" s="20"/>
      <c r="W111">
        <v>0</v>
      </c>
      <c r="Z111">
        <v>0</v>
      </c>
      <c r="AD111">
        <v>42</v>
      </c>
      <c r="AE111" s="44">
        <f t="shared" si="1"/>
        <v>342.19468675366397</v>
      </c>
      <c r="AF111" s="46">
        <v>0</v>
      </c>
      <c r="AG111" s="44">
        <v>0</v>
      </c>
      <c r="AH111" s="44">
        <v>347.6</v>
      </c>
      <c r="AI111" s="41">
        <f t="shared" si="3"/>
        <v>8.1824765543938416E-2</v>
      </c>
      <c r="AJ111" s="40"/>
      <c r="AK111" s="41"/>
      <c r="AL111" s="41">
        <f>N111*AD111/AH111</f>
        <v>8.0552359033371684E-2</v>
      </c>
      <c r="AM111" s="23">
        <v>1.828571428571429</v>
      </c>
      <c r="AN111" s="23">
        <v>2.4</v>
      </c>
      <c r="AO111" s="23">
        <v>0.5714285714285714</v>
      </c>
      <c r="AP111" s="23">
        <v>2.4</v>
      </c>
      <c r="AQ111" s="23">
        <v>0.25396825396825401</v>
      </c>
      <c r="AR111" s="23">
        <v>0.33333333333333331</v>
      </c>
      <c r="AS111" s="23">
        <v>7.9365079365079361E-2</v>
      </c>
      <c r="AT111" s="23">
        <v>0.33333333333333331</v>
      </c>
      <c r="AU111" s="20">
        <v>0.82</v>
      </c>
      <c r="AV111" s="20">
        <v>3.44</v>
      </c>
      <c r="AW111" s="20">
        <v>2.62</v>
      </c>
      <c r="AX111" s="20">
        <v>2.524571428571428</v>
      </c>
      <c r="AY111">
        <v>2.524571428571428</v>
      </c>
      <c r="AZ111">
        <v>5.7888591694285711</v>
      </c>
      <c r="BD111">
        <v>4.0912382771969208E-2</v>
      </c>
      <c r="BG111">
        <v>4.0276179516685842E-2</v>
      </c>
      <c r="BH111">
        <v>8.118856228865505E-2</v>
      </c>
      <c r="BI111">
        <v>4.0594281144327532E-2</v>
      </c>
      <c r="BJ111">
        <v>0</v>
      </c>
    </row>
    <row r="112" spans="1:62" x14ac:dyDescent="0.3">
      <c r="A112" t="s">
        <v>865</v>
      </c>
      <c r="B112" s="12" t="s">
        <v>862</v>
      </c>
      <c r="C112" s="12"/>
      <c r="F112">
        <v>4</v>
      </c>
      <c r="G112" t="s">
        <v>91</v>
      </c>
      <c r="H112" s="8">
        <v>-1</v>
      </c>
      <c r="I112">
        <v>-1</v>
      </c>
      <c r="K112">
        <f>0.666666667/2</f>
        <v>0.3333333335</v>
      </c>
      <c r="L112" s="20">
        <v>0</v>
      </c>
      <c r="M112">
        <v>0</v>
      </c>
      <c r="N112">
        <v>2</v>
      </c>
      <c r="O112">
        <v>3.9483999999999999</v>
      </c>
      <c r="P112">
        <v>3.9483999999999999</v>
      </c>
      <c r="Q112">
        <v>9.7742000000000004</v>
      </c>
      <c r="R112" t="s">
        <v>439</v>
      </c>
      <c r="T112" s="20">
        <v>0</v>
      </c>
      <c r="U112" s="20"/>
      <c r="V112" s="20"/>
      <c r="W112">
        <v>0</v>
      </c>
      <c r="Z112">
        <v>0</v>
      </c>
      <c r="AD112">
        <v>42</v>
      </c>
      <c r="AE112" s="44">
        <f t="shared" si="1"/>
        <v>152.378434633952</v>
      </c>
      <c r="AF112" s="46">
        <v>0</v>
      </c>
      <c r="AG112" s="44">
        <v>0</v>
      </c>
      <c r="AH112" s="44">
        <v>0</v>
      </c>
      <c r="AI112" s="41">
        <f t="shared" si="3"/>
        <v>9.1876518095432708E-2</v>
      </c>
      <c r="AJ112" s="40"/>
      <c r="AK112" s="41"/>
      <c r="AL112" s="41"/>
      <c r="AM112" s="23">
        <v>1.828571428571429</v>
      </c>
      <c r="AN112" s="23">
        <v>2.4</v>
      </c>
      <c r="AO112" s="23">
        <v>0.5714285714285714</v>
      </c>
      <c r="AP112" s="23">
        <v>2.4</v>
      </c>
      <c r="AQ112" s="23">
        <v>0.25396825396825401</v>
      </c>
      <c r="AR112" s="23">
        <v>0.33333333333333331</v>
      </c>
      <c r="AS112" s="23">
        <v>7.9365079365079361E-2</v>
      </c>
      <c r="AT112" s="23">
        <v>0.33333333333333331</v>
      </c>
      <c r="AU112" s="20">
        <v>1.1000000000000001</v>
      </c>
      <c r="AV112" s="20">
        <v>3.44</v>
      </c>
      <c r="AW112" s="20">
        <v>2.34</v>
      </c>
      <c r="AX112" s="20">
        <v>2.7611428571428571</v>
      </c>
      <c r="AY112">
        <v>2.7611428571428571</v>
      </c>
      <c r="AZ112">
        <v>6.6040800042601706</v>
      </c>
      <c r="BD112">
        <v>4.5938259047716347E-2</v>
      </c>
      <c r="BG112" t="s">
        <v>459</v>
      </c>
      <c r="BH112">
        <v>9.1876518095432708E-2</v>
      </c>
      <c r="BI112" t="s">
        <v>459</v>
      </c>
      <c r="BJ112">
        <v>0</v>
      </c>
    </row>
    <row r="113" spans="1:62" x14ac:dyDescent="0.3">
      <c r="A113" t="s">
        <v>858</v>
      </c>
      <c r="B113" s="12" t="s">
        <v>859</v>
      </c>
      <c r="C113" s="12"/>
      <c r="F113">
        <v>4</v>
      </c>
      <c r="G113" t="s">
        <v>91</v>
      </c>
      <c r="H113" s="8" t="s">
        <v>860</v>
      </c>
      <c r="I113">
        <v>1540895</v>
      </c>
      <c r="L113" s="20">
        <v>0</v>
      </c>
      <c r="M113">
        <v>4</v>
      </c>
      <c r="N113">
        <v>0</v>
      </c>
      <c r="T113" s="20">
        <v>0</v>
      </c>
      <c r="U113" s="20"/>
      <c r="V113" s="20"/>
      <c r="W113">
        <v>6.5429000000000004</v>
      </c>
      <c r="X113">
        <v>7.6490999999999998</v>
      </c>
      <c r="Y113">
        <v>12.583</v>
      </c>
      <c r="Z113">
        <v>0</v>
      </c>
      <c r="AD113">
        <v>18</v>
      </c>
      <c r="AE113" s="44">
        <f t="shared" si="1"/>
        <v>0</v>
      </c>
      <c r="AF113" s="46">
        <v>0</v>
      </c>
      <c r="AG113" s="44">
        <v>629.74513047537005</v>
      </c>
      <c r="AH113" s="44">
        <v>0</v>
      </c>
      <c r="AI113" s="41"/>
      <c r="AJ113" s="40"/>
      <c r="AK113" s="41">
        <v>0.1143319678322086</v>
      </c>
      <c r="AL113" s="41"/>
      <c r="AM113" s="23">
        <v>2</v>
      </c>
      <c r="AN113" s="23">
        <v>2.7692307692307692</v>
      </c>
      <c r="AO113" s="23">
        <v>0.76923076923076927</v>
      </c>
      <c r="AP113" s="23">
        <v>3.2307692307692308</v>
      </c>
      <c r="AQ113" s="23">
        <v>0.22807017543859651</v>
      </c>
      <c r="AR113" s="23">
        <v>0.31578947368421051</v>
      </c>
      <c r="AS113" s="23">
        <v>8.771929824561403E-2</v>
      </c>
      <c r="AT113" s="23">
        <v>0.36842105263157893</v>
      </c>
      <c r="AU113" s="20">
        <v>1.1000000000000001</v>
      </c>
      <c r="AV113" s="20">
        <v>3.44</v>
      </c>
      <c r="AW113" s="20">
        <v>2.34</v>
      </c>
      <c r="AX113" s="20">
        <v>2.8123076923076931</v>
      </c>
      <c r="AY113">
        <v>2.8123076923076931</v>
      </c>
      <c r="AZ113">
        <v>6.3640369961538461</v>
      </c>
      <c r="BB113" s="64">
        <v>0.55971264878746807</v>
      </c>
      <c r="BF113">
        <v>5.7165983916104293E-2</v>
      </c>
      <c r="BH113">
        <v>0.1143319678322086</v>
      </c>
      <c r="BI113">
        <v>5.7165983916104293E-2</v>
      </c>
      <c r="BJ113">
        <v>0.55971264878746807</v>
      </c>
    </row>
    <row r="114" spans="1:62" x14ac:dyDescent="0.3">
      <c r="A114" t="s">
        <v>87</v>
      </c>
      <c r="B114" s="12" t="s">
        <v>743</v>
      </c>
      <c r="C114" s="12"/>
      <c r="F114">
        <v>3.9</v>
      </c>
      <c r="G114" t="s">
        <v>91</v>
      </c>
      <c r="H114" s="8" t="s">
        <v>564</v>
      </c>
      <c r="I114">
        <v>-1</v>
      </c>
      <c r="L114" s="20">
        <v>1</v>
      </c>
      <c r="M114">
        <v>0</v>
      </c>
      <c r="N114">
        <v>0</v>
      </c>
      <c r="T114" s="20">
        <v>9.9051542599999998</v>
      </c>
      <c r="U114" s="20">
        <v>9.9051542599999998</v>
      </c>
      <c r="V114" s="20">
        <v>9.9051542599999998</v>
      </c>
      <c r="W114">
        <v>0</v>
      </c>
      <c r="Z114">
        <v>0</v>
      </c>
      <c r="AD114">
        <v>14</v>
      </c>
      <c r="AE114" s="44">
        <f t="shared" si="1"/>
        <v>0</v>
      </c>
      <c r="AF114" s="46">
        <v>150.75696951344321</v>
      </c>
      <c r="AG114" s="44">
        <v>0</v>
      </c>
      <c r="AH114" s="44">
        <v>0</v>
      </c>
      <c r="AI114" s="41"/>
      <c r="AJ114" s="40">
        <v>9.2864695046497372E-2</v>
      </c>
      <c r="AK114" s="41"/>
      <c r="AL114" s="41"/>
      <c r="AM114" s="23">
        <v>1.833333333333333</v>
      </c>
      <c r="AN114" s="23">
        <v>2.333333333333333</v>
      </c>
      <c r="AO114" s="23">
        <v>0.5</v>
      </c>
      <c r="AP114" s="23">
        <v>2.333333333333333</v>
      </c>
      <c r="AQ114" s="23">
        <v>0.26190476190476192</v>
      </c>
      <c r="AR114" s="23">
        <v>0.33333333333333343</v>
      </c>
      <c r="AS114" s="23">
        <v>7.1428571428571425E-2</v>
      </c>
      <c r="AT114" s="23">
        <v>0.33333333333333343</v>
      </c>
      <c r="AU114" s="20">
        <v>0.95</v>
      </c>
      <c r="AV114" s="20">
        <v>3.44</v>
      </c>
      <c r="AW114" s="20">
        <v>2.4900000000000002</v>
      </c>
      <c r="AX114" s="20">
        <v>2.7024999999999988</v>
      </c>
      <c r="AY114">
        <v>2.7025000000000001</v>
      </c>
      <c r="AZ114">
        <v>6.4896876145585001</v>
      </c>
      <c r="BA114" s="64">
        <v>0.47933948900870132</v>
      </c>
      <c r="BE114">
        <v>4.6432347523248672E-2</v>
      </c>
      <c r="BH114">
        <v>9.2864695046497372E-2</v>
      </c>
      <c r="BI114">
        <v>4.6432347523248672E-2</v>
      </c>
      <c r="BJ114">
        <v>0.47933948900870132</v>
      </c>
    </row>
    <row r="115" spans="1:62" x14ac:dyDescent="0.3">
      <c r="A115" t="s">
        <v>92</v>
      </c>
      <c r="B115" s="16" t="s">
        <v>915</v>
      </c>
      <c r="C115" s="12"/>
      <c r="F115">
        <v>4.0999999999999996</v>
      </c>
      <c r="G115" t="s">
        <v>93</v>
      </c>
      <c r="H115" s="8">
        <v>-1</v>
      </c>
      <c r="I115">
        <v>-1</v>
      </c>
      <c r="L115" s="20">
        <v>0</v>
      </c>
      <c r="M115">
        <v>0</v>
      </c>
      <c r="N115">
        <v>0</v>
      </c>
      <c r="O115">
        <v>3.9499</v>
      </c>
      <c r="P115">
        <v>3.9499</v>
      </c>
      <c r="Q115">
        <v>17.030999999999999</v>
      </c>
      <c r="R115" t="s">
        <v>439</v>
      </c>
      <c r="T115" s="20">
        <v>0</v>
      </c>
      <c r="U115" s="20"/>
      <c r="V115" s="20"/>
      <c r="W115">
        <v>0</v>
      </c>
      <c r="Z115">
        <v>0</v>
      </c>
      <c r="AD115">
        <v>20</v>
      </c>
      <c r="AE115" s="44">
        <f t="shared" si="1"/>
        <v>265.71272318030998</v>
      </c>
      <c r="AF115" s="46">
        <v>0</v>
      </c>
      <c r="AG115" s="44">
        <v>0</v>
      </c>
      <c r="AH115" s="44">
        <v>0</v>
      </c>
      <c r="AI115" s="41"/>
      <c r="AJ115" s="40"/>
      <c r="AK115" s="41"/>
      <c r="AL115" s="41"/>
      <c r="AM115" s="23">
        <v>1.8787878787878789</v>
      </c>
      <c r="AN115" s="23">
        <v>2.4242424242424239</v>
      </c>
      <c r="AO115" s="23">
        <v>0.54545454545454541</v>
      </c>
      <c r="AP115" s="23">
        <v>2.545454545454545</v>
      </c>
      <c r="AQ115" s="23">
        <v>0.25409836065573771</v>
      </c>
      <c r="AR115" s="23">
        <v>0.32786885245901642</v>
      </c>
      <c r="AS115" s="23">
        <v>7.3770491803278687E-2</v>
      </c>
      <c r="AT115" s="23">
        <v>0.34426229508196721</v>
      </c>
      <c r="AU115" s="20">
        <v>0.82</v>
      </c>
      <c r="AV115" s="20">
        <v>3.44</v>
      </c>
      <c r="AW115" s="20">
        <v>2.62</v>
      </c>
      <c r="AX115" s="20">
        <v>2.543333333333333</v>
      </c>
      <c r="AY115">
        <v>2.5433333333333339</v>
      </c>
      <c r="AZ115">
        <v>5.8398279362121217</v>
      </c>
      <c r="BH115">
        <v>0</v>
      </c>
      <c r="BI115">
        <v>0</v>
      </c>
      <c r="BJ115">
        <v>0</v>
      </c>
    </row>
    <row r="116" spans="1:62" x14ac:dyDescent="0.3">
      <c r="A116" t="s">
        <v>34</v>
      </c>
      <c r="B116" s="12" t="s">
        <v>711</v>
      </c>
      <c r="C116" s="12"/>
      <c r="F116">
        <v>3.2</v>
      </c>
      <c r="G116" t="s">
        <v>94</v>
      </c>
      <c r="H116" s="8" t="s">
        <v>542</v>
      </c>
      <c r="I116" t="s">
        <v>623</v>
      </c>
      <c r="L116" s="20">
        <v>1</v>
      </c>
      <c r="M116">
        <v>2</v>
      </c>
      <c r="N116">
        <v>0</v>
      </c>
      <c r="T116" s="20">
        <v>3.9086759899999999</v>
      </c>
      <c r="U116" s="20">
        <v>3.908676100000001</v>
      </c>
      <c r="V116" s="20">
        <v>10.552604730000001</v>
      </c>
      <c r="W116">
        <v>3.899</v>
      </c>
      <c r="X116">
        <v>3.899</v>
      </c>
      <c r="Y116">
        <v>20.399989999999999</v>
      </c>
      <c r="Z116">
        <v>0</v>
      </c>
      <c r="AD116">
        <v>14</v>
      </c>
      <c r="AE116" s="44">
        <f t="shared" si="1"/>
        <v>0</v>
      </c>
      <c r="AF116" s="46">
        <v>155.59136328639269</v>
      </c>
      <c r="AG116" s="44">
        <v>310.12474837798999</v>
      </c>
      <c r="AH116" s="44">
        <v>0</v>
      </c>
      <c r="AI116" s="41"/>
      <c r="AJ116" s="40">
        <v>8.9979287437893268E-2</v>
      </c>
      <c r="AK116" s="41">
        <v>9.0286248183820222E-2</v>
      </c>
      <c r="AL116" s="41"/>
      <c r="AM116" s="23">
        <v>2</v>
      </c>
      <c r="AN116" s="23">
        <v>2.333333333333333</v>
      </c>
      <c r="AO116" s="23">
        <v>0.33333333333333331</v>
      </c>
      <c r="AP116" s="23">
        <v>0</v>
      </c>
      <c r="AQ116" s="23">
        <v>0.42857142857142849</v>
      </c>
      <c r="AR116" s="23">
        <v>0.5</v>
      </c>
      <c r="AS116" s="23">
        <v>7.1428571428571425E-2</v>
      </c>
      <c r="AT116" s="23">
        <v>0</v>
      </c>
      <c r="AU116" s="20">
        <v>0.95</v>
      </c>
      <c r="AV116" s="20">
        <v>3.44</v>
      </c>
      <c r="AW116" s="20">
        <v>2.4900000000000002</v>
      </c>
      <c r="AX116" s="20">
        <v>2.500833333333333</v>
      </c>
      <c r="AY116">
        <v>2.500833333333333</v>
      </c>
      <c r="AZ116">
        <v>5.6917605187500007</v>
      </c>
      <c r="BA116" s="64">
        <v>0.58499657192886345</v>
      </c>
      <c r="BB116" s="64">
        <v>0.58699226437317098</v>
      </c>
      <c r="BE116">
        <v>4.4989643718946627E-2</v>
      </c>
      <c r="BF116">
        <v>4.5143124091910111E-2</v>
      </c>
      <c r="BH116">
        <v>9.0132767810856745E-2</v>
      </c>
      <c r="BI116">
        <v>4.5066383905428373E-2</v>
      </c>
      <c r="BJ116">
        <v>0.58599441815101727</v>
      </c>
    </row>
    <row r="117" spans="1:62" x14ac:dyDescent="0.3">
      <c r="A117" t="s">
        <v>95</v>
      </c>
      <c r="B117" s="12" t="s">
        <v>744</v>
      </c>
      <c r="C117" s="12"/>
      <c r="F117">
        <v>3.3</v>
      </c>
      <c r="G117" t="s">
        <v>96</v>
      </c>
      <c r="H117" s="8">
        <v>-1</v>
      </c>
      <c r="I117" t="s">
        <v>642</v>
      </c>
      <c r="L117" s="20">
        <v>0</v>
      </c>
      <c r="M117">
        <v>1</v>
      </c>
      <c r="N117">
        <v>0</v>
      </c>
      <c r="O117">
        <v>3.8917999999999999</v>
      </c>
      <c r="P117">
        <v>3.8820000000000001</v>
      </c>
      <c r="Q117">
        <v>36.127000000000002</v>
      </c>
      <c r="R117" s="1" t="s">
        <v>484</v>
      </c>
      <c r="S117" s="1"/>
      <c r="T117" s="20">
        <v>0</v>
      </c>
      <c r="U117" s="20"/>
      <c r="V117" s="20"/>
      <c r="W117">
        <v>3.8715999999999999</v>
      </c>
      <c r="X117">
        <v>3.8715999999999999</v>
      </c>
      <c r="Y117">
        <v>36.936999999999998</v>
      </c>
      <c r="Z117">
        <v>0</v>
      </c>
      <c r="AC117">
        <v>4</v>
      </c>
      <c r="AD117">
        <v>26</v>
      </c>
      <c r="AE117" s="44">
        <f t="shared" si="1"/>
        <v>545.80554548520001</v>
      </c>
      <c r="AF117" s="46">
        <v>0</v>
      </c>
      <c r="AG117" s="44">
        <v>553.65927766671996</v>
      </c>
      <c r="AH117" s="44">
        <v>0</v>
      </c>
      <c r="AI117" s="41"/>
      <c r="AJ117" s="40"/>
      <c r="AK117" s="41">
        <v>4.696028956576237E-2</v>
      </c>
      <c r="AL117" s="41"/>
      <c r="AM117" s="23">
        <v>1.714285714285714</v>
      </c>
      <c r="AN117" s="23">
        <v>2.4761904761904758</v>
      </c>
      <c r="AO117" s="23">
        <v>0.76190476190476186</v>
      </c>
      <c r="AP117" s="23">
        <v>0</v>
      </c>
      <c r="AQ117" s="23">
        <v>0.34615384615384609</v>
      </c>
      <c r="AR117" s="23">
        <v>0.5</v>
      </c>
      <c r="AS117" s="23">
        <v>0.1538461538461538</v>
      </c>
      <c r="AT117" s="23">
        <v>0</v>
      </c>
      <c r="AU117" s="20">
        <v>0.93</v>
      </c>
      <c r="AV117" s="20">
        <v>3.44</v>
      </c>
      <c r="AW117" s="20">
        <v>2.5099999999999998</v>
      </c>
      <c r="AX117" s="20">
        <v>2.618095238095238</v>
      </c>
      <c r="AY117">
        <v>2.618095238095238</v>
      </c>
      <c r="AZ117">
        <v>5.9615126490476191</v>
      </c>
      <c r="BF117">
        <v>2.3480144782881181E-2</v>
      </c>
      <c r="BH117">
        <v>4.696028956576237E-2</v>
      </c>
      <c r="BI117">
        <v>2.3480144782881181E-2</v>
      </c>
      <c r="BJ117">
        <v>0</v>
      </c>
    </row>
    <row r="118" spans="1:62" x14ac:dyDescent="0.3">
      <c r="A118" t="s">
        <v>97</v>
      </c>
      <c r="B118" s="12" t="s">
        <v>745</v>
      </c>
      <c r="C118" s="12"/>
      <c r="F118">
        <v>2.0099999999999998</v>
      </c>
      <c r="G118" t="s">
        <v>100</v>
      </c>
      <c r="H118" s="8" t="s">
        <v>565</v>
      </c>
      <c r="I118" t="s">
        <v>643</v>
      </c>
      <c r="L118" s="20">
        <v>4</v>
      </c>
      <c r="M118">
        <v>2</v>
      </c>
      <c r="N118">
        <v>0</v>
      </c>
      <c r="O118">
        <v>5.63</v>
      </c>
      <c r="P118">
        <v>5.63</v>
      </c>
      <c r="Q118">
        <v>7.9509999999999996</v>
      </c>
      <c r="R118" t="s">
        <v>485</v>
      </c>
      <c r="T118" s="20">
        <v>5.6671750000000003</v>
      </c>
      <c r="U118" s="20">
        <v>9.8157737100000002</v>
      </c>
      <c r="V118" s="20">
        <v>9.8153266899999991</v>
      </c>
      <c r="W118">
        <v>5.6200999999999999</v>
      </c>
      <c r="X118">
        <v>5.6342999999999996</v>
      </c>
      <c r="Y118">
        <v>7.9375</v>
      </c>
      <c r="Z118">
        <v>0</v>
      </c>
      <c r="AD118">
        <v>12</v>
      </c>
      <c r="AE118" s="44">
        <f t="shared" si="1"/>
        <v>252.02205189999998</v>
      </c>
      <c r="AF118" s="46">
        <v>515.32350958904738</v>
      </c>
      <c r="AG118" s="44">
        <v>251.3435485224438</v>
      </c>
      <c r="AH118" s="44">
        <v>0</v>
      </c>
      <c r="AI118" s="41"/>
      <c r="AJ118" s="40">
        <v>9.3145371998025736E-2</v>
      </c>
      <c r="AK118" s="41">
        <v>9.5486835214538698E-2</v>
      </c>
      <c r="AL118" s="41"/>
      <c r="AM118" s="23">
        <v>2</v>
      </c>
      <c r="AN118" s="23">
        <v>2.4</v>
      </c>
      <c r="AO118" s="23">
        <v>0.9</v>
      </c>
      <c r="AP118" s="23">
        <v>1.4</v>
      </c>
      <c r="AQ118" s="23">
        <v>0.29850746268656708</v>
      </c>
      <c r="AR118" s="23">
        <v>0.35820895522388058</v>
      </c>
      <c r="AS118" s="23">
        <v>0.1343283582089552</v>
      </c>
      <c r="AT118" s="23">
        <v>0.20895522388059701</v>
      </c>
      <c r="AU118" s="20">
        <v>0.95</v>
      </c>
      <c r="AV118" s="20">
        <v>3.44</v>
      </c>
      <c r="AW118" s="20">
        <v>2.4900000000000002</v>
      </c>
      <c r="AX118" s="20">
        <v>2.5870000000000002</v>
      </c>
      <c r="AY118">
        <v>2.5870000000000002</v>
      </c>
      <c r="AZ118">
        <v>5.8948612069999999</v>
      </c>
      <c r="BA118" s="64">
        <v>0.57095915761344151</v>
      </c>
      <c r="BB118" s="64">
        <v>0.58531177478599872</v>
      </c>
      <c r="BE118">
        <v>4.6572685999012868E-2</v>
      </c>
      <c r="BF118">
        <v>4.7743417607269342E-2</v>
      </c>
      <c r="BH118">
        <v>9.4316103606282217E-2</v>
      </c>
      <c r="BI118">
        <v>4.7158051803141102E-2</v>
      </c>
      <c r="BJ118">
        <v>0.57813546619972012</v>
      </c>
    </row>
    <row r="119" spans="1:62" x14ac:dyDescent="0.3">
      <c r="A119" t="s">
        <v>1213</v>
      </c>
      <c r="B119" s="57" t="s">
        <v>1215</v>
      </c>
      <c r="C119" s="12"/>
      <c r="F119">
        <v>2.21</v>
      </c>
      <c r="G119" t="s">
        <v>101</v>
      </c>
      <c r="H119" s="8">
        <v>-1</v>
      </c>
      <c r="I119">
        <v>-1</v>
      </c>
      <c r="K119">
        <v>2</v>
      </c>
      <c r="L119" s="20">
        <v>0</v>
      </c>
      <c r="M119">
        <v>0</v>
      </c>
      <c r="N119">
        <v>0</v>
      </c>
      <c r="O119">
        <v>3.9668000000000001</v>
      </c>
      <c r="P119">
        <v>3.9668000000000001</v>
      </c>
      <c r="Q119">
        <v>20.597999999999999</v>
      </c>
      <c r="R119" t="s">
        <v>440</v>
      </c>
      <c r="T119" s="20">
        <v>0</v>
      </c>
      <c r="U119" s="20"/>
      <c r="V119" s="20"/>
      <c r="W119">
        <v>0</v>
      </c>
      <c r="Z119">
        <v>0</v>
      </c>
      <c r="AD119">
        <v>14</v>
      </c>
      <c r="AE119" s="44">
        <f t="shared" si="1"/>
        <v>324.11987513951999</v>
      </c>
      <c r="AF119" s="46">
        <v>0</v>
      </c>
      <c r="AG119" s="44">
        <v>0</v>
      </c>
      <c r="AH119" s="44">
        <v>0</v>
      </c>
      <c r="AI119" s="41">
        <f t="shared" ref="AI119:AI120" si="4">K119*AD119/AE119</f>
        <v>8.6387790899731698E-2</v>
      </c>
      <c r="AJ119" s="40"/>
      <c r="AK119" s="41"/>
      <c r="AL119" s="41"/>
      <c r="AM119" s="23">
        <v>2</v>
      </c>
      <c r="AN119" s="23">
        <v>2.4615384615384621</v>
      </c>
      <c r="AO119" s="23">
        <v>0.69230769230769229</v>
      </c>
      <c r="AP119" s="23">
        <v>1.0769230769230771</v>
      </c>
      <c r="AQ119" s="23">
        <v>0.32098765432098758</v>
      </c>
      <c r="AR119" s="23">
        <v>0.39506172839506182</v>
      </c>
      <c r="AS119" s="23">
        <v>0.1111111111111111</v>
      </c>
      <c r="AT119" s="23">
        <v>0.1728395061728395</v>
      </c>
      <c r="AU119" s="20">
        <v>0.95</v>
      </c>
      <c r="AV119" s="20">
        <v>3.44</v>
      </c>
      <c r="AW119" s="20">
        <v>2.4900000000000002</v>
      </c>
      <c r="AX119" s="20">
        <v>2.592307692307692</v>
      </c>
      <c r="AY119">
        <v>2.5923076923076929</v>
      </c>
      <c r="AZ119">
        <v>5.9154799303846159</v>
      </c>
      <c r="BD119">
        <v>4.3193895449865849E-2</v>
      </c>
      <c r="BH119">
        <v>8.6387790899731698E-2</v>
      </c>
      <c r="BI119">
        <v>4.3193895449865849E-2</v>
      </c>
      <c r="BJ119">
        <v>0</v>
      </c>
    </row>
    <row r="120" spans="1:62" x14ac:dyDescent="0.3">
      <c r="A120" t="s">
        <v>1214</v>
      </c>
      <c r="B120" s="57" t="s">
        <v>1216</v>
      </c>
      <c r="C120" s="12"/>
      <c r="F120">
        <v>2.27</v>
      </c>
      <c r="G120" t="s">
        <v>102</v>
      </c>
      <c r="H120" s="8">
        <v>-1</v>
      </c>
      <c r="I120">
        <v>-1</v>
      </c>
      <c r="K120">
        <v>1</v>
      </c>
      <c r="L120" s="20">
        <v>0</v>
      </c>
      <c r="M120">
        <v>0</v>
      </c>
      <c r="N120">
        <v>0</v>
      </c>
      <c r="O120">
        <v>3.9493</v>
      </c>
      <c r="P120">
        <v>3.9493</v>
      </c>
      <c r="Q120">
        <v>12.727</v>
      </c>
      <c r="R120" t="s">
        <v>440</v>
      </c>
      <c r="T120" s="20">
        <v>0</v>
      </c>
      <c r="U120" s="20"/>
      <c r="V120" s="20"/>
      <c r="W120">
        <v>0</v>
      </c>
      <c r="Z120">
        <v>0</v>
      </c>
      <c r="AD120">
        <v>16</v>
      </c>
      <c r="AE120" s="44">
        <f t="shared" si="1"/>
        <v>198.50264342623001</v>
      </c>
      <c r="AF120" s="46">
        <v>0</v>
      </c>
      <c r="AG120" s="44">
        <v>0</v>
      </c>
      <c r="AH120" s="44">
        <v>0</v>
      </c>
      <c r="AI120" s="41">
        <f t="shared" si="4"/>
        <v>8.0603460608050376E-2</v>
      </c>
      <c r="AJ120" s="40"/>
      <c r="AK120" s="41"/>
      <c r="AL120" s="41"/>
      <c r="AM120" s="23">
        <v>2</v>
      </c>
      <c r="AN120" s="23">
        <v>2.4</v>
      </c>
      <c r="AO120" s="23">
        <v>0.6</v>
      </c>
      <c r="AP120" s="23">
        <v>0.93333333333333335</v>
      </c>
      <c r="AQ120" s="23">
        <v>0.33707865168539319</v>
      </c>
      <c r="AR120" s="23">
        <v>0.4044943820224719</v>
      </c>
      <c r="AS120" s="23">
        <v>0.101123595505618</v>
      </c>
      <c r="AT120" s="23">
        <v>0.15730337078651679</v>
      </c>
      <c r="AU120" s="20">
        <v>0.95</v>
      </c>
      <c r="AV120" s="20">
        <v>3.44</v>
      </c>
      <c r="AW120" s="20">
        <v>2.4900000000000002</v>
      </c>
      <c r="AX120" s="20">
        <v>2.539333333333333</v>
      </c>
      <c r="AY120">
        <v>2.539333333333333</v>
      </c>
      <c r="AZ120">
        <v>5.8209523980000002</v>
      </c>
      <c r="BD120">
        <v>4.0301730304025188E-2</v>
      </c>
      <c r="BH120">
        <v>8.0603460608050376E-2</v>
      </c>
      <c r="BI120">
        <v>4.0301730304025188E-2</v>
      </c>
      <c r="BJ120">
        <v>0</v>
      </c>
    </row>
    <row r="121" spans="1:62" x14ac:dyDescent="0.3">
      <c r="A121" t="s">
        <v>916</v>
      </c>
      <c r="B121" s="16" t="s">
        <v>918</v>
      </c>
      <c r="C121" s="12"/>
      <c r="F121">
        <v>3.157</v>
      </c>
      <c r="G121" t="s">
        <v>103</v>
      </c>
      <c r="H121" s="8">
        <v>-1</v>
      </c>
      <c r="I121">
        <v>-1</v>
      </c>
      <c r="J121" t="s">
        <v>1217</v>
      </c>
      <c r="K121">
        <v>4</v>
      </c>
      <c r="L121" s="20">
        <v>0</v>
      </c>
      <c r="M121">
        <v>0</v>
      </c>
      <c r="N121">
        <v>2</v>
      </c>
      <c r="O121">
        <v>12.449</v>
      </c>
      <c r="P121">
        <v>12.449</v>
      </c>
      <c r="Q121" s="4">
        <v>9.1999999999999993</v>
      </c>
      <c r="R121" t="s">
        <v>486</v>
      </c>
      <c r="T121" s="20">
        <v>0</v>
      </c>
      <c r="U121" s="20"/>
      <c r="V121" s="20"/>
      <c r="W121">
        <v>0</v>
      </c>
      <c r="Z121">
        <v>0</v>
      </c>
      <c r="AC121" s="20">
        <v>3</v>
      </c>
      <c r="AD121">
        <v>28.67</v>
      </c>
      <c r="AE121" s="44">
        <f>O121*P121*Q121</f>
        <v>1425.7939291999999</v>
      </c>
      <c r="AF121" s="46">
        <v>0</v>
      </c>
      <c r="AG121" s="44">
        <v>0</v>
      </c>
      <c r="AH121" s="44">
        <v>603.79999999999995</v>
      </c>
      <c r="AI121" s="41">
        <f>K121*AD121/AE121</f>
        <v>8.0432380620631433E-2</v>
      </c>
      <c r="AJ121" s="40"/>
      <c r="AK121" s="41"/>
      <c r="AL121" s="56">
        <f>N121*AD121/AH121</f>
        <v>9.4965220271613124E-2</v>
      </c>
      <c r="AM121" s="23">
        <v>1.6718155361540179</v>
      </c>
      <c r="AN121" s="23">
        <v>2.567271099171704</v>
      </c>
      <c r="AO121" s="23">
        <v>0.89545556301768525</v>
      </c>
      <c r="AP121" s="23">
        <v>0</v>
      </c>
      <c r="AQ121" s="23">
        <v>0.32560167422392738</v>
      </c>
      <c r="AR121" s="23">
        <v>0.5</v>
      </c>
      <c r="AS121" s="23">
        <v>0.17439832577607259</v>
      </c>
      <c r="AT121" s="23">
        <v>0</v>
      </c>
      <c r="AU121" s="20">
        <v>0.82</v>
      </c>
      <c r="AV121" s="20">
        <v>3.44</v>
      </c>
      <c r="AW121" s="20">
        <v>2.62</v>
      </c>
      <c r="AX121" s="20">
        <v>2.680076113722857</v>
      </c>
      <c r="AY121">
        <v>2.6800761137228561</v>
      </c>
      <c r="AZ121">
        <v>6.0370190189344077</v>
      </c>
      <c r="BD121">
        <v>4.0216190310315723E-2</v>
      </c>
      <c r="BG121">
        <v>4.7482610135806562E-2</v>
      </c>
      <c r="BH121">
        <v>8.7698800446122271E-2</v>
      </c>
      <c r="BI121">
        <v>4.3849400223061143E-2</v>
      </c>
      <c r="BJ121">
        <v>0</v>
      </c>
    </row>
    <row r="122" spans="1:62" x14ac:dyDescent="0.3">
      <c r="A122" t="s">
        <v>917</v>
      </c>
      <c r="B122" s="16" t="s">
        <v>919</v>
      </c>
      <c r="C122" s="12"/>
      <c r="F122">
        <v>3.1880000000000002</v>
      </c>
      <c r="G122" t="s">
        <v>103</v>
      </c>
      <c r="H122" s="8">
        <v>-1</v>
      </c>
      <c r="I122">
        <v>-1</v>
      </c>
      <c r="K122">
        <v>4</v>
      </c>
      <c r="L122" s="20">
        <v>0</v>
      </c>
      <c r="M122">
        <v>0</v>
      </c>
      <c r="N122">
        <v>0</v>
      </c>
      <c r="O122">
        <v>12.449</v>
      </c>
      <c r="P122">
        <v>12.449</v>
      </c>
      <c r="Q122">
        <v>8.11</v>
      </c>
      <c r="T122" s="20">
        <v>0</v>
      </c>
      <c r="U122" s="20"/>
      <c r="V122" s="20"/>
      <c r="W122">
        <v>0</v>
      </c>
      <c r="Z122">
        <v>0</v>
      </c>
      <c r="AC122">
        <v>3</v>
      </c>
      <c r="AD122">
        <v>28.67</v>
      </c>
      <c r="AE122" s="44">
        <f t="shared" si="1"/>
        <v>1256.86834411</v>
      </c>
      <c r="AF122" s="46">
        <v>0</v>
      </c>
      <c r="AG122" s="44">
        <v>0</v>
      </c>
      <c r="AH122" s="44">
        <v>0</v>
      </c>
      <c r="AI122" s="41">
        <f>K122*AD122/AE122</f>
        <v>9.1242651258916035E-2</v>
      </c>
      <c r="AJ122" s="40"/>
      <c r="AK122" s="41"/>
      <c r="AL122" s="41"/>
      <c r="AM122" s="23">
        <v>1.6718155361540179</v>
      </c>
      <c r="AN122" s="23">
        <v>2.567271099171704</v>
      </c>
      <c r="AO122" s="23">
        <v>0.89545556301768525</v>
      </c>
      <c r="AP122" s="23">
        <v>0</v>
      </c>
      <c r="AQ122" s="23">
        <v>0.32560167422392738</v>
      </c>
      <c r="AR122" s="23">
        <v>0.5</v>
      </c>
      <c r="AS122" s="23">
        <v>0.17439832577607259</v>
      </c>
      <c r="AT122" s="23">
        <v>0</v>
      </c>
      <c r="AU122" s="20">
        <v>0.95</v>
      </c>
      <c r="AV122" s="20">
        <v>3.44</v>
      </c>
      <c r="AW122" s="20">
        <v>2.4900000000000002</v>
      </c>
      <c r="AX122" s="20">
        <v>2.8240385045892098</v>
      </c>
      <c r="AY122">
        <v>2.8240385045892089</v>
      </c>
      <c r="AZ122">
        <v>6.533110796268315</v>
      </c>
      <c r="BD122">
        <v>4.5621325629458018E-2</v>
      </c>
      <c r="BH122">
        <v>9.1242651258916035E-2</v>
      </c>
      <c r="BI122">
        <v>4.5621325629458018E-2</v>
      </c>
      <c r="BJ122">
        <v>0</v>
      </c>
    </row>
    <row r="123" spans="1:62" x14ac:dyDescent="0.3">
      <c r="A123" t="s">
        <v>917</v>
      </c>
      <c r="B123" s="16" t="s">
        <v>919</v>
      </c>
      <c r="C123" s="12"/>
      <c r="D123" t="s">
        <v>863</v>
      </c>
      <c r="E123">
        <v>1.1200000000000001</v>
      </c>
      <c r="F123">
        <v>3.2040000000000002</v>
      </c>
      <c r="G123" t="s">
        <v>103</v>
      </c>
      <c r="H123" s="8">
        <v>-1</v>
      </c>
      <c r="I123">
        <v>-1</v>
      </c>
      <c r="K123">
        <v>4</v>
      </c>
      <c r="L123" s="20">
        <v>0</v>
      </c>
      <c r="M123">
        <v>0</v>
      </c>
      <c r="N123">
        <v>0</v>
      </c>
      <c r="O123">
        <v>12.449</v>
      </c>
      <c r="P123">
        <v>12.449</v>
      </c>
      <c r="Q123">
        <v>8.0399999999999991</v>
      </c>
      <c r="T123" s="20">
        <v>0</v>
      </c>
      <c r="U123" s="20"/>
      <c r="V123" s="20"/>
      <c r="W123">
        <v>0</v>
      </c>
      <c r="Z123">
        <v>0</v>
      </c>
      <c r="AC123">
        <v>3</v>
      </c>
      <c r="AD123">
        <v>28.67</v>
      </c>
      <c r="AE123" s="44">
        <f t="shared" si="1"/>
        <v>1246.0199120399998</v>
      </c>
      <c r="AF123" s="46">
        <v>0</v>
      </c>
      <c r="AG123" s="44">
        <v>0</v>
      </c>
      <c r="AH123" s="44">
        <v>0</v>
      </c>
      <c r="AI123" s="41">
        <f>K123*AD123/AE123</f>
        <v>9.2037052451468801E-2</v>
      </c>
      <c r="AJ123" s="40"/>
      <c r="AK123" s="41"/>
      <c r="AL123" s="41"/>
      <c r="AM123" s="23">
        <v>1.6718155361540179</v>
      </c>
      <c r="AN123" s="23">
        <v>2.567271099171704</v>
      </c>
      <c r="AO123" s="23">
        <v>0.89545556301768525</v>
      </c>
      <c r="AP123" s="23">
        <v>0</v>
      </c>
      <c r="AQ123" s="23">
        <v>0.32560167422392738</v>
      </c>
      <c r="AR123" s="23">
        <v>0.5</v>
      </c>
      <c r="AS123" s="23">
        <v>0.17439832577607259</v>
      </c>
      <c r="AT123" s="23">
        <v>0</v>
      </c>
      <c r="AU123" s="20">
        <v>0.95</v>
      </c>
      <c r="AV123" s="20">
        <v>3.44</v>
      </c>
      <c r="AW123" s="20">
        <v>2.4900000000000002</v>
      </c>
      <c r="AX123" s="20">
        <v>2.8240385045892098</v>
      </c>
      <c r="AY123">
        <v>2.8240385045892089</v>
      </c>
      <c r="AZ123">
        <v>6.533110796268315</v>
      </c>
      <c r="BD123">
        <v>4.60185262257344E-2</v>
      </c>
      <c r="BH123">
        <v>9.2037052451468801E-2</v>
      </c>
      <c r="BI123">
        <v>4.60185262257344E-2</v>
      </c>
      <c r="BJ123">
        <v>0</v>
      </c>
    </row>
    <row r="124" spans="1:62" x14ac:dyDescent="0.3">
      <c r="A124" t="s">
        <v>104</v>
      </c>
      <c r="B124" s="12" t="s">
        <v>748</v>
      </c>
      <c r="C124" s="12"/>
      <c r="F124">
        <v>3</v>
      </c>
      <c r="G124" t="s">
        <v>111</v>
      </c>
      <c r="H124" s="8" t="s">
        <v>566</v>
      </c>
      <c r="I124" t="s">
        <v>644</v>
      </c>
      <c r="L124" s="20">
        <v>4</v>
      </c>
      <c r="M124">
        <v>4</v>
      </c>
      <c r="N124">
        <v>0</v>
      </c>
      <c r="T124" s="20">
        <v>5.452661</v>
      </c>
      <c r="U124" s="20">
        <v>5.4531499999999999</v>
      </c>
      <c r="V124" s="20">
        <v>24.558717999999999</v>
      </c>
      <c r="W124">
        <v>5.44</v>
      </c>
      <c r="X124">
        <v>5.4130000000000003</v>
      </c>
      <c r="Y124">
        <v>23.74</v>
      </c>
      <c r="Z124">
        <v>0</v>
      </c>
      <c r="AD124">
        <v>18</v>
      </c>
      <c r="AE124" s="44">
        <f t="shared" si="1"/>
        <v>0</v>
      </c>
      <c r="AF124" s="46">
        <v>730.23330062098216</v>
      </c>
      <c r="AG124" s="44">
        <v>699.06513280000001</v>
      </c>
      <c r="AH124" s="44">
        <v>0</v>
      </c>
      <c r="AI124" s="41"/>
      <c r="AJ124" s="40">
        <v>9.8598625862134762E-2</v>
      </c>
      <c r="AK124" s="41">
        <v>0.1029946948027788</v>
      </c>
      <c r="AL124" s="41"/>
      <c r="AM124" s="23">
        <v>2</v>
      </c>
      <c r="AN124" s="23">
        <v>3.2307692307692308</v>
      </c>
      <c r="AO124" s="23">
        <v>2.1538461538461542</v>
      </c>
      <c r="AP124" s="23">
        <v>4.3076923076923066</v>
      </c>
      <c r="AQ124" s="23">
        <v>0.1710526315789474</v>
      </c>
      <c r="AR124" s="23">
        <v>0.27631578947368418</v>
      </c>
      <c r="AS124" s="23">
        <v>0.18421052631578949</v>
      </c>
      <c r="AT124" s="23">
        <v>0.36842105263157893</v>
      </c>
      <c r="AU124" s="20">
        <v>2.02</v>
      </c>
      <c r="AV124" s="20">
        <v>3.44</v>
      </c>
      <c r="AW124" s="20">
        <v>1.42</v>
      </c>
      <c r="AX124" s="20">
        <v>3.0553846153846149</v>
      </c>
      <c r="AY124">
        <v>3.0553846153846149</v>
      </c>
      <c r="AZ124">
        <v>6.5203382676923072</v>
      </c>
      <c r="BA124" s="64">
        <v>0.50518012153204694</v>
      </c>
      <c r="BB124" s="64">
        <v>0.52770382936549109</v>
      </c>
      <c r="BE124">
        <v>4.9299312931067381E-2</v>
      </c>
      <c r="BF124">
        <v>5.1497347401389379E-2</v>
      </c>
      <c r="BH124">
        <v>0.10079666033245679</v>
      </c>
      <c r="BI124">
        <v>5.0398330166228383E-2</v>
      </c>
      <c r="BJ124">
        <v>0.51644197544876902</v>
      </c>
    </row>
    <row r="125" spans="1:62" x14ac:dyDescent="0.3">
      <c r="A125" t="s">
        <v>69</v>
      </c>
      <c r="B125" s="12" t="s">
        <v>738</v>
      </c>
      <c r="C125" s="12"/>
      <c r="F125">
        <v>2.8</v>
      </c>
      <c r="G125" t="s">
        <v>111</v>
      </c>
      <c r="H125" s="8" t="s">
        <v>560</v>
      </c>
      <c r="I125" t="s">
        <v>638</v>
      </c>
      <c r="L125" s="20">
        <v>2</v>
      </c>
      <c r="M125">
        <v>4</v>
      </c>
      <c r="N125">
        <v>0</v>
      </c>
      <c r="T125" s="20">
        <v>8.3195821399999996</v>
      </c>
      <c r="U125" s="20">
        <v>8.3195821399999996</v>
      </c>
      <c r="V125" s="20">
        <v>8.2425581700000006</v>
      </c>
      <c r="W125">
        <v>5.5339970000000003</v>
      </c>
      <c r="X125">
        <v>5.4998300000000002</v>
      </c>
      <c r="Y125">
        <v>16.550709999999999</v>
      </c>
      <c r="Z125">
        <v>0</v>
      </c>
      <c r="AC125" s="20">
        <v>1</v>
      </c>
      <c r="AD125">
        <v>12</v>
      </c>
      <c r="AE125" s="44">
        <f t="shared" si="1"/>
        <v>0</v>
      </c>
      <c r="AF125" s="46">
        <v>248.80917443900231</v>
      </c>
      <c r="AG125" s="44">
        <v>503.73811661477208</v>
      </c>
      <c r="AH125" s="44">
        <v>0</v>
      </c>
      <c r="AI125" s="41"/>
      <c r="AJ125" s="40">
        <v>9.6459465588893734E-2</v>
      </c>
      <c r="AK125" s="41">
        <v>9.5287607621536111E-2</v>
      </c>
      <c r="AL125" s="41"/>
      <c r="AM125" s="23">
        <v>2</v>
      </c>
      <c r="AN125" s="23">
        <v>3.333333333333333</v>
      </c>
      <c r="AO125" s="23">
        <v>2.666666666666667</v>
      </c>
      <c r="AP125" s="23">
        <v>4.666666666666667</v>
      </c>
      <c r="AQ125" s="23">
        <v>0.15789473684210531</v>
      </c>
      <c r="AR125" s="23">
        <v>0.26315789473684209</v>
      </c>
      <c r="AS125" s="23">
        <v>0.2105263157894737</v>
      </c>
      <c r="AT125" s="23">
        <v>0.36842105263157898</v>
      </c>
      <c r="AU125" s="20">
        <v>2.02</v>
      </c>
      <c r="AV125" s="20">
        <v>3.44</v>
      </c>
      <c r="AW125" s="20">
        <v>1.42</v>
      </c>
      <c r="AX125" s="20">
        <v>3.0044444444444438</v>
      </c>
      <c r="AY125">
        <v>3.0044444444444438</v>
      </c>
      <c r="AZ125">
        <v>6.4228342255555546</v>
      </c>
      <c r="BA125" s="64">
        <v>0.52562348257484404</v>
      </c>
      <c r="BB125" s="64">
        <v>0.51923783589802341</v>
      </c>
      <c r="BE125">
        <v>4.8229732794446867E-2</v>
      </c>
      <c r="BF125">
        <v>4.7643803810768062E-2</v>
      </c>
      <c r="BH125">
        <v>9.5873536605214915E-2</v>
      </c>
      <c r="BI125">
        <v>4.7936768302607458E-2</v>
      </c>
      <c r="BJ125">
        <v>0.52243065923643373</v>
      </c>
    </row>
    <row r="126" spans="1:62" x14ac:dyDescent="0.3">
      <c r="A126" t="s">
        <v>105</v>
      </c>
      <c r="B126" s="12" t="s">
        <v>749</v>
      </c>
      <c r="C126" s="12"/>
      <c r="F126">
        <v>2.8</v>
      </c>
      <c r="G126" t="s">
        <v>111</v>
      </c>
      <c r="H126" s="8">
        <v>-1</v>
      </c>
      <c r="I126">
        <v>-1</v>
      </c>
      <c r="J126" t="s">
        <v>1163</v>
      </c>
      <c r="L126" s="20">
        <v>0</v>
      </c>
      <c r="M126">
        <v>0</v>
      </c>
      <c r="N126" s="4">
        <v>2.5</v>
      </c>
      <c r="T126" s="20">
        <v>0</v>
      </c>
      <c r="U126" s="20"/>
      <c r="V126" s="20"/>
      <c r="W126">
        <v>0</v>
      </c>
      <c r="Z126">
        <v>12.495799999999999</v>
      </c>
      <c r="AA126">
        <v>12.495799999999999</v>
      </c>
      <c r="AB126">
        <v>11.2464</v>
      </c>
      <c r="AD126">
        <v>54</v>
      </c>
      <c r="AE126" s="44">
        <f t="shared" si="1"/>
        <v>0</v>
      </c>
      <c r="AF126" s="46">
        <v>0</v>
      </c>
      <c r="AG126" s="44">
        <v>0</v>
      </c>
      <c r="AH126" s="44">
        <v>1756.1</v>
      </c>
      <c r="AI126" s="41"/>
      <c r="AJ126" s="40"/>
      <c r="AK126" s="41"/>
      <c r="AL126" s="56">
        <f>N126*AD126/AH126</f>
        <v>7.6874893229314969E-2</v>
      </c>
      <c r="AM126" s="23">
        <v>2</v>
      </c>
      <c r="AN126" s="23">
        <v>3.4883720930232558</v>
      </c>
      <c r="AO126" s="23">
        <v>3.441860465116279</v>
      </c>
      <c r="AP126" s="23">
        <v>5.2093023255813957</v>
      </c>
      <c r="AQ126" s="23">
        <v>0.1414473684210526</v>
      </c>
      <c r="AR126" s="23">
        <v>0.24671052631578949</v>
      </c>
      <c r="AS126" s="23">
        <v>0.2434210526315789</v>
      </c>
      <c r="AT126" s="23">
        <v>0.36842105263157898</v>
      </c>
      <c r="AU126" s="20">
        <v>2.02</v>
      </c>
      <c r="AV126" s="20">
        <v>3.44</v>
      </c>
      <c r="AW126" s="20">
        <v>1.42</v>
      </c>
      <c r="AX126" s="20">
        <v>2.927441860465116</v>
      </c>
      <c r="AY126">
        <v>2.9274418604651169</v>
      </c>
      <c r="AZ126">
        <v>6.2754443944186056</v>
      </c>
      <c r="BC126" s="64">
        <v>0</v>
      </c>
      <c r="BG126">
        <v>3.8437446614657478E-2</v>
      </c>
      <c r="BH126">
        <v>7.6874893229314969E-2</v>
      </c>
      <c r="BI126">
        <v>3.8437446614657478E-2</v>
      </c>
      <c r="BJ126">
        <v>0</v>
      </c>
    </row>
    <row r="127" spans="1:62" x14ac:dyDescent="0.3">
      <c r="A127" t="s">
        <v>106</v>
      </c>
      <c r="B127" s="12" t="s">
        <v>750</v>
      </c>
      <c r="C127" s="12"/>
      <c r="F127">
        <v>2.9</v>
      </c>
      <c r="G127" t="s">
        <v>111</v>
      </c>
      <c r="H127" s="8" t="s">
        <v>567</v>
      </c>
      <c r="I127" t="s">
        <v>645</v>
      </c>
      <c r="L127" s="20">
        <v>2</v>
      </c>
      <c r="M127">
        <v>1</v>
      </c>
      <c r="N127">
        <v>0</v>
      </c>
      <c r="T127" s="20">
        <v>7.3631707899999999</v>
      </c>
      <c r="U127" s="20">
        <v>7.363170789999999</v>
      </c>
      <c r="V127" s="20">
        <v>7.3631707899999999</v>
      </c>
      <c r="W127">
        <v>10.359069999999999</v>
      </c>
      <c r="X127">
        <v>10.359069999999999</v>
      </c>
      <c r="Y127">
        <v>10.359069999999999</v>
      </c>
      <c r="Z127">
        <v>0</v>
      </c>
      <c r="AD127">
        <v>14</v>
      </c>
      <c r="AE127" s="44">
        <f t="shared" si="1"/>
        <v>0</v>
      </c>
      <c r="AF127" s="46">
        <v>282.27968527629582</v>
      </c>
      <c r="AG127" s="44">
        <v>1111.635233296287</v>
      </c>
      <c r="AH127" s="44">
        <v>0</v>
      </c>
      <c r="AI127" s="41"/>
      <c r="AJ127" s="40">
        <v>9.9192401934958777E-2</v>
      </c>
      <c r="AK127" s="41">
        <v>1.2594059256727909E-2</v>
      </c>
      <c r="AL127" s="41"/>
      <c r="AM127" s="23">
        <v>2</v>
      </c>
      <c r="AN127" s="23">
        <v>3.0909090909090908</v>
      </c>
      <c r="AO127" s="23">
        <v>2.1818181818181821</v>
      </c>
      <c r="AP127" s="23">
        <v>2.545454545454545</v>
      </c>
      <c r="AQ127" s="23">
        <v>0.20370370370370369</v>
      </c>
      <c r="AR127" s="23">
        <v>0.31481481481481483</v>
      </c>
      <c r="AS127" s="23">
        <v>0.22222222222222221</v>
      </c>
      <c r="AT127" s="23">
        <v>0.25925925925925919</v>
      </c>
      <c r="AU127" s="20">
        <v>1.54</v>
      </c>
      <c r="AV127" s="20">
        <v>3.44</v>
      </c>
      <c r="AW127" s="20">
        <v>1.9</v>
      </c>
      <c r="AX127" s="20">
        <v>2.836363636363636</v>
      </c>
      <c r="AY127">
        <v>2.836363636363636</v>
      </c>
      <c r="AZ127">
        <v>6.1735094709090914</v>
      </c>
      <c r="BA127" s="64">
        <v>0.53518414174009155</v>
      </c>
      <c r="BE127">
        <v>4.9596200967479388E-2</v>
      </c>
      <c r="BF127">
        <v>6.2970296283639581E-3</v>
      </c>
      <c r="BH127">
        <v>5.5893230595843342E-2</v>
      </c>
      <c r="BI127">
        <v>2.7946615297921671E-2</v>
      </c>
      <c r="BJ127">
        <v>0.53518414174009155</v>
      </c>
    </row>
    <row r="128" spans="1:62" x14ac:dyDescent="0.3">
      <c r="A128" t="s">
        <v>107</v>
      </c>
      <c r="B128" s="12" t="s">
        <v>727</v>
      </c>
      <c r="C128" s="12"/>
      <c r="F128">
        <v>3.1</v>
      </c>
      <c r="G128" t="s">
        <v>111</v>
      </c>
      <c r="H128" s="8" t="s">
        <v>555</v>
      </c>
      <c r="I128" t="s">
        <v>632</v>
      </c>
      <c r="L128" s="20">
        <v>1</v>
      </c>
      <c r="M128">
        <v>4</v>
      </c>
      <c r="N128">
        <v>0</v>
      </c>
      <c r="T128" s="20">
        <v>3.86469438</v>
      </c>
      <c r="U128" s="20">
        <v>3.86469438</v>
      </c>
      <c r="V128" s="20">
        <v>16.978874730000001</v>
      </c>
      <c r="W128">
        <v>32.83</v>
      </c>
      <c r="X128">
        <v>5.4109999999999996</v>
      </c>
      <c r="Y128">
        <v>5.4480000000000004</v>
      </c>
      <c r="Z128">
        <v>0</v>
      </c>
      <c r="AD128">
        <v>24</v>
      </c>
      <c r="AE128" s="44">
        <f t="shared" si="1"/>
        <v>0</v>
      </c>
      <c r="AF128" s="46">
        <v>251.01098912285789</v>
      </c>
      <c r="AG128" s="44">
        <v>967.79977224000004</v>
      </c>
      <c r="AH128" s="44">
        <v>0</v>
      </c>
      <c r="AI128" s="41"/>
      <c r="AJ128" s="40">
        <v>9.5613343797681868E-2</v>
      </c>
      <c r="AK128" s="41">
        <v>9.919407170122109E-2</v>
      </c>
      <c r="AL128" s="41"/>
      <c r="AM128" s="23">
        <v>2</v>
      </c>
      <c r="AN128" s="23">
        <v>3.1578947368421049</v>
      </c>
      <c r="AO128" s="23">
        <v>2.4210526315789469</v>
      </c>
      <c r="AP128" s="23">
        <v>2.947368421052631</v>
      </c>
      <c r="AQ128" s="23">
        <v>0.19</v>
      </c>
      <c r="AR128" s="23">
        <v>0.3</v>
      </c>
      <c r="AS128" s="23">
        <v>0.23</v>
      </c>
      <c r="AT128" s="23">
        <v>0.28000000000000003</v>
      </c>
      <c r="AU128" s="20">
        <v>1.54</v>
      </c>
      <c r="AV128" s="20">
        <v>3.44</v>
      </c>
      <c r="AW128" s="20">
        <v>1.9</v>
      </c>
      <c r="AX128" s="20">
        <v>2.8410526315789468</v>
      </c>
      <c r="AY128">
        <v>2.8410526315789468</v>
      </c>
      <c r="AZ128">
        <v>6.1729587136842099</v>
      </c>
      <c r="BA128" s="64">
        <v>0.52818907539878324</v>
      </c>
      <c r="BB128" s="64">
        <v>0.54796980145127927</v>
      </c>
      <c r="BE128">
        <v>4.7806671898840941E-2</v>
      </c>
      <c r="BF128">
        <v>4.9597035850610538E-2</v>
      </c>
      <c r="BH128">
        <v>9.7403707749451479E-2</v>
      </c>
      <c r="BI128">
        <v>4.870185387472574E-2</v>
      </c>
      <c r="BJ128">
        <v>0.53807943842503125</v>
      </c>
    </row>
    <row r="129" spans="1:62" x14ac:dyDescent="0.3">
      <c r="A129" t="s">
        <v>108</v>
      </c>
      <c r="B129" s="12" t="s">
        <v>751</v>
      </c>
      <c r="C129" s="12"/>
      <c r="F129">
        <v>3.1</v>
      </c>
      <c r="G129" t="s">
        <v>111</v>
      </c>
      <c r="H129" s="8" t="s">
        <v>568</v>
      </c>
      <c r="I129" t="s">
        <v>646</v>
      </c>
      <c r="L129" s="20">
        <v>1</v>
      </c>
      <c r="M129">
        <v>4</v>
      </c>
      <c r="N129">
        <v>0</v>
      </c>
      <c r="T129" s="20">
        <v>12.951407789999999</v>
      </c>
      <c r="U129" s="20">
        <v>12.951407789999999</v>
      </c>
      <c r="V129" s="20">
        <v>12.951407789999999</v>
      </c>
      <c r="W129">
        <v>5.431</v>
      </c>
      <c r="X129">
        <v>5.3890000000000002</v>
      </c>
      <c r="Y129">
        <v>25.049990000000001</v>
      </c>
      <c r="Z129">
        <v>0</v>
      </c>
      <c r="AD129">
        <v>18</v>
      </c>
      <c r="AE129" s="44">
        <f t="shared" si="1"/>
        <v>0</v>
      </c>
      <c r="AF129" s="46">
        <v>189.23096942123021</v>
      </c>
      <c r="AG129" s="44">
        <v>733.15456527341007</v>
      </c>
      <c r="AH129" s="44">
        <v>0</v>
      </c>
      <c r="AI129" s="41"/>
      <c r="AJ129" s="40">
        <v>9.5121850588482687E-2</v>
      </c>
      <c r="AK129" s="41">
        <v>9.820575825392229E-2</v>
      </c>
      <c r="AL129" s="41"/>
      <c r="AM129" s="23">
        <v>1.928571428571429</v>
      </c>
      <c r="AN129" s="23">
        <v>3.214285714285714</v>
      </c>
      <c r="AO129" s="23">
        <v>2.5714285714285721</v>
      </c>
      <c r="AP129" s="23">
        <v>3</v>
      </c>
      <c r="AQ129" s="23">
        <v>0.18</v>
      </c>
      <c r="AR129" s="23">
        <v>0.3</v>
      </c>
      <c r="AS129" s="23">
        <v>0.24</v>
      </c>
      <c r="AT129" s="23">
        <v>0.28000000000000003</v>
      </c>
      <c r="AU129" s="20">
        <v>1.54</v>
      </c>
      <c r="AV129" s="20">
        <v>3.44</v>
      </c>
      <c r="AW129" s="20">
        <v>1.9</v>
      </c>
      <c r="AX129" s="20">
        <v>2.8685714285714292</v>
      </c>
      <c r="AY129">
        <v>2.8685714285714292</v>
      </c>
      <c r="AZ129">
        <v>6.249142824642858</v>
      </c>
      <c r="BA129" s="64">
        <v>0.5245372795477049</v>
      </c>
      <c r="BB129" s="64">
        <v>0</v>
      </c>
      <c r="BE129">
        <v>4.756092529424135E-2</v>
      </c>
      <c r="BF129">
        <v>4.9102879126961152E-2</v>
      </c>
      <c r="BH129">
        <v>9.6663804421202482E-2</v>
      </c>
      <c r="BI129">
        <v>4.8331902210601248E-2</v>
      </c>
      <c r="BJ129">
        <v>0.26226863977385251</v>
      </c>
    </row>
    <row r="130" spans="1:62" x14ac:dyDescent="0.3">
      <c r="A130" t="s">
        <v>109</v>
      </c>
      <c r="B130" s="12" t="s">
        <v>752</v>
      </c>
      <c r="C130" s="12"/>
      <c r="F130">
        <v>3</v>
      </c>
      <c r="G130" t="s">
        <v>111</v>
      </c>
      <c r="H130" s="8" t="s">
        <v>569</v>
      </c>
      <c r="I130" t="s">
        <v>647</v>
      </c>
      <c r="L130" s="20">
        <v>16</v>
      </c>
      <c r="M130">
        <v>16</v>
      </c>
      <c r="N130">
        <v>0</v>
      </c>
      <c r="T130" s="20">
        <v>22.855297</v>
      </c>
      <c r="U130" s="20">
        <v>5.6559619999999997</v>
      </c>
      <c r="V130" s="20">
        <v>17.48922452</v>
      </c>
      <c r="W130">
        <v>17.24399</v>
      </c>
      <c r="X130">
        <v>22.428989999999999</v>
      </c>
      <c r="Y130">
        <v>5.5860000000000003</v>
      </c>
      <c r="Z130">
        <v>0</v>
      </c>
      <c r="AD130">
        <v>12</v>
      </c>
      <c r="AE130" s="44">
        <f t="shared" si="1"/>
        <v>0</v>
      </c>
      <c r="AF130" s="46">
        <v>2260.7115007974689</v>
      </c>
      <c r="AG130" s="44">
        <v>2160.393128160722</v>
      </c>
      <c r="AH130" s="44">
        <v>0</v>
      </c>
      <c r="AI130" s="41"/>
      <c r="AJ130" s="40">
        <v>8.4929014574514128E-2</v>
      </c>
      <c r="AK130" s="41">
        <v>8.8872713719220939E-2</v>
      </c>
      <c r="AL130" s="41"/>
      <c r="AM130" s="23">
        <v>1.8888888888888891</v>
      </c>
      <c r="AN130" s="23">
        <v>3.333333333333333</v>
      </c>
      <c r="AO130" s="23">
        <v>2.7777777777777781</v>
      </c>
      <c r="AP130" s="23">
        <v>3.1111111111111112</v>
      </c>
      <c r="AQ130" s="23">
        <v>0.17</v>
      </c>
      <c r="AR130" s="23">
        <v>0.3</v>
      </c>
      <c r="AS130" s="23">
        <v>0.25</v>
      </c>
      <c r="AT130" s="23">
        <v>0.28000000000000003</v>
      </c>
      <c r="AU130" s="20">
        <v>2.02</v>
      </c>
      <c r="AV130" s="20">
        <v>3.44</v>
      </c>
      <c r="AW130" s="20">
        <v>1.42</v>
      </c>
      <c r="AX130" s="20">
        <v>2.9822222222222221</v>
      </c>
      <c r="AY130">
        <v>2.9822222222222221</v>
      </c>
      <c r="AZ130">
        <v>6.3761376700000003</v>
      </c>
      <c r="BA130" s="64">
        <v>0.46231169000880379</v>
      </c>
      <c r="BB130" s="64">
        <v>0.48377924412573098</v>
      </c>
      <c r="BE130">
        <v>4.2464507287257078E-2</v>
      </c>
      <c r="BF130">
        <v>4.4436356859610462E-2</v>
      </c>
      <c r="BH130">
        <v>8.690086414686754E-2</v>
      </c>
      <c r="BI130">
        <v>4.345043207343377E-2</v>
      </c>
      <c r="BJ130">
        <v>0.47304546706726741</v>
      </c>
    </row>
    <row r="131" spans="1:62" x14ac:dyDescent="0.3">
      <c r="A131" t="s">
        <v>110</v>
      </c>
      <c r="B131" s="12" t="s">
        <v>753</v>
      </c>
      <c r="C131" s="12"/>
      <c r="F131">
        <v>3.3</v>
      </c>
      <c r="G131" t="s">
        <v>111</v>
      </c>
      <c r="H131" s="8" t="s">
        <v>570</v>
      </c>
      <c r="I131" t="s">
        <v>648</v>
      </c>
      <c r="L131" s="20">
        <v>1</v>
      </c>
      <c r="M131">
        <v>1</v>
      </c>
      <c r="N131">
        <v>0</v>
      </c>
      <c r="T131" s="20">
        <v>20.551678089999999</v>
      </c>
      <c r="U131" s="20">
        <v>20.551678089999999</v>
      </c>
      <c r="V131" s="20">
        <v>20.551678089999999</v>
      </c>
      <c r="W131">
        <v>41.856999999999999</v>
      </c>
      <c r="X131">
        <v>5.4550999999999998</v>
      </c>
      <c r="Y131">
        <v>5.468</v>
      </c>
      <c r="Z131">
        <v>0</v>
      </c>
      <c r="AD131">
        <v>30</v>
      </c>
      <c r="AE131" s="44">
        <f t="shared" ref="AE131:AE194" si="5">O131*P131*Q131</f>
        <v>0</v>
      </c>
      <c r="AF131" s="46">
        <v>309.59189648929049</v>
      </c>
      <c r="AG131" s="44">
        <v>1248.5309719876</v>
      </c>
      <c r="AH131" s="44">
        <v>0</v>
      </c>
      <c r="AI131" s="41"/>
      <c r="AJ131" s="40">
        <v>9.6901761125513727E-2</v>
      </c>
      <c r="AK131" s="41">
        <v>2.4028238524384762E-2</v>
      </c>
      <c r="AL131" s="41"/>
      <c r="AM131" s="23">
        <v>2</v>
      </c>
      <c r="AN131" s="23">
        <v>3</v>
      </c>
      <c r="AO131" s="23">
        <v>2</v>
      </c>
      <c r="AP131" s="23">
        <v>2.333333333333333</v>
      </c>
      <c r="AQ131" s="23">
        <v>0.2142857142857143</v>
      </c>
      <c r="AR131" s="23">
        <v>0.3214285714285714</v>
      </c>
      <c r="AS131" s="23">
        <v>0.2142857142857143</v>
      </c>
      <c r="AT131" s="23">
        <v>0.25</v>
      </c>
      <c r="AU131" s="20">
        <v>0.89</v>
      </c>
      <c r="AV131" s="20">
        <v>3.44</v>
      </c>
      <c r="AW131" s="20">
        <v>2.5499999999999998</v>
      </c>
      <c r="AX131" s="20">
        <v>2.780416666666667</v>
      </c>
      <c r="AY131">
        <v>2.780416666666667</v>
      </c>
      <c r="AZ131">
        <v>6.0847889087500002</v>
      </c>
      <c r="BA131" s="64">
        <v>0.55979201272496915</v>
      </c>
      <c r="BE131">
        <v>4.8450880562756857E-2</v>
      </c>
      <c r="BF131">
        <v>1.2014119262192381E-2</v>
      </c>
      <c r="BH131">
        <v>6.0464999824949253E-2</v>
      </c>
      <c r="BI131">
        <v>3.023249991247462E-2</v>
      </c>
      <c r="BJ131">
        <v>0.55979201272496915</v>
      </c>
    </row>
    <row r="132" spans="1:62" x14ac:dyDescent="0.3">
      <c r="A132" t="s">
        <v>109</v>
      </c>
      <c r="B132" s="12" t="s">
        <v>752</v>
      </c>
      <c r="C132" s="12"/>
      <c r="F132">
        <v>2.64</v>
      </c>
      <c r="G132" t="s">
        <v>114</v>
      </c>
      <c r="H132" s="8" t="s">
        <v>569</v>
      </c>
      <c r="I132" t="s">
        <v>647</v>
      </c>
      <c r="L132" s="20">
        <v>16</v>
      </c>
      <c r="M132">
        <v>16</v>
      </c>
      <c r="N132">
        <v>0</v>
      </c>
      <c r="T132" s="20">
        <v>22.855297</v>
      </c>
      <c r="U132" s="20">
        <v>5.6559619999999997</v>
      </c>
      <c r="V132" s="20">
        <v>17.48922452</v>
      </c>
      <c r="W132">
        <v>17.24399</v>
      </c>
      <c r="X132">
        <v>22.428989999999999</v>
      </c>
      <c r="Y132">
        <v>5.5860000000000003</v>
      </c>
      <c r="Z132">
        <v>0</v>
      </c>
      <c r="AD132">
        <v>12</v>
      </c>
      <c r="AE132" s="44">
        <f t="shared" si="5"/>
        <v>0</v>
      </c>
      <c r="AF132" s="46">
        <v>2260.7115007974689</v>
      </c>
      <c r="AG132" s="44">
        <v>2160.393128160722</v>
      </c>
      <c r="AH132" s="44">
        <v>0</v>
      </c>
      <c r="AI132" s="41"/>
      <c r="AJ132" s="40">
        <v>8.4929014574514128E-2</v>
      </c>
      <c r="AK132" s="41">
        <v>8.8872713719220939E-2</v>
      </c>
      <c r="AL132" s="41"/>
      <c r="AM132" s="23">
        <v>1.8888888888888891</v>
      </c>
      <c r="AN132" s="23">
        <v>3.333333333333333</v>
      </c>
      <c r="AO132" s="23">
        <v>2.7777777777777781</v>
      </c>
      <c r="AP132" s="23">
        <v>3.1111111111111112</v>
      </c>
      <c r="AQ132" s="23">
        <v>0.17</v>
      </c>
      <c r="AR132" s="23">
        <v>0.3</v>
      </c>
      <c r="AS132" s="23">
        <v>0.25</v>
      </c>
      <c r="AT132" s="23">
        <v>0.28000000000000003</v>
      </c>
      <c r="AU132" s="20">
        <v>2.02</v>
      </c>
      <c r="AV132" s="20">
        <v>3.44</v>
      </c>
      <c r="AW132" s="20">
        <v>1.42</v>
      </c>
      <c r="AX132" s="20">
        <v>2.9822222222222221</v>
      </c>
      <c r="AY132">
        <v>2.9822222222222221</v>
      </c>
      <c r="AZ132">
        <v>6.3761376700000003</v>
      </c>
      <c r="BA132" s="64">
        <v>0.46231169000880379</v>
      </c>
      <c r="BB132" s="64">
        <v>0.48377924412573098</v>
      </c>
      <c r="BE132">
        <v>4.2464507287257078E-2</v>
      </c>
      <c r="BF132">
        <v>4.4436356859610462E-2</v>
      </c>
      <c r="BH132">
        <v>8.690086414686754E-2</v>
      </c>
      <c r="BI132">
        <v>4.345043207343377E-2</v>
      </c>
      <c r="BJ132">
        <v>0.47304546706726741</v>
      </c>
    </row>
    <row r="133" spans="1:62" x14ac:dyDescent="0.3">
      <c r="A133" t="s">
        <v>25</v>
      </c>
      <c r="B133" s="12" t="s">
        <v>708</v>
      </c>
      <c r="C133" s="12"/>
      <c r="F133">
        <v>2.88</v>
      </c>
      <c r="G133" t="s">
        <v>115</v>
      </c>
      <c r="H133" s="8" t="s">
        <v>541</v>
      </c>
      <c r="I133" t="s">
        <v>621</v>
      </c>
      <c r="L133" s="20">
        <v>1</v>
      </c>
      <c r="M133">
        <v>4</v>
      </c>
      <c r="N133">
        <v>0</v>
      </c>
      <c r="O133">
        <v>5.4960000000000004</v>
      </c>
      <c r="P133">
        <v>5.4960000000000004</v>
      </c>
      <c r="Q133">
        <v>25.55</v>
      </c>
      <c r="R133" t="s">
        <v>450</v>
      </c>
      <c r="T133" s="20">
        <v>12.868820120000001</v>
      </c>
      <c r="U133" s="20">
        <v>12.868820120000001</v>
      </c>
      <c r="V133" s="20">
        <v>12.868820120000001</v>
      </c>
      <c r="W133">
        <v>5.5453000000000001</v>
      </c>
      <c r="X133">
        <v>5.5453000000000001</v>
      </c>
      <c r="Y133">
        <v>25.686699999999998</v>
      </c>
      <c r="Z133">
        <v>0</v>
      </c>
      <c r="AD133">
        <v>18</v>
      </c>
      <c r="AE133" s="44">
        <f t="shared" si="5"/>
        <v>771.76370880000013</v>
      </c>
      <c r="AF133" s="46">
        <v>197.4403766939285</v>
      </c>
      <c r="AG133" s="44">
        <v>789.87506903020289</v>
      </c>
      <c r="AH133" s="44">
        <v>0</v>
      </c>
      <c r="AI133" s="41"/>
      <c r="AJ133" s="40">
        <v>9.1166762854710051E-2</v>
      </c>
      <c r="AK133" s="41">
        <v>9.1153655588092616E-2</v>
      </c>
      <c r="AL133" s="41"/>
      <c r="AM133" s="23">
        <v>1.857142857142857</v>
      </c>
      <c r="AN133" s="23">
        <v>3.1428571428571428</v>
      </c>
      <c r="AO133" s="23">
        <v>2.714285714285714</v>
      </c>
      <c r="AP133" s="23">
        <v>3</v>
      </c>
      <c r="AQ133" s="23">
        <v>0.17333333333333331</v>
      </c>
      <c r="AR133" s="23">
        <v>0.29333333333333328</v>
      </c>
      <c r="AS133" s="23">
        <v>0.25333333333333341</v>
      </c>
      <c r="AT133" s="23">
        <v>0.28000000000000003</v>
      </c>
      <c r="AU133" s="20">
        <v>1.6</v>
      </c>
      <c r="AV133" s="20">
        <v>3.44</v>
      </c>
      <c r="AW133" s="20">
        <v>1.84</v>
      </c>
      <c r="AX133" s="20">
        <v>2.895</v>
      </c>
      <c r="AY133">
        <v>2.895</v>
      </c>
      <c r="AZ133">
        <v>6.260504073571429</v>
      </c>
      <c r="BA133" s="64">
        <v>0.51995616258071919</v>
      </c>
      <c r="BB133" s="64">
        <v>0.51988140722208986</v>
      </c>
      <c r="BE133">
        <v>4.5583381427355033E-2</v>
      </c>
      <c r="BF133">
        <v>4.5576827794046308E-2</v>
      </c>
      <c r="BH133">
        <v>9.1160209221401334E-2</v>
      </c>
      <c r="BI133">
        <v>4.5580104610700667E-2</v>
      </c>
      <c r="BJ133">
        <v>0.51991878490140453</v>
      </c>
    </row>
    <row r="134" spans="1:62" x14ac:dyDescent="0.3">
      <c r="A134" t="s">
        <v>8</v>
      </c>
      <c r="B134" s="12" t="s">
        <v>694</v>
      </c>
      <c r="C134" s="12"/>
      <c r="D134" t="s">
        <v>676</v>
      </c>
      <c r="E134" t="s">
        <v>1067</v>
      </c>
      <c r="F134">
        <v>2.73</v>
      </c>
      <c r="G134" t="s">
        <v>115</v>
      </c>
      <c r="H134" s="8" t="s">
        <v>530</v>
      </c>
      <c r="I134" t="s">
        <v>612</v>
      </c>
      <c r="L134" s="20">
        <v>30</v>
      </c>
      <c r="M134">
        <v>4</v>
      </c>
      <c r="N134">
        <v>0</v>
      </c>
      <c r="T134" s="20">
        <v>10.59112378</v>
      </c>
      <c r="U134" s="20">
        <v>10.784736629999999</v>
      </c>
      <c r="V134" s="20">
        <v>10.486176179999999</v>
      </c>
      <c r="W134">
        <v>3.73</v>
      </c>
      <c r="X134">
        <v>3.73</v>
      </c>
      <c r="Y134">
        <v>9.3699999999999992</v>
      </c>
      <c r="Z134">
        <v>0</v>
      </c>
      <c r="AD134">
        <v>4</v>
      </c>
      <c r="AE134" s="44">
        <f t="shared" si="5"/>
        <v>0</v>
      </c>
      <c r="AF134" s="46">
        <v>1182.741260108548</v>
      </c>
      <c r="AG134" s="44">
        <v>130.36387300000001</v>
      </c>
      <c r="AH134" s="44">
        <v>0</v>
      </c>
      <c r="AI134" s="41"/>
      <c r="AJ134" s="40">
        <v>0.1014592151701775</v>
      </c>
      <c r="AK134" s="41">
        <v>0.1227333894874388</v>
      </c>
      <c r="AL134" s="41"/>
      <c r="AM134" s="23">
        <v>2</v>
      </c>
      <c r="AN134" s="23">
        <v>2.666666666666667</v>
      </c>
      <c r="AO134" s="23">
        <v>0.66666666666666663</v>
      </c>
      <c r="AP134" s="23">
        <v>0</v>
      </c>
      <c r="AQ134" s="23">
        <v>0.375</v>
      </c>
      <c r="AR134" s="23">
        <v>0.5</v>
      </c>
      <c r="AS134" s="23">
        <v>0.125</v>
      </c>
      <c r="AT134" s="23">
        <v>0</v>
      </c>
      <c r="AU134" s="20">
        <v>1.54</v>
      </c>
      <c r="AV134" s="20">
        <v>3.44</v>
      </c>
      <c r="AW134" s="20">
        <v>1.9</v>
      </c>
      <c r="AX134" s="20">
        <v>2.8066666666666671</v>
      </c>
      <c r="AY134">
        <v>2.8066666666666662</v>
      </c>
      <c r="AZ134">
        <v>6.1769976</v>
      </c>
      <c r="BA134" s="64">
        <v>0.46900407026869628</v>
      </c>
      <c r="BB134" s="64">
        <v>0.56734579634715776</v>
      </c>
      <c r="BE134">
        <v>5.072960758508873E-2</v>
      </c>
      <c r="BF134">
        <v>6.136669474371937E-2</v>
      </c>
      <c r="BH134">
        <v>0.1120963023288082</v>
      </c>
      <c r="BI134">
        <v>5.604815116440405E-2</v>
      </c>
      <c r="BJ134">
        <v>0.51817493330792708</v>
      </c>
    </row>
    <row r="135" spans="1:62" x14ac:dyDescent="0.3">
      <c r="A135" t="s">
        <v>19</v>
      </c>
      <c r="B135" s="12" t="s">
        <v>705</v>
      </c>
      <c r="C135" s="12"/>
      <c r="F135">
        <v>3.46</v>
      </c>
      <c r="G135" t="s">
        <v>116</v>
      </c>
      <c r="H135" s="8" t="s">
        <v>538</v>
      </c>
      <c r="I135">
        <v>-1</v>
      </c>
      <c r="L135" s="20">
        <v>1</v>
      </c>
      <c r="M135">
        <v>0</v>
      </c>
      <c r="N135">
        <v>0</v>
      </c>
      <c r="R135" t="s">
        <v>450</v>
      </c>
      <c r="T135" s="20">
        <v>13.83861243</v>
      </c>
      <c r="U135" s="20">
        <v>13.83861243</v>
      </c>
      <c r="V135" s="20">
        <v>13.83861243</v>
      </c>
      <c r="W135">
        <v>0</v>
      </c>
      <c r="Z135">
        <v>0</v>
      </c>
      <c r="AD135">
        <v>18</v>
      </c>
      <c r="AE135" s="44">
        <f t="shared" si="5"/>
        <v>0</v>
      </c>
      <c r="AF135" s="46">
        <v>208.2630581553295</v>
      </c>
      <c r="AG135" s="44">
        <v>0</v>
      </c>
      <c r="AH135" s="44">
        <v>0</v>
      </c>
      <c r="AI135" s="41"/>
      <c r="AJ135" s="40">
        <v>8.6429154356194082E-2</v>
      </c>
      <c r="AK135" s="41"/>
      <c r="AL135" s="41"/>
      <c r="AM135" s="23">
        <v>1.857142857142857</v>
      </c>
      <c r="AN135" s="23">
        <v>3</v>
      </c>
      <c r="AO135" s="23">
        <v>2</v>
      </c>
      <c r="AP135" s="23">
        <v>2</v>
      </c>
      <c r="AQ135" s="23">
        <v>0.20967741935483869</v>
      </c>
      <c r="AR135" s="23">
        <v>0.33870967741935482</v>
      </c>
      <c r="AS135" s="23">
        <v>0.22580645161290319</v>
      </c>
      <c r="AT135" s="23">
        <v>0.22580645161290319</v>
      </c>
      <c r="AU135" s="20">
        <v>1</v>
      </c>
      <c r="AV135" s="20">
        <v>3.44</v>
      </c>
      <c r="AW135" s="20">
        <v>2.44</v>
      </c>
      <c r="AX135" s="20">
        <v>2.8</v>
      </c>
      <c r="AY135">
        <v>2.8</v>
      </c>
      <c r="AZ135">
        <v>6.2020864082142868</v>
      </c>
      <c r="BA135" s="64">
        <v>0.47541563854575991</v>
      </c>
      <c r="BE135">
        <v>4.3214577178097048E-2</v>
      </c>
      <c r="BH135">
        <v>8.6429154356194082E-2</v>
      </c>
      <c r="BI135">
        <v>4.3214577178097048E-2</v>
      </c>
      <c r="BJ135">
        <v>0.47541563854575991</v>
      </c>
    </row>
    <row r="136" spans="1:62" x14ac:dyDescent="0.3">
      <c r="A136" t="s">
        <v>20</v>
      </c>
      <c r="B136" s="12" t="s">
        <v>706</v>
      </c>
      <c r="C136" s="12"/>
      <c r="F136">
        <v>3.43</v>
      </c>
      <c r="G136" t="s">
        <v>116</v>
      </c>
      <c r="H136" s="8" t="s">
        <v>539</v>
      </c>
      <c r="I136" t="s">
        <v>619</v>
      </c>
      <c r="L136" s="20">
        <v>2</v>
      </c>
      <c r="M136">
        <v>4</v>
      </c>
      <c r="N136">
        <v>0</v>
      </c>
      <c r="R136" t="s">
        <v>450</v>
      </c>
      <c r="T136" s="20">
        <v>13.01244535</v>
      </c>
      <c r="U136" s="20">
        <v>13.01244535</v>
      </c>
      <c r="V136" s="20">
        <v>5.6884839999999999</v>
      </c>
      <c r="W136">
        <v>5.5060000000000002</v>
      </c>
      <c r="X136">
        <v>5.5060000000000002</v>
      </c>
      <c r="Y136">
        <v>25</v>
      </c>
      <c r="Z136">
        <v>0</v>
      </c>
      <c r="AD136">
        <v>18</v>
      </c>
      <c r="AE136" s="44">
        <f t="shared" si="5"/>
        <v>0</v>
      </c>
      <c r="AF136" s="46">
        <v>408.08048566890238</v>
      </c>
      <c r="AG136" s="44">
        <v>757.90090000000009</v>
      </c>
      <c r="AH136" s="44">
        <v>0</v>
      </c>
      <c r="AI136" s="41"/>
      <c r="AJ136" s="40">
        <v>8.8217891480379992E-2</v>
      </c>
      <c r="AK136" s="41">
        <v>9.4999227471559922E-2</v>
      </c>
      <c r="AL136" s="41"/>
      <c r="AM136" s="23">
        <v>1.857142857142857</v>
      </c>
      <c r="AN136" s="23">
        <v>3</v>
      </c>
      <c r="AO136" s="23">
        <v>2</v>
      </c>
      <c r="AP136" s="23">
        <v>2</v>
      </c>
      <c r="AQ136" s="23">
        <v>0.20967741935483869</v>
      </c>
      <c r="AR136" s="23">
        <v>0.33870967741935482</v>
      </c>
      <c r="AS136" s="23">
        <v>0.22580645161290319</v>
      </c>
      <c r="AT136" s="23">
        <v>0.22580645161290319</v>
      </c>
      <c r="AU136" s="20">
        <v>0.95</v>
      </c>
      <c r="AV136" s="20">
        <v>3.44</v>
      </c>
      <c r="AW136" s="20">
        <v>2.4900000000000002</v>
      </c>
      <c r="AX136" s="20">
        <v>2.7964285714285722</v>
      </c>
      <c r="AY136">
        <v>2.7964285714285722</v>
      </c>
      <c r="AZ136">
        <v>6.1881302289285713</v>
      </c>
      <c r="BA136" s="64">
        <v>0.50205645606923555</v>
      </c>
      <c r="BB136" s="64">
        <v>0.54064968764634491</v>
      </c>
      <c r="BE136">
        <v>4.4108945740190003E-2</v>
      </c>
      <c r="BF136">
        <v>4.7499613735779961E-2</v>
      </c>
      <c r="BH136">
        <v>9.1608559475969964E-2</v>
      </c>
      <c r="BI136">
        <v>4.5804279737984982E-2</v>
      </c>
      <c r="BJ136">
        <v>0.52135307185779023</v>
      </c>
    </row>
    <row r="137" spans="1:62" x14ac:dyDescent="0.3">
      <c r="A137" t="s">
        <v>21</v>
      </c>
      <c r="B137" s="12" t="s">
        <v>707</v>
      </c>
      <c r="C137" s="12"/>
      <c r="F137">
        <v>3.3</v>
      </c>
      <c r="G137" t="s">
        <v>116</v>
      </c>
      <c r="H137" s="8" t="s">
        <v>540</v>
      </c>
      <c r="I137" t="s">
        <v>620</v>
      </c>
      <c r="L137" s="20">
        <v>2</v>
      </c>
      <c r="M137">
        <v>2</v>
      </c>
      <c r="N137">
        <v>0</v>
      </c>
      <c r="R137" t="s">
        <v>440</v>
      </c>
      <c r="T137" s="20">
        <v>13.052871550000001</v>
      </c>
      <c r="U137" s="20">
        <v>13.052871550000001</v>
      </c>
      <c r="V137" s="20">
        <v>5.7602650000000004</v>
      </c>
      <c r="W137">
        <v>3.9390000000000001</v>
      </c>
      <c r="X137">
        <v>3.9390000000000001</v>
      </c>
      <c r="Y137">
        <v>25.636399999999998</v>
      </c>
      <c r="Z137">
        <v>0</v>
      </c>
      <c r="AD137">
        <v>18</v>
      </c>
      <c r="AE137" s="44">
        <f t="shared" si="5"/>
        <v>0</v>
      </c>
      <c r="AF137" s="46">
        <v>419.87909289623292</v>
      </c>
      <c r="AG137" s="44">
        <v>397.76722984439999</v>
      </c>
      <c r="AH137" s="44">
        <v>0</v>
      </c>
      <c r="AI137" s="41"/>
      <c r="AJ137" s="40">
        <v>8.5738967738736363E-2</v>
      </c>
      <c r="AK137" s="41">
        <v>9.0505193235960166E-2</v>
      </c>
      <c r="AL137" s="41"/>
      <c r="AM137" s="23">
        <v>1.857142857142857</v>
      </c>
      <c r="AN137" s="23">
        <v>3</v>
      </c>
      <c r="AO137" s="23">
        <v>2</v>
      </c>
      <c r="AP137" s="23">
        <v>2</v>
      </c>
      <c r="AQ137" s="23">
        <v>0.20967741935483869</v>
      </c>
      <c r="AR137" s="23">
        <v>0.33870967741935482</v>
      </c>
      <c r="AS137" s="23">
        <v>0.22580645161290319</v>
      </c>
      <c r="AT137" s="23">
        <v>0.22580645161290319</v>
      </c>
      <c r="AU137" s="20">
        <v>0.89</v>
      </c>
      <c r="AV137" s="20">
        <v>3.44</v>
      </c>
      <c r="AW137" s="20">
        <v>2.5499999999999998</v>
      </c>
      <c r="AX137" s="20">
        <v>2.7921428571428568</v>
      </c>
      <c r="AY137">
        <v>2.7921428571428568</v>
      </c>
      <c r="AZ137">
        <v>6.1741786985714304</v>
      </c>
      <c r="BA137" s="64">
        <v>0.50806026761966716</v>
      </c>
      <c r="BB137" s="64">
        <v>0</v>
      </c>
      <c r="BE137">
        <v>4.2869483869368182E-2</v>
      </c>
      <c r="BF137">
        <v>4.5252596617980083E-2</v>
      </c>
      <c r="BH137">
        <v>8.8122080487348264E-2</v>
      </c>
      <c r="BI137">
        <v>4.4061040243674132E-2</v>
      </c>
      <c r="BJ137">
        <v>0.25403013380983358</v>
      </c>
    </row>
    <row r="138" spans="1:62" x14ac:dyDescent="0.3">
      <c r="A138" t="s">
        <v>17</v>
      </c>
      <c r="B138" s="12" t="s">
        <v>702</v>
      </c>
      <c r="C138" s="12"/>
      <c r="F138">
        <v>3.67</v>
      </c>
      <c r="G138" t="s">
        <v>117</v>
      </c>
      <c r="H138" s="8" t="s">
        <v>535</v>
      </c>
      <c r="I138" t="s">
        <v>616</v>
      </c>
      <c r="L138" s="20">
        <v>1</v>
      </c>
      <c r="M138">
        <v>4</v>
      </c>
      <c r="N138">
        <v>0</v>
      </c>
      <c r="O138">
        <v>5.4669999999999996</v>
      </c>
      <c r="P138">
        <v>5.4269999999999996</v>
      </c>
      <c r="Q138">
        <v>24.931000000000001</v>
      </c>
      <c r="R138" t="s">
        <v>450</v>
      </c>
      <c r="T138" s="20">
        <v>13.46934785</v>
      </c>
      <c r="U138" s="20">
        <v>13.46934785</v>
      </c>
      <c r="V138" s="20">
        <v>13.46934785</v>
      </c>
      <c r="W138">
        <v>5.4659000000000004</v>
      </c>
      <c r="X138">
        <v>5.4318</v>
      </c>
      <c r="Y138">
        <v>24.9619</v>
      </c>
      <c r="Z138">
        <v>0</v>
      </c>
      <c r="AD138">
        <v>18</v>
      </c>
      <c r="AE138" s="44">
        <f t="shared" si="5"/>
        <v>739.68803577899985</v>
      </c>
      <c r="AF138" s="46">
        <v>189.22149105491849</v>
      </c>
      <c r="AG138" s="44">
        <v>741.11071385887806</v>
      </c>
      <c r="AH138" s="44">
        <v>0</v>
      </c>
      <c r="AI138" s="41"/>
      <c r="AJ138" s="40">
        <v>9.5126615373598261E-2</v>
      </c>
      <c r="AK138" s="41">
        <v>9.7151476363233638E-2</v>
      </c>
      <c r="AL138" s="41"/>
      <c r="AM138" s="23">
        <v>2</v>
      </c>
      <c r="AN138" s="23">
        <v>3</v>
      </c>
      <c r="AO138" s="23">
        <v>1.857142857142857</v>
      </c>
      <c r="AP138" s="23">
        <v>4</v>
      </c>
      <c r="AQ138" s="23">
        <v>0.18421052631578949</v>
      </c>
      <c r="AR138" s="23">
        <v>0.27631578947368418</v>
      </c>
      <c r="AS138" s="23">
        <v>0.1710526315789474</v>
      </c>
      <c r="AT138" s="23">
        <v>0.36842105263157893</v>
      </c>
      <c r="AU138" s="20">
        <v>1</v>
      </c>
      <c r="AV138" s="20">
        <v>3.44</v>
      </c>
      <c r="AW138" s="20">
        <v>2.44</v>
      </c>
      <c r="AX138" s="20">
        <v>2.785714285714286</v>
      </c>
      <c r="AY138">
        <v>2.785714285714286</v>
      </c>
      <c r="AZ138">
        <v>6.216117408214286</v>
      </c>
      <c r="BA138" s="64">
        <v>0.52325723799350143</v>
      </c>
      <c r="BE138">
        <v>4.7563307686799138E-2</v>
      </c>
      <c r="BF138">
        <v>4.8575738181616819E-2</v>
      </c>
      <c r="BH138">
        <v>9.6139045868415957E-2</v>
      </c>
      <c r="BI138">
        <v>4.8069522934207978E-2</v>
      </c>
      <c r="BJ138">
        <v>0.52325723799350143</v>
      </c>
    </row>
    <row r="139" spans="1:62" x14ac:dyDescent="0.3">
      <c r="A139" t="s">
        <v>51</v>
      </c>
      <c r="B139" s="12" t="s">
        <v>703</v>
      </c>
      <c r="C139" s="12"/>
      <c r="F139">
        <v>3.64</v>
      </c>
      <c r="G139" t="s">
        <v>117</v>
      </c>
      <c r="H139" s="8" t="s">
        <v>536</v>
      </c>
      <c r="I139" t="s">
        <v>617</v>
      </c>
      <c r="L139" s="20">
        <v>1</v>
      </c>
      <c r="M139">
        <v>4</v>
      </c>
      <c r="N139">
        <v>0</v>
      </c>
      <c r="O139">
        <v>5.4729999999999999</v>
      </c>
      <c r="P139">
        <v>5.5270000000000001</v>
      </c>
      <c r="Q139">
        <v>25.030999999999999</v>
      </c>
      <c r="R139" t="s">
        <v>450</v>
      </c>
      <c r="T139" s="20">
        <v>12.88926011</v>
      </c>
      <c r="U139" s="20">
        <v>12.88926011</v>
      </c>
      <c r="V139" s="20">
        <v>12.88926011</v>
      </c>
      <c r="W139">
        <v>5.5223699999999996</v>
      </c>
      <c r="X139">
        <v>5.5240799999999997</v>
      </c>
      <c r="Y139">
        <v>25.026399999999999</v>
      </c>
      <c r="Z139">
        <v>0</v>
      </c>
      <c r="AD139">
        <v>18</v>
      </c>
      <c r="AE139" s="44">
        <f t="shared" si="5"/>
        <v>757.16950240099993</v>
      </c>
      <c r="AF139" s="46">
        <v>195.03203980213701</v>
      </c>
      <c r="AG139" s="44">
        <v>763.45570050087724</v>
      </c>
      <c r="AH139" s="44">
        <v>0</v>
      </c>
      <c r="AI139" s="41"/>
      <c r="AJ139" s="40">
        <v>9.2292528029042184E-2</v>
      </c>
      <c r="AK139" s="41">
        <v>9.4308025930991482E-2</v>
      </c>
      <c r="AL139" s="41"/>
      <c r="AM139" s="23">
        <v>2</v>
      </c>
      <c r="AN139" s="23">
        <v>3</v>
      </c>
      <c r="AO139" s="23">
        <v>1.857142857142857</v>
      </c>
      <c r="AP139" s="23">
        <v>4</v>
      </c>
      <c r="AQ139" s="23">
        <v>0.18421052631578949</v>
      </c>
      <c r="AR139" s="23">
        <v>0.27631578947368418</v>
      </c>
      <c r="AS139" s="23">
        <v>0.1710526315789474</v>
      </c>
      <c r="AT139" s="23">
        <v>0.36842105263157893</v>
      </c>
      <c r="AU139" s="20">
        <v>0.95</v>
      </c>
      <c r="AV139" s="20">
        <v>3.44</v>
      </c>
      <c r="AW139" s="20">
        <v>2.4900000000000002</v>
      </c>
      <c r="AX139" s="20">
        <v>2.782142857142857</v>
      </c>
      <c r="AY139">
        <v>2.7821428571428579</v>
      </c>
      <c r="AZ139">
        <v>6.2021612289285706</v>
      </c>
      <c r="BA139" s="64">
        <v>0.52524560229640982</v>
      </c>
      <c r="BB139" s="64">
        <v>0.53671599358424449</v>
      </c>
      <c r="BE139">
        <v>4.6146264014521092E-2</v>
      </c>
      <c r="BF139">
        <v>4.7154012965495741E-2</v>
      </c>
      <c r="BH139">
        <v>9.3300276980016833E-2</v>
      </c>
      <c r="BI139">
        <v>4.6650138490008423E-2</v>
      </c>
      <c r="BJ139">
        <v>0.53098079794032715</v>
      </c>
    </row>
    <row r="140" spans="1:62" x14ac:dyDescent="0.3">
      <c r="A140" t="s">
        <v>18</v>
      </c>
      <c r="B140" s="12" t="s">
        <v>704</v>
      </c>
      <c r="C140" s="12"/>
      <c r="F140">
        <v>3.52</v>
      </c>
      <c r="G140" t="s">
        <v>117</v>
      </c>
      <c r="H140" s="8" t="s">
        <v>537</v>
      </c>
      <c r="I140" t="s">
        <v>618</v>
      </c>
      <c r="L140" s="20">
        <v>1</v>
      </c>
      <c r="M140">
        <v>1</v>
      </c>
      <c r="N140">
        <v>0</v>
      </c>
      <c r="O140">
        <v>3.9540000000000002</v>
      </c>
      <c r="P140">
        <v>3.9540000000000002</v>
      </c>
      <c r="Q140">
        <v>25.486999999999998</v>
      </c>
      <c r="R140" t="s">
        <v>440</v>
      </c>
      <c r="T140" s="20">
        <v>12.939761450000001</v>
      </c>
      <c r="U140" s="20">
        <v>12.939761450000001</v>
      </c>
      <c r="V140" s="20">
        <v>12.939761450000001</v>
      </c>
      <c r="W140">
        <v>3.9355000000000002</v>
      </c>
      <c r="X140">
        <v>3.9355000000000002</v>
      </c>
      <c r="Y140">
        <v>25.5686</v>
      </c>
      <c r="Z140">
        <v>0</v>
      </c>
      <c r="AD140">
        <v>18</v>
      </c>
      <c r="AE140" s="44">
        <f t="shared" si="5"/>
        <v>398.46671449199999</v>
      </c>
      <c r="AF140" s="46">
        <v>198.96095988642259</v>
      </c>
      <c r="AG140" s="44">
        <v>396.01057416815007</v>
      </c>
      <c r="AH140" s="44">
        <v>0</v>
      </c>
      <c r="AI140" s="41"/>
      <c r="AJ140" s="40">
        <v>9.047000984653146E-2</v>
      </c>
      <c r="AK140" s="41">
        <v>4.5453331739462637E-2</v>
      </c>
      <c r="AL140" s="41"/>
      <c r="AM140" s="23">
        <v>2</v>
      </c>
      <c r="AN140" s="23">
        <v>3</v>
      </c>
      <c r="AO140" s="23">
        <v>1.857142857142857</v>
      </c>
      <c r="AP140" s="23">
        <v>4</v>
      </c>
      <c r="AQ140" s="23">
        <v>0.18421052631578949</v>
      </c>
      <c r="AR140" s="23">
        <v>0.27631578947368418</v>
      </c>
      <c r="AS140" s="23">
        <v>0.1710526315789474</v>
      </c>
      <c r="AT140" s="23">
        <v>0.36842105263157893</v>
      </c>
      <c r="AU140" s="20">
        <v>0.89</v>
      </c>
      <c r="AV140" s="20">
        <v>3.44</v>
      </c>
      <c r="AW140" s="20">
        <v>2.5499999999999998</v>
      </c>
      <c r="AX140" s="20">
        <v>2.777857142857143</v>
      </c>
      <c r="AY140">
        <v>2.777857142857143</v>
      </c>
      <c r="AZ140">
        <v>6.1882096985714297</v>
      </c>
      <c r="BA140" s="64">
        <v>0.53609483093200738</v>
      </c>
      <c r="BE140">
        <v>4.5235004923265723E-2</v>
      </c>
      <c r="BF140">
        <v>2.2726665869731318E-2</v>
      </c>
      <c r="BH140">
        <v>6.7961670792997045E-2</v>
      </c>
      <c r="BI140">
        <v>3.3980835396498522E-2</v>
      </c>
      <c r="BJ140">
        <v>0.53609483093200738</v>
      </c>
    </row>
    <row r="141" spans="1:62" x14ac:dyDescent="0.3">
      <c r="A141" t="s">
        <v>118</v>
      </c>
      <c r="B141" s="16" t="s">
        <v>920</v>
      </c>
      <c r="C141" s="12"/>
      <c r="F141">
        <v>3.44</v>
      </c>
      <c r="G141" t="s">
        <v>122</v>
      </c>
      <c r="H141" s="8">
        <v>-1</v>
      </c>
      <c r="I141">
        <v>-1</v>
      </c>
      <c r="J141" t="s">
        <v>1218</v>
      </c>
      <c r="K141">
        <v>4</v>
      </c>
      <c r="L141" s="20">
        <v>0</v>
      </c>
      <c r="M141">
        <v>0</v>
      </c>
      <c r="N141">
        <v>4</v>
      </c>
      <c r="O141">
        <v>5.492</v>
      </c>
      <c r="P141">
        <v>5.5650000000000004</v>
      </c>
      <c r="Q141">
        <v>24.88</v>
      </c>
      <c r="R141" t="s">
        <v>1219</v>
      </c>
      <c r="S141" s="1"/>
      <c r="T141" s="20">
        <v>0</v>
      </c>
      <c r="U141" s="20"/>
      <c r="V141" s="20"/>
      <c r="W141">
        <v>0</v>
      </c>
      <c r="Z141">
        <v>0</v>
      </c>
      <c r="AD141">
        <v>18</v>
      </c>
      <c r="AE141" s="44">
        <f t="shared" si="5"/>
        <v>760.40694240000005</v>
      </c>
      <c r="AF141" s="46">
        <v>0</v>
      </c>
      <c r="AG141" s="44">
        <v>0</v>
      </c>
      <c r="AH141" s="44">
        <v>760.6</v>
      </c>
      <c r="AI141" s="41">
        <f>K141*AD141/AE141</f>
        <v>9.4686142360501407E-2</v>
      </c>
      <c r="AJ141" s="40"/>
      <c r="AK141" s="41"/>
      <c r="AL141" s="56">
        <f>N141*AD141/AH141</f>
        <v>9.466210886142519E-2</v>
      </c>
      <c r="AM141" s="23">
        <v>1.964285714285714</v>
      </c>
      <c r="AN141" s="23">
        <v>3</v>
      </c>
      <c r="AO141" s="23">
        <v>1.892857142857143</v>
      </c>
      <c r="AP141" s="23">
        <v>4</v>
      </c>
      <c r="AQ141" s="23">
        <v>0.1809210526315789</v>
      </c>
      <c r="AR141" s="23">
        <v>0.27631578947368418</v>
      </c>
      <c r="AS141" s="23">
        <v>0.17434210526315791</v>
      </c>
      <c r="AT141" s="23">
        <v>0.36842105263157893</v>
      </c>
      <c r="AU141" s="20">
        <v>0.82</v>
      </c>
      <c r="AV141" s="20">
        <v>3.44</v>
      </c>
      <c r="AW141" s="20">
        <v>2.62</v>
      </c>
      <c r="AX141" s="20">
        <v>2.7828571428571429</v>
      </c>
      <c r="AY141">
        <v>2.7828571428571429</v>
      </c>
      <c r="AZ141">
        <v>6.1929237675000008</v>
      </c>
      <c r="BC141" s="64">
        <v>0</v>
      </c>
      <c r="BD141">
        <v>4.7343071180250697E-2</v>
      </c>
      <c r="BG141">
        <v>4.7331054430712588E-2</v>
      </c>
      <c r="BH141">
        <v>9.4674125610963306E-2</v>
      </c>
      <c r="BI141">
        <v>4.7337062805481639E-2</v>
      </c>
      <c r="BJ141">
        <v>0</v>
      </c>
    </row>
    <row r="142" spans="1:62" x14ac:dyDescent="0.3">
      <c r="A142" t="s">
        <v>119</v>
      </c>
      <c r="B142" s="16" t="s">
        <v>921</v>
      </c>
      <c r="C142" s="12"/>
      <c r="F142">
        <v>3.22</v>
      </c>
      <c r="G142" t="s">
        <v>122</v>
      </c>
      <c r="H142" s="8">
        <v>-1</v>
      </c>
      <c r="I142">
        <v>-1</v>
      </c>
      <c r="K142">
        <v>4</v>
      </c>
      <c r="L142" s="20">
        <v>0</v>
      </c>
      <c r="M142">
        <v>0</v>
      </c>
      <c r="N142">
        <v>4</v>
      </c>
      <c r="O142">
        <v>5.5019999999999998</v>
      </c>
      <c r="P142">
        <v>5.5069999999999997</v>
      </c>
      <c r="Q142">
        <v>25.09</v>
      </c>
      <c r="R142" t="s">
        <v>1219</v>
      </c>
      <c r="S142" s="1"/>
      <c r="T142" s="20">
        <v>0</v>
      </c>
      <c r="U142" s="20"/>
      <c r="V142" s="20"/>
      <c r="W142">
        <v>0</v>
      </c>
      <c r="Z142">
        <v>0</v>
      </c>
      <c r="AD142">
        <v>18</v>
      </c>
      <c r="AE142" s="44">
        <f t="shared" si="5"/>
        <v>760.21480625999993</v>
      </c>
      <c r="AF142" s="46">
        <v>0</v>
      </c>
      <c r="AG142" s="44">
        <v>0</v>
      </c>
      <c r="AH142" s="44">
        <v>0</v>
      </c>
      <c r="AI142" s="41">
        <f>K142*AD142/AE142</f>
        <v>9.4710073267601405E-2</v>
      </c>
      <c r="AJ142" s="40"/>
      <c r="AK142" s="41"/>
      <c r="AL142" s="41"/>
      <c r="AM142" s="23">
        <v>1.821428571428571</v>
      </c>
      <c r="AN142" s="23">
        <v>3</v>
      </c>
      <c r="AO142" s="23">
        <v>2.035714285714286</v>
      </c>
      <c r="AP142" s="23">
        <v>2</v>
      </c>
      <c r="AQ142" s="23">
        <v>0.20564516129032259</v>
      </c>
      <c r="AR142" s="23">
        <v>0.33870967741935482</v>
      </c>
      <c r="AS142" s="23">
        <v>0.22983870967741929</v>
      </c>
      <c r="AT142" s="23">
        <v>0.22580645161290319</v>
      </c>
      <c r="AU142" s="20">
        <v>0.82</v>
      </c>
      <c r="AV142" s="20">
        <v>3.44</v>
      </c>
      <c r="AW142" s="20">
        <v>2.62</v>
      </c>
      <c r="AX142" s="20">
        <v>2.7971428571428572</v>
      </c>
      <c r="AY142">
        <v>2.7971428571428572</v>
      </c>
      <c r="AZ142">
        <v>6.1788927675000007</v>
      </c>
      <c r="BD142">
        <v>4.7355036633800703E-2</v>
      </c>
      <c r="BG142" t="s">
        <v>459</v>
      </c>
      <c r="BH142">
        <v>9.4710073267601405E-2</v>
      </c>
      <c r="BI142" t="s">
        <v>459</v>
      </c>
      <c r="BJ142">
        <v>0</v>
      </c>
    </row>
    <row r="143" spans="1:62" x14ac:dyDescent="0.3">
      <c r="A143" t="s">
        <v>120</v>
      </c>
      <c r="B143" s="16" t="s">
        <v>922</v>
      </c>
      <c r="C143" s="12"/>
      <c r="F143">
        <v>4</v>
      </c>
      <c r="G143" t="s">
        <v>122</v>
      </c>
      <c r="H143" s="8">
        <v>-1</v>
      </c>
      <c r="I143">
        <v>-1</v>
      </c>
      <c r="K143">
        <v>1</v>
      </c>
      <c r="L143" s="20">
        <v>0</v>
      </c>
      <c r="M143">
        <v>0</v>
      </c>
      <c r="N143">
        <v>0</v>
      </c>
      <c r="O143">
        <v>3.9060000000000001</v>
      </c>
      <c r="P143">
        <v>3.9060000000000001</v>
      </c>
      <c r="Q143">
        <v>9.8840000000000003</v>
      </c>
      <c r="T143" s="20">
        <v>0</v>
      </c>
      <c r="U143" s="20"/>
      <c r="V143" s="20"/>
      <c r="W143">
        <v>0</v>
      </c>
      <c r="Z143">
        <v>0</v>
      </c>
      <c r="AD143">
        <v>14</v>
      </c>
      <c r="AE143" s="44">
        <f t="shared" si="5"/>
        <v>150.79856702400002</v>
      </c>
      <c r="AF143" s="46">
        <v>0</v>
      </c>
      <c r="AG143" s="44">
        <v>0</v>
      </c>
      <c r="AH143" s="44">
        <v>0</v>
      </c>
      <c r="AI143" s="41">
        <f>K143*AD143/AE143</f>
        <v>9.2839078489199839E-2</v>
      </c>
      <c r="AJ143" s="40"/>
      <c r="AK143" s="41"/>
      <c r="AL143" s="41"/>
      <c r="AM143" s="23">
        <v>1.8135593220338979</v>
      </c>
      <c r="AN143" s="23">
        <v>2.398305084745763</v>
      </c>
      <c r="AO143" s="23">
        <v>0.63559322033898302</v>
      </c>
      <c r="AP143" s="23">
        <v>2.4915254237288131</v>
      </c>
      <c r="AQ143" s="23">
        <v>0.24711316397228639</v>
      </c>
      <c r="AR143" s="23">
        <v>0.32678983833718239</v>
      </c>
      <c r="AS143" s="23">
        <v>8.6605080831408776E-2</v>
      </c>
      <c r="AT143" s="23">
        <v>0.33949191685912239</v>
      </c>
      <c r="AU143" s="20">
        <v>0.82</v>
      </c>
      <c r="AV143" s="20">
        <v>3.44</v>
      </c>
      <c r="AW143" s="20">
        <v>2.62</v>
      </c>
      <c r="AX143" s="20">
        <v>2.733728813559321</v>
      </c>
      <c r="AY143">
        <v>2.7337288135593218</v>
      </c>
      <c r="AZ143">
        <v>6.5217336360353304</v>
      </c>
      <c r="BD143">
        <v>4.6419539244599919E-2</v>
      </c>
      <c r="BH143">
        <v>9.2839078489199839E-2</v>
      </c>
      <c r="BI143">
        <v>4.6419539244599919E-2</v>
      </c>
      <c r="BJ143">
        <v>0</v>
      </c>
    </row>
    <row r="144" spans="1:62" x14ac:dyDescent="0.3">
      <c r="A144" t="s">
        <v>121</v>
      </c>
      <c r="B144" s="16" t="s">
        <v>923</v>
      </c>
      <c r="C144" s="12"/>
      <c r="F144">
        <v>3.49</v>
      </c>
      <c r="G144" t="s">
        <v>122</v>
      </c>
      <c r="H144" s="8">
        <v>-1</v>
      </c>
      <c r="I144">
        <v>-1</v>
      </c>
      <c r="K144">
        <v>1</v>
      </c>
      <c r="L144" s="20">
        <v>0</v>
      </c>
      <c r="M144">
        <v>0</v>
      </c>
      <c r="N144">
        <v>0</v>
      </c>
      <c r="O144">
        <v>3.903</v>
      </c>
      <c r="P144">
        <v>3.903</v>
      </c>
      <c r="Q144">
        <v>10.050000000000001</v>
      </c>
      <c r="T144" s="20">
        <v>0</v>
      </c>
      <c r="U144" s="20"/>
      <c r="V144" s="20"/>
      <c r="W144">
        <v>0</v>
      </c>
      <c r="Z144">
        <v>0</v>
      </c>
      <c r="AD144">
        <v>13</v>
      </c>
      <c r="AE144" s="44">
        <f t="shared" si="5"/>
        <v>153.09576045</v>
      </c>
      <c r="AF144" s="46">
        <v>0</v>
      </c>
      <c r="AG144" s="44">
        <v>0</v>
      </c>
      <c r="AH144" s="44">
        <v>0</v>
      </c>
      <c r="AI144" s="41">
        <f>K144*AD144/AE144</f>
        <v>8.4914173728838874E-2</v>
      </c>
      <c r="AJ144" s="40"/>
      <c r="AK144" s="41"/>
      <c r="AL144" s="41"/>
      <c r="AM144" s="23">
        <v>1.6448598130841121</v>
      </c>
      <c r="AN144" s="23">
        <v>2.457943925233645</v>
      </c>
      <c r="AO144" s="23">
        <v>0.86915887850467299</v>
      </c>
      <c r="AP144" s="23">
        <v>0.13084112149532709</v>
      </c>
      <c r="AQ144" s="23">
        <v>0.32234432234432231</v>
      </c>
      <c r="AR144" s="23">
        <v>0.48168498168498158</v>
      </c>
      <c r="AS144" s="23">
        <v>0.17032967032967031</v>
      </c>
      <c r="AT144" s="23">
        <v>2.564102564102564E-2</v>
      </c>
      <c r="AU144" s="20">
        <v>0.82</v>
      </c>
      <c r="AV144" s="20">
        <v>3.44</v>
      </c>
      <c r="AW144" s="20">
        <v>2.62</v>
      </c>
      <c r="AX144" s="20">
        <v>2.7828037383177571</v>
      </c>
      <c r="AY144">
        <v>2.782803738317758</v>
      </c>
      <c r="AZ144">
        <v>6.5403483343235136</v>
      </c>
      <c r="BD144">
        <v>4.2457086864419437E-2</v>
      </c>
      <c r="BH144">
        <v>8.4914173728838874E-2</v>
      </c>
      <c r="BI144">
        <v>4.2457086864419437E-2</v>
      </c>
      <c r="BJ144">
        <v>0</v>
      </c>
    </row>
    <row r="145" spans="1:62" x14ac:dyDescent="0.3">
      <c r="A145" t="s">
        <v>1185</v>
      </c>
      <c r="B145" s="37" t="s">
        <v>1186</v>
      </c>
      <c r="C145" s="12"/>
      <c r="F145">
        <v>4</v>
      </c>
      <c r="G145" t="s">
        <v>122</v>
      </c>
      <c r="H145" s="8" t="s">
        <v>1188</v>
      </c>
      <c r="I145">
        <v>-1</v>
      </c>
      <c r="J145" t="s">
        <v>1187</v>
      </c>
      <c r="L145" s="20">
        <v>0</v>
      </c>
      <c r="M145">
        <v>0</v>
      </c>
      <c r="N145">
        <v>2</v>
      </c>
      <c r="T145" s="20">
        <v>0</v>
      </c>
      <c r="U145" s="20"/>
      <c r="V145" s="20"/>
      <c r="W145">
        <v>0</v>
      </c>
      <c r="Z145">
        <v>12.5602</v>
      </c>
      <c r="AA145">
        <v>12.5602</v>
      </c>
      <c r="AB145">
        <v>3.9214000000000002</v>
      </c>
      <c r="AD145">
        <v>34</v>
      </c>
      <c r="AE145" s="44">
        <f t="shared" si="5"/>
        <v>0</v>
      </c>
      <c r="AF145" s="46">
        <v>0</v>
      </c>
      <c r="AG145" s="44">
        <v>0</v>
      </c>
      <c r="AH145" s="44">
        <v>618.63466831045605</v>
      </c>
      <c r="AI145" s="41"/>
      <c r="AJ145" s="40"/>
      <c r="AK145" s="41"/>
      <c r="AL145" s="41">
        <v>0.10991947830165059</v>
      </c>
      <c r="AM145" s="23">
        <v>1.92</v>
      </c>
      <c r="AN145" s="23">
        <v>2.72</v>
      </c>
      <c r="AO145" s="23">
        <v>0.64</v>
      </c>
      <c r="AP145" s="23">
        <v>2.8</v>
      </c>
      <c r="AQ145" s="23">
        <v>0.23762376237623761</v>
      </c>
      <c r="AR145" s="23">
        <v>0.33663366336633671</v>
      </c>
      <c r="AS145" s="23">
        <v>7.9207920792079209E-2</v>
      </c>
      <c r="AT145" s="23">
        <v>0.34653465346534651</v>
      </c>
      <c r="AU145" s="20">
        <v>0.82</v>
      </c>
      <c r="AV145" s="20">
        <v>3.44</v>
      </c>
      <c r="AW145" s="20">
        <v>2.62</v>
      </c>
      <c r="AX145" s="20">
        <v>2.7488000000000001</v>
      </c>
      <c r="AY145">
        <v>2.7488000000000001</v>
      </c>
      <c r="AZ145">
        <v>6.2305574404000001</v>
      </c>
      <c r="BC145" s="64">
        <v>0.5553845310307659</v>
      </c>
      <c r="BG145">
        <v>4.8493887486022333E-2</v>
      </c>
      <c r="BH145">
        <v>0.10991947830165059</v>
      </c>
      <c r="BI145">
        <v>4.8493887486022333E-2</v>
      </c>
      <c r="BJ145">
        <v>0.5553845310307659</v>
      </c>
    </row>
    <row r="146" spans="1:62" x14ac:dyDescent="0.3">
      <c r="A146" s="4" t="s">
        <v>123</v>
      </c>
      <c r="B146" s="16" t="s">
        <v>924</v>
      </c>
      <c r="C146" s="12"/>
      <c r="D146" s="4"/>
      <c r="E146" s="4"/>
      <c r="F146" s="4">
        <v>3.7</v>
      </c>
      <c r="G146" s="4" t="s">
        <v>122</v>
      </c>
      <c r="H146" s="30">
        <v>-2</v>
      </c>
      <c r="I146">
        <v>-1</v>
      </c>
      <c r="K146" s="4"/>
      <c r="L146" s="20">
        <v>0</v>
      </c>
      <c r="M146">
        <v>0</v>
      </c>
      <c r="N146">
        <v>0</v>
      </c>
      <c r="T146" s="20">
        <v>0</v>
      </c>
      <c r="U146" s="20"/>
      <c r="V146" s="20"/>
      <c r="W146">
        <v>0</v>
      </c>
      <c r="Z146">
        <v>0</v>
      </c>
      <c r="AD146">
        <v>14</v>
      </c>
      <c r="AE146" s="44">
        <f t="shared" si="5"/>
        <v>0</v>
      </c>
      <c r="AF146" s="46">
        <v>0</v>
      </c>
      <c r="AG146" s="44">
        <v>0</v>
      </c>
      <c r="AH146" s="44">
        <v>0</v>
      </c>
      <c r="AI146" s="41"/>
      <c r="AJ146" s="40"/>
      <c r="AK146" s="41"/>
      <c r="AL146" s="41"/>
      <c r="AM146" s="23">
        <v>1.847457627118644</v>
      </c>
      <c r="AN146" s="23">
        <v>2.4237288135593218</v>
      </c>
      <c r="AO146" s="23">
        <v>0.67796610169491522</v>
      </c>
      <c r="AP146" s="23">
        <v>2.610169491525423</v>
      </c>
      <c r="AQ146" s="23">
        <v>0.2443946188340807</v>
      </c>
      <c r="AR146" s="23">
        <v>0.32062780269058289</v>
      </c>
      <c r="AS146" s="23">
        <v>8.9686098654708529E-2</v>
      </c>
      <c r="AT146" s="23">
        <v>0.3452914798206278</v>
      </c>
      <c r="AU146" s="20">
        <v>1</v>
      </c>
      <c r="AV146" s="20">
        <v>3.44</v>
      </c>
      <c r="AW146" s="20">
        <v>2.44</v>
      </c>
      <c r="AX146" s="20">
        <v>2.732542372881356</v>
      </c>
      <c r="AY146">
        <v>2.732542372881356</v>
      </c>
      <c r="AZ146">
        <v>6.5123179483671016</v>
      </c>
      <c r="BH146">
        <v>0</v>
      </c>
      <c r="BI146">
        <v>0</v>
      </c>
      <c r="BJ146">
        <v>0</v>
      </c>
    </row>
    <row r="147" spans="1:62" x14ac:dyDescent="0.3">
      <c r="A147" s="4" t="s">
        <v>124</v>
      </c>
      <c r="B147" s="16" t="s">
        <v>925</v>
      </c>
      <c r="C147" s="12"/>
      <c r="D147" s="4"/>
      <c r="E147" s="4"/>
      <c r="F147" s="4">
        <v>3.9</v>
      </c>
      <c r="G147" s="4" t="s">
        <v>122</v>
      </c>
      <c r="H147" s="30">
        <v>-2</v>
      </c>
      <c r="I147">
        <v>-1</v>
      </c>
      <c r="K147" s="4"/>
      <c r="L147" s="20">
        <v>0</v>
      </c>
      <c r="M147">
        <v>0</v>
      </c>
      <c r="N147">
        <v>0</v>
      </c>
      <c r="T147" s="20">
        <v>0</v>
      </c>
      <c r="U147" s="20"/>
      <c r="V147" s="20"/>
      <c r="W147">
        <v>0</v>
      </c>
      <c r="Z147">
        <v>0</v>
      </c>
      <c r="AD147">
        <v>14</v>
      </c>
      <c r="AE147" s="44">
        <f t="shared" si="5"/>
        <v>0</v>
      </c>
      <c r="AF147" s="46">
        <v>0</v>
      </c>
      <c r="AG147" s="44">
        <v>0</v>
      </c>
      <c r="AH147" s="44">
        <v>0</v>
      </c>
      <c r="AI147" s="41"/>
      <c r="AJ147" s="40"/>
      <c r="AK147" s="41"/>
      <c r="AL147" s="41"/>
      <c r="AM147" s="23">
        <v>1.85</v>
      </c>
      <c r="AN147" s="23">
        <v>2.3833333333333329</v>
      </c>
      <c r="AO147" s="23">
        <v>0.66666666666666663</v>
      </c>
      <c r="AP147" s="23">
        <v>2.5666666666666669</v>
      </c>
      <c r="AQ147" s="23">
        <v>0.24776785714285721</v>
      </c>
      <c r="AR147" s="23">
        <v>0.3191964285714286</v>
      </c>
      <c r="AS147" s="23">
        <v>8.9285714285714288E-2</v>
      </c>
      <c r="AT147" s="23">
        <v>0.34375000000000011</v>
      </c>
      <c r="AU147" s="20">
        <v>0.95</v>
      </c>
      <c r="AV147" s="20">
        <v>3.44</v>
      </c>
      <c r="AW147" s="20">
        <v>2.4900000000000002</v>
      </c>
      <c r="AX147" s="20">
        <v>2.6995</v>
      </c>
      <c r="AY147">
        <v>2.6995</v>
      </c>
      <c r="AZ147">
        <v>6.4386446606443171</v>
      </c>
      <c r="BH147">
        <v>0</v>
      </c>
      <c r="BI147">
        <v>0</v>
      </c>
      <c r="BJ147">
        <v>0</v>
      </c>
    </row>
    <row r="148" spans="1:62" x14ac:dyDescent="0.3">
      <c r="A148" s="4" t="s">
        <v>125</v>
      </c>
      <c r="B148" s="16" t="s">
        <v>926</v>
      </c>
      <c r="C148" s="12"/>
      <c r="D148" s="4"/>
      <c r="E148" s="4"/>
      <c r="F148" s="4">
        <v>4</v>
      </c>
      <c r="G148" s="4" t="s">
        <v>122</v>
      </c>
      <c r="H148" s="30">
        <v>-2</v>
      </c>
      <c r="I148">
        <v>-1</v>
      </c>
      <c r="K148" s="4"/>
      <c r="L148" s="20">
        <v>0</v>
      </c>
      <c r="M148">
        <v>0</v>
      </c>
      <c r="N148">
        <v>0</v>
      </c>
      <c r="T148" s="20">
        <v>0</v>
      </c>
      <c r="U148" s="20"/>
      <c r="V148" s="20"/>
      <c r="W148">
        <v>0</v>
      </c>
      <c r="Z148">
        <v>0</v>
      </c>
      <c r="AD148">
        <v>14</v>
      </c>
      <c r="AE148" s="44">
        <f t="shared" si="5"/>
        <v>0</v>
      </c>
      <c r="AF148" s="46">
        <v>0</v>
      </c>
      <c r="AG148" s="44">
        <v>0</v>
      </c>
      <c r="AH148" s="44">
        <v>0</v>
      </c>
      <c r="AI148" s="41"/>
      <c r="AJ148" s="40"/>
      <c r="AK148" s="41"/>
      <c r="AL148" s="41"/>
      <c r="AM148" s="23">
        <v>1.8389830508474569</v>
      </c>
      <c r="AN148" s="23">
        <v>2.398305084745763</v>
      </c>
      <c r="AO148" s="23">
        <v>0.59322033898305082</v>
      </c>
      <c r="AP148" s="23">
        <v>2.4915254237288131</v>
      </c>
      <c r="AQ148" s="23">
        <v>0.25115740740740738</v>
      </c>
      <c r="AR148" s="23">
        <v>0.32754629629629628</v>
      </c>
      <c r="AS148" s="23">
        <v>8.1018518518518517E-2</v>
      </c>
      <c r="AT148" s="23">
        <v>0.34027777777777768</v>
      </c>
      <c r="AU148" s="20">
        <v>0.89</v>
      </c>
      <c r="AV148" s="20">
        <v>3.44</v>
      </c>
      <c r="AW148" s="20">
        <v>2.5499999999999998</v>
      </c>
      <c r="AX148" s="20">
        <v>2.7266101694915248</v>
      </c>
      <c r="AY148">
        <v>2.7266101694915261</v>
      </c>
      <c r="AZ148">
        <v>6.5117833191709238</v>
      </c>
      <c r="BH148">
        <v>0</v>
      </c>
      <c r="BI148">
        <v>0</v>
      </c>
      <c r="BJ148">
        <v>0</v>
      </c>
    </row>
    <row r="149" spans="1:62" x14ac:dyDescent="0.3">
      <c r="A149" s="4" t="s">
        <v>120</v>
      </c>
      <c r="B149" s="16" t="s">
        <v>927</v>
      </c>
      <c r="C149" s="12"/>
      <c r="D149" s="4"/>
      <c r="E149" s="4"/>
      <c r="F149" s="4">
        <v>4.3</v>
      </c>
      <c r="G149" s="4" t="s">
        <v>122</v>
      </c>
      <c r="H149" s="30">
        <v>-2</v>
      </c>
      <c r="I149">
        <v>-1</v>
      </c>
      <c r="K149" s="4"/>
      <c r="L149" s="20">
        <v>0</v>
      </c>
      <c r="M149">
        <v>0</v>
      </c>
      <c r="N149">
        <v>0</v>
      </c>
      <c r="T149" s="20">
        <v>0</v>
      </c>
      <c r="U149" s="20"/>
      <c r="V149" s="20"/>
      <c r="W149">
        <v>0</v>
      </c>
      <c r="Z149">
        <v>0</v>
      </c>
      <c r="AD149">
        <v>14</v>
      </c>
      <c r="AE149" s="44">
        <f t="shared" si="5"/>
        <v>0</v>
      </c>
      <c r="AF149" s="46">
        <v>0</v>
      </c>
      <c r="AG149" s="44">
        <v>0</v>
      </c>
      <c r="AH149" s="44">
        <v>0</v>
      </c>
      <c r="AI149" s="41"/>
      <c r="AJ149" s="40"/>
      <c r="AK149" s="41"/>
      <c r="AL149" s="41"/>
      <c r="AM149" s="23">
        <v>1.8135593220338979</v>
      </c>
      <c r="AN149" s="23">
        <v>2.398305084745763</v>
      </c>
      <c r="AO149" s="23">
        <v>0.63559322033898302</v>
      </c>
      <c r="AP149" s="23">
        <v>2.4915254237288131</v>
      </c>
      <c r="AQ149" s="23">
        <v>0.24711316397228639</v>
      </c>
      <c r="AR149" s="23">
        <v>0.32678983833718239</v>
      </c>
      <c r="AS149" s="23">
        <v>8.6605080831408776E-2</v>
      </c>
      <c r="AT149" s="23">
        <v>0.33949191685912239</v>
      </c>
      <c r="AU149" s="20">
        <v>0.82</v>
      </c>
      <c r="AV149" s="20">
        <v>3.44</v>
      </c>
      <c r="AW149" s="20">
        <v>2.62</v>
      </c>
      <c r="AX149" s="20">
        <v>2.733728813559321</v>
      </c>
      <c r="AY149">
        <v>2.7337288135593218</v>
      </c>
      <c r="AZ149">
        <v>6.5217336360353304</v>
      </c>
      <c r="BH149">
        <v>0</v>
      </c>
      <c r="BI149">
        <v>0</v>
      </c>
      <c r="BJ149">
        <v>0</v>
      </c>
    </row>
    <row r="150" spans="1:62" x14ac:dyDescent="0.3">
      <c r="A150" t="s">
        <v>127</v>
      </c>
      <c r="B150" s="12" t="s">
        <v>754</v>
      </c>
      <c r="C150" s="12"/>
      <c r="F150">
        <v>2.39</v>
      </c>
      <c r="G150" t="s">
        <v>126</v>
      </c>
      <c r="H150" s="8">
        <v>-1</v>
      </c>
      <c r="I150">
        <v>-1</v>
      </c>
      <c r="L150" s="20">
        <v>0</v>
      </c>
      <c r="M150">
        <v>0</v>
      </c>
      <c r="N150">
        <v>0</v>
      </c>
      <c r="O150">
        <v>5.4930000000000003</v>
      </c>
      <c r="P150">
        <v>5.4930000000000003</v>
      </c>
      <c r="Q150">
        <v>28.75</v>
      </c>
      <c r="S150">
        <f>Q150/2</f>
        <v>14.375</v>
      </c>
      <c r="T150" s="20">
        <v>0</v>
      </c>
      <c r="U150" s="20"/>
      <c r="V150" s="20"/>
      <c r="W150">
        <v>0</v>
      </c>
      <c r="Z150">
        <v>0</v>
      </c>
      <c r="AD150">
        <v>2</v>
      </c>
      <c r="AE150" s="44">
        <f t="shared" si="5"/>
        <v>867.47515875000011</v>
      </c>
      <c r="AF150" s="46">
        <v>0</v>
      </c>
      <c r="AG150" s="44">
        <v>0</v>
      </c>
      <c r="AH150" s="44">
        <v>0</v>
      </c>
      <c r="AI150" s="41"/>
      <c r="AJ150" s="40"/>
      <c r="AK150" s="41"/>
      <c r="AL150" s="41"/>
      <c r="AM150" s="23">
        <v>1.428571428571429</v>
      </c>
      <c r="AN150" s="23">
        <v>1.5</v>
      </c>
      <c r="AO150" s="23">
        <v>5.1428571428571432</v>
      </c>
      <c r="AP150" s="23">
        <v>4</v>
      </c>
      <c r="AQ150" s="23">
        <v>0.1183431952662722</v>
      </c>
      <c r="AR150" s="23">
        <v>0.1242603550295858</v>
      </c>
      <c r="AS150" s="23">
        <v>0.42603550295857989</v>
      </c>
      <c r="AT150" s="23">
        <v>0.33136094674556221</v>
      </c>
      <c r="AU150" s="20">
        <v>1.6</v>
      </c>
      <c r="AV150" s="20">
        <v>3.44</v>
      </c>
      <c r="AW150" s="20">
        <v>1.84</v>
      </c>
      <c r="AX150" s="20">
        <v>1.9628571428571431</v>
      </c>
      <c r="AY150">
        <v>1.9628571428571431</v>
      </c>
      <c r="AZ150">
        <v>4.4993245392857144</v>
      </c>
      <c r="BH150">
        <v>0</v>
      </c>
      <c r="BI150">
        <v>0</v>
      </c>
      <c r="BJ150">
        <v>0</v>
      </c>
    </row>
    <row r="151" spans="1:62" x14ac:dyDescent="0.3">
      <c r="A151" t="s">
        <v>128</v>
      </c>
      <c r="B151" s="12" t="s">
        <v>755</v>
      </c>
      <c r="C151" s="12"/>
      <c r="F151">
        <v>3.42</v>
      </c>
      <c r="G151" t="s">
        <v>126</v>
      </c>
      <c r="H151" s="8" t="s">
        <v>571</v>
      </c>
      <c r="I151" t="s">
        <v>649</v>
      </c>
      <c r="L151" s="20">
        <v>2</v>
      </c>
      <c r="M151">
        <v>2</v>
      </c>
      <c r="N151">
        <v>0</v>
      </c>
      <c r="T151" s="20">
        <v>3.8933966999999998</v>
      </c>
      <c r="U151" s="20">
        <v>3.8933966999999998</v>
      </c>
      <c r="V151" s="20">
        <v>7.4931887499999998</v>
      </c>
      <c r="W151">
        <v>3.89</v>
      </c>
      <c r="X151">
        <v>3.89</v>
      </c>
      <c r="Y151">
        <v>7.37</v>
      </c>
      <c r="Z151">
        <v>0</v>
      </c>
      <c r="AD151">
        <v>2</v>
      </c>
      <c r="AE151" s="44">
        <f t="shared" si="5"/>
        <v>0</v>
      </c>
      <c r="AF151" s="46">
        <v>113.5857853857584</v>
      </c>
      <c r="AG151" s="44">
        <v>111.523577</v>
      </c>
      <c r="AH151" s="44">
        <v>0</v>
      </c>
      <c r="AI151" s="41"/>
      <c r="AJ151" s="40">
        <v>3.5215674095268677E-2</v>
      </c>
      <c r="AK151" s="41">
        <v>3.5866855310783291E-2</v>
      </c>
      <c r="AL151" s="41"/>
      <c r="AM151" s="23">
        <v>2</v>
      </c>
      <c r="AN151" s="23">
        <v>4</v>
      </c>
      <c r="AO151" s="23">
        <v>3.333333333333333</v>
      </c>
      <c r="AP151" s="23">
        <v>4.666666666666667</v>
      </c>
      <c r="AQ151" s="23">
        <v>0.14285714285714279</v>
      </c>
      <c r="AR151" s="23">
        <v>0.2857142857142857</v>
      </c>
      <c r="AS151" s="23">
        <v>0.23809523809523811</v>
      </c>
      <c r="AT151" s="23">
        <v>0.33333333333333343</v>
      </c>
      <c r="AU151" s="20">
        <v>2.02</v>
      </c>
      <c r="AV151" s="20">
        <v>3.44</v>
      </c>
      <c r="AW151" s="20">
        <v>1.42</v>
      </c>
      <c r="AX151" s="20">
        <v>2.8733333333333331</v>
      </c>
      <c r="AY151">
        <v>2.8733333333333331</v>
      </c>
      <c r="AZ151">
        <v>6.6478994516666674</v>
      </c>
      <c r="BA151" s="64">
        <v>0.60918030397914924</v>
      </c>
      <c r="BB151" s="64">
        <v>0.6204447985828746</v>
      </c>
      <c r="BE151">
        <v>1.7607837047634339E-2</v>
      </c>
      <c r="BF151">
        <v>1.7933427655391649E-2</v>
      </c>
      <c r="BH151">
        <v>3.5541264703025988E-2</v>
      </c>
      <c r="BI151">
        <v>1.777063235151299E-2</v>
      </c>
      <c r="BJ151">
        <v>0.61481255128101187</v>
      </c>
    </row>
    <row r="152" spans="1:62" x14ac:dyDescent="0.3">
      <c r="A152" t="s">
        <v>129</v>
      </c>
      <c r="B152" s="12" t="s">
        <v>756</v>
      </c>
      <c r="C152" s="12"/>
      <c r="F152">
        <v>2.39</v>
      </c>
      <c r="G152" t="s">
        <v>133</v>
      </c>
      <c r="H152" s="8" t="s">
        <v>572</v>
      </c>
      <c r="I152" t="s">
        <v>650</v>
      </c>
      <c r="L152" s="20">
        <v>4</v>
      </c>
      <c r="M152">
        <v>4</v>
      </c>
      <c r="N152">
        <v>0</v>
      </c>
      <c r="T152" s="20">
        <v>5.5026178200000002</v>
      </c>
      <c r="U152" s="20">
        <v>5.5582516699999998</v>
      </c>
      <c r="V152" s="20">
        <v>28.882220520000001</v>
      </c>
      <c r="W152">
        <v>5.4930000000000003</v>
      </c>
      <c r="X152">
        <v>5.4960000000000004</v>
      </c>
      <c r="Y152">
        <v>28.75</v>
      </c>
      <c r="Z152">
        <v>0</v>
      </c>
      <c r="AD152">
        <v>16</v>
      </c>
      <c r="AE152" s="44">
        <f t="shared" si="5"/>
        <v>0</v>
      </c>
      <c r="AF152" s="46">
        <v>883.36082823090169</v>
      </c>
      <c r="AG152" s="44">
        <v>867.94893000000013</v>
      </c>
      <c r="AH152" s="44">
        <v>0</v>
      </c>
      <c r="AI152" s="41"/>
      <c r="AJ152" s="40">
        <v>7.2450575070407169E-2</v>
      </c>
      <c r="AK152" s="41">
        <v>7.3737057317416116E-2</v>
      </c>
      <c r="AL152" s="41"/>
      <c r="AM152" s="23">
        <v>1.928571428571429</v>
      </c>
      <c r="AN152" s="23">
        <v>3.5</v>
      </c>
      <c r="AO152" s="23">
        <v>3.1428571428571428</v>
      </c>
      <c r="AP152" s="23">
        <v>4</v>
      </c>
      <c r="AQ152" s="23">
        <v>0.15340909090909091</v>
      </c>
      <c r="AR152" s="23">
        <v>0.27840909090909088</v>
      </c>
      <c r="AS152" s="23">
        <v>0.25</v>
      </c>
      <c r="AT152" s="23">
        <v>0.31818181818181818</v>
      </c>
      <c r="AU152" s="20">
        <v>1.6</v>
      </c>
      <c r="AV152" s="20">
        <v>3.44</v>
      </c>
      <c r="AW152" s="20">
        <v>1.84</v>
      </c>
      <c r="AX152" s="20">
        <v>2.882857142857143</v>
      </c>
      <c r="AY152">
        <v>2.882857142857143</v>
      </c>
      <c r="AZ152">
        <v>6.350050364285714</v>
      </c>
      <c r="BA152" s="64">
        <v>0.52239337321040458</v>
      </c>
      <c r="BB152" s="64">
        <v>0.53166934928012111</v>
      </c>
      <c r="BE152">
        <v>3.6225287535203578E-2</v>
      </c>
      <c r="BF152">
        <v>3.6868528658708058E-2</v>
      </c>
      <c r="BH152">
        <v>7.3093816193911643E-2</v>
      </c>
      <c r="BI152">
        <v>3.6546908096955821E-2</v>
      </c>
      <c r="BJ152">
        <v>0.52703136124526284</v>
      </c>
    </row>
    <row r="153" spans="1:62" x14ac:dyDescent="0.3">
      <c r="A153" t="s">
        <v>130</v>
      </c>
      <c r="B153" s="12" t="s">
        <v>757</v>
      </c>
      <c r="C153" s="12"/>
      <c r="F153">
        <v>2.2200000000000002</v>
      </c>
      <c r="G153" t="s">
        <v>133</v>
      </c>
      <c r="H153" s="8" t="s">
        <v>573</v>
      </c>
      <c r="I153">
        <v>-1</v>
      </c>
      <c r="L153" s="20">
        <v>4</v>
      </c>
      <c r="M153">
        <v>0</v>
      </c>
      <c r="N153">
        <v>0</v>
      </c>
      <c r="T153" s="20">
        <v>5.5809040000000003</v>
      </c>
      <c r="U153" s="20">
        <v>5.6539380000000001</v>
      </c>
      <c r="V153" s="20">
        <v>29.812771999999999</v>
      </c>
      <c r="W153">
        <v>0</v>
      </c>
      <c r="Z153">
        <v>0</v>
      </c>
      <c r="AD153">
        <v>16</v>
      </c>
      <c r="AE153" s="44">
        <f t="shared" si="5"/>
        <v>0</v>
      </c>
      <c r="AF153" s="46">
        <v>940.71474773474347</v>
      </c>
      <c r="AG153" s="44">
        <v>0</v>
      </c>
      <c r="AH153" s="44">
        <v>0</v>
      </c>
      <c r="AI153" s="41"/>
      <c r="AJ153" s="40">
        <v>6.8033375849706881E-2</v>
      </c>
      <c r="AK153" s="41"/>
      <c r="AL153" s="41"/>
      <c r="AM153" s="23">
        <v>1.928571428571429</v>
      </c>
      <c r="AN153" s="23">
        <v>3.5</v>
      </c>
      <c r="AO153" s="23">
        <v>3.8571428571428572</v>
      </c>
      <c r="AP153" s="23">
        <v>4</v>
      </c>
      <c r="AQ153" s="23">
        <v>0.1451612903225806</v>
      </c>
      <c r="AR153" s="23">
        <v>0.26344086021505381</v>
      </c>
      <c r="AS153" s="23">
        <v>0.29032258064516131</v>
      </c>
      <c r="AT153" s="23">
        <v>0.30107526881720431</v>
      </c>
      <c r="AU153" s="20">
        <v>1.6</v>
      </c>
      <c r="AV153" s="20">
        <v>3.44</v>
      </c>
      <c r="AW153" s="20">
        <v>1.84</v>
      </c>
      <c r="AX153" s="20">
        <v>2.8685714285714279</v>
      </c>
      <c r="AY153">
        <v>2.8685714285714279</v>
      </c>
      <c r="AZ153">
        <v>6.299944650714286</v>
      </c>
      <c r="BA153" s="64">
        <v>0.51496474224831645</v>
      </c>
      <c r="BE153">
        <v>3.4016687924853441E-2</v>
      </c>
      <c r="BH153">
        <v>6.8033375849706881E-2</v>
      </c>
      <c r="BI153">
        <v>3.4016687924853441E-2</v>
      </c>
      <c r="BJ153">
        <v>0.51496474224831645</v>
      </c>
    </row>
    <row r="154" spans="1:62" x14ac:dyDescent="0.3">
      <c r="A154" t="s">
        <v>131</v>
      </c>
      <c r="B154" s="12" t="s">
        <v>758</v>
      </c>
      <c r="C154" s="12"/>
      <c r="F154">
        <v>2.29</v>
      </c>
      <c r="G154" t="s">
        <v>133</v>
      </c>
      <c r="H154" s="8" t="s">
        <v>574</v>
      </c>
      <c r="I154" t="s">
        <v>651</v>
      </c>
      <c r="L154" s="20">
        <v>1</v>
      </c>
      <c r="M154">
        <v>4</v>
      </c>
      <c r="N154">
        <v>0</v>
      </c>
      <c r="T154" s="20">
        <v>3.9070640000000001</v>
      </c>
      <c r="U154" s="20">
        <v>3.9070640000000001</v>
      </c>
      <c r="V154" s="20">
        <v>14.317354999999999</v>
      </c>
      <c r="W154">
        <v>5.4588999999999999</v>
      </c>
      <c r="X154">
        <v>5.5044000000000004</v>
      </c>
      <c r="Y154">
        <v>28.6998</v>
      </c>
      <c r="Z154">
        <v>0</v>
      </c>
      <c r="AD154">
        <v>16</v>
      </c>
      <c r="AE154" s="44">
        <f t="shared" si="5"/>
        <v>0</v>
      </c>
      <c r="AF154" s="46">
        <v>218.55655879400501</v>
      </c>
      <c r="AG154" s="44">
        <v>862.37070529816799</v>
      </c>
      <c r="AH154" s="44">
        <v>0</v>
      </c>
      <c r="AI154" s="41"/>
      <c r="AJ154" s="40">
        <v>7.320759481338833E-2</v>
      </c>
      <c r="AK154" s="41">
        <v>7.4214023745010863E-2</v>
      </c>
      <c r="AL154" s="41"/>
      <c r="AM154" s="23">
        <v>2</v>
      </c>
      <c r="AN154" s="23">
        <v>3.5</v>
      </c>
      <c r="AO154" s="23">
        <v>3.0714285714285721</v>
      </c>
      <c r="AP154" s="23">
        <v>5</v>
      </c>
      <c r="AQ154" s="23">
        <v>0.14736842105263159</v>
      </c>
      <c r="AR154" s="23">
        <v>0.25789473684210529</v>
      </c>
      <c r="AS154" s="23">
        <v>0.22631578947368419</v>
      </c>
      <c r="AT154" s="23">
        <v>0.36842105263157893</v>
      </c>
      <c r="AU154" s="20">
        <v>1.5</v>
      </c>
      <c r="AV154" s="20">
        <v>3.44</v>
      </c>
      <c r="AW154" s="20">
        <v>1.94</v>
      </c>
      <c r="AX154" s="20">
        <v>2.875714285714285</v>
      </c>
      <c r="AY154">
        <v>2.875714285714285</v>
      </c>
      <c r="AZ154">
        <v>6.3570658642857136</v>
      </c>
      <c r="BA154" s="64">
        <v>0.52785174392365897</v>
      </c>
      <c r="BB154" s="64">
        <v>0.53510844000890001</v>
      </c>
      <c r="BE154">
        <v>3.6603797406694158E-2</v>
      </c>
      <c r="BF154">
        <v>3.7107011872505431E-2</v>
      </c>
      <c r="BH154">
        <v>7.3710809279199596E-2</v>
      </c>
      <c r="BI154">
        <v>3.6855404639599798E-2</v>
      </c>
      <c r="BJ154">
        <v>0.53148009196627943</v>
      </c>
    </row>
    <row r="155" spans="1:62" x14ac:dyDescent="0.3">
      <c r="A155" t="s">
        <v>132</v>
      </c>
      <c r="B155" s="12" t="s">
        <v>759</v>
      </c>
      <c r="C155" s="12"/>
      <c r="F155">
        <v>2.27</v>
      </c>
      <c r="G155" t="s">
        <v>133</v>
      </c>
      <c r="H155" s="8" t="s">
        <v>575</v>
      </c>
      <c r="I155">
        <v>-1</v>
      </c>
      <c r="L155" s="20">
        <v>4</v>
      </c>
      <c r="M155">
        <v>0</v>
      </c>
      <c r="N155">
        <v>0</v>
      </c>
      <c r="T155" s="20">
        <v>5.4952131800000004</v>
      </c>
      <c r="U155" s="20">
        <v>5.5421627200000003</v>
      </c>
      <c r="V155" s="20">
        <v>29.451395720000001</v>
      </c>
      <c r="W155">
        <v>0</v>
      </c>
      <c r="Z155">
        <v>0</v>
      </c>
      <c r="AD155">
        <v>16</v>
      </c>
      <c r="AE155" s="44">
        <f t="shared" si="5"/>
        <v>0</v>
      </c>
      <c r="AF155" s="46">
        <v>896.95302480881253</v>
      </c>
      <c r="AG155" s="44">
        <v>0</v>
      </c>
      <c r="AH155" s="44">
        <v>0</v>
      </c>
      <c r="AI155" s="41"/>
      <c r="AJ155" s="40">
        <v>7.1352677598296457E-2</v>
      </c>
      <c r="AK155" s="41"/>
      <c r="AL155" s="41"/>
      <c r="AM155" s="23">
        <v>2</v>
      </c>
      <c r="AN155" s="23">
        <v>3.5</v>
      </c>
      <c r="AO155" s="23">
        <v>3.785714285714286</v>
      </c>
      <c r="AP155" s="23">
        <v>5</v>
      </c>
      <c r="AQ155" s="23">
        <v>0.14000000000000001</v>
      </c>
      <c r="AR155" s="23">
        <v>0.245</v>
      </c>
      <c r="AS155" s="23">
        <v>0.26500000000000001</v>
      </c>
      <c r="AT155" s="23">
        <v>0.35</v>
      </c>
      <c r="AU155" s="20">
        <v>1.5</v>
      </c>
      <c r="AV155" s="20">
        <v>3.44</v>
      </c>
      <c r="AW155" s="20">
        <v>1.94</v>
      </c>
      <c r="AX155" s="20">
        <v>2.8614285714285721</v>
      </c>
      <c r="AY155">
        <v>2.8614285714285712</v>
      </c>
      <c r="AZ155">
        <v>6.3069601507142856</v>
      </c>
      <c r="BA155" s="64">
        <v>0.54008951884595136</v>
      </c>
      <c r="BE155">
        <v>3.5676338799148229E-2</v>
      </c>
      <c r="BH155">
        <v>7.1352677598296457E-2</v>
      </c>
      <c r="BI155">
        <v>3.5676338799148229E-2</v>
      </c>
      <c r="BJ155">
        <v>0.54008951884595136</v>
      </c>
    </row>
    <row r="156" spans="1:62" x14ac:dyDescent="0.3">
      <c r="A156" t="s">
        <v>136</v>
      </c>
      <c r="B156" s="12" t="s">
        <v>760</v>
      </c>
      <c r="C156" s="12"/>
      <c r="F156">
        <v>3.8</v>
      </c>
      <c r="G156" t="s">
        <v>135</v>
      </c>
      <c r="H156" s="8">
        <v>-1</v>
      </c>
      <c r="I156">
        <v>-1</v>
      </c>
      <c r="J156" t="s">
        <v>1164</v>
      </c>
      <c r="L156" s="20">
        <v>0</v>
      </c>
      <c r="M156">
        <v>0</v>
      </c>
      <c r="N156">
        <v>1</v>
      </c>
      <c r="O156">
        <v>3.89</v>
      </c>
      <c r="P156">
        <v>3.89</v>
      </c>
      <c r="Q156">
        <v>10.34</v>
      </c>
      <c r="R156" t="s">
        <v>440</v>
      </c>
      <c r="T156" s="20">
        <v>0</v>
      </c>
      <c r="U156" s="20"/>
      <c r="V156" s="20"/>
      <c r="W156">
        <v>0</v>
      </c>
      <c r="Z156">
        <v>3.88</v>
      </c>
      <c r="AA156">
        <v>3.88</v>
      </c>
      <c r="AB156">
        <v>10.66</v>
      </c>
      <c r="AC156">
        <v>2</v>
      </c>
      <c r="AD156">
        <v>14</v>
      </c>
      <c r="AE156" s="44">
        <f t="shared" si="5"/>
        <v>156.465914</v>
      </c>
      <c r="AF156" s="46">
        <v>0</v>
      </c>
      <c r="AG156" s="44">
        <v>0</v>
      </c>
      <c r="AH156" s="44">
        <v>160.479904</v>
      </c>
      <c r="AI156" s="41"/>
      <c r="AJ156" s="40"/>
      <c r="AK156" s="41"/>
      <c r="AL156" s="41">
        <v>8.7238337331009372E-2</v>
      </c>
      <c r="AM156" s="23">
        <v>1.9090909090909089</v>
      </c>
      <c r="AN156" s="23">
        <v>2.545454545454545</v>
      </c>
      <c r="AO156" s="23">
        <v>0.63636363636363635</v>
      </c>
      <c r="AP156" s="23">
        <v>2.545454545454545</v>
      </c>
      <c r="AQ156" s="23">
        <v>0.25</v>
      </c>
      <c r="AR156" s="23">
        <v>0.33333333333333331</v>
      </c>
      <c r="AS156" s="23">
        <v>8.3333333333333329E-2</v>
      </c>
      <c r="AT156" s="23">
        <v>0.33333333333333331</v>
      </c>
      <c r="AU156" s="20">
        <v>1.1000000000000001</v>
      </c>
      <c r="AV156" s="20">
        <v>3.44</v>
      </c>
      <c r="AW156" s="20">
        <v>2.34</v>
      </c>
      <c r="AX156" s="20">
        <v>2.7618181818181822</v>
      </c>
      <c r="AY156">
        <v>2.7618181818181822</v>
      </c>
      <c r="AZ156">
        <v>6.4448628590773636</v>
      </c>
      <c r="BC156" s="64">
        <v>0</v>
      </c>
      <c r="BG156">
        <v>4.3619168665504693E-2</v>
      </c>
      <c r="BH156">
        <v>8.7238337331009372E-2</v>
      </c>
      <c r="BI156">
        <v>4.3619168665504693E-2</v>
      </c>
      <c r="BJ156">
        <v>0</v>
      </c>
    </row>
    <row r="157" spans="1:62" x14ac:dyDescent="0.3">
      <c r="A157" t="s">
        <v>137</v>
      </c>
      <c r="B157" s="12" t="s">
        <v>761</v>
      </c>
      <c r="C157" s="12"/>
      <c r="F157">
        <v>3.85</v>
      </c>
      <c r="G157" t="s">
        <v>135</v>
      </c>
      <c r="H157" s="8" t="s">
        <v>576</v>
      </c>
      <c r="I157" t="s">
        <v>652</v>
      </c>
      <c r="L157" s="20">
        <v>1</v>
      </c>
      <c r="M157">
        <v>2</v>
      </c>
      <c r="N157">
        <v>0</v>
      </c>
      <c r="O157">
        <v>3.85</v>
      </c>
      <c r="P157">
        <v>3.85</v>
      </c>
      <c r="Q157">
        <v>12.77</v>
      </c>
      <c r="R157" t="s">
        <v>440</v>
      </c>
      <c r="T157" s="20">
        <v>11.210029909999999</v>
      </c>
      <c r="U157" s="20">
        <v>11.210029909999999</v>
      </c>
      <c r="V157" s="20">
        <v>11.210029909999999</v>
      </c>
      <c r="W157">
        <v>3.8955000000000002</v>
      </c>
      <c r="X157">
        <v>3.8955000000000002</v>
      </c>
      <c r="Y157">
        <v>21.436</v>
      </c>
      <c r="Z157">
        <v>0</v>
      </c>
      <c r="AC157">
        <v>2</v>
      </c>
      <c r="AD157">
        <v>14</v>
      </c>
      <c r="AE157" s="44">
        <f t="shared" si="5"/>
        <v>189.28332500000002</v>
      </c>
      <c r="AF157" s="46">
        <v>167.3639996655379</v>
      </c>
      <c r="AG157" s="44">
        <v>325.28959047900003</v>
      </c>
      <c r="AH157" s="44">
        <v>0</v>
      </c>
      <c r="AI157" s="41"/>
      <c r="AJ157" s="40">
        <v>8.365000853216796E-2</v>
      </c>
      <c r="AK157" s="41">
        <v>8.607714731593176E-2</v>
      </c>
      <c r="AL157" s="41"/>
      <c r="AM157" s="23">
        <v>1.9090909090909089</v>
      </c>
      <c r="AN157" s="23">
        <v>2.545454545454545</v>
      </c>
      <c r="AO157" s="23">
        <v>0.63636363636363635</v>
      </c>
      <c r="AP157" s="23">
        <v>2.545454545454545</v>
      </c>
      <c r="AQ157" s="23">
        <v>0.25</v>
      </c>
      <c r="AR157" s="23">
        <v>0.33333333333333331</v>
      </c>
      <c r="AS157" s="23">
        <v>8.3333333333333329E-2</v>
      </c>
      <c r="AT157" s="23">
        <v>0.33333333333333331</v>
      </c>
      <c r="AU157" s="20">
        <v>0.93</v>
      </c>
      <c r="AV157" s="20">
        <v>3.44</v>
      </c>
      <c r="AW157" s="20">
        <v>2.5099999999999998</v>
      </c>
      <c r="AX157" s="20">
        <v>2.646363636363636</v>
      </c>
      <c r="AY157">
        <v>2.646363636363636</v>
      </c>
      <c r="AZ157">
        <v>6.0509524322727266</v>
      </c>
      <c r="BA157" s="64">
        <v>0.45356967584663088</v>
      </c>
      <c r="BB157" s="64">
        <v>0</v>
      </c>
      <c r="BE157">
        <v>4.1825004266083973E-2</v>
      </c>
      <c r="BF157">
        <v>4.303857365796588E-2</v>
      </c>
      <c r="BH157">
        <v>8.486357792404986E-2</v>
      </c>
      <c r="BI157">
        <v>4.243178896202493E-2</v>
      </c>
      <c r="BJ157">
        <v>0.22678483792331541</v>
      </c>
    </row>
    <row r="158" spans="1:62" x14ac:dyDescent="0.3">
      <c r="A158" t="s">
        <v>10</v>
      </c>
      <c r="B158" s="12" t="s">
        <v>695</v>
      </c>
      <c r="C158" s="12"/>
      <c r="F158">
        <v>3.9</v>
      </c>
      <c r="G158" t="s">
        <v>135</v>
      </c>
      <c r="H158" s="8" t="s">
        <v>531</v>
      </c>
      <c r="I158">
        <v>-1</v>
      </c>
      <c r="L158" s="20">
        <v>1</v>
      </c>
      <c r="M158">
        <v>0</v>
      </c>
      <c r="N158">
        <v>0</v>
      </c>
      <c r="O158">
        <v>3.88</v>
      </c>
      <c r="P158">
        <v>3.88</v>
      </c>
      <c r="Q158">
        <v>11.07</v>
      </c>
      <c r="R158" t="s">
        <v>439</v>
      </c>
      <c r="T158" s="20">
        <v>3.9103940000000001</v>
      </c>
      <c r="U158" s="20">
        <v>3.9103940000000001</v>
      </c>
      <c r="V158" s="20">
        <v>11.314458</v>
      </c>
      <c r="W158">
        <v>0</v>
      </c>
      <c r="Z158">
        <v>0</v>
      </c>
      <c r="AC158">
        <v>2</v>
      </c>
      <c r="AD158">
        <v>14</v>
      </c>
      <c r="AE158" s="44">
        <f t="shared" si="5"/>
        <v>166.652208</v>
      </c>
      <c r="AF158" s="46">
        <v>173.0114278564659</v>
      </c>
      <c r="AG158" s="44">
        <v>0</v>
      </c>
      <c r="AH158" s="44">
        <v>0</v>
      </c>
      <c r="AI158" s="41"/>
      <c r="AJ158" s="40">
        <v>8.0919510193365449E-2</v>
      </c>
      <c r="AK158" s="41"/>
      <c r="AL158" s="41"/>
      <c r="AM158" s="23">
        <v>1.9090909090909089</v>
      </c>
      <c r="AN158" s="23">
        <v>2.545454545454545</v>
      </c>
      <c r="AO158" s="23">
        <v>0.63636363636363635</v>
      </c>
      <c r="AP158" s="23">
        <v>2.545454545454545</v>
      </c>
      <c r="AQ158" s="23">
        <v>0.25</v>
      </c>
      <c r="AR158" s="23">
        <v>0.33333333333333331</v>
      </c>
      <c r="AS158" s="23">
        <v>8.3333333333333329E-2</v>
      </c>
      <c r="AT158" s="23">
        <v>0.33333333333333331</v>
      </c>
      <c r="AU158" s="20">
        <v>0.82</v>
      </c>
      <c r="AV158" s="20">
        <v>3.44</v>
      </c>
      <c r="AW158" s="20">
        <v>2.62</v>
      </c>
      <c r="AX158" s="20">
        <v>2.6363636363636358</v>
      </c>
      <c r="AY158">
        <v>2.6363636363636371</v>
      </c>
      <c r="AZ158">
        <v>6.0044088459090901</v>
      </c>
      <c r="BA158" s="64">
        <v>0.5117218936152963</v>
      </c>
      <c r="BE158">
        <v>4.0459755096682717E-2</v>
      </c>
      <c r="BH158">
        <v>8.0919510193365449E-2</v>
      </c>
      <c r="BI158">
        <v>4.0459755096682717E-2</v>
      </c>
      <c r="BJ158">
        <v>0.5117218936152963</v>
      </c>
    </row>
    <row r="159" spans="1:62" x14ac:dyDescent="0.3">
      <c r="A159" t="s">
        <v>138</v>
      </c>
      <c r="B159" s="12" t="s">
        <v>762</v>
      </c>
      <c r="C159" s="12"/>
      <c r="F159">
        <v>3.95</v>
      </c>
      <c r="G159" t="s">
        <v>135</v>
      </c>
      <c r="H159" s="8">
        <v>-1</v>
      </c>
      <c r="I159">
        <v>-1</v>
      </c>
      <c r="J159" t="s">
        <v>1165</v>
      </c>
      <c r="L159" s="20">
        <v>0</v>
      </c>
      <c r="M159">
        <v>0</v>
      </c>
      <c r="N159">
        <v>1</v>
      </c>
      <c r="O159">
        <v>3.88</v>
      </c>
      <c r="P159">
        <v>3.88</v>
      </c>
      <c r="Q159">
        <v>11.07</v>
      </c>
      <c r="R159" t="s">
        <v>439</v>
      </c>
      <c r="T159" s="20">
        <v>0</v>
      </c>
      <c r="U159" s="20"/>
      <c r="V159" s="20"/>
      <c r="W159">
        <v>0</v>
      </c>
      <c r="Z159">
        <v>3.899</v>
      </c>
      <c r="AA159">
        <v>3.899</v>
      </c>
      <c r="AB159">
        <v>11.292</v>
      </c>
      <c r="AC159">
        <v>2</v>
      </c>
      <c r="AD159">
        <v>14</v>
      </c>
      <c r="AE159" s="44">
        <f t="shared" si="5"/>
        <v>166.652208</v>
      </c>
      <c r="AF159" s="46">
        <v>0</v>
      </c>
      <c r="AG159" s="44">
        <v>0</v>
      </c>
      <c r="AH159" s="44">
        <v>171.66325369200001</v>
      </c>
      <c r="AI159" s="41"/>
      <c r="AJ159" s="40"/>
      <c r="AK159" s="41"/>
      <c r="AL159" s="41">
        <v>8.1555019486691915E-2</v>
      </c>
      <c r="AM159" s="23">
        <v>1.9090909090909089</v>
      </c>
      <c r="AN159" s="23">
        <v>2.545454545454545</v>
      </c>
      <c r="AO159" s="23">
        <v>0.63636363636363635</v>
      </c>
      <c r="AP159" s="23">
        <v>2.545454545454545</v>
      </c>
      <c r="AQ159" s="23">
        <v>0.25</v>
      </c>
      <c r="AR159" s="23">
        <v>0.33333333333333331</v>
      </c>
      <c r="AS159" s="23">
        <v>8.3333333333333329E-2</v>
      </c>
      <c r="AT159" s="23">
        <v>0.33333333333333331</v>
      </c>
      <c r="AU159" s="20">
        <v>0.79</v>
      </c>
      <c r="AV159" s="20">
        <v>3.44</v>
      </c>
      <c r="AW159" s="20">
        <v>2.65</v>
      </c>
      <c r="AX159" s="20">
        <v>2.6336363636363629</v>
      </c>
      <c r="AY159">
        <v>2.6336363636363642</v>
      </c>
      <c r="AZ159">
        <v>5.9908857398831818</v>
      </c>
      <c r="BC159" s="64">
        <v>0.54881524259093173</v>
      </c>
      <c r="BG159">
        <v>4.0777509743345958E-2</v>
      </c>
      <c r="BH159">
        <v>8.1555019486691915E-2</v>
      </c>
      <c r="BI159">
        <v>4.0777509743345958E-2</v>
      </c>
      <c r="BJ159">
        <v>0.54881524259093173</v>
      </c>
    </row>
    <row r="160" spans="1:62" x14ac:dyDescent="0.3">
      <c r="A160" t="s">
        <v>139</v>
      </c>
      <c r="B160" s="12" t="s">
        <v>763</v>
      </c>
      <c r="C160" s="12"/>
      <c r="F160">
        <v>3.55</v>
      </c>
      <c r="G160" t="s">
        <v>135</v>
      </c>
      <c r="H160" s="8">
        <v>-1</v>
      </c>
      <c r="I160">
        <v>-1</v>
      </c>
      <c r="K160">
        <v>1</v>
      </c>
      <c r="L160" s="20">
        <v>0</v>
      </c>
      <c r="M160">
        <v>0</v>
      </c>
      <c r="N160">
        <v>0</v>
      </c>
      <c r="O160">
        <v>3.9</v>
      </c>
      <c r="P160">
        <v>3.9</v>
      </c>
      <c r="Q160">
        <v>11.07</v>
      </c>
      <c r="R160" t="s">
        <v>519</v>
      </c>
      <c r="T160" s="20">
        <v>0</v>
      </c>
      <c r="U160" s="20"/>
      <c r="V160" s="20"/>
      <c r="W160">
        <v>0</v>
      </c>
      <c r="Z160">
        <v>0</v>
      </c>
      <c r="AC160">
        <v>2</v>
      </c>
      <c r="AD160">
        <v>14</v>
      </c>
      <c r="AE160" s="44">
        <f t="shared" si="5"/>
        <v>168.37469999999999</v>
      </c>
      <c r="AF160" s="46">
        <v>0</v>
      </c>
      <c r="AG160" s="44">
        <v>0</v>
      </c>
      <c r="AH160" s="44">
        <v>0</v>
      </c>
      <c r="AI160" s="41">
        <f>K160*AD160/AE160</f>
        <v>8.3147883856660179E-2</v>
      </c>
      <c r="AJ160" s="40"/>
      <c r="AK160" s="41"/>
      <c r="AL160" s="41"/>
      <c r="AM160" s="23">
        <v>1.9090909090909089</v>
      </c>
      <c r="AN160" s="23">
        <v>2.545454545454545</v>
      </c>
      <c r="AO160" s="23">
        <v>0.54545454545454541</v>
      </c>
      <c r="AP160" s="23">
        <v>2.8181818181818179</v>
      </c>
      <c r="AQ160" s="23">
        <v>0.2441860465116279</v>
      </c>
      <c r="AR160" s="23">
        <v>0.32558139534883718</v>
      </c>
      <c r="AS160" s="23">
        <v>6.9767441860465115E-2</v>
      </c>
      <c r="AT160" s="23">
        <v>0.3604651162790698</v>
      </c>
      <c r="AU160" s="20">
        <v>1.1299999999999999</v>
      </c>
      <c r="AV160" s="20">
        <v>3.44</v>
      </c>
      <c r="AW160" s="20">
        <v>2.31</v>
      </c>
      <c r="AX160" s="20">
        <v>2.7645454545454542</v>
      </c>
      <c r="AY160">
        <v>2.7645454545454551</v>
      </c>
      <c r="AZ160">
        <v>6.4196350590773639</v>
      </c>
      <c r="BD160">
        <v>4.157394192833009E-2</v>
      </c>
      <c r="BH160">
        <v>8.3147883856660179E-2</v>
      </c>
      <c r="BI160">
        <v>4.157394192833009E-2</v>
      </c>
      <c r="BJ160">
        <v>0</v>
      </c>
    </row>
    <row r="161" spans="1:62" x14ac:dyDescent="0.3">
      <c r="A161" t="s">
        <v>140</v>
      </c>
      <c r="B161" s="12" t="s">
        <v>764</v>
      </c>
      <c r="C161" s="12"/>
      <c r="F161">
        <v>3.55</v>
      </c>
      <c r="G161" t="s">
        <v>135</v>
      </c>
      <c r="H161" s="8">
        <v>-1</v>
      </c>
      <c r="I161">
        <v>-1</v>
      </c>
      <c r="K161">
        <v>1</v>
      </c>
      <c r="L161" s="20">
        <v>0</v>
      </c>
      <c r="M161">
        <v>0</v>
      </c>
      <c r="N161">
        <v>0</v>
      </c>
      <c r="O161">
        <v>3.88</v>
      </c>
      <c r="P161">
        <v>3.88</v>
      </c>
      <c r="Q161">
        <v>11.297000000000001</v>
      </c>
      <c r="R161" t="s">
        <v>439</v>
      </c>
      <c r="T161" s="20">
        <v>0</v>
      </c>
      <c r="U161" s="20"/>
      <c r="V161" s="20"/>
      <c r="W161">
        <v>0</v>
      </c>
      <c r="Z161">
        <v>0</v>
      </c>
      <c r="AC161">
        <v>2</v>
      </c>
      <c r="AD161">
        <v>14</v>
      </c>
      <c r="AE161" s="44">
        <f t="shared" si="5"/>
        <v>170.06955680000002</v>
      </c>
      <c r="AF161" s="46">
        <v>0</v>
      </c>
      <c r="AG161" s="44">
        <v>0</v>
      </c>
      <c r="AH161" s="44">
        <v>0</v>
      </c>
      <c r="AI161" s="41">
        <f>K161*AD161/AE161</f>
        <v>8.2319259621896068E-2</v>
      </c>
      <c r="AJ161" s="40"/>
      <c r="AK161" s="41"/>
      <c r="AL161" s="41"/>
      <c r="AM161" s="23">
        <v>1.9090909090909089</v>
      </c>
      <c r="AN161" s="23">
        <v>2.545454545454545</v>
      </c>
      <c r="AO161" s="23">
        <v>0.54545454545454541</v>
      </c>
      <c r="AP161" s="23">
        <v>2.8181818181818179</v>
      </c>
      <c r="AQ161" s="23">
        <v>0.2441860465116279</v>
      </c>
      <c r="AR161" s="23">
        <v>0.32558139534883718</v>
      </c>
      <c r="AS161" s="23">
        <v>6.9767441860465115E-2</v>
      </c>
      <c r="AT161" s="23">
        <v>0.3604651162790698</v>
      </c>
      <c r="AU161" s="20">
        <v>0.93</v>
      </c>
      <c r="AV161" s="20">
        <v>3.44</v>
      </c>
      <c r="AW161" s="20">
        <v>2.5099999999999998</v>
      </c>
      <c r="AX161" s="20">
        <v>2.6490909090909089</v>
      </c>
      <c r="AY161">
        <v>2.6490909090909081</v>
      </c>
      <c r="AZ161">
        <v>6.0257246322727269</v>
      </c>
      <c r="BD161">
        <v>4.1159629810948027E-2</v>
      </c>
      <c r="BH161">
        <v>8.2319259621896068E-2</v>
      </c>
      <c r="BI161">
        <v>4.1159629810948027E-2</v>
      </c>
      <c r="BJ161">
        <v>0</v>
      </c>
    </row>
    <row r="162" spans="1:62" x14ac:dyDescent="0.3">
      <c r="A162" t="s">
        <v>11</v>
      </c>
      <c r="B162" s="12" t="s">
        <v>696</v>
      </c>
      <c r="C162" s="12"/>
      <c r="F162">
        <v>3.55</v>
      </c>
      <c r="G162" t="s">
        <v>135</v>
      </c>
      <c r="H162" s="8">
        <v>-1</v>
      </c>
      <c r="I162">
        <v>-1</v>
      </c>
      <c r="J162" t="s">
        <v>1144</v>
      </c>
      <c r="K162">
        <v>1</v>
      </c>
      <c r="L162" s="20">
        <v>0</v>
      </c>
      <c r="M162">
        <v>0</v>
      </c>
      <c r="N162">
        <v>1</v>
      </c>
      <c r="O162">
        <v>3.88</v>
      </c>
      <c r="P162">
        <v>3.88</v>
      </c>
      <c r="Q162">
        <v>10.647</v>
      </c>
      <c r="R162" t="s">
        <v>439</v>
      </c>
      <c r="T162" s="20">
        <v>0</v>
      </c>
      <c r="U162" s="20"/>
      <c r="V162" s="20"/>
      <c r="W162">
        <v>0</v>
      </c>
      <c r="Z162">
        <v>3.8653</v>
      </c>
      <c r="AA162">
        <v>3.8653</v>
      </c>
      <c r="AB162">
        <v>11.0131</v>
      </c>
      <c r="AC162">
        <v>2</v>
      </c>
      <c r="AD162">
        <v>14</v>
      </c>
      <c r="AE162" s="44">
        <f t="shared" si="5"/>
        <v>160.28419679999999</v>
      </c>
      <c r="AF162" s="46">
        <v>0</v>
      </c>
      <c r="AG162" s="44">
        <v>0</v>
      </c>
      <c r="AH162" s="44">
        <v>164.541706117579</v>
      </c>
      <c r="AI162" s="41">
        <f>K162*AD162/AE162</f>
        <v>8.7344855447408651E-2</v>
      </c>
      <c r="AJ162" s="40"/>
      <c r="AK162" s="41"/>
      <c r="AL162" s="41">
        <v>8.5084811202795069E-2</v>
      </c>
      <c r="AM162" s="23">
        <v>1.9090909090909089</v>
      </c>
      <c r="AN162" s="23">
        <v>2.545454545454545</v>
      </c>
      <c r="AO162" s="23">
        <v>0.54545454545454541</v>
      </c>
      <c r="AP162" s="23">
        <v>2.8181818181818179</v>
      </c>
      <c r="AQ162" s="23">
        <v>0.2441860465116279</v>
      </c>
      <c r="AR162" s="23">
        <v>0.32558139534883718</v>
      </c>
      <c r="AS162" s="23">
        <v>6.9767441860465115E-2</v>
      </c>
      <c r="AT162" s="23">
        <v>0.3604651162790698</v>
      </c>
      <c r="AU162" s="20">
        <v>0.82</v>
      </c>
      <c r="AV162" s="20">
        <v>3.44</v>
      </c>
      <c r="AW162" s="20">
        <v>2.62</v>
      </c>
      <c r="AX162" s="20">
        <v>2.6390909090909092</v>
      </c>
      <c r="AY162">
        <v>2.6390909090909092</v>
      </c>
      <c r="AZ162">
        <v>5.9791810459090904</v>
      </c>
      <c r="BC162" s="64">
        <v>0.53381265134868672</v>
      </c>
      <c r="BD162">
        <v>4.3672427723704332E-2</v>
      </c>
      <c r="BG162">
        <v>4.2542405601397527E-2</v>
      </c>
      <c r="BH162">
        <v>8.6214833325101853E-2</v>
      </c>
      <c r="BI162">
        <v>4.3107416662550933E-2</v>
      </c>
      <c r="BJ162">
        <v>0.53381265134868672</v>
      </c>
    </row>
    <row r="163" spans="1:62" x14ac:dyDescent="0.3">
      <c r="A163" t="s">
        <v>141</v>
      </c>
      <c r="B163" s="12" t="s">
        <v>765</v>
      </c>
      <c r="C163" s="12"/>
      <c r="F163">
        <v>3.55</v>
      </c>
      <c r="G163" t="s">
        <v>135</v>
      </c>
      <c r="H163" s="8">
        <v>-1</v>
      </c>
      <c r="I163">
        <v>-1</v>
      </c>
      <c r="K163">
        <v>1</v>
      </c>
      <c r="L163" s="20">
        <v>0</v>
      </c>
      <c r="M163">
        <v>0</v>
      </c>
      <c r="N163">
        <v>0</v>
      </c>
      <c r="O163">
        <v>3.88</v>
      </c>
      <c r="P163">
        <v>3.88</v>
      </c>
      <c r="Q163">
        <v>11.066000000000001</v>
      </c>
      <c r="R163" t="s">
        <v>439</v>
      </c>
      <c r="T163" s="20">
        <v>0</v>
      </c>
      <c r="U163" s="20"/>
      <c r="V163" s="20"/>
      <c r="W163">
        <v>0</v>
      </c>
      <c r="Z163">
        <v>0</v>
      </c>
      <c r="AC163">
        <v>2</v>
      </c>
      <c r="AD163">
        <v>14</v>
      </c>
      <c r="AE163" s="44">
        <f t="shared" si="5"/>
        <v>166.59199040000001</v>
      </c>
      <c r="AF163" s="46">
        <v>0</v>
      </c>
      <c r="AG163" s="44">
        <v>0</v>
      </c>
      <c r="AH163" s="44">
        <v>0</v>
      </c>
      <c r="AI163" s="41">
        <f>K163*AD163/AE163</f>
        <v>8.4037653709430671E-2</v>
      </c>
      <c r="AJ163" s="40"/>
      <c r="AK163" s="41"/>
      <c r="AL163" s="41"/>
      <c r="AM163" s="23">
        <v>1.9090909090909089</v>
      </c>
      <c r="AN163" s="23">
        <v>2.545454545454545</v>
      </c>
      <c r="AO163" s="23">
        <v>0.54545454545454541</v>
      </c>
      <c r="AP163" s="23">
        <v>2.8181818181818179</v>
      </c>
      <c r="AQ163" s="23">
        <v>0.2441860465116279</v>
      </c>
      <c r="AR163" s="23">
        <v>0.32558139534883718</v>
      </c>
      <c r="AS163" s="23">
        <v>6.9767441860465115E-2</v>
      </c>
      <c r="AT163" s="23">
        <v>0.3604651162790698</v>
      </c>
      <c r="AU163" s="20">
        <v>0.79</v>
      </c>
      <c r="AV163" s="20">
        <v>3.44</v>
      </c>
      <c r="AW163" s="20">
        <v>2.65</v>
      </c>
      <c r="AX163" s="20">
        <v>2.6363636363636358</v>
      </c>
      <c r="AY163">
        <v>2.6363636363636358</v>
      </c>
      <c r="AZ163">
        <v>5.9656579398831813</v>
      </c>
      <c r="BD163">
        <v>4.2018826854715342E-2</v>
      </c>
      <c r="BH163">
        <v>8.4037653709430671E-2</v>
      </c>
      <c r="BI163">
        <v>4.2018826854715342E-2</v>
      </c>
      <c r="BJ163">
        <v>0</v>
      </c>
    </row>
    <row r="164" spans="1:62" x14ac:dyDescent="0.3">
      <c r="A164" t="s">
        <v>142</v>
      </c>
      <c r="B164" s="12" t="s">
        <v>766</v>
      </c>
      <c r="C164" s="12"/>
      <c r="F164">
        <v>4.2</v>
      </c>
      <c r="G164" t="s">
        <v>135</v>
      </c>
      <c r="H164" s="8">
        <v>-1</v>
      </c>
      <c r="I164">
        <v>-1</v>
      </c>
      <c r="K164">
        <v>1</v>
      </c>
      <c r="L164" s="20">
        <v>0</v>
      </c>
      <c r="M164">
        <v>0</v>
      </c>
      <c r="N164">
        <v>0</v>
      </c>
      <c r="O164">
        <v>3.92</v>
      </c>
      <c r="P164">
        <v>3.92</v>
      </c>
      <c r="Q164">
        <v>11.065</v>
      </c>
      <c r="R164" t="s">
        <v>439</v>
      </c>
      <c r="T164" s="20">
        <v>0</v>
      </c>
      <c r="U164" s="20"/>
      <c r="V164" s="20"/>
      <c r="W164">
        <v>0</v>
      </c>
      <c r="Z164">
        <v>0</v>
      </c>
      <c r="AC164">
        <v>2</v>
      </c>
      <c r="AD164">
        <v>14</v>
      </c>
      <c r="AE164" s="44">
        <f t="shared" si="5"/>
        <v>170.02921599999999</v>
      </c>
      <c r="AF164" s="46">
        <v>0</v>
      </c>
      <c r="AG164" s="44">
        <v>0</v>
      </c>
      <c r="AH164" s="44">
        <v>0</v>
      </c>
      <c r="AI164" s="41">
        <f t="shared" ref="AI164:AI171" si="6">K164*AD164/AE164</f>
        <v>8.2338790528799485E-2</v>
      </c>
      <c r="AJ164" s="40"/>
      <c r="AK164" s="41"/>
      <c r="AL164" s="41"/>
      <c r="AM164" s="23">
        <v>1.9090909090909089</v>
      </c>
      <c r="AN164" s="23">
        <v>2.545454545454545</v>
      </c>
      <c r="AO164" s="23">
        <v>0.54545454545454541</v>
      </c>
      <c r="AP164" s="23">
        <v>2.9090909090909092</v>
      </c>
      <c r="AQ164" s="23">
        <v>0.2413793103448276</v>
      </c>
      <c r="AR164" s="23">
        <v>0.32183908045977011</v>
      </c>
      <c r="AS164" s="23">
        <v>6.8965517241379309E-2</v>
      </c>
      <c r="AT164" s="23">
        <v>0.36781609195402298</v>
      </c>
      <c r="AU164" s="20">
        <v>1.1399999999999999</v>
      </c>
      <c r="AV164" s="20">
        <v>3.44</v>
      </c>
      <c r="AW164" s="20">
        <v>2.2999999999999998</v>
      </c>
      <c r="AX164" s="20">
        <v>2.7654545454545452</v>
      </c>
      <c r="AY164">
        <v>2.7654545454545461</v>
      </c>
      <c r="AZ164">
        <v>6.4215922727137267</v>
      </c>
      <c r="BD164">
        <v>4.1169395264399743E-2</v>
      </c>
      <c r="BH164">
        <v>8.2338790528799485E-2</v>
      </c>
      <c r="BI164">
        <v>4.1169395264399743E-2</v>
      </c>
      <c r="BJ164">
        <v>0</v>
      </c>
    </row>
    <row r="165" spans="1:62" x14ac:dyDescent="0.3">
      <c r="A165" t="s">
        <v>143</v>
      </c>
      <c r="B165" s="12" t="s">
        <v>767</v>
      </c>
      <c r="C165" s="12"/>
      <c r="F165">
        <v>4.1500000000000004</v>
      </c>
      <c r="G165" t="s">
        <v>135</v>
      </c>
      <c r="H165" s="8">
        <v>-1</v>
      </c>
      <c r="I165">
        <v>-1</v>
      </c>
      <c r="K165">
        <v>1</v>
      </c>
      <c r="L165" s="20">
        <v>0</v>
      </c>
      <c r="M165">
        <v>0</v>
      </c>
      <c r="N165">
        <v>0</v>
      </c>
      <c r="O165">
        <v>3.92</v>
      </c>
      <c r="P165">
        <v>3.92</v>
      </c>
      <c r="Q165">
        <v>11.7911</v>
      </c>
      <c r="R165" t="s">
        <v>439</v>
      </c>
      <c r="T165" s="20">
        <v>0</v>
      </c>
      <c r="U165" s="20"/>
      <c r="V165" s="20"/>
      <c r="W165">
        <v>0</v>
      </c>
      <c r="Z165">
        <v>0</v>
      </c>
      <c r="AC165">
        <v>2</v>
      </c>
      <c r="AD165">
        <v>14</v>
      </c>
      <c r="AE165" s="44">
        <f t="shared" si="5"/>
        <v>181.18675904</v>
      </c>
      <c r="AF165" s="46">
        <v>0</v>
      </c>
      <c r="AG165" s="44">
        <v>0</v>
      </c>
      <c r="AH165" s="44">
        <v>0</v>
      </c>
      <c r="AI165" s="41">
        <f t="shared" si="6"/>
        <v>7.7268339442559744E-2</v>
      </c>
      <c r="AJ165" s="40"/>
      <c r="AK165" s="41"/>
      <c r="AL165" s="41"/>
      <c r="AM165" s="23">
        <v>1.9090909090909089</v>
      </c>
      <c r="AN165" s="23">
        <v>2.545454545454545</v>
      </c>
      <c r="AO165" s="23">
        <v>0.54545454545454541</v>
      </c>
      <c r="AP165" s="23">
        <v>2.9090909090909092</v>
      </c>
      <c r="AQ165" s="23">
        <v>0.2413793103448276</v>
      </c>
      <c r="AR165" s="23">
        <v>0.32183908045977011</v>
      </c>
      <c r="AS165" s="23">
        <v>6.8965517241379309E-2</v>
      </c>
      <c r="AT165" s="23">
        <v>0.36781609195402298</v>
      </c>
      <c r="AU165" s="20">
        <v>0.93</v>
      </c>
      <c r="AV165" s="20">
        <v>3.44</v>
      </c>
      <c r="AW165" s="20">
        <v>2.5099999999999998</v>
      </c>
      <c r="AX165" s="20">
        <v>2.65</v>
      </c>
      <c r="AY165">
        <v>2.649999999999999</v>
      </c>
      <c r="AZ165">
        <v>6.0276818459090906</v>
      </c>
      <c r="BD165">
        <v>3.8634169721279872E-2</v>
      </c>
      <c r="BH165">
        <v>7.7268339442559744E-2</v>
      </c>
      <c r="BI165">
        <v>3.8634169721279872E-2</v>
      </c>
      <c r="BJ165">
        <v>0</v>
      </c>
    </row>
    <row r="166" spans="1:62" x14ac:dyDescent="0.3">
      <c r="A166" t="s">
        <v>12</v>
      </c>
      <c r="B166" s="12" t="s">
        <v>697</v>
      </c>
      <c r="C166" s="12"/>
      <c r="F166">
        <v>4.1500000000000004</v>
      </c>
      <c r="G166" t="s">
        <v>135</v>
      </c>
      <c r="H166" s="8">
        <v>-1</v>
      </c>
      <c r="I166">
        <v>-1</v>
      </c>
      <c r="K166">
        <v>1</v>
      </c>
      <c r="L166" s="20">
        <v>0</v>
      </c>
      <c r="M166">
        <v>0</v>
      </c>
      <c r="N166">
        <v>0</v>
      </c>
      <c r="O166">
        <v>3.92</v>
      </c>
      <c r="P166">
        <v>3.92</v>
      </c>
      <c r="Q166">
        <v>11.5395</v>
      </c>
      <c r="R166" t="s">
        <v>439</v>
      </c>
      <c r="T166" s="20">
        <v>0</v>
      </c>
      <c r="U166" s="20"/>
      <c r="V166" s="20"/>
      <c r="W166">
        <v>0</v>
      </c>
      <c r="Z166">
        <v>0</v>
      </c>
      <c r="AC166">
        <v>2</v>
      </c>
      <c r="AD166">
        <v>14</v>
      </c>
      <c r="AE166" s="44">
        <f t="shared" si="5"/>
        <v>177.32057279999998</v>
      </c>
      <c r="AF166" s="46">
        <v>0</v>
      </c>
      <c r="AG166" s="44">
        <v>0</v>
      </c>
      <c r="AH166" s="44">
        <v>0</v>
      </c>
      <c r="AI166" s="41">
        <f t="shared" si="6"/>
        <v>7.8953049716293272E-2</v>
      </c>
      <c r="AJ166" s="40"/>
      <c r="AK166" s="41"/>
      <c r="AL166" s="41"/>
      <c r="AM166" s="23">
        <v>1.9090909090909089</v>
      </c>
      <c r="AN166" s="23">
        <v>2.545454545454545</v>
      </c>
      <c r="AO166" s="23">
        <v>0.54545454545454541</v>
      </c>
      <c r="AP166" s="23">
        <v>2.9090909090909092</v>
      </c>
      <c r="AQ166" s="23">
        <v>0.2413793103448276</v>
      </c>
      <c r="AR166" s="23">
        <v>0.32183908045977011</v>
      </c>
      <c r="AS166" s="23">
        <v>6.8965517241379309E-2</v>
      </c>
      <c r="AT166" s="23">
        <v>0.36781609195402298</v>
      </c>
      <c r="AU166" s="20">
        <v>0.82</v>
      </c>
      <c r="AV166" s="20">
        <v>3.44</v>
      </c>
      <c r="AW166" s="20">
        <v>2.62</v>
      </c>
      <c r="AX166" s="20">
        <v>2.64</v>
      </c>
      <c r="AY166">
        <v>2.64</v>
      </c>
      <c r="AZ166">
        <v>5.9811382595454541</v>
      </c>
      <c r="BD166">
        <v>3.9476524858146643E-2</v>
      </c>
      <c r="BH166">
        <v>7.8953049716293272E-2</v>
      </c>
      <c r="BI166">
        <v>3.9476524858146643E-2</v>
      </c>
      <c r="BJ166">
        <v>0</v>
      </c>
    </row>
    <row r="167" spans="1:62" x14ac:dyDescent="0.3">
      <c r="A167" t="s">
        <v>144</v>
      </c>
      <c r="B167" s="12" t="s">
        <v>768</v>
      </c>
      <c r="C167" s="12"/>
      <c r="F167">
        <v>4.1500000000000004</v>
      </c>
      <c r="G167" t="s">
        <v>135</v>
      </c>
      <c r="H167" s="8">
        <v>-1</v>
      </c>
      <c r="I167">
        <v>-1</v>
      </c>
      <c r="K167">
        <v>1</v>
      </c>
      <c r="L167" s="20">
        <v>0</v>
      </c>
      <c r="M167">
        <v>0</v>
      </c>
      <c r="N167">
        <v>0</v>
      </c>
      <c r="O167">
        <v>3.84</v>
      </c>
      <c r="P167">
        <v>3.84</v>
      </c>
      <c r="Q167">
        <v>11.5395</v>
      </c>
      <c r="R167" t="s">
        <v>439</v>
      </c>
      <c r="T167" s="20">
        <v>0</v>
      </c>
      <c r="U167" s="20"/>
      <c r="V167" s="20"/>
      <c r="W167">
        <v>0</v>
      </c>
      <c r="Z167">
        <v>0</v>
      </c>
      <c r="AC167">
        <v>2</v>
      </c>
      <c r="AD167">
        <v>14</v>
      </c>
      <c r="AE167" s="44">
        <f t="shared" si="5"/>
        <v>170.15685120000001</v>
      </c>
      <c r="AF167" s="46">
        <v>0</v>
      </c>
      <c r="AG167" s="44">
        <v>0</v>
      </c>
      <c r="AH167" s="44">
        <v>0</v>
      </c>
      <c r="AI167" s="41">
        <f t="shared" si="6"/>
        <v>8.2277027937855962E-2</v>
      </c>
      <c r="AJ167" s="40"/>
      <c r="AK167" s="41"/>
      <c r="AL167" s="41"/>
      <c r="AM167" s="23">
        <v>1.9090909090909089</v>
      </c>
      <c r="AN167" s="23">
        <v>2.545454545454545</v>
      </c>
      <c r="AO167" s="23">
        <v>0.54545454545454541</v>
      </c>
      <c r="AP167" s="23">
        <v>2.9090909090909092</v>
      </c>
      <c r="AQ167" s="23">
        <v>0.2413793103448276</v>
      </c>
      <c r="AR167" s="23">
        <v>0.32183908045977011</v>
      </c>
      <c r="AS167" s="23">
        <v>6.8965517241379309E-2</v>
      </c>
      <c r="AT167" s="23">
        <v>0.36781609195402298</v>
      </c>
      <c r="AU167" s="20">
        <v>0.79</v>
      </c>
      <c r="AV167" s="20">
        <v>3.44</v>
      </c>
      <c r="AW167" s="20">
        <v>2.65</v>
      </c>
      <c r="AX167" s="20">
        <v>2.6372727272727272</v>
      </c>
      <c r="AY167">
        <v>2.6372727272727272</v>
      </c>
      <c r="AZ167">
        <v>5.967615153519545</v>
      </c>
      <c r="BD167">
        <v>4.1138513968927981E-2</v>
      </c>
      <c r="BH167">
        <v>8.2277027937855962E-2</v>
      </c>
      <c r="BI167">
        <v>4.1138513968927981E-2</v>
      </c>
      <c r="BJ167">
        <v>0</v>
      </c>
    </row>
    <row r="168" spans="1:62" x14ac:dyDescent="0.3">
      <c r="A168" t="s">
        <v>145</v>
      </c>
      <c r="B168" s="12" t="s">
        <v>769</v>
      </c>
      <c r="C168" s="12"/>
      <c r="F168">
        <v>4.1500000000000004</v>
      </c>
      <c r="G168" t="s">
        <v>135</v>
      </c>
      <c r="H168" s="8">
        <v>-1</v>
      </c>
      <c r="I168">
        <v>-1</v>
      </c>
      <c r="K168">
        <v>1</v>
      </c>
      <c r="L168" s="20">
        <v>0</v>
      </c>
      <c r="M168">
        <v>0</v>
      </c>
      <c r="N168">
        <v>0</v>
      </c>
      <c r="O168">
        <v>3.85</v>
      </c>
      <c r="P168">
        <v>3.85</v>
      </c>
      <c r="Q168">
        <v>10.95</v>
      </c>
      <c r="R168" t="s">
        <v>439</v>
      </c>
      <c r="T168" s="20">
        <v>0</v>
      </c>
      <c r="U168" s="20"/>
      <c r="V168" s="20"/>
      <c r="W168">
        <v>0</v>
      </c>
      <c r="Z168">
        <v>0</v>
      </c>
      <c r="AC168">
        <v>2</v>
      </c>
      <c r="AD168">
        <v>14</v>
      </c>
      <c r="AE168" s="44">
        <f t="shared" si="5"/>
        <v>162.306375</v>
      </c>
      <c r="AF168" s="46">
        <v>0</v>
      </c>
      <c r="AG168" s="44">
        <v>0</v>
      </c>
      <c r="AH168" s="44">
        <v>0</v>
      </c>
      <c r="AI168" s="41">
        <f t="shared" si="6"/>
        <v>8.6256624239189617E-2</v>
      </c>
      <c r="AJ168" s="40"/>
      <c r="AK168" s="41"/>
      <c r="AL168" s="41"/>
      <c r="AM168" s="23">
        <v>1.9090909090909089</v>
      </c>
      <c r="AN168" s="23">
        <v>2.545454545454545</v>
      </c>
      <c r="AO168" s="23">
        <v>0.54545454545454541</v>
      </c>
      <c r="AP168" s="23">
        <v>3.0909090909090908</v>
      </c>
      <c r="AQ168" s="23">
        <v>0.2359550561797753</v>
      </c>
      <c r="AR168" s="23">
        <v>0.3146067415730337</v>
      </c>
      <c r="AS168" s="23">
        <v>6.7415730337078636E-2</v>
      </c>
      <c r="AT168" s="23">
        <v>0.38202247191011229</v>
      </c>
      <c r="AU168" s="20">
        <v>1.17</v>
      </c>
      <c r="AV168" s="20">
        <v>3.44</v>
      </c>
      <c r="AW168" s="20">
        <v>2.27</v>
      </c>
      <c r="AX168" s="20">
        <v>2.7681818181818181</v>
      </c>
      <c r="AY168">
        <v>2.768181818181819</v>
      </c>
      <c r="AZ168">
        <v>6.4299203045319091</v>
      </c>
      <c r="BD168">
        <v>4.3128312119594808E-2</v>
      </c>
      <c r="BH168">
        <v>8.6256624239189617E-2</v>
      </c>
      <c r="BI168">
        <v>4.3128312119594808E-2</v>
      </c>
      <c r="BJ168">
        <v>0</v>
      </c>
    </row>
    <row r="169" spans="1:62" x14ac:dyDescent="0.3">
      <c r="A169" t="s">
        <v>146</v>
      </c>
      <c r="B169" s="12" t="s">
        <v>770</v>
      </c>
      <c r="C169" s="12"/>
      <c r="F169">
        <v>4.25</v>
      </c>
      <c r="G169" t="s">
        <v>135</v>
      </c>
      <c r="H169" s="8">
        <v>-1</v>
      </c>
      <c r="I169">
        <v>-1</v>
      </c>
      <c r="K169">
        <v>1</v>
      </c>
      <c r="L169" s="20">
        <v>0</v>
      </c>
      <c r="M169">
        <v>0</v>
      </c>
      <c r="N169">
        <v>0</v>
      </c>
      <c r="O169">
        <v>3.88</v>
      </c>
      <c r="P169">
        <v>3.88</v>
      </c>
      <c r="Q169">
        <v>11.54</v>
      </c>
      <c r="R169" t="s">
        <v>439</v>
      </c>
      <c r="T169" s="20">
        <v>0</v>
      </c>
      <c r="U169" s="20"/>
      <c r="V169" s="20"/>
      <c r="W169">
        <v>0</v>
      </c>
      <c r="Z169">
        <v>0</v>
      </c>
      <c r="AC169">
        <v>2</v>
      </c>
      <c r="AD169">
        <v>14</v>
      </c>
      <c r="AE169" s="44">
        <f t="shared" si="5"/>
        <v>173.72777599999998</v>
      </c>
      <c r="AF169" s="46">
        <v>0</v>
      </c>
      <c r="AG169" s="44">
        <v>0</v>
      </c>
      <c r="AH169" s="44">
        <v>0</v>
      </c>
      <c r="AI169" s="41">
        <f t="shared" si="6"/>
        <v>8.0585847135923747E-2</v>
      </c>
      <c r="AJ169" s="40"/>
      <c r="AK169" s="41"/>
      <c r="AL169" s="41"/>
      <c r="AM169" s="23">
        <v>1.9090909090909089</v>
      </c>
      <c r="AN169" s="23">
        <v>2.545454545454545</v>
      </c>
      <c r="AO169" s="23">
        <v>0.54545454545454541</v>
      </c>
      <c r="AP169" s="23">
        <v>3.0909090909090908</v>
      </c>
      <c r="AQ169" s="23">
        <v>0.2359550561797753</v>
      </c>
      <c r="AR169" s="23">
        <v>0.3146067415730337</v>
      </c>
      <c r="AS169" s="23">
        <v>6.7415730337078636E-2</v>
      </c>
      <c r="AT169" s="23">
        <v>0.38202247191011229</v>
      </c>
      <c r="AU169" s="20">
        <v>0.93</v>
      </c>
      <c r="AV169" s="20">
        <v>3.44</v>
      </c>
      <c r="AW169" s="20">
        <v>2.5099999999999998</v>
      </c>
      <c r="AX169" s="20">
        <v>2.6527272727272728</v>
      </c>
      <c r="AY169">
        <v>2.6527272727272719</v>
      </c>
      <c r="AZ169">
        <v>6.0360098777272722</v>
      </c>
      <c r="BD169">
        <v>4.0292923567961873E-2</v>
      </c>
      <c r="BH169">
        <v>8.0585847135923747E-2</v>
      </c>
      <c r="BI169">
        <v>4.0292923567961873E-2</v>
      </c>
      <c r="BJ169">
        <v>0</v>
      </c>
    </row>
    <row r="170" spans="1:62" x14ac:dyDescent="0.3">
      <c r="A170" t="s">
        <v>13</v>
      </c>
      <c r="B170" s="12" t="s">
        <v>698</v>
      </c>
      <c r="C170" s="12"/>
      <c r="F170">
        <v>4.25</v>
      </c>
      <c r="G170" t="s">
        <v>135</v>
      </c>
      <c r="H170" s="8">
        <v>-1</v>
      </c>
      <c r="I170">
        <v>-1</v>
      </c>
      <c r="K170">
        <v>1</v>
      </c>
      <c r="L170" s="20">
        <v>0</v>
      </c>
      <c r="M170">
        <v>0</v>
      </c>
      <c r="N170">
        <v>0</v>
      </c>
      <c r="O170">
        <v>3.85</v>
      </c>
      <c r="P170">
        <v>3.85</v>
      </c>
      <c r="Q170">
        <v>11.3</v>
      </c>
      <c r="R170" t="s">
        <v>439</v>
      </c>
      <c r="T170" s="20">
        <v>0</v>
      </c>
      <c r="U170" s="20"/>
      <c r="V170" s="20"/>
      <c r="W170">
        <v>0</v>
      </c>
      <c r="Z170">
        <v>0</v>
      </c>
      <c r="AC170">
        <v>2</v>
      </c>
      <c r="AD170">
        <v>14</v>
      </c>
      <c r="AE170" s="44">
        <f t="shared" si="5"/>
        <v>167.49425000000002</v>
      </c>
      <c r="AF170" s="46">
        <v>0</v>
      </c>
      <c r="AG170" s="44">
        <v>0</v>
      </c>
      <c r="AH170" s="44">
        <v>0</v>
      </c>
      <c r="AI170" s="41">
        <f t="shared" si="6"/>
        <v>8.3584958886648339E-2</v>
      </c>
      <c r="AJ170" s="40"/>
      <c r="AK170" s="41"/>
      <c r="AL170" s="41"/>
      <c r="AM170" s="23">
        <v>1.9090909090909089</v>
      </c>
      <c r="AN170" s="23">
        <v>2.545454545454545</v>
      </c>
      <c r="AO170" s="23">
        <v>0.54545454545454541</v>
      </c>
      <c r="AP170" s="23">
        <v>3.0909090909090908</v>
      </c>
      <c r="AQ170" s="23">
        <v>0.2359550561797753</v>
      </c>
      <c r="AR170" s="23">
        <v>0.3146067415730337</v>
      </c>
      <c r="AS170" s="23">
        <v>6.7415730337078636E-2</v>
      </c>
      <c r="AT170" s="23">
        <v>0.38202247191011229</v>
      </c>
      <c r="AU170" s="20">
        <v>0.82</v>
      </c>
      <c r="AV170" s="20">
        <v>3.44</v>
      </c>
      <c r="AW170" s="20">
        <v>2.62</v>
      </c>
      <c r="AX170" s="20">
        <v>2.642727272727273</v>
      </c>
      <c r="AY170">
        <v>2.642727272727273</v>
      </c>
      <c r="AZ170">
        <v>5.9894662913636356</v>
      </c>
      <c r="BD170">
        <v>4.1792479443324169E-2</v>
      </c>
      <c r="BH170">
        <v>8.3584958886648339E-2</v>
      </c>
      <c r="BI170">
        <v>4.1792479443324169E-2</v>
      </c>
      <c r="BJ170">
        <v>0</v>
      </c>
    </row>
    <row r="171" spans="1:62" x14ac:dyDescent="0.3">
      <c r="A171" t="s">
        <v>147</v>
      </c>
      <c r="B171" s="12" t="s">
        <v>771</v>
      </c>
      <c r="C171" s="12"/>
      <c r="F171">
        <v>4.25</v>
      </c>
      <c r="G171" t="s">
        <v>135</v>
      </c>
      <c r="H171" s="8">
        <v>-1</v>
      </c>
      <c r="I171">
        <v>-1</v>
      </c>
      <c r="K171">
        <v>1</v>
      </c>
      <c r="L171" s="20">
        <v>0</v>
      </c>
      <c r="M171">
        <v>0</v>
      </c>
      <c r="N171">
        <v>0</v>
      </c>
      <c r="O171">
        <v>3.76</v>
      </c>
      <c r="P171">
        <v>3.76</v>
      </c>
      <c r="Q171">
        <v>11.41</v>
      </c>
      <c r="R171" t="s">
        <v>439</v>
      </c>
      <c r="T171" s="20">
        <v>0</v>
      </c>
      <c r="U171" s="20"/>
      <c r="V171" s="20"/>
      <c r="W171">
        <v>0</v>
      </c>
      <c r="Z171">
        <v>0</v>
      </c>
      <c r="AC171">
        <v>2</v>
      </c>
      <c r="AD171">
        <v>14</v>
      </c>
      <c r="AE171" s="44">
        <f t="shared" si="5"/>
        <v>161.31001599999999</v>
      </c>
      <c r="AF171" s="46">
        <v>0</v>
      </c>
      <c r="AG171" s="44">
        <v>0</v>
      </c>
      <c r="AH171" s="44">
        <v>0</v>
      </c>
      <c r="AI171" s="41">
        <f t="shared" si="6"/>
        <v>8.678940308331505E-2</v>
      </c>
      <c r="AJ171" s="40"/>
      <c r="AK171" s="41"/>
      <c r="AL171" s="41"/>
      <c r="AM171" s="23">
        <v>1.9090909090909089</v>
      </c>
      <c r="AN171" s="23">
        <v>2.545454545454545</v>
      </c>
      <c r="AO171" s="23">
        <v>0.54545454545454541</v>
      </c>
      <c r="AP171" s="23">
        <v>3.0909090909090908</v>
      </c>
      <c r="AQ171" s="23">
        <v>0.2359550561797753</v>
      </c>
      <c r="AR171" s="23">
        <v>0.3146067415730337</v>
      </c>
      <c r="AS171" s="23">
        <v>6.7415730337078636E-2</v>
      </c>
      <c r="AT171" s="23">
        <v>0.38202247191011229</v>
      </c>
      <c r="AU171" s="20">
        <v>0.79</v>
      </c>
      <c r="AV171" s="20">
        <v>3.44</v>
      </c>
      <c r="AW171" s="20">
        <v>2.65</v>
      </c>
      <c r="AX171" s="20">
        <v>2.64</v>
      </c>
      <c r="AY171">
        <v>2.64</v>
      </c>
      <c r="AZ171">
        <v>5.9759431853377274</v>
      </c>
      <c r="BD171">
        <v>4.3394701541657532E-2</v>
      </c>
      <c r="BH171">
        <v>8.678940308331505E-2</v>
      </c>
      <c r="BI171">
        <v>4.3394701541657532E-2</v>
      </c>
      <c r="BJ171">
        <v>0</v>
      </c>
    </row>
    <row r="172" spans="1:62" x14ac:dyDescent="0.3">
      <c r="A172" t="s">
        <v>148</v>
      </c>
      <c r="B172" s="12" t="s">
        <v>772</v>
      </c>
      <c r="C172" s="12"/>
      <c r="F172">
        <v>3.2</v>
      </c>
      <c r="G172" t="s">
        <v>149</v>
      </c>
      <c r="H172" s="8" t="s">
        <v>577</v>
      </c>
      <c r="I172" t="s">
        <v>653</v>
      </c>
      <c r="L172" s="20">
        <v>1</v>
      </c>
      <c r="M172">
        <v>2</v>
      </c>
      <c r="N172">
        <v>0</v>
      </c>
      <c r="O172">
        <v>3.85</v>
      </c>
      <c r="P172">
        <v>3.85</v>
      </c>
      <c r="Q172">
        <v>28.361999999999998</v>
      </c>
      <c r="R172" t="s">
        <v>440</v>
      </c>
      <c r="T172" s="20">
        <v>14.183127929999999</v>
      </c>
      <c r="U172" s="20">
        <v>14.183127929999999</v>
      </c>
      <c r="V172" s="20">
        <v>14.183127929999999</v>
      </c>
      <c r="W172">
        <v>3.8515000000000001</v>
      </c>
      <c r="X172">
        <v>3.8515000000000001</v>
      </c>
      <c r="Y172">
        <v>28.338999999999999</v>
      </c>
      <c r="Z172">
        <v>0</v>
      </c>
      <c r="AD172">
        <v>20</v>
      </c>
      <c r="AE172" s="44">
        <f t="shared" si="5"/>
        <v>420.39574500000003</v>
      </c>
      <c r="AF172" s="46">
        <v>215.8165104701838</v>
      </c>
      <c r="AG172" s="44">
        <v>420.38220671275002</v>
      </c>
      <c r="AH172" s="44">
        <v>0</v>
      </c>
      <c r="AI172" s="41"/>
      <c r="AJ172" s="40">
        <v>9.2671315815585423E-2</v>
      </c>
      <c r="AK172" s="41">
        <v>9.5151505846992876E-2</v>
      </c>
      <c r="AL172" s="41"/>
      <c r="AM172" s="23">
        <v>1.9375</v>
      </c>
      <c r="AN172" s="23">
        <v>2.5</v>
      </c>
      <c r="AO172" s="23">
        <v>0.5625</v>
      </c>
      <c r="AP172" s="23">
        <v>2.625</v>
      </c>
      <c r="AQ172" s="23">
        <v>0.25409836065573771</v>
      </c>
      <c r="AR172" s="23">
        <v>0.32786885245901642</v>
      </c>
      <c r="AS172" s="23">
        <v>7.3770491803278687E-2</v>
      </c>
      <c r="AT172" s="23">
        <v>0.34426229508196721</v>
      </c>
      <c r="AU172" s="20">
        <v>0.98</v>
      </c>
      <c r="AV172" s="20">
        <v>3.44</v>
      </c>
      <c r="AW172" s="20">
        <v>2.46</v>
      </c>
      <c r="AX172" s="20">
        <v>2.6175000000000002</v>
      </c>
      <c r="AY172">
        <v>2.6175000000000002</v>
      </c>
      <c r="AZ172">
        <v>6.0217141611250007</v>
      </c>
      <c r="BA172" s="64">
        <v>0.48754533225959679</v>
      </c>
      <c r="BB172" s="64">
        <v>0</v>
      </c>
      <c r="BE172">
        <v>4.6335657907792711E-2</v>
      </c>
      <c r="BF172">
        <v>4.7575752923496438E-2</v>
      </c>
      <c r="BH172">
        <v>9.3911410831289149E-2</v>
      </c>
      <c r="BI172">
        <v>4.6955705415644568E-2</v>
      </c>
      <c r="BJ172">
        <v>0.24377266612979839</v>
      </c>
    </row>
    <row r="173" spans="1:62" x14ac:dyDescent="0.3">
      <c r="A173" t="s">
        <v>63</v>
      </c>
      <c r="B173" s="12" t="s">
        <v>773</v>
      </c>
      <c r="C173" s="12"/>
      <c r="F173">
        <v>3.5</v>
      </c>
      <c r="G173" t="s">
        <v>150</v>
      </c>
      <c r="H173" s="8">
        <v>-1</v>
      </c>
      <c r="I173">
        <v>-1</v>
      </c>
      <c r="J173" t="s">
        <v>1144</v>
      </c>
      <c r="L173" s="20">
        <v>0</v>
      </c>
      <c r="M173">
        <v>0</v>
      </c>
      <c r="N173">
        <v>1</v>
      </c>
      <c r="T173" s="20">
        <v>0</v>
      </c>
      <c r="U173" s="20"/>
      <c r="V173" s="20"/>
      <c r="W173">
        <v>0</v>
      </c>
      <c r="Z173">
        <v>3.8653</v>
      </c>
      <c r="AA173">
        <v>3.8653</v>
      </c>
      <c r="AB173">
        <v>11.0131</v>
      </c>
      <c r="AD173">
        <v>20</v>
      </c>
      <c r="AE173" s="44">
        <f t="shared" si="5"/>
        <v>0</v>
      </c>
      <c r="AF173" s="46">
        <v>0</v>
      </c>
      <c r="AG173" s="44">
        <v>0</v>
      </c>
      <c r="AH173" s="44">
        <v>164.541706117579</v>
      </c>
      <c r="AI173" s="41"/>
      <c r="AJ173" s="40"/>
      <c r="AK173" s="41"/>
      <c r="AL173" s="41">
        <v>0.12154973028970729</v>
      </c>
      <c r="AM173" s="23">
        <v>1.75</v>
      </c>
      <c r="AN173" s="23">
        <v>2.5</v>
      </c>
      <c r="AO173" s="23">
        <v>0.75</v>
      </c>
      <c r="AP173" s="23">
        <v>0</v>
      </c>
      <c r="AQ173" s="23">
        <v>0.35</v>
      </c>
      <c r="AR173" s="23">
        <v>0.5</v>
      </c>
      <c r="AS173" s="23">
        <v>0.15</v>
      </c>
      <c r="AT173" s="23">
        <v>0</v>
      </c>
      <c r="AU173" s="20">
        <v>1</v>
      </c>
      <c r="AV173" s="20">
        <v>3.44</v>
      </c>
      <c r="AW173" s="20">
        <v>2.44</v>
      </c>
      <c r="AX173" s="20">
        <v>2.7124999999999999</v>
      </c>
      <c r="AY173">
        <v>2.7124999999999999</v>
      </c>
      <c r="AZ173">
        <v>6.264025610615688</v>
      </c>
      <c r="BC173" s="64">
        <v>0.53381265134868672</v>
      </c>
      <c r="BG173">
        <v>6.0774865144853633E-2</v>
      </c>
      <c r="BH173">
        <v>0.12154973028970729</v>
      </c>
      <c r="BI173">
        <v>6.0774865144853633E-2</v>
      </c>
      <c r="BJ173">
        <v>0.53381265134868672</v>
      </c>
    </row>
    <row r="174" spans="1:62" x14ac:dyDescent="0.3">
      <c r="A174" t="s">
        <v>63</v>
      </c>
      <c r="B174" s="12" t="s">
        <v>773</v>
      </c>
      <c r="C174" s="12"/>
      <c r="F174">
        <v>3.5</v>
      </c>
      <c r="G174" t="s">
        <v>152</v>
      </c>
      <c r="H174" s="8">
        <v>-1</v>
      </c>
      <c r="I174">
        <v>-1</v>
      </c>
      <c r="J174" t="s">
        <v>1144</v>
      </c>
      <c r="L174" s="20">
        <v>0</v>
      </c>
      <c r="M174">
        <v>0</v>
      </c>
      <c r="N174">
        <v>1</v>
      </c>
      <c r="O174">
        <v>3.85</v>
      </c>
      <c r="P174">
        <v>3.85</v>
      </c>
      <c r="Q174">
        <v>29.296700000000001</v>
      </c>
      <c r="R174" t="s">
        <v>519</v>
      </c>
      <c r="T174" s="20">
        <v>0</v>
      </c>
      <c r="U174" s="20"/>
      <c r="V174" s="20"/>
      <c r="W174">
        <v>0</v>
      </c>
      <c r="Z174">
        <v>3.8653</v>
      </c>
      <c r="AA174">
        <v>3.8653</v>
      </c>
      <c r="AB174">
        <v>11.0131</v>
      </c>
      <c r="AD174">
        <v>20</v>
      </c>
      <c r="AE174" s="44">
        <f t="shared" si="5"/>
        <v>434.25033575000009</v>
      </c>
      <c r="AF174" s="46">
        <v>0</v>
      </c>
      <c r="AG174" s="44">
        <v>0</v>
      </c>
      <c r="AH174" s="44">
        <v>164.541706117579</v>
      </c>
      <c r="AI174" s="41"/>
      <c r="AJ174" s="40"/>
      <c r="AK174" s="41"/>
      <c r="AL174" s="41">
        <v>0.12154973028970729</v>
      </c>
      <c r="AM174" s="23">
        <v>1.75</v>
      </c>
      <c r="AN174" s="23">
        <v>2.5</v>
      </c>
      <c r="AO174" s="23">
        <v>0.75</v>
      </c>
      <c r="AP174" s="23">
        <v>0</v>
      </c>
      <c r="AQ174" s="23">
        <v>0.35</v>
      </c>
      <c r="AR174" s="23">
        <v>0.5</v>
      </c>
      <c r="AS174" s="23">
        <v>0.15</v>
      </c>
      <c r="AT174" s="23">
        <v>0</v>
      </c>
      <c r="AU174" s="20">
        <v>1</v>
      </c>
      <c r="AV174" s="20">
        <v>3.44</v>
      </c>
      <c r="AW174" s="20">
        <v>2.44</v>
      </c>
      <c r="AX174" s="20">
        <v>2.7124999999999999</v>
      </c>
      <c r="AY174">
        <v>2.7124999999999999</v>
      </c>
      <c r="AZ174">
        <v>6.264025610615688</v>
      </c>
      <c r="BC174" s="64">
        <v>0.53381265134868672</v>
      </c>
      <c r="BG174">
        <v>6.0774865144853633E-2</v>
      </c>
      <c r="BH174">
        <v>0.12154973028970729</v>
      </c>
      <c r="BI174">
        <v>6.0774865144853633E-2</v>
      </c>
      <c r="BJ174">
        <v>0.53381265134868672</v>
      </c>
    </row>
    <row r="175" spans="1:62" x14ac:dyDescent="0.3">
      <c r="A175" t="s">
        <v>151</v>
      </c>
      <c r="B175" s="12" t="s">
        <v>774</v>
      </c>
      <c r="C175" s="12"/>
      <c r="F175">
        <v>3.3</v>
      </c>
      <c r="G175" t="s">
        <v>152</v>
      </c>
      <c r="H175" s="8">
        <v>-1</v>
      </c>
      <c r="I175">
        <v>-1</v>
      </c>
      <c r="K175">
        <v>2</v>
      </c>
      <c r="L175" s="20">
        <v>0</v>
      </c>
      <c r="M175">
        <v>0</v>
      </c>
      <c r="N175">
        <v>0</v>
      </c>
      <c r="O175">
        <v>3.89</v>
      </c>
      <c r="P175">
        <v>3.89</v>
      </c>
      <c r="Q175">
        <v>33.299999999999997</v>
      </c>
      <c r="R175" t="s">
        <v>519</v>
      </c>
      <c r="T175" s="20">
        <v>0</v>
      </c>
      <c r="U175" s="20"/>
      <c r="V175" s="20"/>
      <c r="W175">
        <v>0</v>
      </c>
      <c r="Z175">
        <v>0</v>
      </c>
      <c r="AD175">
        <v>20</v>
      </c>
      <c r="AE175" s="44">
        <f t="shared" si="5"/>
        <v>503.89893000000001</v>
      </c>
      <c r="AF175" s="46">
        <v>0</v>
      </c>
      <c r="AG175" s="44">
        <v>0</v>
      </c>
      <c r="AH175" s="44">
        <v>0</v>
      </c>
      <c r="AI175" s="41">
        <f t="shared" ref="AI175:AI200" si="7">K175*AD175/AE175</f>
        <v>7.9380998090232108E-2</v>
      </c>
      <c r="AJ175" s="40"/>
      <c r="AK175" s="41"/>
      <c r="AL175" s="41"/>
      <c r="AM175" s="23">
        <v>1.75</v>
      </c>
      <c r="AN175" s="23">
        <v>2.5</v>
      </c>
      <c r="AO175" s="23">
        <v>0.75</v>
      </c>
      <c r="AP175" s="23">
        <v>0</v>
      </c>
      <c r="AQ175" s="23">
        <v>0.35</v>
      </c>
      <c r="AR175" s="23">
        <v>0.5</v>
      </c>
      <c r="AS175" s="23">
        <v>0.15</v>
      </c>
      <c r="AT175" s="23">
        <v>0</v>
      </c>
      <c r="AU175" s="20">
        <v>0.95</v>
      </c>
      <c r="AV175" s="20">
        <v>3.44</v>
      </c>
      <c r="AW175" s="20">
        <v>2.4900000000000002</v>
      </c>
      <c r="AX175" s="20">
        <v>2.7062499999999998</v>
      </c>
      <c r="AY175">
        <v>2.7062499999999998</v>
      </c>
      <c r="AZ175">
        <v>6.2396022968656872</v>
      </c>
      <c r="BD175">
        <v>3.9690499045116047E-2</v>
      </c>
      <c r="BH175">
        <v>7.9380998090232108E-2</v>
      </c>
      <c r="BI175">
        <v>3.9690499045116047E-2</v>
      </c>
      <c r="BJ175">
        <v>0</v>
      </c>
    </row>
    <row r="176" spans="1:62" x14ac:dyDescent="0.3">
      <c r="A176" t="s">
        <v>153</v>
      </c>
      <c r="B176" s="12" t="s">
        <v>775</v>
      </c>
      <c r="C176" s="12"/>
      <c r="F176">
        <v>3.23</v>
      </c>
      <c r="G176" t="s">
        <v>152</v>
      </c>
      <c r="H176" s="8" t="s">
        <v>578</v>
      </c>
      <c r="I176">
        <v>-1</v>
      </c>
      <c r="J176" t="s">
        <v>1166</v>
      </c>
      <c r="L176" s="20">
        <v>1</v>
      </c>
      <c r="M176">
        <v>0</v>
      </c>
      <c r="N176">
        <v>1</v>
      </c>
      <c r="O176">
        <v>3.89</v>
      </c>
      <c r="P176">
        <v>3.89</v>
      </c>
      <c r="Q176">
        <v>21.29</v>
      </c>
      <c r="R176" t="s">
        <v>519</v>
      </c>
      <c r="T176" s="20">
        <v>3.9263319999999999</v>
      </c>
      <c r="U176" s="20">
        <v>3.9263319999999999</v>
      </c>
      <c r="V176" s="20">
        <v>10.74639</v>
      </c>
      <c r="W176">
        <v>0</v>
      </c>
      <c r="Z176">
        <v>3.8913000000000002</v>
      </c>
      <c r="AA176">
        <v>3.8913000000000002</v>
      </c>
      <c r="AB176">
        <v>10.47</v>
      </c>
      <c r="AD176">
        <v>14</v>
      </c>
      <c r="AE176" s="44">
        <f t="shared" si="5"/>
        <v>322.16240900000003</v>
      </c>
      <c r="AF176" s="46">
        <v>165.66723991337099</v>
      </c>
      <c r="AG176" s="44">
        <v>0</v>
      </c>
      <c r="AH176" s="44">
        <v>158.53899827430001</v>
      </c>
      <c r="AI176" s="41"/>
      <c r="AJ176" s="40">
        <v>8.4506749839743392E-2</v>
      </c>
      <c r="AK176" s="41"/>
      <c r="AL176" s="41">
        <v>8.8306348295310685E-2</v>
      </c>
      <c r="AM176" s="23">
        <v>1.7272727272727271</v>
      </c>
      <c r="AN176" s="23">
        <v>2.545454545454545</v>
      </c>
      <c r="AO176" s="23">
        <v>0.81818181818181823</v>
      </c>
      <c r="AP176" s="23">
        <v>0</v>
      </c>
      <c r="AQ176" s="23">
        <v>0.3392857142857143</v>
      </c>
      <c r="AR176" s="23">
        <v>0.5</v>
      </c>
      <c r="AS176" s="23">
        <v>0.1607142857142857</v>
      </c>
      <c r="AT176" s="23">
        <v>0</v>
      </c>
      <c r="AU176" s="20">
        <v>1.1000000000000001</v>
      </c>
      <c r="AV176" s="20">
        <v>3.44</v>
      </c>
      <c r="AW176" s="20">
        <v>2.34</v>
      </c>
      <c r="AX176" s="20">
        <v>2.78</v>
      </c>
      <c r="AY176">
        <v>2.78</v>
      </c>
      <c r="AZ176">
        <v>6.4270052227137269</v>
      </c>
      <c r="BA176" s="64">
        <v>0.41874886813759421</v>
      </c>
      <c r="BC176" s="64">
        <v>0</v>
      </c>
      <c r="BE176">
        <v>4.2253374919871717E-2</v>
      </c>
      <c r="BG176">
        <v>4.4153174147655357E-2</v>
      </c>
      <c r="BH176">
        <v>8.6406549067527039E-2</v>
      </c>
      <c r="BI176">
        <v>4.3203274533763533E-2</v>
      </c>
      <c r="BJ176">
        <v>0.20937443406879711</v>
      </c>
    </row>
    <row r="177" spans="1:62" x14ac:dyDescent="0.3">
      <c r="A177" t="s">
        <v>7</v>
      </c>
      <c r="B177" s="12" t="s">
        <v>692</v>
      </c>
      <c r="C177" s="12"/>
      <c r="F177">
        <v>3.47</v>
      </c>
      <c r="G177" t="s">
        <v>154</v>
      </c>
      <c r="H177" s="8">
        <v>-1</v>
      </c>
      <c r="I177">
        <v>-1</v>
      </c>
      <c r="K177">
        <v>8</v>
      </c>
      <c r="L177" s="20">
        <v>0</v>
      </c>
      <c r="M177">
        <v>0</v>
      </c>
      <c r="N177">
        <v>0</v>
      </c>
      <c r="O177">
        <v>7.8209999999999997</v>
      </c>
      <c r="P177">
        <v>7.7649999999999997</v>
      </c>
      <c r="Q177">
        <v>30.08</v>
      </c>
      <c r="R177" t="s">
        <v>495</v>
      </c>
      <c r="T177" s="20">
        <v>0</v>
      </c>
      <c r="U177" s="20"/>
      <c r="V177" s="20"/>
      <c r="W177">
        <v>0</v>
      </c>
      <c r="Z177">
        <v>0</v>
      </c>
      <c r="AD177">
        <v>20</v>
      </c>
      <c r="AE177" s="44">
        <f t="shared" si="5"/>
        <v>1826.7603551999998</v>
      </c>
      <c r="AF177" s="46">
        <v>0</v>
      </c>
      <c r="AG177" s="44">
        <v>0</v>
      </c>
      <c r="AH177" s="44">
        <v>0</v>
      </c>
      <c r="AI177" s="41">
        <f t="shared" si="7"/>
        <v>8.7586748609115E-2</v>
      </c>
      <c r="AJ177" s="40"/>
      <c r="AK177" s="41"/>
      <c r="AL177" s="41"/>
      <c r="AM177" s="23">
        <v>1.75</v>
      </c>
      <c r="AN177" s="23">
        <v>2.5</v>
      </c>
      <c r="AO177" s="23">
        <v>0.75</v>
      </c>
      <c r="AP177" s="23">
        <v>0</v>
      </c>
      <c r="AQ177" s="23">
        <v>0.35</v>
      </c>
      <c r="AR177" s="23">
        <v>0.5</v>
      </c>
      <c r="AS177" s="23">
        <v>0.15</v>
      </c>
      <c r="AT177" s="23">
        <v>0</v>
      </c>
      <c r="AU177" s="20">
        <v>0.82</v>
      </c>
      <c r="AV177" s="20">
        <v>3.44</v>
      </c>
      <c r="AW177" s="20">
        <v>2.62</v>
      </c>
      <c r="AX177" s="20">
        <v>2.62</v>
      </c>
      <c r="AY177">
        <v>2.62</v>
      </c>
      <c r="AZ177">
        <v>5.9423863675000002</v>
      </c>
      <c r="BD177">
        <v>4.37933743045575E-2</v>
      </c>
      <c r="BH177">
        <v>8.7586748609115E-2</v>
      </c>
      <c r="BI177">
        <v>4.37933743045575E-2</v>
      </c>
      <c r="BJ177">
        <v>0</v>
      </c>
    </row>
    <row r="178" spans="1:62" x14ac:dyDescent="0.3">
      <c r="A178" t="s">
        <v>155</v>
      </c>
      <c r="B178" s="12" t="s">
        <v>776</v>
      </c>
      <c r="C178" s="12"/>
      <c r="F178">
        <v>3.76</v>
      </c>
      <c r="G178" t="s">
        <v>154</v>
      </c>
      <c r="H178" s="8">
        <v>-1</v>
      </c>
      <c r="I178">
        <v>-1</v>
      </c>
      <c r="K178">
        <v>8</v>
      </c>
      <c r="L178" s="20">
        <v>0</v>
      </c>
      <c r="M178">
        <v>0</v>
      </c>
      <c r="N178">
        <v>0</v>
      </c>
      <c r="O178">
        <v>7.8209999999999997</v>
      </c>
      <c r="P178">
        <v>7.7649999999999997</v>
      </c>
      <c r="Q178">
        <v>30.96</v>
      </c>
      <c r="R178" t="s">
        <v>495</v>
      </c>
      <c r="T178" s="20">
        <v>0</v>
      </c>
      <c r="U178" s="20"/>
      <c r="V178" s="20"/>
      <c r="W178">
        <v>0</v>
      </c>
      <c r="Z178">
        <v>0</v>
      </c>
      <c r="AD178">
        <v>20</v>
      </c>
      <c r="AE178" s="44">
        <f t="shared" si="5"/>
        <v>1880.2028123999999</v>
      </c>
      <c r="AF178" s="46">
        <v>0</v>
      </c>
      <c r="AG178" s="44">
        <v>0</v>
      </c>
      <c r="AH178" s="44">
        <v>0</v>
      </c>
      <c r="AI178" s="41">
        <f t="shared" si="7"/>
        <v>8.5097202783016121E-2</v>
      </c>
      <c r="AJ178" s="40"/>
      <c r="AK178" s="41"/>
      <c r="AL178" s="41"/>
      <c r="AM178" s="23">
        <v>1.8125</v>
      </c>
      <c r="AN178" s="23">
        <v>2.5</v>
      </c>
      <c r="AO178" s="23">
        <v>0.6875</v>
      </c>
      <c r="AP178" s="23">
        <v>0.875</v>
      </c>
      <c r="AQ178" s="23">
        <v>0.30851063829787229</v>
      </c>
      <c r="AR178" s="23">
        <v>0.42553191489361702</v>
      </c>
      <c r="AS178" s="23">
        <v>0.1170212765957447</v>
      </c>
      <c r="AT178" s="23">
        <v>0.14893617021276601</v>
      </c>
      <c r="AU178" s="20">
        <v>0.82</v>
      </c>
      <c r="AV178" s="20">
        <v>3.44</v>
      </c>
      <c r="AW178" s="20">
        <v>2.62</v>
      </c>
      <c r="AX178" s="20">
        <v>2.61375</v>
      </c>
      <c r="AY178">
        <v>2.61375</v>
      </c>
      <c r="AZ178">
        <v>5.9485249299999996</v>
      </c>
      <c r="BD178">
        <v>4.254860139150806E-2</v>
      </c>
      <c r="BH178">
        <v>8.5097202783016121E-2</v>
      </c>
      <c r="BI178">
        <v>4.254860139150806E-2</v>
      </c>
      <c r="BJ178">
        <v>0</v>
      </c>
    </row>
    <row r="179" spans="1:62" x14ac:dyDescent="0.3">
      <c r="A179" t="s">
        <v>156</v>
      </c>
      <c r="B179" s="12" t="s">
        <v>777</v>
      </c>
      <c r="C179" s="12"/>
      <c r="F179">
        <v>3.76</v>
      </c>
      <c r="G179" t="s">
        <v>154</v>
      </c>
      <c r="H179" s="8">
        <v>-1</v>
      </c>
      <c r="I179">
        <v>-1</v>
      </c>
      <c r="K179">
        <v>8</v>
      </c>
      <c r="L179" s="20">
        <v>0</v>
      </c>
      <c r="M179">
        <v>0</v>
      </c>
      <c r="N179">
        <v>0</v>
      </c>
      <c r="O179">
        <v>7.8209999999999997</v>
      </c>
      <c r="P179">
        <v>7.7649999999999997</v>
      </c>
      <c r="Q179">
        <v>29.84</v>
      </c>
      <c r="R179" t="s">
        <v>495</v>
      </c>
      <c r="T179" s="20">
        <v>0</v>
      </c>
      <c r="U179" s="20"/>
      <c r="V179" s="20"/>
      <c r="W179">
        <v>0</v>
      </c>
      <c r="Z179">
        <v>0</v>
      </c>
      <c r="AD179">
        <v>20</v>
      </c>
      <c r="AE179" s="44">
        <f t="shared" si="5"/>
        <v>1812.1851396</v>
      </c>
      <c r="AF179" s="46">
        <v>0</v>
      </c>
      <c r="AG179" s="44">
        <v>0</v>
      </c>
      <c r="AH179" s="44">
        <v>0</v>
      </c>
      <c r="AI179" s="41">
        <f t="shared" si="7"/>
        <v>8.8291199670314305E-2</v>
      </c>
      <c r="AJ179" s="40"/>
      <c r="AK179" s="41"/>
      <c r="AL179" s="41"/>
      <c r="AM179" s="23">
        <v>1.8666666666666669</v>
      </c>
      <c r="AN179" s="23">
        <v>2.666666666666667</v>
      </c>
      <c r="AO179" s="23">
        <v>0.46666666666666667</v>
      </c>
      <c r="AP179" s="23">
        <v>0.93333333333333335</v>
      </c>
      <c r="AQ179" s="23">
        <v>0.3146067415730337</v>
      </c>
      <c r="AR179" s="23">
        <v>0.44943820224719089</v>
      </c>
      <c r="AS179" s="23">
        <v>7.8651685393258425E-2</v>
      </c>
      <c r="AT179" s="23">
        <v>0.15730337078651679</v>
      </c>
      <c r="AU179" s="20">
        <v>0.82</v>
      </c>
      <c r="AV179" s="20">
        <v>3.44</v>
      </c>
      <c r="AW179" s="20">
        <v>2.62</v>
      </c>
      <c r="AX179" s="20">
        <v>2.6813333333333329</v>
      </c>
      <c r="AY179">
        <v>2.6813333333333329</v>
      </c>
      <c r="AZ179">
        <v>6.0892180253333326</v>
      </c>
      <c r="BD179">
        <v>4.4145599835157152E-2</v>
      </c>
      <c r="BH179">
        <v>8.8291199670314305E-2</v>
      </c>
      <c r="BI179">
        <v>4.4145599835157152E-2</v>
      </c>
      <c r="BJ179">
        <v>0</v>
      </c>
    </row>
    <row r="180" spans="1:62" x14ac:dyDescent="0.3">
      <c r="A180" t="s">
        <v>157</v>
      </c>
      <c r="B180" s="12" t="s">
        <v>778</v>
      </c>
      <c r="C180" s="12"/>
      <c r="F180">
        <v>3.91</v>
      </c>
      <c r="G180" t="s">
        <v>154</v>
      </c>
      <c r="H180" s="8">
        <v>-1</v>
      </c>
      <c r="I180">
        <v>-1</v>
      </c>
      <c r="K180">
        <v>8</v>
      </c>
      <c r="L180" s="20">
        <v>0</v>
      </c>
      <c r="M180">
        <v>0</v>
      </c>
      <c r="N180">
        <v>0</v>
      </c>
      <c r="O180">
        <v>7.8209999999999997</v>
      </c>
      <c r="P180">
        <v>7.7649999999999997</v>
      </c>
      <c r="Q180">
        <v>30.08</v>
      </c>
      <c r="R180" t="s">
        <v>495</v>
      </c>
      <c r="T180" s="20">
        <v>0</v>
      </c>
      <c r="U180" s="20"/>
      <c r="V180" s="20"/>
      <c r="W180">
        <v>0</v>
      </c>
      <c r="Z180">
        <v>0</v>
      </c>
      <c r="AD180">
        <v>20</v>
      </c>
      <c r="AE180" s="44">
        <f t="shared" si="5"/>
        <v>1826.7603551999998</v>
      </c>
      <c r="AF180" s="46">
        <v>0</v>
      </c>
      <c r="AG180" s="44">
        <v>0</v>
      </c>
      <c r="AH180" s="44">
        <v>0</v>
      </c>
      <c r="AI180" s="41">
        <f t="shared" si="7"/>
        <v>8.7586748609115E-2</v>
      </c>
      <c r="AJ180" s="40"/>
      <c r="AK180" s="41"/>
      <c r="AL180" s="41"/>
      <c r="AM180" s="23">
        <v>1.875</v>
      </c>
      <c r="AN180" s="23">
        <v>2.5</v>
      </c>
      <c r="AO180" s="23">
        <v>0.625</v>
      </c>
      <c r="AP180" s="23">
        <v>1.75</v>
      </c>
      <c r="AQ180" s="23">
        <v>0.27777777777777779</v>
      </c>
      <c r="AR180" s="23">
        <v>0.37037037037037029</v>
      </c>
      <c r="AS180" s="23">
        <v>9.2592592592592587E-2</v>
      </c>
      <c r="AT180" s="23">
        <v>0.25925925925925919</v>
      </c>
      <c r="AU180" s="20">
        <v>0.82</v>
      </c>
      <c r="AV180" s="20">
        <v>3.44</v>
      </c>
      <c r="AW180" s="20">
        <v>2.62</v>
      </c>
      <c r="AX180" s="20">
        <v>2.6074999999999999</v>
      </c>
      <c r="AY180">
        <v>2.6074999999999999</v>
      </c>
      <c r="AZ180">
        <v>5.9546634925000008</v>
      </c>
      <c r="BD180">
        <v>4.37933743045575E-2</v>
      </c>
      <c r="BH180">
        <v>8.7586748609115E-2</v>
      </c>
      <c r="BI180">
        <v>4.37933743045575E-2</v>
      </c>
      <c r="BJ180">
        <v>0</v>
      </c>
    </row>
    <row r="181" spans="1:62" x14ac:dyDescent="0.3">
      <c r="A181" t="s">
        <v>158</v>
      </c>
      <c r="B181" s="12" t="s">
        <v>779</v>
      </c>
      <c r="C181" s="12"/>
      <c r="F181">
        <v>4.29</v>
      </c>
      <c r="G181" t="s">
        <v>154</v>
      </c>
      <c r="H181" s="8">
        <v>-1</v>
      </c>
      <c r="I181">
        <v>-1</v>
      </c>
      <c r="K181">
        <v>8</v>
      </c>
      <c r="L181" s="20">
        <v>0</v>
      </c>
      <c r="M181">
        <v>0</v>
      </c>
      <c r="N181">
        <v>0</v>
      </c>
      <c r="O181">
        <v>7.8440000000000003</v>
      </c>
      <c r="P181">
        <v>7.7690000000000001</v>
      </c>
      <c r="Q181">
        <v>29.72</v>
      </c>
      <c r="R181" t="s">
        <v>495</v>
      </c>
      <c r="T181" s="20">
        <v>0</v>
      </c>
      <c r="U181" s="20"/>
      <c r="V181" s="20"/>
      <c r="W181">
        <v>0</v>
      </c>
      <c r="Z181">
        <v>0</v>
      </c>
      <c r="AD181">
        <v>20</v>
      </c>
      <c r="AE181" s="44">
        <f t="shared" si="5"/>
        <v>1811.1378699200002</v>
      </c>
      <c r="AF181" s="46">
        <v>0</v>
      </c>
      <c r="AG181" s="44">
        <v>0</v>
      </c>
      <c r="AH181" s="44">
        <v>0</v>
      </c>
      <c r="AI181" s="41">
        <f t="shared" si="7"/>
        <v>8.8342253042871535E-2</v>
      </c>
      <c r="AJ181" s="40"/>
      <c r="AK181" s="41"/>
      <c r="AL181" s="41"/>
      <c r="AM181" s="23">
        <v>1.9375</v>
      </c>
      <c r="AN181" s="23">
        <v>2.5</v>
      </c>
      <c r="AO181" s="23">
        <v>0.5625</v>
      </c>
      <c r="AP181" s="23">
        <v>2.625</v>
      </c>
      <c r="AQ181" s="23">
        <v>0.25409836065573771</v>
      </c>
      <c r="AR181" s="23">
        <v>0.32786885245901642</v>
      </c>
      <c r="AS181" s="23">
        <v>7.3770491803278687E-2</v>
      </c>
      <c r="AT181" s="23">
        <v>0.34426229508196721</v>
      </c>
      <c r="AU181" s="20">
        <v>0.82</v>
      </c>
      <c r="AV181" s="20">
        <v>3.44</v>
      </c>
      <c r="AW181" s="20">
        <v>2.62</v>
      </c>
      <c r="AX181" s="20">
        <v>2.6012499999999998</v>
      </c>
      <c r="AY181">
        <v>2.6012499999999998</v>
      </c>
      <c r="AZ181">
        <v>5.9608020550000003</v>
      </c>
      <c r="BD181">
        <v>4.4171126521435768E-2</v>
      </c>
      <c r="BH181">
        <v>8.8342253042871535E-2</v>
      </c>
      <c r="BI181">
        <v>4.4171126521435768E-2</v>
      </c>
      <c r="BJ181">
        <v>0</v>
      </c>
    </row>
    <row r="182" spans="1:62" x14ac:dyDescent="0.3">
      <c r="A182" t="s">
        <v>151</v>
      </c>
      <c r="B182" s="12" t="s">
        <v>774</v>
      </c>
      <c r="C182" s="12"/>
      <c r="F182">
        <v>3.5</v>
      </c>
      <c r="G182" t="s">
        <v>154</v>
      </c>
      <c r="H182" s="8">
        <v>-1</v>
      </c>
      <c r="I182">
        <v>-1</v>
      </c>
      <c r="K182">
        <v>8</v>
      </c>
      <c r="L182" s="20">
        <v>0</v>
      </c>
      <c r="M182">
        <v>0</v>
      </c>
      <c r="N182">
        <v>0</v>
      </c>
      <c r="O182">
        <f>3.907*2</f>
        <v>7.8140000000000001</v>
      </c>
      <c r="P182">
        <f>3.907*2</f>
        <v>7.8140000000000001</v>
      </c>
      <c r="Q182">
        <v>33.06</v>
      </c>
      <c r="T182" s="20">
        <v>0</v>
      </c>
      <c r="U182" s="20"/>
      <c r="V182" s="20"/>
      <c r="W182">
        <v>0</v>
      </c>
      <c r="Z182">
        <v>0</v>
      </c>
      <c r="AD182">
        <v>20</v>
      </c>
      <c r="AE182" s="44">
        <f t="shared" si="5"/>
        <v>2018.5971837600002</v>
      </c>
      <c r="AF182" s="46">
        <v>0</v>
      </c>
      <c r="AG182" s="44">
        <v>0</v>
      </c>
      <c r="AH182" s="44">
        <v>0</v>
      </c>
      <c r="AI182" s="41">
        <f t="shared" si="7"/>
        <v>7.9262966027710005E-2</v>
      </c>
      <c r="AJ182" s="40"/>
      <c r="AK182" s="41"/>
      <c r="AL182" s="41"/>
      <c r="AM182" s="23">
        <v>1.75</v>
      </c>
      <c r="AN182" s="23">
        <v>2.5</v>
      </c>
      <c r="AO182" s="23">
        <v>0.75</v>
      </c>
      <c r="AP182" s="23">
        <v>0</v>
      </c>
      <c r="AQ182" s="23">
        <v>0.35</v>
      </c>
      <c r="AR182" s="23">
        <v>0.5</v>
      </c>
      <c r="AS182" s="23">
        <v>0.15</v>
      </c>
      <c r="AT182" s="23">
        <v>0</v>
      </c>
      <c r="AU182" s="20">
        <v>0.95</v>
      </c>
      <c r="AV182" s="20">
        <v>3.44</v>
      </c>
      <c r="AW182" s="20">
        <v>2.4900000000000002</v>
      </c>
      <c r="AX182" s="20">
        <v>2.7062499999999998</v>
      </c>
      <c r="AY182">
        <v>2.7062499999999998</v>
      </c>
      <c r="AZ182">
        <v>6.2396022968656872</v>
      </c>
      <c r="BD182">
        <v>3.9631483013855003E-2</v>
      </c>
      <c r="BH182">
        <v>7.9262966027710005E-2</v>
      </c>
      <c r="BI182">
        <v>3.9631483013855003E-2</v>
      </c>
      <c r="BJ182">
        <v>0</v>
      </c>
    </row>
    <row r="183" spans="1:62" x14ac:dyDescent="0.3">
      <c r="A183" t="s">
        <v>159</v>
      </c>
      <c r="B183" s="12" t="s">
        <v>780</v>
      </c>
      <c r="C183" s="12"/>
      <c r="F183">
        <v>3.77</v>
      </c>
      <c r="G183" t="s">
        <v>154</v>
      </c>
      <c r="H183" s="8">
        <v>-1</v>
      </c>
      <c r="I183">
        <v>-1</v>
      </c>
      <c r="K183">
        <v>8</v>
      </c>
      <c r="L183" s="20">
        <v>0</v>
      </c>
      <c r="M183">
        <v>0</v>
      </c>
      <c r="N183">
        <v>0</v>
      </c>
      <c r="O183">
        <f t="shared" ref="O183:P186" si="8">3.907*2</f>
        <v>7.8140000000000001</v>
      </c>
      <c r="P183">
        <f t="shared" si="8"/>
        <v>7.8140000000000001</v>
      </c>
      <c r="Q183">
        <v>32.86</v>
      </c>
      <c r="T183" s="20">
        <v>0</v>
      </c>
      <c r="U183" s="20"/>
      <c r="V183" s="20"/>
      <c r="W183">
        <v>0</v>
      </c>
      <c r="Z183">
        <v>0</v>
      </c>
      <c r="AD183">
        <v>20</v>
      </c>
      <c r="AE183" s="44">
        <f t="shared" si="5"/>
        <v>2006.3854645599999</v>
      </c>
      <c r="AF183" s="46">
        <v>0</v>
      </c>
      <c r="AG183" s="44">
        <v>0</v>
      </c>
      <c r="AH183" s="44">
        <v>0</v>
      </c>
      <c r="AI183" s="41">
        <f t="shared" si="7"/>
        <v>7.9745394305419756E-2</v>
      </c>
      <c r="AJ183" s="40"/>
      <c r="AK183" s="41"/>
      <c r="AL183" s="41"/>
      <c r="AM183" s="23">
        <v>1.8125</v>
      </c>
      <c r="AN183" s="23">
        <v>2.5</v>
      </c>
      <c r="AO183" s="23">
        <v>0.6875</v>
      </c>
      <c r="AP183" s="23">
        <v>0.875</v>
      </c>
      <c r="AQ183" s="23">
        <v>0.30851063829787229</v>
      </c>
      <c r="AR183" s="23">
        <v>0.42553191489361702</v>
      </c>
      <c r="AS183" s="23">
        <v>0.1170212765957447</v>
      </c>
      <c r="AT183" s="23">
        <v>0.14893617021276601</v>
      </c>
      <c r="AU183" s="20">
        <v>0.95</v>
      </c>
      <c r="AV183" s="20">
        <v>3.44</v>
      </c>
      <c r="AW183" s="20">
        <v>2.4900000000000002</v>
      </c>
      <c r="AX183" s="20">
        <v>2.7</v>
      </c>
      <c r="AY183">
        <v>2.7</v>
      </c>
      <c r="AZ183">
        <v>6.2457408593656876</v>
      </c>
      <c r="BD183">
        <v>3.9872697152709878E-2</v>
      </c>
      <c r="BH183">
        <v>7.9745394305419756E-2</v>
      </c>
      <c r="BI183">
        <v>3.9872697152709878E-2</v>
      </c>
      <c r="BJ183">
        <v>0</v>
      </c>
    </row>
    <row r="184" spans="1:62" x14ac:dyDescent="0.3">
      <c r="A184" t="s">
        <v>160</v>
      </c>
      <c r="B184" s="12" t="s">
        <v>781</v>
      </c>
      <c r="C184" s="12"/>
      <c r="F184">
        <v>3.8</v>
      </c>
      <c r="G184" t="s">
        <v>154</v>
      </c>
      <c r="H184" s="8">
        <v>-1</v>
      </c>
      <c r="I184">
        <v>-1</v>
      </c>
      <c r="K184">
        <v>8</v>
      </c>
      <c r="L184" s="20">
        <v>0</v>
      </c>
      <c r="M184">
        <v>0</v>
      </c>
      <c r="N184">
        <v>0</v>
      </c>
      <c r="O184">
        <f t="shared" si="8"/>
        <v>7.8140000000000001</v>
      </c>
      <c r="P184">
        <f t="shared" si="8"/>
        <v>7.8140000000000001</v>
      </c>
      <c r="Q184">
        <v>32.42</v>
      </c>
      <c r="T184" s="20">
        <v>0</v>
      </c>
      <c r="U184" s="20"/>
      <c r="V184" s="20"/>
      <c r="W184">
        <v>0</v>
      </c>
      <c r="Z184">
        <v>0</v>
      </c>
      <c r="AD184">
        <v>20</v>
      </c>
      <c r="AE184" s="44">
        <f t="shared" si="5"/>
        <v>1979.5196823200001</v>
      </c>
      <c r="AF184" s="46">
        <v>0</v>
      </c>
      <c r="AG184" s="44">
        <v>0</v>
      </c>
      <c r="AH184" s="44">
        <v>0</v>
      </c>
      <c r="AI184" s="41">
        <f t="shared" si="7"/>
        <v>8.082768836755376E-2</v>
      </c>
      <c r="AJ184" s="40"/>
      <c r="AK184" s="41"/>
      <c r="AL184" s="41"/>
      <c r="AM184" s="23">
        <v>1.8666666666666669</v>
      </c>
      <c r="AN184" s="23">
        <v>2.666666666666667</v>
      </c>
      <c r="AO184" s="23">
        <v>0.46666666666666667</v>
      </c>
      <c r="AP184" s="23">
        <v>0.93333333333333335</v>
      </c>
      <c r="AQ184" s="23">
        <v>0.3146067415730337</v>
      </c>
      <c r="AR184" s="23">
        <v>0.44943820224719089</v>
      </c>
      <c r="AS184" s="23">
        <v>7.8651685393258425E-2</v>
      </c>
      <c r="AT184" s="23">
        <v>0.15730337078651679</v>
      </c>
      <c r="AU184" s="20">
        <v>0.95</v>
      </c>
      <c r="AV184" s="20">
        <v>3.44</v>
      </c>
      <c r="AW184" s="20">
        <v>2.4900000000000002</v>
      </c>
      <c r="AX184" s="20">
        <v>2.773333333333333</v>
      </c>
      <c r="AY184">
        <v>2.773333333333333</v>
      </c>
      <c r="AZ184">
        <v>6.4062483499900669</v>
      </c>
      <c r="BD184">
        <v>4.041384418377688E-2</v>
      </c>
      <c r="BH184">
        <v>8.082768836755376E-2</v>
      </c>
      <c r="BI184">
        <v>4.041384418377688E-2</v>
      </c>
      <c r="BJ184">
        <v>0</v>
      </c>
    </row>
    <row r="185" spans="1:62" x14ac:dyDescent="0.3">
      <c r="A185" t="s">
        <v>161</v>
      </c>
      <c r="B185" s="12" t="s">
        <v>782</v>
      </c>
      <c r="C185" s="12"/>
      <c r="F185">
        <v>3.92</v>
      </c>
      <c r="G185" t="s">
        <v>154</v>
      </c>
      <c r="H185" s="8">
        <v>-1</v>
      </c>
      <c r="I185">
        <v>-1</v>
      </c>
      <c r="K185">
        <v>8</v>
      </c>
      <c r="L185" s="20">
        <v>0</v>
      </c>
      <c r="M185">
        <v>0</v>
      </c>
      <c r="N185">
        <v>0</v>
      </c>
      <c r="O185">
        <f t="shared" si="8"/>
        <v>7.8140000000000001</v>
      </c>
      <c r="P185">
        <f t="shared" si="8"/>
        <v>7.8140000000000001</v>
      </c>
      <c r="Q185">
        <v>32.58</v>
      </c>
      <c r="T185" s="20">
        <v>0</v>
      </c>
      <c r="U185" s="20"/>
      <c r="V185" s="20"/>
      <c r="W185">
        <v>0</v>
      </c>
      <c r="Z185">
        <v>0</v>
      </c>
      <c r="AD185">
        <v>20</v>
      </c>
      <c r="AE185" s="44">
        <f t="shared" si="5"/>
        <v>1989.28905768</v>
      </c>
      <c r="AF185" s="46">
        <v>0</v>
      </c>
      <c r="AG185" s="44">
        <v>0</v>
      </c>
      <c r="AH185" s="44">
        <v>0</v>
      </c>
      <c r="AI185" s="41">
        <f t="shared" si="7"/>
        <v>8.0430744532722323E-2</v>
      </c>
      <c r="AJ185" s="40"/>
      <c r="AK185" s="41"/>
      <c r="AL185" s="41"/>
      <c r="AM185" s="23">
        <v>1.875</v>
      </c>
      <c r="AN185" s="23">
        <v>2.5</v>
      </c>
      <c r="AO185" s="23">
        <v>0.625</v>
      </c>
      <c r="AP185" s="23">
        <v>1.75</v>
      </c>
      <c r="AQ185" s="23">
        <v>0.27777777777777779</v>
      </c>
      <c r="AR185" s="23">
        <v>0.37037037037037029</v>
      </c>
      <c r="AS185" s="23">
        <v>9.2592592592592587E-2</v>
      </c>
      <c r="AT185" s="23">
        <v>0.25925925925925919</v>
      </c>
      <c r="AU185" s="20">
        <v>0.95</v>
      </c>
      <c r="AV185" s="20">
        <v>3.44</v>
      </c>
      <c r="AW185" s="20">
        <v>2.4900000000000002</v>
      </c>
      <c r="AX185" s="20">
        <v>2.6937500000000001</v>
      </c>
      <c r="AY185">
        <v>2.6937500000000001</v>
      </c>
      <c r="AZ185">
        <v>6.2518794218656879</v>
      </c>
      <c r="BD185">
        <v>4.0215372266361162E-2</v>
      </c>
      <c r="BH185">
        <v>8.0430744532722323E-2</v>
      </c>
      <c r="BI185">
        <v>4.0215372266361162E-2</v>
      </c>
      <c r="BJ185">
        <v>0</v>
      </c>
    </row>
    <row r="186" spans="1:62" x14ac:dyDescent="0.3">
      <c r="A186" t="s">
        <v>162</v>
      </c>
      <c r="B186" s="12" t="s">
        <v>783</v>
      </c>
      <c r="C186" s="12"/>
      <c r="F186">
        <v>4.25</v>
      </c>
      <c r="G186" t="s">
        <v>154</v>
      </c>
      <c r="H186" s="8">
        <v>-1</v>
      </c>
      <c r="I186">
        <v>-1</v>
      </c>
      <c r="K186">
        <v>8</v>
      </c>
      <c r="L186" s="20">
        <v>0</v>
      </c>
      <c r="M186">
        <v>0</v>
      </c>
      <c r="N186">
        <v>0</v>
      </c>
      <c r="O186">
        <f t="shared" si="8"/>
        <v>7.8140000000000001</v>
      </c>
      <c r="P186">
        <f t="shared" si="8"/>
        <v>7.8140000000000001</v>
      </c>
      <c r="Q186">
        <v>31.54</v>
      </c>
      <c r="T186" s="20">
        <v>0</v>
      </c>
      <c r="U186" s="20"/>
      <c r="V186" s="20"/>
      <c r="W186">
        <v>0</v>
      </c>
      <c r="Z186">
        <v>0</v>
      </c>
      <c r="AD186">
        <v>20</v>
      </c>
      <c r="AE186" s="44">
        <f t="shared" si="5"/>
        <v>1925.78811784</v>
      </c>
      <c r="AF186" s="46">
        <v>0</v>
      </c>
      <c r="AG186" s="44">
        <v>0</v>
      </c>
      <c r="AH186" s="44">
        <v>0</v>
      </c>
      <c r="AI186" s="41">
        <f t="shared" si="7"/>
        <v>8.3082868004949059E-2</v>
      </c>
      <c r="AJ186" s="40"/>
      <c r="AK186" s="41"/>
      <c r="AL186" s="41"/>
      <c r="AM186" s="23">
        <v>1.9375</v>
      </c>
      <c r="AN186" s="23">
        <v>2.5</v>
      </c>
      <c r="AO186" s="23">
        <v>0.5625</v>
      </c>
      <c r="AP186" s="23">
        <v>2.625</v>
      </c>
      <c r="AQ186" s="23">
        <v>0.25409836065573771</v>
      </c>
      <c r="AR186" s="23">
        <v>0.32786885245901642</v>
      </c>
      <c r="AS186" s="23">
        <v>7.3770491803278687E-2</v>
      </c>
      <c r="AT186" s="23">
        <v>0.34426229508196721</v>
      </c>
      <c r="AU186" s="20">
        <v>0.95</v>
      </c>
      <c r="AV186" s="20">
        <v>3.44</v>
      </c>
      <c r="AW186" s="20">
        <v>2.4900000000000002</v>
      </c>
      <c r="AX186" s="20">
        <v>2.6875</v>
      </c>
      <c r="AY186">
        <v>2.6875</v>
      </c>
      <c r="AZ186">
        <v>6.2580179843656882</v>
      </c>
      <c r="BD186">
        <v>4.154143400247453E-2</v>
      </c>
      <c r="BH186">
        <v>8.3082868004949059E-2</v>
      </c>
      <c r="BI186">
        <v>4.154143400247453E-2</v>
      </c>
      <c r="BJ186">
        <v>0</v>
      </c>
    </row>
    <row r="187" spans="1:62" x14ac:dyDescent="0.3">
      <c r="A187" t="s">
        <v>151</v>
      </c>
      <c r="B187" s="16" t="s">
        <v>774</v>
      </c>
      <c r="C187" s="12"/>
      <c r="D187" t="s">
        <v>863</v>
      </c>
      <c r="E187">
        <v>4</v>
      </c>
      <c r="F187">
        <v>3.35</v>
      </c>
      <c r="G187" t="s">
        <v>154</v>
      </c>
      <c r="H187" s="8">
        <v>-1</v>
      </c>
      <c r="I187">
        <v>-1</v>
      </c>
      <c r="K187">
        <v>8</v>
      </c>
      <c r="L187" s="20">
        <v>0</v>
      </c>
      <c r="M187">
        <v>0</v>
      </c>
      <c r="N187">
        <v>0</v>
      </c>
      <c r="O187">
        <f>3.88*2</f>
        <v>7.76</v>
      </c>
      <c r="P187">
        <f>3.88*2</f>
        <v>7.76</v>
      </c>
      <c r="Q187">
        <v>33</v>
      </c>
      <c r="T187" s="20">
        <v>0</v>
      </c>
      <c r="U187" s="20"/>
      <c r="V187" s="20"/>
      <c r="W187">
        <v>0</v>
      </c>
      <c r="Z187">
        <v>0</v>
      </c>
      <c r="AD187">
        <v>20</v>
      </c>
      <c r="AE187" s="44">
        <f t="shared" si="5"/>
        <v>1987.1807999999999</v>
      </c>
      <c r="AF187" s="46">
        <v>0</v>
      </c>
      <c r="AG187" s="44">
        <v>0</v>
      </c>
      <c r="AH187" s="44">
        <v>0</v>
      </c>
      <c r="AI187" s="41">
        <f t="shared" si="7"/>
        <v>8.0516075839702161E-2</v>
      </c>
      <c r="AJ187" s="40"/>
      <c r="AK187" s="41"/>
      <c r="AL187" s="41"/>
      <c r="AM187" s="23">
        <v>1.75</v>
      </c>
      <c r="AN187" s="23">
        <v>2.5</v>
      </c>
      <c r="AO187" s="23">
        <v>0.75</v>
      </c>
      <c r="AP187" s="23">
        <v>0</v>
      </c>
      <c r="AQ187" s="23">
        <v>0.35</v>
      </c>
      <c r="AR187" s="23">
        <v>0.5</v>
      </c>
      <c r="AS187" s="23">
        <v>0.15</v>
      </c>
      <c r="AT187" s="23">
        <v>0</v>
      </c>
      <c r="AU187" s="20">
        <v>0.95</v>
      </c>
      <c r="AV187" s="20">
        <v>3.44</v>
      </c>
      <c r="AW187" s="20">
        <v>2.4900000000000002</v>
      </c>
      <c r="AX187" s="20">
        <v>2.7062499999999998</v>
      </c>
      <c r="AY187">
        <v>2.7062499999999998</v>
      </c>
      <c r="AZ187">
        <v>6.2396022968656872</v>
      </c>
      <c r="BD187">
        <v>4.0258037919851081E-2</v>
      </c>
      <c r="BH187">
        <v>8.0516075839702161E-2</v>
      </c>
      <c r="BI187">
        <v>4.0258037919851081E-2</v>
      </c>
      <c r="BJ187">
        <v>0</v>
      </c>
    </row>
    <row r="188" spans="1:62" x14ac:dyDescent="0.3">
      <c r="A188" t="s">
        <v>159</v>
      </c>
      <c r="B188" s="16" t="s">
        <v>780</v>
      </c>
      <c r="C188" s="12"/>
      <c r="D188" t="s">
        <v>863</v>
      </c>
      <c r="E188">
        <v>4</v>
      </c>
      <c r="F188">
        <v>3.74</v>
      </c>
      <c r="G188" t="s">
        <v>154</v>
      </c>
      <c r="H188" s="8">
        <v>-1</v>
      </c>
      <c r="I188">
        <v>-1</v>
      </c>
      <c r="K188">
        <v>8</v>
      </c>
      <c r="L188" s="20">
        <v>0</v>
      </c>
      <c r="M188">
        <v>0</v>
      </c>
      <c r="N188">
        <v>0</v>
      </c>
      <c r="O188">
        <f t="shared" ref="O188:P191" si="9">3.88*2</f>
        <v>7.76</v>
      </c>
      <c r="P188">
        <f t="shared" si="9"/>
        <v>7.76</v>
      </c>
      <c r="Q188">
        <v>33.08</v>
      </c>
      <c r="T188" s="20">
        <v>0</v>
      </c>
      <c r="U188" s="20"/>
      <c r="V188" s="20"/>
      <c r="W188">
        <v>0</v>
      </c>
      <c r="Z188">
        <v>0</v>
      </c>
      <c r="AD188">
        <v>20</v>
      </c>
      <c r="AE188" s="44">
        <f t="shared" si="5"/>
        <v>1991.9982079999997</v>
      </c>
      <c r="AF188" s="46">
        <v>0</v>
      </c>
      <c r="AG188" s="44">
        <v>0</v>
      </c>
      <c r="AH188" s="44">
        <v>0</v>
      </c>
      <c r="AI188" s="41">
        <f t="shared" si="7"/>
        <v>8.0321357397526341E-2</v>
      </c>
      <c r="AJ188" s="40"/>
      <c r="AK188" s="41"/>
      <c r="AL188" s="41"/>
      <c r="AM188" s="23">
        <v>1.8125</v>
      </c>
      <c r="AN188" s="23">
        <v>2.5</v>
      </c>
      <c r="AO188" s="23">
        <v>0.6875</v>
      </c>
      <c r="AP188" s="23">
        <v>0.875</v>
      </c>
      <c r="AQ188" s="23">
        <v>0.30851063829787229</v>
      </c>
      <c r="AR188" s="23">
        <v>0.42553191489361702</v>
      </c>
      <c r="AS188" s="23">
        <v>0.1170212765957447</v>
      </c>
      <c r="AT188" s="23">
        <v>0.14893617021276601</v>
      </c>
      <c r="AU188" s="20">
        <v>0.95</v>
      </c>
      <c r="AV188" s="20">
        <v>3.44</v>
      </c>
      <c r="AW188" s="20">
        <v>2.4900000000000002</v>
      </c>
      <c r="AX188" s="20">
        <v>2.7</v>
      </c>
      <c r="AY188">
        <v>2.7</v>
      </c>
      <c r="AZ188">
        <v>6.2457408593656876</v>
      </c>
      <c r="BD188">
        <v>4.0160678698763171E-2</v>
      </c>
      <c r="BH188">
        <v>8.0321357397526341E-2</v>
      </c>
      <c r="BI188">
        <v>4.0160678698763171E-2</v>
      </c>
      <c r="BJ188">
        <v>0</v>
      </c>
    </row>
    <row r="189" spans="1:62" x14ac:dyDescent="0.3">
      <c r="A189" t="s">
        <v>160</v>
      </c>
      <c r="B189" s="16" t="s">
        <v>781</v>
      </c>
      <c r="C189" s="12"/>
      <c r="D189" t="s">
        <v>863</v>
      </c>
      <c r="E189">
        <v>4</v>
      </c>
      <c r="F189">
        <v>3.74</v>
      </c>
      <c r="G189" t="s">
        <v>154</v>
      </c>
      <c r="H189" s="8">
        <v>-1</v>
      </c>
      <c r="I189">
        <v>-1</v>
      </c>
      <c r="K189">
        <v>8</v>
      </c>
      <c r="L189" s="20">
        <v>0</v>
      </c>
      <c r="M189">
        <v>0</v>
      </c>
      <c r="N189">
        <v>0</v>
      </c>
      <c r="O189">
        <f t="shared" si="9"/>
        <v>7.76</v>
      </c>
      <c r="P189">
        <f t="shared" si="9"/>
        <v>7.76</v>
      </c>
      <c r="Q189">
        <v>33.24</v>
      </c>
      <c r="T189" s="20">
        <v>0</v>
      </c>
      <c r="U189" s="20"/>
      <c r="V189" s="20"/>
      <c r="W189">
        <v>0</v>
      </c>
      <c r="Z189">
        <v>0</v>
      </c>
      <c r="AD189">
        <v>20</v>
      </c>
      <c r="AE189" s="44">
        <f t="shared" si="5"/>
        <v>2001.633024</v>
      </c>
      <c r="AF189" s="46">
        <v>0</v>
      </c>
      <c r="AG189" s="44">
        <v>0</v>
      </c>
      <c r="AH189" s="44">
        <v>0</v>
      </c>
      <c r="AI189" s="41">
        <f t="shared" si="7"/>
        <v>7.9934732331834277E-2</v>
      </c>
      <c r="AJ189" s="40"/>
      <c r="AK189" s="41"/>
      <c r="AL189" s="41"/>
      <c r="AM189" s="23">
        <v>1.8666666666666669</v>
      </c>
      <c r="AN189" s="23">
        <v>2.666666666666667</v>
      </c>
      <c r="AO189" s="23">
        <v>0.46666666666666667</v>
      </c>
      <c r="AP189" s="23">
        <v>0.93333333333333335</v>
      </c>
      <c r="AQ189" s="23">
        <v>0.3146067415730337</v>
      </c>
      <c r="AR189" s="23">
        <v>0.44943820224719089</v>
      </c>
      <c r="AS189" s="23">
        <v>7.8651685393258425E-2</v>
      </c>
      <c r="AT189" s="23">
        <v>0.15730337078651679</v>
      </c>
      <c r="AU189" s="20">
        <v>0.95</v>
      </c>
      <c r="AV189" s="20">
        <v>3.44</v>
      </c>
      <c r="AW189" s="20">
        <v>2.4900000000000002</v>
      </c>
      <c r="AX189" s="20">
        <v>2.773333333333333</v>
      </c>
      <c r="AY189">
        <v>2.773333333333333</v>
      </c>
      <c r="AZ189">
        <v>6.4062483499900669</v>
      </c>
      <c r="BD189">
        <v>3.9967366165917138E-2</v>
      </c>
      <c r="BH189">
        <v>7.9934732331834277E-2</v>
      </c>
      <c r="BI189">
        <v>3.9967366165917138E-2</v>
      </c>
      <c r="BJ189">
        <v>0</v>
      </c>
    </row>
    <row r="190" spans="1:62" x14ac:dyDescent="0.3">
      <c r="A190" t="s">
        <v>161</v>
      </c>
      <c r="B190" s="16" t="s">
        <v>782</v>
      </c>
      <c r="C190" s="12"/>
      <c r="D190" t="s">
        <v>863</v>
      </c>
      <c r="E190">
        <v>4</v>
      </c>
      <c r="F190">
        <v>3.78</v>
      </c>
      <c r="G190" t="s">
        <v>154</v>
      </c>
      <c r="H190" s="8">
        <v>-1</v>
      </c>
      <c r="I190">
        <v>-1</v>
      </c>
      <c r="K190">
        <v>8</v>
      </c>
      <c r="L190" s="20">
        <v>0</v>
      </c>
      <c r="M190">
        <v>0</v>
      </c>
      <c r="N190">
        <v>0</v>
      </c>
      <c r="O190">
        <f t="shared" si="9"/>
        <v>7.76</v>
      </c>
      <c r="P190">
        <f t="shared" si="9"/>
        <v>7.76</v>
      </c>
      <c r="Q190">
        <v>33</v>
      </c>
      <c r="T190" s="20">
        <v>0</v>
      </c>
      <c r="U190" s="20"/>
      <c r="V190" s="20"/>
      <c r="W190">
        <v>0</v>
      </c>
      <c r="Z190">
        <v>0</v>
      </c>
      <c r="AD190">
        <v>20</v>
      </c>
      <c r="AE190" s="44">
        <f t="shared" si="5"/>
        <v>1987.1807999999999</v>
      </c>
      <c r="AF190" s="46">
        <v>0</v>
      </c>
      <c r="AG190" s="44">
        <v>0</v>
      </c>
      <c r="AH190" s="44">
        <v>0</v>
      </c>
      <c r="AI190" s="41">
        <f t="shared" si="7"/>
        <v>8.0516075839702161E-2</v>
      </c>
      <c r="AJ190" s="40"/>
      <c r="AK190" s="41"/>
      <c r="AL190" s="41"/>
      <c r="AM190" s="23">
        <v>1.875</v>
      </c>
      <c r="AN190" s="23">
        <v>2.5</v>
      </c>
      <c r="AO190" s="23">
        <v>0.625</v>
      </c>
      <c r="AP190" s="23">
        <v>1.75</v>
      </c>
      <c r="AQ190" s="23">
        <v>0.27777777777777779</v>
      </c>
      <c r="AR190" s="23">
        <v>0.37037037037037029</v>
      </c>
      <c r="AS190" s="23">
        <v>9.2592592592592587E-2</v>
      </c>
      <c r="AT190" s="23">
        <v>0.25925925925925919</v>
      </c>
      <c r="AU190" s="20">
        <v>0.95</v>
      </c>
      <c r="AV190" s="20">
        <v>3.44</v>
      </c>
      <c r="AW190" s="20">
        <v>2.4900000000000002</v>
      </c>
      <c r="AX190" s="20">
        <v>2.6937500000000001</v>
      </c>
      <c r="AY190">
        <v>2.6937500000000001</v>
      </c>
      <c r="AZ190">
        <v>6.2518794218656879</v>
      </c>
      <c r="BD190">
        <v>4.0258037919851081E-2</v>
      </c>
      <c r="BH190">
        <v>8.0516075839702161E-2</v>
      </c>
      <c r="BI190">
        <v>4.0258037919851081E-2</v>
      </c>
      <c r="BJ190">
        <v>0</v>
      </c>
    </row>
    <row r="191" spans="1:62" x14ac:dyDescent="0.3">
      <c r="A191" t="s">
        <v>162</v>
      </c>
      <c r="B191" s="16" t="s">
        <v>783</v>
      </c>
      <c r="C191" s="12"/>
      <c r="D191" t="s">
        <v>863</v>
      </c>
      <c r="E191">
        <v>4</v>
      </c>
      <c r="F191">
        <v>3.99</v>
      </c>
      <c r="G191" t="s">
        <v>154</v>
      </c>
      <c r="H191" s="8">
        <v>-1</v>
      </c>
      <c r="I191">
        <v>-1</v>
      </c>
      <c r="K191">
        <v>8</v>
      </c>
      <c r="L191" s="20">
        <v>0</v>
      </c>
      <c r="M191">
        <v>0</v>
      </c>
      <c r="N191">
        <v>0</v>
      </c>
      <c r="O191">
        <f t="shared" si="9"/>
        <v>7.76</v>
      </c>
      <c r="P191">
        <f t="shared" si="9"/>
        <v>7.76</v>
      </c>
      <c r="Q191">
        <v>29.18</v>
      </c>
      <c r="T191" s="20">
        <v>0</v>
      </c>
      <c r="U191" s="20"/>
      <c r="V191" s="20"/>
      <c r="W191">
        <v>0</v>
      </c>
      <c r="Z191">
        <v>0</v>
      </c>
      <c r="AD191">
        <v>20</v>
      </c>
      <c r="AE191" s="44">
        <f t="shared" si="5"/>
        <v>1757.1495679999998</v>
      </c>
      <c r="AF191" s="46">
        <v>0</v>
      </c>
      <c r="AG191" s="44">
        <v>0</v>
      </c>
      <c r="AH191" s="44">
        <v>0</v>
      </c>
      <c r="AI191" s="41">
        <f t="shared" si="7"/>
        <v>9.1056562807065505E-2</v>
      </c>
      <c r="AJ191" s="40"/>
      <c r="AK191" s="41"/>
      <c r="AL191" s="41"/>
      <c r="AM191" s="23">
        <v>1.9375</v>
      </c>
      <c r="AN191" s="23">
        <v>2.5</v>
      </c>
      <c r="AO191" s="23">
        <v>0.5625</v>
      </c>
      <c r="AP191" s="23">
        <v>2.625</v>
      </c>
      <c r="AQ191" s="23">
        <v>0.25409836065573771</v>
      </c>
      <c r="AR191" s="23">
        <v>0.32786885245901642</v>
      </c>
      <c r="AS191" s="23">
        <v>7.3770491803278687E-2</v>
      </c>
      <c r="AT191" s="23">
        <v>0.34426229508196721</v>
      </c>
      <c r="AU191" s="20">
        <v>0.95</v>
      </c>
      <c r="AV191" s="20">
        <v>3.44</v>
      </c>
      <c r="AW191" s="20">
        <v>2.4900000000000002</v>
      </c>
      <c r="AX191" s="20">
        <v>2.6875</v>
      </c>
      <c r="AY191">
        <v>2.6875</v>
      </c>
      <c r="AZ191">
        <v>6.2580179843656882</v>
      </c>
      <c r="BD191">
        <v>4.5528281403532753E-2</v>
      </c>
      <c r="BH191">
        <v>9.1056562807065505E-2</v>
      </c>
      <c r="BI191">
        <v>4.5528281403532753E-2</v>
      </c>
      <c r="BJ191">
        <v>0</v>
      </c>
    </row>
    <row r="192" spans="1:62" x14ac:dyDescent="0.3">
      <c r="A192" t="s">
        <v>4</v>
      </c>
      <c r="B192" s="12" t="s">
        <v>689</v>
      </c>
      <c r="C192" s="12"/>
      <c r="F192">
        <v>3.5</v>
      </c>
      <c r="G192" t="s">
        <v>163</v>
      </c>
      <c r="H192" s="8" t="s">
        <v>527</v>
      </c>
      <c r="I192" t="s">
        <v>609</v>
      </c>
      <c r="L192" s="20">
        <v>4</v>
      </c>
      <c r="M192">
        <v>4</v>
      </c>
      <c r="N192">
        <v>0</v>
      </c>
      <c r="T192" s="20">
        <v>7.8084429999999996</v>
      </c>
      <c r="U192" s="20">
        <v>7.8548809999999998</v>
      </c>
      <c r="V192" s="20">
        <v>15.19056011</v>
      </c>
      <c r="W192">
        <v>3.8801999999999999</v>
      </c>
      <c r="X192">
        <v>29.507999999999999</v>
      </c>
      <c r="Y192">
        <v>7.7140000000000004</v>
      </c>
      <c r="Z192">
        <v>0</v>
      </c>
      <c r="AD192">
        <v>20</v>
      </c>
      <c r="AE192" s="44">
        <f t="shared" si="5"/>
        <v>0</v>
      </c>
      <c r="AF192" s="46">
        <v>924.74694800021894</v>
      </c>
      <c r="AG192" s="44">
        <v>883.22940750240002</v>
      </c>
      <c r="AH192" s="44">
        <v>0</v>
      </c>
      <c r="AI192" s="41"/>
      <c r="AJ192" s="40">
        <v>8.6510153045653584E-2</v>
      </c>
      <c r="AK192" s="41">
        <v>9.0576694254581439E-2</v>
      </c>
      <c r="AL192" s="41"/>
      <c r="AM192" s="23">
        <v>1.75</v>
      </c>
      <c r="AN192" s="23">
        <v>2.5</v>
      </c>
      <c r="AO192" s="23">
        <v>0.75</v>
      </c>
      <c r="AP192" s="23">
        <v>0</v>
      </c>
      <c r="AQ192" s="23">
        <v>0.35</v>
      </c>
      <c r="AR192" s="23">
        <v>0.5</v>
      </c>
      <c r="AS192" s="23">
        <v>0.15</v>
      </c>
      <c r="AT192" s="23">
        <v>0</v>
      </c>
      <c r="AU192" s="20">
        <v>0.82</v>
      </c>
      <c r="AV192" s="20">
        <v>3.44</v>
      </c>
      <c r="AW192" s="20">
        <v>2.62</v>
      </c>
      <c r="AX192" s="20">
        <v>2.6262500000000002</v>
      </c>
      <c r="AY192">
        <v>2.6262500000000002</v>
      </c>
      <c r="AZ192">
        <v>5.96680968125</v>
      </c>
      <c r="BA192" s="64">
        <v>0.50555206026575039</v>
      </c>
      <c r="BB192" s="64">
        <v>0</v>
      </c>
      <c r="BE192">
        <v>4.3255076522826792E-2</v>
      </c>
      <c r="BF192">
        <v>4.5288347127290719E-2</v>
      </c>
      <c r="BH192">
        <v>8.8543423650117511E-2</v>
      </c>
      <c r="BI192">
        <v>4.4271711825058763E-2</v>
      </c>
      <c r="BJ192">
        <v>0.2527760301328752</v>
      </c>
    </row>
    <row r="193" spans="1:62" x14ac:dyDescent="0.3">
      <c r="A193" t="s">
        <v>165</v>
      </c>
      <c r="B193" s="12" t="s">
        <v>784</v>
      </c>
      <c r="C193" s="12"/>
      <c r="F193">
        <v>2.84</v>
      </c>
      <c r="G193" t="s">
        <v>164</v>
      </c>
      <c r="H193" s="8">
        <v>-1</v>
      </c>
      <c r="I193">
        <v>-1</v>
      </c>
      <c r="K193">
        <v>2</v>
      </c>
      <c r="L193" s="20">
        <v>0</v>
      </c>
      <c r="M193">
        <v>0</v>
      </c>
      <c r="N193">
        <v>0</v>
      </c>
      <c r="O193">
        <v>3.97</v>
      </c>
      <c r="P193">
        <v>3.97</v>
      </c>
      <c r="Q193">
        <v>22.5</v>
      </c>
      <c r="T193" s="20">
        <v>0</v>
      </c>
      <c r="U193" s="20"/>
      <c r="V193" s="20"/>
      <c r="W193">
        <v>0</v>
      </c>
      <c r="Z193">
        <v>0</v>
      </c>
      <c r="AD193">
        <v>18</v>
      </c>
      <c r="AE193" s="44">
        <f t="shared" si="5"/>
        <v>354.62025000000006</v>
      </c>
      <c r="AF193" s="46">
        <v>0</v>
      </c>
      <c r="AG193" s="44">
        <v>0</v>
      </c>
      <c r="AH193" s="44">
        <v>0</v>
      </c>
      <c r="AI193" s="41">
        <f t="shared" si="7"/>
        <v>0.10151704534639518</v>
      </c>
      <c r="AJ193" s="40"/>
      <c r="AK193" s="41"/>
      <c r="AL193" s="41"/>
      <c r="AM193" s="23">
        <v>1.8</v>
      </c>
      <c r="AN193" s="23">
        <v>2.4</v>
      </c>
      <c r="AO193" s="23">
        <v>1.1333333333333331</v>
      </c>
      <c r="AP193" s="23">
        <v>0</v>
      </c>
      <c r="AQ193" s="23">
        <v>0.33750000000000002</v>
      </c>
      <c r="AR193" s="23">
        <v>0.45</v>
      </c>
      <c r="AS193" s="23">
        <v>0.21249999999999999</v>
      </c>
      <c r="AT193" s="23">
        <v>0</v>
      </c>
      <c r="AU193" s="20">
        <v>0.93</v>
      </c>
      <c r="AV193" s="20">
        <v>3.44</v>
      </c>
      <c r="AW193" s="20">
        <v>2.5099999999999998</v>
      </c>
      <c r="AX193" s="20">
        <v>2.6033333333333331</v>
      </c>
      <c r="AY193">
        <v>2.6033333333333331</v>
      </c>
      <c r="AZ193">
        <v>5.9143459586666669</v>
      </c>
      <c r="BD193">
        <v>5.0758522673197588E-2</v>
      </c>
      <c r="BH193">
        <v>0.1015170453463952</v>
      </c>
      <c r="BI193">
        <v>5.0758522673197588E-2</v>
      </c>
      <c r="BJ193">
        <v>0</v>
      </c>
    </row>
    <row r="194" spans="1:62" x14ac:dyDescent="0.3">
      <c r="A194" t="s">
        <v>166</v>
      </c>
      <c r="B194" s="12" t="s">
        <v>785</v>
      </c>
      <c r="C194" s="12"/>
      <c r="F194">
        <v>3.48</v>
      </c>
      <c r="G194" t="s">
        <v>164</v>
      </c>
      <c r="H194" s="8">
        <v>-1</v>
      </c>
      <c r="I194">
        <v>-1</v>
      </c>
      <c r="K194">
        <v>2</v>
      </c>
      <c r="L194" s="20">
        <v>0</v>
      </c>
      <c r="M194">
        <v>0</v>
      </c>
      <c r="N194">
        <v>0</v>
      </c>
      <c r="O194">
        <v>3.97</v>
      </c>
      <c r="P194">
        <v>3.97</v>
      </c>
      <c r="Q194">
        <v>22.5</v>
      </c>
      <c r="T194" s="20">
        <v>0</v>
      </c>
      <c r="U194" s="20"/>
      <c r="V194" s="20"/>
      <c r="W194">
        <v>0</v>
      </c>
      <c r="Z194">
        <v>0</v>
      </c>
      <c r="AC194">
        <v>3</v>
      </c>
      <c r="AD194">
        <v>18</v>
      </c>
      <c r="AE194" s="44">
        <f t="shared" si="5"/>
        <v>354.62025000000006</v>
      </c>
      <c r="AF194" s="46">
        <v>0</v>
      </c>
      <c r="AG194" s="44">
        <v>0</v>
      </c>
      <c r="AH194" s="44">
        <v>0</v>
      </c>
      <c r="AI194" s="41">
        <f t="shared" si="7"/>
        <v>0.10151704534639518</v>
      </c>
      <c r="AJ194" s="40"/>
      <c r="AK194" s="41"/>
      <c r="AL194" s="41"/>
      <c r="AM194" s="23">
        <v>1.8</v>
      </c>
      <c r="AN194" s="23">
        <v>2.4</v>
      </c>
      <c r="AO194" s="23">
        <v>1.1333333333333331</v>
      </c>
      <c r="AP194" s="23">
        <v>0</v>
      </c>
      <c r="AQ194" s="23">
        <v>0.33750000000000002</v>
      </c>
      <c r="AR194" s="23">
        <v>0.45</v>
      </c>
      <c r="AS194" s="23">
        <v>0.21249999999999999</v>
      </c>
      <c r="AT194" s="23">
        <v>0</v>
      </c>
      <c r="AU194" s="20">
        <v>0.79</v>
      </c>
      <c r="AV194" s="20">
        <v>3.44</v>
      </c>
      <c r="AW194" s="20">
        <v>2.65</v>
      </c>
      <c r="AX194" s="20">
        <v>2.5939999999999999</v>
      </c>
      <c r="AY194">
        <v>2.5939999999999999</v>
      </c>
      <c r="AZ194">
        <v>5.870297050914334</v>
      </c>
      <c r="BD194">
        <v>5.0758522673197588E-2</v>
      </c>
      <c r="BH194">
        <v>0.1015170453463952</v>
      </c>
      <c r="BI194">
        <v>5.0758522673197588E-2</v>
      </c>
      <c r="BJ194">
        <v>0</v>
      </c>
    </row>
    <row r="195" spans="1:62" x14ac:dyDescent="0.3">
      <c r="A195" s="4" t="s">
        <v>167</v>
      </c>
      <c r="B195" s="29" t="s">
        <v>786</v>
      </c>
      <c r="C195" s="29"/>
      <c r="D195" s="4"/>
      <c r="E195" s="4"/>
      <c r="F195" s="4">
        <v>3.49</v>
      </c>
      <c r="G195" s="4" t="s">
        <v>164</v>
      </c>
      <c r="H195" s="30">
        <v>-2</v>
      </c>
      <c r="I195" s="4">
        <v>-1</v>
      </c>
      <c r="J195" s="4"/>
      <c r="K195" s="4"/>
      <c r="L195" s="31">
        <v>0</v>
      </c>
      <c r="M195">
        <v>0</v>
      </c>
      <c r="N195">
        <v>0</v>
      </c>
      <c r="O195" s="4"/>
      <c r="P195" s="4"/>
      <c r="Q195" s="4"/>
      <c r="R195" s="4"/>
      <c r="S195" s="4"/>
      <c r="T195" s="31">
        <v>0</v>
      </c>
      <c r="U195" s="31"/>
      <c r="V195" s="31"/>
      <c r="W195">
        <v>0</v>
      </c>
      <c r="Z195">
        <v>0</v>
      </c>
      <c r="AC195" s="4"/>
      <c r="AD195" s="4">
        <v>18</v>
      </c>
      <c r="AE195" s="44">
        <f t="shared" ref="AE195:AE258" si="10">O195*P195*Q195</f>
        <v>0</v>
      </c>
      <c r="AF195" s="46">
        <v>0</v>
      </c>
      <c r="AG195" s="44">
        <v>0</v>
      </c>
      <c r="AH195" s="44">
        <v>0</v>
      </c>
      <c r="AI195" s="41"/>
      <c r="AJ195" s="40"/>
      <c r="AK195" s="41"/>
      <c r="AL195" s="41"/>
      <c r="AM195" s="4">
        <v>1.8</v>
      </c>
      <c r="AN195" s="4">
        <v>2.4</v>
      </c>
      <c r="AO195" s="4">
        <v>1.1333333333333331</v>
      </c>
      <c r="AP195" s="4">
        <v>0</v>
      </c>
      <c r="AQ195" s="4">
        <v>0.33750000000000002</v>
      </c>
      <c r="AR195" s="4">
        <v>0.45</v>
      </c>
      <c r="AS195" s="4">
        <v>0.21249999999999999</v>
      </c>
      <c r="AT195" s="4">
        <v>0</v>
      </c>
      <c r="AU195" s="31">
        <v>0.95</v>
      </c>
      <c r="AV195" s="31">
        <v>3.44</v>
      </c>
      <c r="AW195" s="31">
        <v>2.4900000000000002</v>
      </c>
      <c r="AX195" s="31">
        <v>2.6880000000000011</v>
      </c>
      <c r="AY195" s="4">
        <v>2.6880000000000002</v>
      </c>
      <c r="AZ195" s="4">
        <v>6.2032136049900668</v>
      </c>
      <c r="BH195">
        <v>0</v>
      </c>
      <c r="BI195">
        <v>0</v>
      </c>
      <c r="BJ195">
        <v>0</v>
      </c>
    </row>
    <row r="196" spans="1:62" x14ac:dyDescent="0.3">
      <c r="A196" t="s">
        <v>63</v>
      </c>
      <c r="B196" s="57" t="s">
        <v>1222</v>
      </c>
      <c r="C196" s="12"/>
      <c r="F196">
        <v>3.75</v>
      </c>
      <c r="G196" t="s">
        <v>168</v>
      </c>
      <c r="H196" s="8">
        <v>-1</v>
      </c>
      <c r="I196">
        <v>-1</v>
      </c>
      <c r="K196">
        <v>2</v>
      </c>
      <c r="L196" s="20">
        <v>0</v>
      </c>
      <c r="M196">
        <v>0</v>
      </c>
      <c r="N196">
        <v>0</v>
      </c>
      <c r="O196">
        <v>3.8530000000000002</v>
      </c>
      <c r="P196">
        <v>3.8530000000000002</v>
      </c>
      <c r="Q196">
        <v>29</v>
      </c>
      <c r="T196" s="20">
        <v>0</v>
      </c>
      <c r="U196" s="20"/>
      <c r="V196" s="20"/>
      <c r="W196">
        <v>0</v>
      </c>
      <c r="Z196">
        <v>0</v>
      </c>
      <c r="AC196">
        <v>3</v>
      </c>
      <c r="AD196">
        <v>20</v>
      </c>
      <c r="AE196" s="44">
        <f t="shared" si="10"/>
        <v>430.52266100000003</v>
      </c>
      <c r="AF196" s="46">
        <v>0</v>
      </c>
      <c r="AG196" s="44">
        <v>0</v>
      </c>
      <c r="AH196" s="44">
        <v>0</v>
      </c>
      <c r="AI196" s="41">
        <f t="shared" si="7"/>
        <v>9.2910324179195758E-2</v>
      </c>
      <c r="AJ196" s="40"/>
      <c r="AK196" s="41"/>
      <c r="AL196" s="41"/>
      <c r="AM196" s="23">
        <v>1.75</v>
      </c>
      <c r="AN196" s="23">
        <v>2.5</v>
      </c>
      <c r="AO196" s="23">
        <v>0.75</v>
      </c>
      <c r="AP196" s="23">
        <v>0</v>
      </c>
      <c r="AQ196" s="23">
        <v>0.35</v>
      </c>
      <c r="AR196" s="23">
        <v>0.5</v>
      </c>
      <c r="AS196" s="23">
        <v>0.15</v>
      </c>
      <c r="AT196" s="23">
        <v>0</v>
      </c>
      <c r="AU196" s="20">
        <v>1</v>
      </c>
      <c r="AV196" s="20">
        <v>3.44</v>
      </c>
      <c r="AW196" s="20">
        <v>2.44</v>
      </c>
      <c r="AX196" s="20">
        <v>2.7124999999999999</v>
      </c>
      <c r="AY196">
        <v>2.7124999999999999</v>
      </c>
      <c r="AZ196">
        <v>6.264025610615688</v>
      </c>
      <c r="BD196">
        <v>4.6455162089597879E-2</v>
      </c>
      <c r="BH196">
        <v>9.2910324179195758E-2</v>
      </c>
      <c r="BI196">
        <v>4.6455162089597879E-2</v>
      </c>
      <c r="BJ196">
        <v>0</v>
      </c>
    </row>
    <row r="197" spans="1:62" x14ac:dyDescent="0.3">
      <c r="A197" t="s">
        <v>232</v>
      </c>
      <c r="B197" s="57" t="s">
        <v>1223</v>
      </c>
      <c r="C197" s="12"/>
      <c r="F197">
        <v>3.86</v>
      </c>
      <c r="G197" t="s">
        <v>168</v>
      </c>
      <c r="H197" s="8">
        <v>-1</v>
      </c>
      <c r="I197">
        <v>-1</v>
      </c>
      <c r="K197">
        <v>2</v>
      </c>
      <c r="L197" s="20">
        <v>0</v>
      </c>
      <c r="M197">
        <v>0</v>
      </c>
      <c r="N197">
        <v>0</v>
      </c>
      <c r="O197">
        <v>3.8530000000000002</v>
      </c>
      <c r="P197">
        <v>3.8530000000000002</v>
      </c>
      <c r="Q197">
        <v>31.24</v>
      </c>
      <c r="T197" s="20">
        <v>0</v>
      </c>
      <c r="U197" s="20"/>
      <c r="V197" s="20"/>
      <c r="W197">
        <v>0</v>
      </c>
      <c r="Z197">
        <v>0</v>
      </c>
      <c r="AC197">
        <v>3</v>
      </c>
      <c r="AD197">
        <v>20</v>
      </c>
      <c r="AE197" s="44">
        <f t="shared" si="10"/>
        <v>463.77682516000004</v>
      </c>
      <c r="AF197" s="46">
        <v>0</v>
      </c>
      <c r="AG197" s="44">
        <v>0</v>
      </c>
      <c r="AH197" s="44">
        <v>0</v>
      </c>
      <c r="AI197" s="41">
        <f t="shared" si="7"/>
        <v>8.6248380319996057E-2</v>
      </c>
      <c r="AJ197" s="40"/>
      <c r="AK197" s="41"/>
      <c r="AL197" s="41"/>
      <c r="AM197" s="23">
        <v>1.8125</v>
      </c>
      <c r="AN197" s="23">
        <v>2.5</v>
      </c>
      <c r="AO197" s="23">
        <v>0.6875</v>
      </c>
      <c r="AP197" s="23">
        <v>0.875</v>
      </c>
      <c r="AQ197" s="23">
        <v>0.30851063829787229</v>
      </c>
      <c r="AR197" s="23">
        <v>0.42553191489361702</v>
      </c>
      <c r="AS197" s="23">
        <v>0.1170212765957447</v>
      </c>
      <c r="AT197" s="23">
        <v>0.14893617021276601</v>
      </c>
      <c r="AU197" s="20">
        <v>1</v>
      </c>
      <c r="AV197" s="20">
        <v>3.44</v>
      </c>
      <c r="AW197" s="20">
        <v>2.44</v>
      </c>
      <c r="AX197" s="20">
        <v>2.7062499999999998</v>
      </c>
      <c r="AY197">
        <v>2.7062499999999998</v>
      </c>
      <c r="AZ197">
        <v>6.2701641731156874</v>
      </c>
      <c r="BD197">
        <v>4.3124190159998028E-2</v>
      </c>
      <c r="BH197">
        <v>8.6248380319996057E-2</v>
      </c>
      <c r="BI197">
        <v>4.3124190159998028E-2</v>
      </c>
      <c r="BJ197">
        <v>0</v>
      </c>
    </row>
    <row r="198" spans="1:62" x14ac:dyDescent="0.3">
      <c r="A198" t="s">
        <v>1220</v>
      </c>
      <c r="B198" s="57" t="s">
        <v>1224</v>
      </c>
      <c r="C198" s="12"/>
      <c r="F198">
        <v>4.01</v>
      </c>
      <c r="G198" t="s">
        <v>168</v>
      </c>
      <c r="H198" s="8">
        <v>-1</v>
      </c>
      <c r="I198">
        <v>-1</v>
      </c>
      <c r="K198">
        <v>2</v>
      </c>
      <c r="L198" s="20">
        <v>0</v>
      </c>
      <c r="M198">
        <v>0</v>
      </c>
      <c r="N198">
        <v>0</v>
      </c>
      <c r="O198">
        <v>3.8530000000000002</v>
      </c>
      <c r="P198">
        <v>3.8530000000000002</v>
      </c>
      <c r="Q198">
        <v>31.54</v>
      </c>
      <c r="T198" s="20">
        <v>0</v>
      </c>
      <c r="U198" s="20"/>
      <c r="V198" s="20"/>
      <c r="W198">
        <v>0</v>
      </c>
      <c r="Z198">
        <v>0</v>
      </c>
      <c r="AC198">
        <v>3</v>
      </c>
      <c r="AD198">
        <v>20</v>
      </c>
      <c r="AE198" s="44">
        <f t="shared" si="10"/>
        <v>468.23050786000005</v>
      </c>
      <c r="AF198" s="46">
        <v>0</v>
      </c>
      <c r="AG198" s="44">
        <v>0</v>
      </c>
      <c r="AH198" s="44">
        <v>0</v>
      </c>
      <c r="AI198" s="41">
        <f t="shared" si="7"/>
        <v>8.5428008915557282E-2</v>
      </c>
      <c r="AJ198" s="40"/>
      <c r="AK198" s="41"/>
      <c r="AL198" s="41"/>
      <c r="AM198" s="23">
        <v>1.84375</v>
      </c>
      <c r="AN198" s="23">
        <v>2.5</v>
      </c>
      <c r="AO198" s="23">
        <v>0.65625</v>
      </c>
      <c r="AP198" s="23">
        <v>1.3125</v>
      </c>
      <c r="AQ198" s="23">
        <v>0.29207920792079212</v>
      </c>
      <c r="AR198" s="23">
        <v>0.39603960396039611</v>
      </c>
      <c r="AS198" s="23">
        <v>0.103960396039604</v>
      </c>
      <c r="AT198" s="23">
        <v>0.20792079207920791</v>
      </c>
      <c r="AU198" s="20">
        <v>1</v>
      </c>
      <c r="AV198" s="20">
        <v>3.44</v>
      </c>
      <c r="AW198" s="20">
        <v>2.44</v>
      </c>
      <c r="AX198" s="20">
        <v>2.703125</v>
      </c>
      <c r="AY198">
        <v>2.703125</v>
      </c>
      <c r="AZ198">
        <v>6.2732334543656876</v>
      </c>
      <c r="BD198">
        <v>4.2714004457778641E-2</v>
      </c>
      <c r="BH198">
        <v>8.5428008915557282E-2</v>
      </c>
      <c r="BI198">
        <v>4.2714004457778641E-2</v>
      </c>
      <c r="BJ198">
        <v>0</v>
      </c>
    </row>
    <row r="199" spans="1:62" x14ac:dyDescent="0.3">
      <c r="A199" t="s">
        <v>1221</v>
      </c>
      <c r="B199" s="57" t="s">
        <v>1225</v>
      </c>
      <c r="C199" s="12"/>
      <c r="F199">
        <v>4.16</v>
      </c>
      <c r="G199" t="s">
        <v>168</v>
      </c>
      <c r="H199" s="8">
        <v>-1</v>
      </c>
      <c r="I199">
        <v>-1</v>
      </c>
      <c r="K199">
        <v>2</v>
      </c>
      <c r="L199" s="20">
        <v>0</v>
      </c>
      <c r="M199">
        <v>0</v>
      </c>
      <c r="N199">
        <v>0</v>
      </c>
      <c r="O199">
        <v>3.8530000000000002</v>
      </c>
      <c r="P199">
        <v>3.8530000000000002</v>
      </c>
      <c r="Q199">
        <v>32.4</v>
      </c>
      <c r="T199" s="20">
        <v>0</v>
      </c>
      <c r="U199" s="20"/>
      <c r="V199" s="20"/>
      <c r="W199">
        <v>0</v>
      </c>
      <c r="Z199">
        <v>0</v>
      </c>
      <c r="AC199">
        <v>3</v>
      </c>
      <c r="AD199">
        <v>20</v>
      </c>
      <c r="AE199" s="44">
        <f t="shared" si="10"/>
        <v>480.99773160000001</v>
      </c>
      <c r="AF199" s="46">
        <v>0</v>
      </c>
      <c r="AG199" s="44">
        <v>0</v>
      </c>
      <c r="AH199" s="44">
        <v>0</v>
      </c>
      <c r="AI199" s="41">
        <f t="shared" si="7"/>
        <v>8.3160475345576454E-2</v>
      </c>
      <c r="AJ199" s="40"/>
      <c r="AK199" s="41"/>
      <c r="AL199" s="41"/>
      <c r="AM199" s="23">
        <v>1.875</v>
      </c>
      <c r="AN199" s="23">
        <v>2.5</v>
      </c>
      <c r="AO199" s="23">
        <v>0.625</v>
      </c>
      <c r="AP199" s="23">
        <v>1.75</v>
      </c>
      <c r="AQ199" s="23">
        <v>0.27777777777777779</v>
      </c>
      <c r="AR199" s="23">
        <v>0.37037037037037029</v>
      </c>
      <c r="AS199" s="23">
        <v>9.2592592592592587E-2</v>
      </c>
      <c r="AT199" s="23">
        <v>0.25925925925925919</v>
      </c>
      <c r="AU199" s="20">
        <v>1</v>
      </c>
      <c r="AV199" s="20">
        <v>3.44</v>
      </c>
      <c r="AW199" s="20">
        <v>2.44</v>
      </c>
      <c r="AX199" s="20">
        <v>2.7</v>
      </c>
      <c r="AY199">
        <v>2.7</v>
      </c>
      <c r="AZ199">
        <v>6.2763027356156877</v>
      </c>
      <c r="BD199">
        <v>4.1580237672788227E-2</v>
      </c>
      <c r="BH199">
        <v>8.3160475345576454E-2</v>
      </c>
      <c r="BI199">
        <v>4.1580237672788227E-2</v>
      </c>
      <c r="BJ199">
        <v>0</v>
      </c>
    </row>
    <row r="200" spans="1:62" x14ac:dyDescent="0.3">
      <c r="A200" t="s">
        <v>855</v>
      </c>
      <c r="B200" s="57" t="s">
        <v>1226</v>
      </c>
      <c r="C200" s="12"/>
      <c r="F200">
        <v>4.59</v>
      </c>
      <c r="G200" t="s">
        <v>168</v>
      </c>
      <c r="H200" s="8">
        <v>-1</v>
      </c>
      <c r="I200">
        <v>-1</v>
      </c>
      <c r="K200">
        <v>2</v>
      </c>
      <c r="L200" s="20">
        <v>0</v>
      </c>
      <c r="M200">
        <v>0</v>
      </c>
      <c r="N200">
        <v>0</v>
      </c>
      <c r="O200">
        <v>3.8530000000000002</v>
      </c>
      <c r="P200">
        <v>3.8530000000000002</v>
      </c>
      <c r="Q200">
        <v>32.64</v>
      </c>
      <c r="R200" t="s">
        <v>496</v>
      </c>
      <c r="T200" s="20">
        <v>0</v>
      </c>
      <c r="U200" s="20"/>
      <c r="V200" s="20"/>
      <c r="W200">
        <v>0</v>
      </c>
      <c r="Z200">
        <v>0</v>
      </c>
      <c r="AC200">
        <v>3</v>
      </c>
      <c r="AD200">
        <v>20</v>
      </c>
      <c r="AE200" s="44">
        <f t="shared" si="10"/>
        <v>484.56067776000003</v>
      </c>
      <c r="AF200" s="46">
        <v>0</v>
      </c>
      <c r="AG200" s="44">
        <v>0</v>
      </c>
      <c r="AH200" s="44">
        <v>0</v>
      </c>
      <c r="AI200" s="41">
        <f t="shared" si="7"/>
        <v>8.2549001262153088E-2</v>
      </c>
      <c r="AJ200" s="40"/>
      <c r="AK200" s="41"/>
      <c r="AL200" s="41"/>
      <c r="AM200" s="23">
        <v>1.9375</v>
      </c>
      <c r="AN200" s="23">
        <v>2.5</v>
      </c>
      <c r="AO200" s="23">
        <v>0.5625</v>
      </c>
      <c r="AP200" s="23">
        <v>2.625</v>
      </c>
      <c r="AQ200" s="23">
        <v>0.25409836065573771</v>
      </c>
      <c r="AR200" s="23">
        <v>0.32786885245901642</v>
      </c>
      <c r="AS200" s="23">
        <v>7.3770491803278687E-2</v>
      </c>
      <c r="AT200" s="23">
        <v>0.34426229508196721</v>
      </c>
      <c r="AU200" s="20">
        <v>1</v>
      </c>
      <c r="AV200" s="20">
        <v>3.44</v>
      </c>
      <c r="AW200" s="20">
        <v>2.44</v>
      </c>
      <c r="AX200" s="20">
        <v>2.6937500000000001</v>
      </c>
      <c r="AY200">
        <v>2.6937500000000001</v>
      </c>
      <c r="AZ200">
        <v>6.2824412981156881</v>
      </c>
      <c r="BD200">
        <v>4.1274500631076537E-2</v>
      </c>
      <c r="BH200">
        <v>8.2549001262153088E-2</v>
      </c>
      <c r="BI200">
        <v>4.1274500631076537E-2</v>
      </c>
      <c r="BJ200">
        <v>0</v>
      </c>
    </row>
    <row r="201" spans="1:62" x14ac:dyDescent="0.3">
      <c r="A201" t="s">
        <v>2</v>
      </c>
      <c r="B201" s="12" t="s">
        <v>687</v>
      </c>
      <c r="C201" s="12"/>
      <c r="F201">
        <v>3.3</v>
      </c>
      <c r="G201" t="s">
        <v>174</v>
      </c>
      <c r="H201" s="8" t="s">
        <v>525</v>
      </c>
      <c r="I201">
        <v>-1</v>
      </c>
      <c r="L201" s="20">
        <v>2</v>
      </c>
      <c r="M201">
        <v>0</v>
      </c>
      <c r="N201">
        <v>0</v>
      </c>
      <c r="O201">
        <v>5.4763999999999999</v>
      </c>
      <c r="P201">
        <v>22.404199999999999</v>
      </c>
      <c r="Q201">
        <v>5.1576000000000004</v>
      </c>
      <c r="R201" t="s">
        <v>515</v>
      </c>
      <c r="T201" s="20">
        <v>11.92921406</v>
      </c>
      <c r="U201" s="20">
        <v>11.92921406</v>
      </c>
      <c r="V201" s="20">
        <v>11.92921406</v>
      </c>
      <c r="W201">
        <v>0</v>
      </c>
      <c r="Z201">
        <v>0</v>
      </c>
      <c r="AD201">
        <v>14</v>
      </c>
      <c r="AE201" s="44">
        <f t="shared" si="10"/>
        <v>632.80843567468798</v>
      </c>
      <c r="AF201" s="46">
        <v>349.00875366799971</v>
      </c>
      <c r="AG201" s="44">
        <v>0</v>
      </c>
      <c r="AH201" s="44">
        <v>0</v>
      </c>
      <c r="AI201" s="41"/>
      <c r="AJ201" s="40">
        <v>8.0227214090553903E-2</v>
      </c>
      <c r="AK201" s="41"/>
      <c r="AL201" s="41"/>
      <c r="AM201" s="23">
        <v>1.7272727272727271</v>
      </c>
      <c r="AN201" s="23">
        <v>2.545454545454545</v>
      </c>
      <c r="AO201" s="23">
        <v>0.81818181818181823</v>
      </c>
      <c r="AP201" s="23">
        <v>0</v>
      </c>
      <c r="AQ201" s="23">
        <v>0.3392857142857143</v>
      </c>
      <c r="AR201" s="23">
        <v>0.5</v>
      </c>
      <c r="AS201" s="23">
        <v>0.1607142857142857</v>
      </c>
      <c r="AT201" s="23">
        <v>0</v>
      </c>
      <c r="AU201" s="20">
        <v>0.82</v>
      </c>
      <c r="AV201" s="20">
        <v>3.44</v>
      </c>
      <c r="AW201" s="20">
        <v>2.62</v>
      </c>
      <c r="AX201" s="20">
        <v>2.6545454545454539</v>
      </c>
      <c r="AY201">
        <v>2.6545454545454552</v>
      </c>
      <c r="AZ201">
        <v>5.9865512095454543</v>
      </c>
      <c r="BA201" s="64">
        <v>0.50734392504100967</v>
      </c>
      <c r="BE201">
        <v>4.0113607045276937E-2</v>
      </c>
      <c r="BH201">
        <v>8.0227214090553903E-2</v>
      </c>
      <c r="BI201">
        <v>4.0113607045276937E-2</v>
      </c>
      <c r="BJ201">
        <v>0.50734392504100967</v>
      </c>
    </row>
    <row r="202" spans="1:62" x14ac:dyDescent="0.3">
      <c r="A202" t="s">
        <v>175</v>
      </c>
      <c r="B202" s="12" t="s">
        <v>792</v>
      </c>
      <c r="C202" s="12"/>
      <c r="F202">
        <v>2.98</v>
      </c>
      <c r="G202" t="s">
        <v>174</v>
      </c>
      <c r="H202" s="8" t="s">
        <v>579</v>
      </c>
      <c r="I202" t="s">
        <v>654</v>
      </c>
      <c r="L202" s="20">
        <v>1</v>
      </c>
      <c r="M202">
        <v>2</v>
      </c>
      <c r="N202">
        <v>0</v>
      </c>
      <c r="O202">
        <v>7.7803000000000004</v>
      </c>
      <c r="P202">
        <v>7.7803000000000004</v>
      </c>
      <c r="Q202">
        <v>42.569200000000002</v>
      </c>
      <c r="R202" t="s">
        <v>516</v>
      </c>
      <c r="T202" s="20">
        <v>11.30538971</v>
      </c>
      <c r="U202" s="20">
        <v>11.30538971</v>
      </c>
      <c r="V202" s="20">
        <v>11.30538971</v>
      </c>
      <c r="W202">
        <v>3.8996</v>
      </c>
      <c r="X202">
        <v>3.8996</v>
      </c>
      <c r="Y202">
        <v>21.687999999999999</v>
      </c>
      <c r="Z202">
        <v>0</v>
      </c>
      <c r="AD202">
        <v>14</v>
      </c>
      <c r="AE202" s="44">
        <f t="shared" si="10"/>
        <v>2576.8442821368285</v>
      </c>
      <c r="AF202" s="46">
        <v>169.7295487154349</v>
      </c>
      <c r="AG202" s="44">
        <v>329.80681691007999</v>
      </c>
      <c r="AH202" s="44">
        <v>0</v>
      </c>
      <c r="AI202" s="41"/>
      <c r="AJ202" s="40">
        <v>8.248416440128592E-2</v>
      </c>
      <c r="AK202" s="41">
        <v>8.4898184526107132E-2</v>
      </c>
      <c r="AL202" s="41"/>
      <c r="AM202" s="23">
        <v>1.7272727272727271</v>
      </c>
      <c r="AN202" s="23">
        <v>2.545454545454545</v>
      </c>
      <c r="AO202" s="23">
        <v>1.7272727272727271</v>
      </c>
      <c r="AP202" s="23">
        <v>0</v>
      </c>
      <c r="AQ202" s="23">
        <v>0.2878787878787879</v>
      </c>
      <c r="AR202" s="23">
        <v>0.42424242424242431</v>
      </c>
      <c r="AS202" s="23">
        <v>0.2878787878787879</v>
      </c>
      <c r="AT202" s="23">
        <v>0</v>
      </c>
      <c r="AU202" s="20">
        <v>1.1000000000000001</v>
      </c>
      <c r="AV202" s="20">
        <v>3.44</v>
      </c>
      <c r="AW202" s="20">
        <v>2.34</v>
      </c>
      <c r="AX202" s="20">
        <v>2.7554545454545449</v>
      </c>
      <c r="AY202">
        <v>2.7554545454545449</v>
      </c>
      <c r="AZ202">
        <v>6.1782631499999994</v>
      </c>
      <c r="BA202" s="64">
        <v>0.46170510468104309</v>
      </c>
      <c r="BB202" s="64">
        <v>0</v>
      </c>
      <c r="BE202">
        <v>4.124208220064296E-2</v>
      </c>
      <c r="BF202">
        <v>4.2449092263053573E-2</v>
      </c>
      <c r="BH202">
        <v>8.3691174463696533E-2</v>
      </c>
      <c r="BI202">
        <v>4.1845587231848273E-2</v>
      </c>
      <c r="BJ202">
        <v>0.23085255234052149</v>
      </c>
    </row>
    <row r="203" spans="1:62" x14ac:dyDescent="0.3">
      <c r="A203" t="s">
        <v>2</v>
      </c>
      <c r="B203" s="12" t="s">
        <v>687</v>
      </c>
      <c r="C203" s="12"/>
      <c r="F203">
        <v>3.3</v>
      </c>
      <c r="G203" t="s">
        <v>176</v>
      </c>
      <c r="H203" s="8" t="s">
        <v>525</v>
      </c>
      <c r="I203">
        <v>-1</v>
      </c>
      <c r="L203" s="20">
        <v>2</v>
      </c>
      <c r="M203">
        <v>0</v>
      </c>
      <c r="N203">
        <v>0</v>
      </c>
      <c r="O203">
        <v>5.5339999999999998</v>
      </c>
      <c r="P203">
        <v>22.083300000000001</v>
      </c>
      <c r="Q203">
        <v>5.5033000000000003</v>
      </c>
      <c r="R203" t="s">
        <v>515</v>
      </c>
      <c r="T203" s="20">
        <v>11.92921406</v>
      </c>
      <c r="U203" s="20">
        <v>11.92921406</v>
      </c>
      <c r="V203" s="20">
        <v>11.92921406</v>
      </c>
      <c r="W203">
        <v>0</v>
      </c>
      <c r="Z203">
        <v>0</v>
      </c>
      <c r="AD203">
        <v>14</v>
      </c>
      <c r="AE203" s="44">
        <f t="shared" si="10"/>
        <v>672.55269174126011</v>
      </c>
      <c r="AF203" s="46">
        <v>349.00875366799971</v>
      </c>
      <c r="AG203" s="44">
        <v>0</v>
      </c>
      <c r="AH203" s="44">
        <v>0</v>
      </c>
      <c r="AI203" s="41"/>
      <c r="AJ203" s="40">
        <v>8.0227214090553903E-2</v>
      </c>
      <c r="AK203" s="41"/>
      <c r="AL203" s="41"/>
      <c r="AM203" s="23">
        <v>1.7272727272727271</v>
      </c>
      <c r="AN203" s="23">
        <v>2.545454545454545</v>
      </c>
      <c r="AO203" s="23">
        <v>0.81818181818181823</v>
      </c>
      <c r="AP203" s="23">
        <v>0</v>
      </c>
      <c r="AQ203" s="23">
        <v>0.3392857142857143</v>
      </c>
      <c r="AR203" s="23">
        <v>0.5</v>
      </c>
      <c r="AS203" s="23">
        <v>0.1607142857142857</v>
      </c>
      <c r="AT203" s="23">
        <v>0</v>
      </c>
      <c r="AU203" s="20">
        <v>0.82</v>
      </c>
      <c r="AV203" s="20">
        <v>3.44</v>
      </c>
      <c r="AW203" s="20">
        <v>2.62</v>
      </c>
      <c r="AX203" s="20">
        <v>2.6545454545454539</v>
      </c>
      <c r="AY203">
        <v>2.6545454545454552</v>
      </c>
      <c r="AZ203">
        <v>5.9865512095454543</v>
      </c>
      <c r="BA203" s="64">
        <v>0.50734392504100967</v>
      </c>
      <c r="BE203">
        <v>4.0113607045276937E-2</v>
      </c>
      <c r="BH203">
        <v>8.0227214090553903E-2</v>
      </c>
      <c r="BI203">
        <v>4.0113607045276937E-2</v>
      </c>
      <c r="BJ203">
        <v>0.50734392504100967</v>
      </c>
    </row>
    <row r="204" spans="1:62" x14ac:dyDescent="0.3">
      <c r="A204" t="s">
        <v>175</v>
      </c>
      <c r="B204" s="12" t="s">
        <v>792</v>
      </c>
      <c r="C204" s="12"/>
      <c r="F204">
        <v>2.85</v>
      </c>
      <c r="G204" t="s">
        <v>176</v>
      </c>
      <c r="H204" s="8" t="s">
        <v>579</v>
      </c>
      <c r="I204" t="s">
        <v>654</v>
      </c>
      <c r="L204" s="20">
        <v>1</v>
      </c>
      <c r="M204">
        <v>2</v>
      </c>
      <c r="N204">
        <v>0</v>
      </c>
      <c r="O204">
        <v>3.9045000000000001</v>
      </c>
      <c r="P204">
        <v>3.9045000000000001</v>
      </c>
      <c r="Q204">
        <v>21.652100000000001</v>
      </c>
      <c r="R204" t="s">
        <v>516</v>
      </c>
      <c r="T204" s="20">
        <v>11.30538971</v>
      </c>
      <c r="U204" s="20">
        <v>11.30538971</v>
      </c>
      <c r="V204" s="20">
        <v>11.30538971</v>
      </c>
      <c r="W204">
        <v>3.8996</v>
      </c>
      <c r="X204">
        <v>3.8996</v>
      </c>
      <c r="Y204">
        <v>21.687999999999999</v>
      </c>
      <c r="Z204">
        <v>0</v>
      </c>
      <c r="AD204">
        <v>14</v>
      </c>
      <c r="AE204" s="44">
        <f t="shared" si="10"/>
        <v>330.08886816502502</v>
      </c>
      <c r="AF204" s="46">
        <v>169.7295487154349</v>
      </c>
      <c r="AG204" s="44">
        <v>329.80681691007999</v>
      </c>
      <c r="AH204" s="44">
        <v>0</v>
      </c>
      <c r="AI204" s="41"/>
      <c r="AJ204" s="40">
        <v>8.248416440128592E-2</v>
      </c>
      <c r="AK204" s="41">
        <v>8.4898184526107132E-2</v>
      </c>
      <c r="AL204" s="41"/>
      <c r="AM204" s="23">
        <v>1.7272727272727271</v>
      </c>
      <c r="AN204" s="23">
        <v>2.545454545454545</v>
      </c>
      <c r="AO204" s="23">
        <v>1.7272727272727271</v>
      </c>
      <c r="AP204" s="23">
        <v>0</v>
      </c>
      <c r="AQ204" s="23">
        <v>0.2878787878787879</v>
      </c>
      <c r="AR204" s="23">
        <v>0.42424242424242431</v>
      </c>
      <c r="AS204" s="23">
        <v>0.2878787878787879</v>
      </c>
      <c r="AT204" s="23">
        <v>0</v>
      </c>
      <c r="AU204" s="20">
        <v>1.1000000000000001</v>
      </c>
      <c r="AV204" s="20">
        <v>3.44</v>
      </c>
      <c r="AW204" s="20">
        <v>2.34</v>
      </c>
      <c r="AX204" s="20">
        <v>2.7554545454545449</v>
      </c>
      <c r="AY204">
        <v>2.7554545454545449</v>
      </c>
      <c r="AZ204">
        <v>6.1782631499999994</v>
      </c>
      <c r="BA204" s="64">
        <v>0.46170510468104309</v>
      </c>
      <c r="BB204" s="64">
        <v>0</v>
      </c>
      <c r="BE204">
        <v>4.124208220064296E-2</v>
      </c>
      <c r="BF204">
        <v>4.2449092263053573E-2</v>
      </c>
      <c r="BH204">
        <v>8.3691174463696533E-2</v>
      </c>
      <c r="BI204">
        <v>4.1845587231848273E-2</v>
      </c>
      <c r="BJ204">
        <v>0.23085255234052149</v>
      </c>
    </row>
    <row r="205" spans="1:62" x14ac:dyDescent="0.3">
      <c r="A205" t="s">
        <v>5</v>
      </c>
      <c r="B205" s="12" t="s">
        <v>690</v>
      </c>
      <c r="C205" s="12"/>
      <c r="F205">
        <v>3.5</v>
      </c>
      <c r="G205" t="s">
        <v>176</v>
      </c>
      <c r="H205" s="8" t="s">
        <v>528</v>
      </c>
      <c r="I205" t="s">
        <v>610</v>
      </c>
      <c r="L205" s="20">
        <v>1</v>
      </c>
      <c r="M205">
        <v>1</v>
      </c>
      <c r="N205">
        <v>0</v>
      </c>
      <c r="O205">
        <v>3.8650000000000002</v>
      </c>
      <c r="P205">
        <v>3.8650000000000002</v>
      </c>
      <c r="Q205">
        <v>14.974299999999999</v>
      </c>
      <c r="R205" t="s">
        <v>439</v>
      </c>
      <c r="T205" s="20">
        <v>3.9661010000000001</v>
      </c>
      <c r="U205" s="20">
        <v>3.9661010000000001</v>
      </c>
      <c r="V205" s="20">
        <v>15.283337</v>
      </c>
      <c r="W205">
        <v>3.8586499999999999</v>
      </c>
      <c r="X205">
        <v>3.8586499999999999</v>
      </c>
      <c r="Y205">
        <v>14.9108</v>
      </c>
      <c r="Z205">
        <v>0</v>
      </c>
      <c r="AD205">
        <v>20</v>
      </c>
      <c r="AE205" s="44">
        <f t="shared" si="10"/>
        <v>223.6894626175</v>
      </c>
      <c r="AF205" s="46">
        <v>240.40623599981481</v>
      </c>
      <c r="AG205" s="44">
        <v>222.00958249733301</v>
      </c>
      <c r="AH205" s="44">
        <v>0</v>
      </c>
      <c r="AI205" s="41"/>
      <c r="AJ205" s="40">
        <v>8.3192517518619641E-2</v>
      </c>
      <c r="AK205" s="41">
        <v>9.0086201573034624E-2</v>
      </c>
      <c r="AL205" s="41"/>
      <c r="AM205" s="23">
        <v>1.75</v>
      </c>
      <c r="AN205" s="23">
        <v>2.5</v>
      </c>
      <c r="AO205" s="23">
        <v>0.75</v>
      </c>
      <c r="AP205" s="23">
        <v>0</v>
      </c>
      <c r="AQ205" s="23">
        <v>0.35</v>
      </c>
      <c r="AR205" s="23">
        <v>0.5</v>
      </c>
      <c r="AS205" s="23">
        <v>0.15</v>
      </c>
      <c r="AT205" s="23">
        <v>0</v>
      </c>
      <c r="AU205" s="20">
        <v>0.82</v>
      </c>
      <c r="AV205" s="20">
        <v>3.44</v>
      </c>
      <c r="AW205" s="20">
        <v>2.62</v>
      </c>
      <c r="AX205" s="20">
        <v>2.6262500000000002</v>
      </c>
      <c r="AY205">
        <v>2.6262500000000002</v>
      </c>
      <c r="AZ205">
        <v>5.9612134765624996</v>
      </c>
      <c r="BA205" s="64">
        <v>0.50467688585120674</v>
      </c>
      <c r="BB205" s="64">
        <v>0.54649654829675798</v>
      </c>
      <c r="BE205">
        <v>4.159625875930982E-2</v>
      </c>
      <c r="BF205">
        <v>4.5043100786517312E-2</v>
      </c>
      <c r="BH205">
        <v>8.6639359545827133E-2</v>
      </c>
      <c r="BI205">
        <v>4.3319679772913573E-2</v>
      </c>
      <c r="BJ205">
        <v>0.5255867170739823</v>
      </c>
    </row>
    <row r="206" spans="1:62" x14ac:dyDescent="0.3">
      <c r="A206" s="4" t="s">
        <v>177</v>
      </c>
      <c r="B206" s="29" t="s">
        <v>793</v>
      </c>
      <c r="C206" s="29"/>
      <c r="D206" s="4"/>
      <c r="E206" s="4"/>
      <c r="F206" s="4">
        <v>2.65</v>
      </c>
      <c r="G206" s="4" t="s">
        <v>176</v>
      </c>
      <c r="H206" s="30">
        <v>-2</v>
      </c>
      <c r="I206" s="4">
        <v>-1</v>
      </c>
      <c r="J206" s="4"/>
      <c r="K206" s="4"/>
      <c r="L206" s="31">
        <v>0</v>
      </c>
      <c r="M206">
        <v>0</v>
      </c>
      <c r="N206">
        <v>0</v>
      </c>
      <c r="O206" s="4"/>
      <c r="P206" s="4"/>
      <c r="Q206" s="4"/>
      <c r="R206" s="4"/>
      <c r="S206" s="4"/>
      <c r="T206" s="31">
        <v>0</v>
      </c>
      <c r="U206" s="31"/>
      <c r="V206" s="31"/>
      <c r="W206">
        <v>0</v>
      </c>
      <c r="Z206">
        <v>0</v>
      </c>
      <c r="AC206" s="4"/>
      <c r="AD206" s="4">
        <v>20</v>
      </c>
      <c r="AE206" s="44">
        <f t="shared" si="10"/>
        <v>0</v>
      </c>
      <c r="AF206" s="46">
        <v>0</v>
      </c>
      <c r="AG206" s="44">
        <v>0</v>
      </c>
      <c r="AH206" s="44">
        <v>0</v>
      </c>
      <c r="AI206" s="41"/>
      <c r="AJ206" s="40"/>
      <c r="AK206" s="41"/>
      <c r="AL206" s="41"/>
      <c r="AM206" s="4">
        <v>1.75</v>
      </c>
      <c r="AN206" s="4">
        <v>2.5</v>
      </c>
      <c r="AO206" s="4">
        <v>1.375</v>
      </c>
      <c r="AP206" s="4">
        <v>0</v>
      </c>
      <c r="AQ206" s="4">
        <v>0.31111111111111112</v>
      </c>
      <c r="AR206" s="4">
        <v>0.44444444444444442</v>
      </c>
      <c r="AS206" s="4">
        <v>0.24444444444444441</v>
      </c>
      <c r="AT206" s="4">
        <v>0</v>
      </c>
      <c r="AU206" s="31">
        <v>1</v>
      </c>
      <c r="AV206" s="31">
        <v>3.44</v>
      </c>
      <c r="AW206" s="31">
        <v>2.44</v>
      </c>
      <c r="AX206" s="31">
        <v>2.6956250000000002</v>
      </c>
      <c r="AY206" s="4">
        <v>2.6956250000000002</v>
      </c>
      <c r="AZ206" s="4">
        <v>6.0930154356250004</v>
      </c>
      <c r="BH206">
        <v>0</v>
      </c>
      <c r="BI206">
        <v>0</v>
      </c>
      <c r="BJ206">
        <v>0</v>
      </c>
    </row>
    <row r="207" spans="1:62" x14ac:dyDescent="0.3">
      <c r="A207" t="s">
        <v>178</v>
      </c>
      <c r="B207" s="12" t="s">
        <v>794</v>
      </c>
      <c r="C207" s="12"/>
      <c r="F207">
        <v>3.1</v>
      </c>
      <c r="G207" t="s">
        <v>176</v>
      </c>
      <c r="H207" s="8" t="s">
        <v>580</v>
      </c>
      <c r="I207" t="s">
        <v>655</v>
      </c>
      <c r="L207" s="20">
        <v>1</v>
      </c>
      <c r="M207">
        <v>1</v>
      </c>
      <c r="N207">
        <v>0</v>
      </c>
      <c r="O207">
        <v>3.9007999999999998</v>
      </c>
      <c r="P207">
        <v>3.9007999999999998</v>
      </c>
      <c r="Q207">
        <v>15.317</v>
      </c>
      <c r="R207" t="s">
        <v>439</v>
      </c>
      <c r="T207" s="20">
        <v>3.9860820000000001</v>
      </c>
      <c r="U207" s="20">
        <v>3.9860820000000001</v>
      </c>
      <c r="V207" s="20">
        <v>15.440419</v>
      </c>
      <c r="W207">
        <v>3.8944000000000001</v>
      </c>
      <c r="X207">
        <v>3.8944000000000001</v>
      </c>
      <c r="Y207">
        <v>15.271000000000001</v>
      </c>
      <c r="Z207">
        <v>0</v>
      </c>
      <c r="AD207">
        <v>20</v>
      </c>
      <c r="AE207" s="44">
        <f t="shared" si="10"/>
        <v>233.06715788288</v>
      </c>
      <c r="AF207" s="46">
        <v>245.33049696160739</v>
      </c>
      <c r="AG207" s="44">
        <v>231.60535161856001</v>
      </c>
      <c r="AH207" s="44">
        <v>0</v>
      </c>
      <c r="AI207" s="41"/>
      <c r="AJ207" s="40">
        <v>8.1522681638434333E-2</v>
      </c>
      <c r="AK207" s="41">
        <v>8.6353790446685313E-2</v>
      </c>
      <c r="AL207" s="41"/>
      <c r="AM207" s="23">
        <v>1.75</v>
      </c>
      <c r="AN207" s="23">
        <v>2.5</v>
      </c>
      <c r="AO207" s="23">
        <v>0.75</v>
      </c>
      <c r="AP207" s="23">
        <v>0</v>
      </c>
      <c r="AQ207" s="23">
        <v>0.35</v>
      </c>
      <c r="AR207" s="23">
        <v>0.5</v>
      </c>
      <c r="AS207" s="23">
        <v>0.15</v>
      </c>
      <c r="AT207" s="23">
        <v>0</v>
      </c>
      <c r="AU207" s="20">
        <v>0.82</v>
      </c>
      <c r="AV207" s="20">
        <v>3.44</v>
      </c>
      <c r="AW207" s="20">
        <v>2.62</v>
      </c>
      <c r="AX207" s="20">
        <v>2.62</v>
      </c>
      <c r="AY207">
        <v>2.62</v>
      </c>
      <c r="AZ207">
        <v>5.9367901628125006</v>
      </c>
      <c r="BA207" s="64">
        <v>0.52249469585014929</v>
      </c>
      <c r="BB207" s="64">
        <v>0.55345821025686881</v>
      </c>
      <c r="BE207">
        <v>4.0761340819217173E-2</v>
      </c>
      <c r="BF207">
        <v>4.3176895223342657E-2</v>
      </c>
      <c r="BH207">
        <v>8.3938236042559816E-2</v>
      </c>
      <c r="BI207">
        <v>4.1969118021279922E-2</v>
      </c>
      <c r="BJ207">
        <v>0.53797645305350905</v>
      </c>
    </row>
    <row r="208" spans="1:62" x14ac:dyDescent="0.3">
      <c r="A208" s="4" t="s">
        <v>179</v>
      </c>
      <c r="B208" s="29" t="s">
        <v>795</v>
      </c>
      <c r="C208" s="29"/>
      <c r="D208" s="4"/>
      <c r="E208" s="4"/>
      <c r="F208" s="4">
        <v>2.66</v>
      </c>
      <c r="G208" s="4" t="s">
        <v>176</v>
      </c>
      <c r="H208" s="30">
        <v>-2</v>
      </c>
      <c r="I208" s="4">
        <v>-1</v>
      </c>
      <c r="J208" s="4"/>
      <c r="K208" s="4"/>
      <c r="L208" s="31">
        <v>0</v>
      </c>
      <c r="M208">
        <v>0</v>
      </c>
      <c r="N208">
        <v>0</v>
      </c>
      <c r="O208" s="4"/>
      <c r="P208" s="4"/>
      <c r="Q208" s="4"/>
      <c r="R208" s="4"/>
      <c r="S208" s="4"/>
      <c r="T208" s="31">
        <v>0</v>
      </c>
      <c r="U208" s="31"/>
      <c r="V208" s="31"/>
      <c r="W208">
        <v>0</v>
      </c>
      <c r="Z208">
        <v>0</v>
      </c>
      <c r="AC208" s="4"/>
      <c r="AD208" s="4">
        <v>20</v>
      </c>
      <c r="AE208" s="44">
        <f t="shared" si="10"/>
        <v>0</v>
      </c>
      <c r="AF208" s="46">
        <v>0</v>
      </c>
      <c r="AG208" s="44">
        <v>0</v>
      </c>
      <c r="AH208" s="44">
        <v>0</v>
      </c>
      <c r="AI208" s="41"/>
      <c r="AJ208" s="40"/>
      <c r="AK208" s="41"/>
      <c r="AL208" s="41"/>
      <c r="AM208" s="4">
        <v>1.75</v>
      </c>
      <c r="AN208" s="4">
        <v>2.5</v>
      </c>
      <c r="AO208" s="4">
        <v>1.375</v>
      </c>
      <c r="AP208" s="4">
        <v>0</v>
      </c>
      <c r="AQ208" s="4">
        <v>0.31111111111111112</v>
      </c>
      <c r="AR208" s="4">
        <v>0.44444444444444442</v>
      </c>
      <c r="AS208" s="4">
        <v>0.24444444444444441</v>
      </c>
      <c r="AT208" s="4">
        <v>0</v>
      </c>
      <c r="AU208" s="31">
        <v>0.95</v>
      </c>
      <c r="AV208" s="31">
        <v>3.44</v>
      </c>
      <c r="AW208" s="31">
        <v>2.4900000000000002</v>
      </c>
      <c r="AX208" s="31">
        <v>2.6893750000000001</v>
      </c>
      <c r="AY208" s="4">
        <v>2.6893750000000001</v>
      </c>
      <c r="AZ208" s="4">
        <v>6.0685921218750014</v>
      </c>
      <c r="BH208">
        <v>0</v>
      </c>
      <c r="BI208">
        <v>0</v>
      </c>
      <c r="BJ208">
        <v>0</v>
      </c>
    </row>
    <row r="209" spans="1:62" x14ac:dyDescent="0.3">
      <c r="A209" t="s">
        <v>180</v>
      </c>
      <c r="B209" s="12" t="s">
        <v>796</v>
      </c>
      <c r="C209" s="12"/>
      <c r="F209">
        <v>3.6</v>
      </c>
      <c r="G209" t="s">
        <v>176</v>
      </c>
      <c r="H209" s="8">
        <v>-1</v>
      </c>
      <c r="I209">
        <v>-1</v>
      </c>
      <c r="K209">
        <v>2</v>
      </c>
      <c r="L209" s="20">
        <v>0</v>
      </c>
      <c r="M209">
        <v>0</v>
      </c>
      <c r="N209">
        <v>0</v>
      </c>
      <c r="O209">
        <v>3.9287999999999998</v>
      </c>
      <c r="P209">
        <v>3.9287999999999998</v>
      </c>
      <c r="Q209">
        <v>30.2698</v>
      </c>
      <c r="R209" t="s">
        <v>439</v>
      </c>
      <c r="T209" s="20">
        <v>0</v>
      </c>
      <c r="U209" s="20"/>
      <c r="V209" s="20"/>
      <c r="W209">
        <v>0</v>
      </c>
      <c r="Z209">
        <v>0</v>
      </c>
      <c r="AD209">
        <v>20</v>
      </c>
      <c r="AE209" s="44">
        <f t="shared" si="10"/>
        <v>467.22857285491193</v>
      </c>
      <c r="AF209" s="46">
        <v>0</v>
      </c>
      <c r="AG209" s="44">
        <v>0</v>
      </c>
      <c r="AH209" s="44">
        <v>0</v>
      </c>
      <c r="AI209" s="41">
        <f t="shared" ref="AI209:AI212" si="11">K209*AD209/AE209</f>
        <v>8.5611202576048706E-2</v>
      </c>
      <c r="AJ209" s="40"/>
      <c r="AK209" s="41"/>
      <c r="AL209" s="41"/>
      <c r="AM209" s="23">
        <v>1.882352941176471</v>
      </c>
      <c r="AN209" s="23">
        <v>2.3529411764705879</v>
      </c>
      <c r="AO209" s="23">
        <v>0.47058823529411759</v>
      </c>
      <c r="AP209" s="23">
        <v>0</v>
      </c>
      <c r="AQ209" s="23">
        <v>0.4</v>
      </c>
      <c r="AR209" s="23">
        <v>0.5</v>
      </c>
      <c r="AS209" s="23">
        <v>9.9999999999999992E-2</v>
      </c>
      <c r="AT209" s="23">
        <v>0</v>
      </c>
      <c r="AU209" s="20">
        <v>0.82</v>
      </c>
      <c r="AV209" s="20">
        <v>3.44</v>
      </c>
      <c r="AW209" s="20">
        <v>2.62</v>
      </c>
      <c r="AX209" s="20">
        <v>2.5211764705882351</v>
      </c>
      <c r="AY209">
        <v>2.521176470588236</v>
      </c>
      <c r="AZ209">
        <v>5.6793405594117647</v>
      </c>
      <c r="BD209">
        <v>4.2805601288024353E-2</v>
      </c>
      <c r="BH209">
        <v>8.5611202576048706E-2</v>
      </c>
      <c r="BI209">
        <v>4.2805601288024353E-2</v>
      </c>
      <c r="BJ209">
        <v>0</v>
      </c>
    </row>
    <row r="210" spans="1:62" x14ac:dyDescent="0.3">
      <c r="A210" t="s">
        <v>181</v>
      </c>
      <c r="B210" s="12" t="s">
        <v>797</v>
      </c>
      <c r="C210" s="12"/>
      <c r="F210">
        <v>2.4</v>
      </c>
      <c r="G210" t="s">
        <v>176</v>
      </c>
      <c r="H210" s="8" t="s">
        <v>581</v>
      </c>
      <c r="I210" t="s">
        <v>656</v>
      </c>
      <c r="K210">
        <v>2</v>
      </c>
      <c r="L210" s="20">
        <v>1</v>
      </c>
      <c r="M210">
        <v>2</v>
      </c>
      <c r="N210">
        <v>0</v>
      </c>
      <c r="O210">
        <v>3.8313999999999999</v>
      </c>
      <c r="P210">
        <v>3.8313999999999999</v>
      </c>
      <c r="Q210">
        <v>28.871400000000001</v>
      </c>
      <c r="R210" t="s">
        <v>440</v>
      </c>
      <c r="T210" s="20">
        <v>14.88329339</v>
      </c>
      <c r="U210" s="20">
        <v>14.88329339</v>
      </c>
      <c r="V210" s="20">
        <v>14.88329339</v>
      </c>
      <c r="W210">
        <v>3.8250999999999999</v>
      </c>
      <c r="X210">
        <v>3.8250999999999999</v>
      </c>
      <c r="Y210">
        <v>28.884</v>
      </c>
      <c r="Z210">
        <v>0</v>
      </c>
      <c r="AD210">
        <v>20</v>
      </c>
      <c r="AE210" s="44">
        <f t="shared" si="10"/>
        <v>423.82135294154398</v>
      </c>
      <c r="AF210" s="46">
        <v>218.43262216091571</v>
      </c>
      <c r="AG210" s="44">
        <v>422.61306904883998</v>
      </c>
      <c r="AH210" s="44">
        <v>0</v>
      </c>
      <c r="AI210" s="41">
        <f t="shared" si="11"/>
        <v>9.4379388207741013E-2</v>
      </c>
      <c r="AJ210" s="40">
        <v>9.1561415150097566E-2</v>
      </c>
      <c r="AK210" s="41">
        <v>9.4649226276950119E-2</v>
      </c>
      <c r="AL210" s="41"/>
      <c r="AM210" s="23">
        <v>1.882352941176471</v>
      </c>
      <c r="AN210" s="23">
        <v>2.3529411764705879</v>
      </c>
      <c r="AO210" s="23">
        <v>1.6470588235294119</v>
      </c>
      <c r="AP210" s="23">
        <v>0</v>
      </c>
      <c r="AQ210" s="23">
        <v>0.32</v>
      </c>
      <c r="AR210" s="23">
        <v>0.4</v>
      </c>
      <c r="AS210" s="23">
        <v>0.28000000000000003</v>
      </c>
      <c r="AT210" s="23">
        <v>0</v>
      </c>
      <c r="AU210" s="20">
        <v>1.1000000000000001</v>
      </c>
      <c r="AV210" s="20">
        <v>3.44</v>
      </c>
      <c r="AW210" s="20">
        <v>2.34</v>
      </c>
      <c r="AX210" s="20">
        <v>2.651764705882353</v>
      </c>
      <c r="AY210">
        <v>2.651764705882353</v>
      </c>
      <c r="AZ210">
        <v>5.9274383647058819</v>
      </c>
      <c r="BA210" s="64">
        <v>0.55146660057091235</v>
      </c>
      <c r="BB210" s="64">
        <v>0.57006422384419775</v>
      </c>
      <c r="BD210">
        <v>4.7189694103870507E-2</v>
      </c>
      <c r="BE210">
        <v>4.5780707575048769E-2</v>
      </c>
      <c r="BF210">
        <v>4.7324613138475059E-2</v>
      </c>
      <c r="BH210">
        <v>9.353000987826289E-2</v>
      </c>
      <c r="BI210">
        <v>4.6765004939131452E-2</v>
      </c>
      <c r="BJ210">
        <v>0.56076541220755505</v>
      </c>
    </row>
    <row r="211" spans="1:62" x14ac:dyDescent="0.3">
      <c r="A211" t="s">
        <v>175</v>
      </c>
      <c r="B211" s="16" t="s">
        <v>792</v>
      </c>
      <c r="C211" s="12"/>
      <c r="D211" t="s">
        <v>863</v>
      </c>
      <c r="E211">
        <v>1</v>
      </c>
      <c r="F211">
        <v>3.15</v>
      </c>
      <c r="G211" t="s">
        <v>176</v>
      </c>
      <c r="H211" s="8" t="s">
        <v>579</v>
      </c>
      <c r="I211" t="s">
        <v>654</v>
      </c>
      <c r="L211" s="20">
        <v>1</v>
      </c>
      <c r="M211">
        <v>2</v>
      </c>
      <c r="N211">
        <v>0</v>
      </c>
      <c r="O211">
        <v>7.7803000000000004</v>
      </c>
      <c r="P211">
        <v>7.7803000000000004</v>
      </c>
      <c r="Q211">
        <v>42.569200000000002</v>
      </c>
      <c r="R211" t="s">
        <v>516</v>
      </c>
      <c r="T211" s="20">
        <v>11.30538971</v>
      </c>
      <c r="U211" s="20">
        <v>11.30538971</v>
      </c>
      <c r="V211" s="20">
        <v>11.30538971</v>
      </c>
      <c r="W211">
        <v>3.8996</v>
      </c>
      <c r="X211">
        <v>3.8996</v>
      </c>
      <c r="Y211">
        <v>21.687999999999999</v>
      </c>
      <c r="Z211">
        <v>0</v>
      </c>
      <c r="AD211">
        <v>14</v>
      </c>
      <c r="AE211" s="44">
        <f t="shared" si="10"/>
        <v>2576.8442821368285</v>
      </c>
      <c r="AF211" s="46">
        <v>169.7295487154349</v>
      </c>
      <c r="AG211" s="44">
        <v>329.80681691007999</v>
      </c>
      <c r="AH211" s="44">
        <v>0</v>
      </c>
      <c r="AI211" s="41"/>
      <c r="AJ211" s="40">
        <v>8.248416440128592E-2</v>
      </c>
      <c r="AK211" s="41">
        <v>8.4898184526107132E-2</v>
      </c>
      <c r="AL211" s="41"/>
      <c r="AM211" s="23">
        <v>1.7272727272727271</v>
      </c>
      <c r="AN211" s="23">
        <v>2.545454545454545</v>
      </c>
      <c r="AO211" s="23">
        <v>1.7272727272727271</v>
      </c>
      <c r="AP211" s="23">
        <v>0</v>
      </c>
      <c r="AQ211" s="23">
        <v>0.2878787878787879</v>
      </c>
      <c r="AR211" s="23">
        <v>0.42424242424242431</v>
      </c>
      <c r="AS211" s="23">
        <v>0.2878787878787879</v>
      </c>
      <c r="AT211" s="23">
        <v>0</v>
      </c>
      <c r="AU211" s="20">
        <v>1.1000000000000001</v>
      </c>
      <c r="AV211" s="20">
        <v>3.44</v>
      </c>
      <c r="AW211" s="20">
        <v>2.34</v>
      </c>
      <c r="AX211" s="20">
        <v>2.7554545454545449</v>
      </c>
      <c r="AY211">
        <v>2.7554545454545449</v>
      </c>
      <c r="AZ211">
        <v>6.1782631499999994</v>
      </c>
      <c r="BA211" s="64">
        <v>0.46170510468104309</v>
      </c>
      <c r="BB211" s="64">
        <v>0</v>
      </c>
      <c r="BE211">
        <v>4.124208220064296E-2</v>
      </c>
      <c r="BF211">
        <v>4.2449092263053573E-2</v>
      </c>
      <c r="BH211">
        <v>8.3691174463696533E-2</v>
      </c>
      <c r="BI211">
        <v>4.1845587231848273E-2</v>
      </c>
      <c r="BJ211">
        <v>0.23085255234052149</v>
      </c>
    </row>
    <row r="212" spans="1:62" x14ac:dyDescent="0.3">
      <c r="A212" t="s">
        <v>177</v>
      </c>
      <c r="B212" s="16" t="s">
        <v>793</v>
      </c>
      <c r="C212" s="12"/>
      <c r="D212" t="s">
        <v>863</v>
      </c>
      <c r="E212">
        <v>1</v>
      </c>
      <c r="F212">
        <v>3.14</v>
      </c>
      <c r="G212" t="s">
        <v>176</v>
      </c>
      <c r="H212" s="8">
        <v>-1</v>
      </c>
      <c r="I212">
        <v>-1</v>
      </c>
      <c r="K212">
        <v>1</v>
      </c>
      <c r="L212" s="20">
        <v>0</v>
      </c>
      <c r="M212">
        <v>0</v>
      </c>
      <c r="N212">
        <v>0</v>
      </c>
      <c r="O212">
        <v>3.84</v>
      </c>
      <c r="P212">
        <v>3.84</v>
      </c>
      <c r="Q212">
        <v>15.007</v>
      </c>
      <c r="T212" s="20">
        <v>0</v>
      </c>
      <c r="U212" s="20"/>
      <c r="V212" s="20"/>
      <c r="W212">
        <v>0</v>
      </c>
      <c r="Z212">
        <v>0</v>
      </c>
      <c r="AD212">
        <v>20</v>
      </c>
      <c r="AE212" s="44">
        <f t="shared" si="10"/>
        <v>221.28721919999998</v>
      </c>
      <c r="AF212" s="46">
        <v>0</v>
      </c>
      <c r="AG212" s="44">
        <v>0</v>
      </c>
      <c r="AH212" s="44">
        <v>0</v>
      </c>
      <c r="AI212" s="41">
        <f t="shared" si="11"/>
        <v>9.0380276241457697E-2</v>
      </c>
      <c r="AJ212" s="40"/>
      <c r="AK212" s="41"/>
      <c r="AL212" s="41"/>
      <c r="AM212" s="23">
        <v>1.75</v>
      </c>
      <c r="AN212" s="23">
        <v>2.5</v>
      </c>
      <c r="AO212" s="23">
        <v>1.375</v>
      </c>
      <c r="AP212" s="23">
        <v>0</v>
      </c>
      <c r="AQ212" s="23">
        <v>0.31111111111111112</v>
      </c>
      <c r="AR212" s="23">
        <v>0.44444444444444442</v>
      </c>
      <c r="AS212" s="23">
        <v>0.24444444444444441</v>
      </c>
      <c r="AT212" s="23">
        <v>0</v>
      </c>
      <c r="AU212" s="20">
        <v>1</v>
      </c>
      <c r="AV212" s="20">
        <v>3.44</v>
      </c>
      <c r="AW212" s="20">
        <v>2.44</v>
      </c>
      <c r="AX212" s="20">
        <v>2.6956250000000002</v>
      </c>
      <c r="AY212">
        <v>2.6956250000000002</v>
      </c>
      <c r="AZ212">
        <v>6.0930154356250004</v>
      </c>
      <c r="BD212">
        <v>4.5190138120728848E-2</v>
      </c>
      <c r="BH212">
        <v>9.0380276241457697E-2</v>
      </c>
      <c r="BI212">
        <v>4.5190138120728848E-2</v>
      </c>
      <c r="BJ212">
        <v>0</v>
      </c>
    </row>
    <row r="213" spans="1:62" x14ac:dyDescent="0.3">
      <c r="A213" s="4" t="s">
        <v>179</v>
      </c>
      <c r="B213" s="36" t="s">
        <v>795</v>
      </c>
      <c r="C213" s="29"/>
      <c r="D213" s="4" t="s">
        <v>863</v>
      </c>
      <c r="E213" s="4">
        <v>1</v>
      </c>
      <c r="F213" s="4">
        <v>3.22</v>
      </c>
      <c r="G213" s="4" t="s">
        <v>176</v>
      </c>
      <c r="H213" s="30">
        <v>-2</v>
      </c>
      <c r="I213" s="4">
        <v>-1</v>
      </c>
      <c r="J213" s="4"/>
      <c r="K213" s="4"/>
      <c r="L213" s="31">
        <v>0</v>
      </c>
      <c r="M213">
        <v>0</v>
      </c>
      <c r="N213">
        <v>0</v>
      </c>
      <c r="O213" s="4"/>
      <c r="P213" s="4"/>
      <c r="Q213" s="4"/>
      <c r="R213" s="4"/>
      <c r="S213" s="4"/>
      <c r="T213" s="31">
        <v>0</v>
      </c>
      <c r="U213" s="31"/>
      <c r="V213" s="31"/>
      <c r="W213">
        <v>0</v>
      </c>
      <c r="Z213">
        <v>0</v>
      </c>
      <c r="AC213" s="4"/>
      <c r="AD213" s="4">
        <v>20</v>
      </c>
      <c r="AE213" s="44">
        <f t="shared" si="10"/>
        <v>0</v>
      </c>
      <c r="AF213" s="46">
        <v>0</v>
      </c>
      <c r="AG213" s="44">
        <v>0</v>
      </c>
      <c r="AH213" s="44">
        <v>0</v>
      </c>
      <c r="AI213" s="41"/>
      <c r="AJ213" s="40"/>
      <c r="AK213" s="41"/>
      <c r="AL213" s="41"/>
      <c r="AM213" s="4">
        <v>1.75</v>
      </c>
      <c r="AN213" s="4">
        <v>2.5</v>
      </c>
      <c r="AO213" s="4">
        <v>1.375</v>
      </c>
      <c r="AP213" s="4">
        <v>0</v>
      </c>
      <c r="AQ213" s="4">
        <v>0.31111111111111112</v>
      </c>
      <c r="AR213" s="4">
        <v>0.44444444444444442</v>
      </c>
      <c r="AS213" s="4">
        <v>0.24444444444444441</v>
      </c>
      <c r="AT213" s="4">
        <v>0</v>
      </c>
      <c r="AU213" s="31">
        <v>0.95</v>
      </c>
      <c r="AV213" s="31">
        <v>3.44</v>
      </c>
      <c r="AW213" s="31">
        <v>2.4900000000000002</v>
      </c>
      <c r="AX213" s="31">
        <v>2.6893750000000001</v>
      </c>
      <c r="AY213" s="4">
        <v>2.6893750000000001</v>
      </c>
      <c r="AZ213" s="4">
        <v>6.0685921218750014</v>
      </c>
      <c r="BH213">
        <v>0</v>
      </c>
      <c r="BI213">
        <v>0</v>
      </c>
      <c r="BJ213">
        <v>0</v>
      </c>
    </row>
    <row r="214" spans="1:62" x14ac:dyDescent="0.3">
      <c r="A214" t="s">
        <v>181</v>
      </c>
      <c r="B214" s="16" t="s">
        <v>797</v>
      </c>
      <c r="C214" s="12"/>
      <c r="D214" t="s">
        <v>863</v>
      </c>
      <c r="E214">
        <v>1</v>
      </c>
      <c r="F214">
        <v>3.42</v>
      </c>
      <c r="G214" t="s">
        <v>176</v>
      </c>
      <c r="H214" s="8" t="s">
        <v>581</v>
      </c>
      <c r="I214" t="s">
        <v>656</v>
      </c>
      <c r="L214" s="20">
        <v>1</v>
      </c>
      <c r="M214">
        <v>2</v>
      </c>
      <c r="N214">
        <v>0</v>
      </c>
      <c r="O214">
        <v>7.7803000000000004</v>
      </c>
      <c r="P214">
        <v>7.7803000000000004</v>
      </c>
      <c r="Q214">
        <v>42.569200000000002</v>
      </c>
      <c r="R214" t="s">
        <v>516</v>
      </c>
      <c r="T214" s="20">
        <v>14.88329339</v>
      </c>
      <c r="U214" s="20">
        <v>14.88329339</v>
      </c>
      <c r="V214" s="20">
        <v>14.88329339</v>
      </c>
      <c r="W214">
        <v>3.8250999999999999</v>
      </c>
      <c r="X214">
        <v>3.8250999999999999</v>
      </c>
      <c r="Y214">
        <v>28.884</v>
      </c>
      <c r="Z214">
        <v>0</v>
      </c>
      <c r="AD214">
        <v>20</v>
      </c>
      <c r="AE214" s="44">
        <f t="shared" si="10"/>
        <v>2576.8442821368285</v>
      </c>
      <c r="AF214" s="46">
        <v>218.43262216091571</v>
      </c>
      <c r="AG214" s="44">
        <v>422.61306904883998</v>
      </c>
      <c r="AH214" s="44">
        <v>0</v>
      </c>
      <c r="AI214" s="41"/>
      <c r="AJ214" s="40">
        <v>9.1561415150097566E-2</v>
      </c>
      <c r="AK214" s="41">
        <v>9.4649226276950119E-2</v>
      </c>
      <c r="AL214" s="41"/>
      <c r="AM214" s="23">
        <v>1.882352941176471</v>
      </c>
      <c r="AN214" s="23">
        <v>2.3529411764705879</v>
      </c>
      <c r="AO214" s="23">
        <v>1.6470588235294119</v>
      </c>
      <c r="AP214" s="23">
        <v>0</v>
      </c>
      <c r="AQ214" s="23">
        <v>0.32</v>
      </c>
      <c r="AR214" s="23">
        <v>0.4</v>
      </c>
      <c r="AS214" s="23">
        <v>0.28000000000000003</v>
      </c>
      <c r="AT214" s="23">
        <v>0</v>
      </c>
      <c r="AU214" s="20">
        <v>1.1000000000000001</v>
      </c>
      <c r="AV214" s="20">
        <v>3.44</v>
      </c>
      <c r="AW214" s="20">
        <v>2.34</v>
      </c>
      <c r="AX214" s="20">
        <v>2.651764705882353</v>
      </c>
      <c r="AY214">
        <v>2.651764705882353</v>
      </c>
      <c r="AZ214">
        <v>5.9274383647058819</v>
      </c>
      <c r="BA214" s="64">
        <v>0.55146660057091235</v>
      </c>
      <c r="BB214" s="64">
        <v>0.57006422384419775</v>
      </c>
      <c r="BE214">
        <v>4.5780707575048769E-2</v>
      </c>
      <c r="BF214">
        <v>4.7324613138475059E-2</v>
      </c>
      <c r="BH214">
        <v>9.3105320713523843E-2</v>
      </c>
      <c r="BI214">
        <v>4.6552660356761907E-2</v>
      </c>
      <c r="BJ214">
        <v>0.56076541220755505</v>
      </c>
    </row>
    <row r="215" spans="1:62" x14ac:dyDescent="0.3">
      <c r="A215" t="s">
        <v>38</v>
      </c>
      <c r="B215" s="12" t="s">
        <v>714</v>
      </c>
      <c r="C215" s="12"/>
      <c r="F215">
        <v>3.9</v>
      </c>
      <c r="G215" t="s">
        <v>182</v>
      </c>
      <c r="H215" s="8" t="s">
        <v>545</v>
      </c>
      <c r="I215" t="s">
        <v>626</v>
      </c>
      <c r="L215" s="20">
        <v>1</v>
      </c>
      <c r="M215">
        <v>1</v>
      </c>
      <c r="N215">
        <v>0</v>
      </c>
      <c r="T215" s="20">
        <v>5.8532381300000003</v>
      </c>
      <c r="U215" s="20">
        <v>5.8532371599999999</v>
      </c>
      <c r="V215" s="20">
        <v>11.912811489999999</v>
      </c>
      <c r="W215">
        <v>5.7946</v>
      </c>
      <c r="X215">
        <v>5.7946</v>
      </c>
      <c r="Y215">
        <v>11.787599999999999</v>
      </c>
      <c r="Z215">
        <v>0</v>
      </c>
      <c r="AD215">
        <v>30</v>
      </c>
      <c r="AE215" s="44">
        <f t="shared" si="10"/>
        <v>0</v>
      </c>
      <c r="AF215" s="46">
        <v>353.45760058531442</v>
      </c>
      <c r="AG215" s="44">
        <v>342.77011164986573</v>
      </c>
      <c r="AH215" s="44">
        <v>0</v>
      </c>
      <c r="AI215" s="41"/>
      <c r="AJ215" s="40">
        <v>8.487580957467307E-2</v>
      </c>
      <c r="AK215" s="41">
        <v>8.752221672887435E-2</v>
      </c>
      <c r="AL215" s="41"/>
      <c r="AM215" s="23">
        <v>1.833333333333333</v>
      </c>
      <c r="AN215" s="23">
        <v>2.5</v>
      </c>
      <c r="AO215" s="23">
        <v>0.66666666666666663</v>
      </c>
      <c r="AP215" s="23">
        <v>0</v>
      </c>
      <c r="AQ215" s="23">
        <v>0.36666666666666659</v>
      </c>
      <c r="AR215" s="23">
        <v>0.5</v>
      </c>
      <c r="AS215" s="23">
        <v>0.1333333333333333</v>
      </c>
      <c r="AT215" s="23">
        <v>0</v>
      </c>
      <c r="AU215" s="20">
        <v>0.89</v>
      </c>
      <c r="AV215" s="20">
        <v>3.44</v>
      </c>
      <c r="AW215" s="20">
        <v>2.5499999999999998</v>
      </c>
      <c r="AX215" s="20">
        <v>2.6020833333333329</v>
      </c>
      <c r="AY215">
        <v>2.6020833333333329</v>
      </c>
      <c r="AZ215">
        <v>5.9098726145833336</v>
      </c>
      <c r="BA215" s="64">
        <v>0.57410011132036598</v>
      </c>
      <c r="BB215" s="64">
        <v>0.59200041353179045</v>
      </c>
      <c r="BE215">
        <v>4.2437904787336528E-2</v>
      </c>
      <c r="BF215">
        <v>4.3761108364437168E-2</v>
      </c>
      <c r="BH215">
        <v>8.619901315177371E-2</v>
      </c>
      <c r="BI215">
        <v>4.3099506575886848E-2</v>
      </c>
      <c r="BJ215">
        <v>0.58305026242607827</v>
      </c>
    </row>
    <row r="216" spans="1:62" x14ac:dyDescent="0.3">
      <c r="A216" t="s">
        <v>48</v>
      </c>
      <c r="B216" s="12" t="s">
        <v>724</v>
      </c>
      <c r="C216" s="12"/>
      <c r="F216">
        <v>4.3</v>
      </c>
      <c r="G216" t="s">
        <v>183</v>
      </c>
      <c r="H216" s="8" t="s">
        <v>552</v>
      </c>
      <c r="I216" t="s">
        <v>630</v>
      </c>
      <c r="L216" s="20">
        <v>2</v>
      </c>
      <c r="M216">
        <v>8</v>
      </c>
      <c r="N216">
        <v>0</v>
      </c>
      <c r="T216" s="20">
        <v>7.4836094600000003</v>
      </c>
      <c r="U216" s="20">
        <v>7.4836094600000003</v>
      </c>
      <c r="V216" s="20">
        <v>7.4836094600000003</v>
      </c>
      <c r="W216">
        <v>10.34</v>
      </c>
      <c r="X216">
        <v>10.34</v>
      </c>
      <c r="Y216">
        <v>10.34</v>
      </c>
      <c r="Z216">
        <v>0</v>
      </c>
      <c r="AD216">
        <v>14</v>
      </c>
      <c r="AE216" s="44">
        <f t="shared" si="10"/>
        <v>0</v>
      </c>
      <c r="AF216" s="46">
        <v>296.35915518228359</v>
      </c>
      <c r="AG216" s="44">
        <v>1105.507304</v>
      </c>
      <c r="AH216" s="44">
        <v>0</v>
      </c>
      <c r="AI216" s="41"/>
      <c r="AJ216" s="40">
        <v>9.4479956196318104E-2</v>
      </c>
      <c r="AK216" s="41">
        <v>0.1013109543417363</v>
      </c>
      <c r="AL216" s="41"/>
      <c r="AM216" s="23">
        <v>1.8181818181818179</v>
      </c>
      <c r="AN216" s="23">
        <v>2.545454545454545</v>
      </c>
      <c r="AO216" s="23">
        <v>0.72727272727272729</v>
      </c>
      <c r="AP216" s="23">
        <v>0</v>
      </c>
      <c r="AQ216" s="23">
        <v>0.35714285714285721</v>
      </c>
      <c r="AR216" s="23">
        <v>0.5</v>
      </c>
      <c r="AS216" s="23">
        <v>0.1428571428571429</v>
      </c>
      <c r="AT216" s="23">
        <v>0</v>
      </c>
      <c r="AU216" s="20">
        <v>1</v>
      </c>
      <c r="AV216" s="20">
        <v>3.44</v>
      </c>
      <c r="AW216" s="20">
        <v>2.44</v>
      </c>
      <c r="AX216" s="20">
        <v>2.6618181818181821</v>
      </c>
      <c r="AY216">
        <v>2.6618181818181821</v>
      </c>
      <c r="AZ216">
        <v>6.0537295018181814</v>
      </c>
      <c r="BA216" s="64">
        <v>0.50642227837041764</v>
      </c>
      <c r="BB216" s="64">
        <v>0.5430371307011983</v>
      </c>
      <c r="BE216">
        <v>4.7239978098159073E-2</v>
      </c>
      <c r="BF216">
        <v>5.0655477170868157E-2</v>
      </c>
      <c r="BH216">
        <v>9.789545526902721E-2</v>
      </c>
      <c r="BI216">
        <v>4.8947727634513619E-2</v>
      </c>
      <c r="BJ216">
        <v>0.52472970453580792</v>
      </c>
    </row>
    <row r="217" spans="1:62" x14ac:dyDescent="0.3">
      <c r="A217" t="s">
        <v>49</v>
      </c>
      <c r="B217" s="12" t="s">
        <v>725</v>
      </c>
      <c r="C217" s="12"/>
      <c r="F217">
        <v>4.0999999999999996</v>
      </c>
      <c r="G217" t="s">
        <v>183</v>
      </c>
      <c r="H217" s="8" t="s">
        <v>553</v>
      </c>
      <c r="I217" t="s">
        <v>631</v>
      </c>
      <c r="L217" s="20">
        <v>8</v>
      </c>
      <c r="M217">
        <v>8</v>
      </c>
      <c r="N217">
        <v>0</v>
      </c>
      <c r="T217" s="20">
        <v>5.8017180100000001</v>
      </c>
      <c r="U217" s="20">
        <v>7.9756520899999996</v>
      </c>
      <c r="V217" s="20">
        <v>27.352093400000001</v>
      </c>
      <c r="W217">
        <v>26.646989999999999</v>
      </c>
      <c r="X217">
        <v>7.9359999999999999</v>
      </c>
      <c r="Y217">
        <v>5.7050000000000001</v>
      </c>
      <c r="Z217">
        <v>0</v>
      </c>
      <c r="AD217">
        <v>14</v>
      </c>
      <c r="AE217" s="44">
        <f t="shared" si="10"/>
        <v>0</v>
      </c>
      <c r="AF217" s="46">
        <v>1265.6493143942739</v>
      </c>
      <c r="AG217" s="44">
        <v>1206.4392746112001</v>
      </c>
      <c r="AH217" s="44">
        <v>0</v>
      </c>
      <c r="AI217" s="41"/>
      <c r="AJ217" s="40">
        <v>8.8492127105210025E-2</v>
      </c>
      <c r="AK217" s="41">
        <v>9.2835174017436004E-2</v>
      </c>
      <c r="AL217" s="41"/>
      <c r="AM217" s="23">
        <v>1.8181818181818179</v>
      </c>
      <c r="AN217" s="23">
        <v>2.545454545454545</v>
      </c>
      <c r="AO217" s="23">
        <v>0.72727272727272729</v>
      </c>
      <c r="AP217" s="23">
        <v>0</v>
      </c>
      <c r="AQ217" s="23">
        <v>0.35714285714285721</v>
      </c>
      <c r="AR217" s="23">
        <v>0.5</v>
      </c>
      <c r="AS217" s="23">
        <v>0.1428571428571429</v>
      </c>
      <c r="AT217" s="23">
        <v>0</v>
      </c>
      <c r="AU217" s="20">
        <v>0.95</v>
      </c>
      <c r="AV217" s="20">
        <v>3.44</v>
      </c>
      <c r="AW217" s="20">
        <v>2.4900000000000002</v>
      </c>
      <c r="AX217" s="20">
        <v>2.6527272727272719</v>
      </c>
      <c r="AY217">
        <v>2.6527272727272728</v>
      </c>
      <c r="AZ217">
        <v>6.0182046818181814</v>
      </c>
      <c r="BA217" s="64">
        <v>0.5176653673612065</v>
      </c>
      <c r="BB217" s="64">
        <v>0.54307152550012683</v>
      </c>
      <c r="BE217">
        <v>4.4246063552605013E-2</v>
      </c>
      <c r="BF217">
        <v>4.6417587008717988E-2</v>
      </c>
      <c r="BH217">
        <v>9.0663650561323014E-2</v>
      </c>
      <c r="BI217">
        <v>4.53318252806615E-2</v>
      </c>
      <c r="BJ217">
        <v>0.53036844643066661</v>
      </c>
    </row>
    <row r="218" spans="1:62" x14ac:dyDescent="0.3">
      <c r="A218" t="s">
        <v>46</v>
      </c>
      <c r="B218" s="12" t="s">
        <v>722</v>
      </c>
      <c r="C218" s="12"/>
      <c r="F218">
        <v>3.2</v>
      </c>
      <c r="G218" t="s">
        <v>183</v>
      </c>
      <c r="H218" s="8" t="s">
        <v>551</v>
      </c>
      <c r="I218" t="s">
        <v>629</v>
      </c>
      <c r="L218" s="20">
        <v>2</v>
      </c>
      <c r="M218">
        <v>4</v>
      </c>
      <c r="N218">
        <v>0</v>
      </c>
      <c r="T218" s="20">
        <v>7.41544296</v>
      </c>
      <c r="U218" s="20">
        <v>7.4154429599999991</v>
      </c>
      <c r="V218" s="20">
        <v>7.41544296</v>
      </c>
      <c r="W218">
        <v>7.8</v>
      </c>
      <c r="X218">
        <v>13.010999999999999</v>
      </c>
      <c r="Y218">
        <v>5.5460000000000003</v>
      </c>
      <c r="Z218">
        <v>0</v>
      </c>
      <c r="AD218">
        <v>14</v>
      </c>
      <c r="AE218" s="44">
        <f t="shared" si="10"/>
        <v>0</v>
      </c>
      <c r="AF218" s="46">
        <v>288.33429290182369</v>
      </c>
      <c r="AG218" s="44">
        <v>556.51188553357167</v>
      </c>
      <c r="AH218" s="44">
        <v>0</v>
      </c>
      <c r="AI218" s="41"/>
      <c r="AJ218" s="40">
        <v>9.7109503410799117E-2</v>
      </c>
      <c r="AK218" s="41">
        <v>0.10062678166578309</v>
      </c>
      <c r="AL218" s="41"/>
      <c r="AM218" s="23">
        <v>2</v>
      </c>
      <c r="AN218" s="23">
        <v>2.545454545454545</v>
      </c>
      <c r="AO218" s="23">
        <v>0.54545454545454541</v>
      </c>
      <c r="AP218" s="23">
        <v>0</v>
      </c>
      <c r="AQ218" s="23">
        <v>0.39285714285714279</v>
      </c>
      <c r="AR218" s="23">
        <v>0.5</v>
      </c>
      <c r="AS218" s="23">
        <v>0.1071428571428571</v>
      </c>
      <c r="AT218" s="23">
        <v>0</v>
      </c>
      <c r="AU218" s="20">
        <v>1.1000000000000001</v>
      </c>
      <c r="AV218" s="20">
        <v>3.44</v>
      </c>
      <c r="AW218" s="20">
        <v>2.34</v>
      </c>
      <c r="AX218" s="20">
        <v>2.669090909090909</v>
      </c>
      <c r="AY218">
        <v>2.669090909090909</v>
      </c>
      <c r="AZ218">
        <v>5.9831974772727277</v>
      </c>
      <c r="BA218" s="64">
        <v>0.52442413903612473</v>
      </c>
      <c r="BB218" s="64">
        <v>0.54341863036636606</v>
      </c>
      <c r="BE218">
        <v>4.8554751705399558E-2</v>
      </c>
      <c r="BF218">
        <v>5.0313390832891547E-2</v>
      </c>
      <c r="BH218">
        <v>9.8868142538291098E-2</v>
      </c>
      <c r="BI218">
        <v>4.9434071269145549E-2</v>
      </c>
      <c r="BJ218">
        <v>0.53392138470124539</v>
      </c>
    </row>
    <row r="219" spans="1:62" x14ac:dyDescent="0.3">
      <c r="A219" t="s">
        <v>47</v>
      </c>
      <c r="B219" s="12" t="s">
        <v>723</v>
      </c>
      <c r="C219" s="12"/>
      <c r="F219">
        <v>3.8</v>
      </c>
      <c r="G219" t="s">
        <v>183</v>
      </c>
      <c r="H219" s="8">
        <v>-1</v>
      </c>
      <c r="I219">
        <v>-1</v>
      </c>
      <c r="J219" t="s">
        <v>1152</v>
      </c>
      <c r="L219" s="20">
        <v>0</v>
      </c>
      <c r="M219">
        <v>0</v>
      </c>
      <c r="N219">
        <v>2</v>
      </c>
      <c r="T219" s="20">
        <v>0</v>
      </c>
      <c r="U219" s="20"/>
      <c r="V219" s="20"/>
      <c r="W219">
        <v>0</v>
      </c>
      <c r="Z219">
        <v>5.5170000000000003</v>
      </c>
      <c r="AA219">
        <v>31.274999999999999</v>
      </c>
      <c r="AB219">
        <v>3.8942000000000001</v>
      </c>
      <c r="AD219">
        <v>34</v>
      </c>
      <c r="AE219" s="44">
        <f t="shared" si="10"/>
        <v>0</v>
      </c>
      <c r="AF219" s="46">
        <v>0</v>
      </c>
      <c r="AG219" s="44">
        <v>0</v>
      </c>
      <c r="AH219" s="44">
        <v>671.92152628500003</v>
      </c>
      <c r="AI219" s="41"/>
      <c r="AJ219" s="40"/>
      <c r="AK219" s="41"/>
      <c r="AL219" s="41">
        <v>0.1012022942261822</v>
      </c>
      <c r="AM219" s="23">
        <v>2</v>
      </c>
      <c r="AN219" s="23">
        <v>2.518518518518519</v>
      </c>
      <c r="AO219" s="23">
        <v>0.51851851851851849</v>
      </c>
      <c r="AP219" s="23">
        <v>0</v>
      </c>
      <c r="AQ219" s="23">
        <v>0.39705882352941169</v>
      </c>
      <c r="AR219" s="23">
        <v>0.5</v>
      </c>
      <c r="AS219" s="23">
        <v>0.1029411764705882</v>
      </c>
      <c r="AT219" s="23">
        <v>0</v>
      </c>
      <c r="AU219" s="20">
        <v>1</v>
      </c>
      <c r="AV219" s="20">
        <v>3.44</v>
      </c>
      <c r="AW219" s="20">
        <v>2.44</v>
      </c>
      <c r="AX219" s="20">
        <v>2.6511111111111112</v>
      </c>
      <c r="AY219">
        <v>2.6511111111111112</v>
      </c>
      <c r="AZ219">
        <v>5.9544359512962952</v>
      </c>
      <c r="BG219">
        <v>5.0601147113091112E-2</v>
      </c>
      <c r="BH219">
        <v>0.1012022942261822</v>
      </c>
      <c r="BI219">
        <v>5.0601147113091112E-2</v>
      </c>
      <c r="BJ219">
        <v>0</v>
      </c>
    </row>
    <row r="220" spans="1:62" x14ac:dyDescent="0.3">
      <c r="A220" t="s">
        <v>8</v>
      </c>
      <c r="B220" s="12" t="s">
        <v>694</v>
      </c>
      <c r="C220" s="12"/>
      <c r="F220">
        <v>3.1</v>
      </c>
      <c r="G220" t="s">
        <v>183</v>
      </c>
      <c r="H220" s="8" t="s">
        <v>530</v>
      </c>
      <c r="I220" t="s">
        <v>612</v>
      </c>
      <c r="L220" s="20">
        <v>30</v>
      </c>
      <c r="M220">
        <v>4</v>
      </c>
      <c r="N220">
        <v>0</v>
      </c>
      <c r="T220" s="20">
        <v>10.59112378</v>
      </c>
      <c r="U220" s="20">
        <v>10.784736629999999</v>
      </c>
      <c r="V220" s="20">
        <v>10.486176179999999</v>
      </c>
      <c r="W220">
        <v>3.73</v>
      </c>
      <c r="X220">
        <v>3.73</v>
      </c>
      <c r="Y220">
        <v>9.3699999999999992</v>
      </c>
      <c r="Z220">
        <v>0</v>
      </c>
      <c r="AD220">
        <v>4</v>
      </c>
      <c r="AE220" s="44">
        <f t="shared" si="10"/>
        <v>0</v>
      </c>
      <c r="AF220" s="46">
        <v>1182.741260108548</v>
      </c>
      <c r="AG220" s="44">
        <v>130.36387300000001</v>
      </c>
      <c r="AH220" s="44">
        <v>0</v>
      </c>
      <c r="AI220" s="41"/>
      <c r="AJ220" s="40">
        <v>0.1014592151701775</v>
      </c>
      <c r="AK220" s="41">
        <v>0.1227333894874388</v>
      </c>
      <c r="AL220" s="41"/>
      <c r="AM220" s="23">
        <v>2</v>
      </c>
      <c r="AN220" s="23">
        <v>2.666666666666667</v>
      </c>
      <c r="AO220" s="23">
        <v>0.66666666666666663</v>
      </c>
      <c r="AP220" s="23">
        <v>0</v>
      </c>
      <c r="AQ220" s="23">
        <v>0.375</v>
      </c>
      <c r="AR220" s="23">
        <v>0.5</v>
      </c>
      <c r="AS220" s="23">
        <v>0.125</v>
      </c>
      <c r="AT220" s="23">
        <v>0</v>
      </c>
      <c r="AU220" s="20">
        <v>1.54</v>
      </c>
      <c r="AV220" s="20">
        <v>3.44</v>
      </c>
      <c r="AW220" s="20">
        <v>1.9</v>
      </c>
      <c r="AX220" s="20">
        <v>2.8066666666666671</v>
      </c>
      <c r="AY220">
        <v>2.8066666666666662</v>
      </c>
      <c r="AZ220">
        <v>6.1769976</v>
      </c>
      <c r="BA220" s="64">
        <v>0.46900407026869628</v>
      </c>
      <c r="BB220" s="64">
        <v>0.56734579634715776</v>
      </c>
      <c r="BE220">
        <v>5.072960758508873E-2</v>
      </c>
      <c r="BF220">
        <v>6.136669474371937E-2</v>
      </c>
      <c r="BH220">
        <v>0.1120963023288082</v>
      </c>
      <c r="BI220">
        <v>5.604815116440405E-2</v>
      </c>
      <c r="BJ220">
        <v>0.51817493330792708</v>
      </c>
    </row>
    <row r="221" spans="1:62" x14ac:dyDescent="0.3">
      <c r="A221" t="s">
        <v>0</v>
      </c>
      <c r="B221" s="12" t="s">
        <v>685</v>
      </c>
      <c r="C221" s="12"/>
      <c r="F221">
        <v>3.3</v>
      </c>
      <c r="G221" t="s">
        <v>183</v>
      </c>
      <c r="H221" s="8" t="s">
        <v>523</v>
      </c>
      <c r="I221" t="s">
        <v>606</v>
      </c>
      <c r="L221" s="20">
        <v>4</v>
      </c>
      <c r="M221">
        <v>4</v>
      </c>
      <c r="N221">
        <v>0</v>
      </c>
      <c r="T221" s="20">
        <v>6.6040679999999998</v>
      </c>
      <c r="U221" s="20">
        <v>7.9389519999999996</v>
      </c>
      <c r="V221" s="20">
        <v>33.703336</v>
      </c>
      <c r="W221">
        <v>7.83</v>
      </c>
      <c r="X221">
        <v>33.209989999999998</v>
      </c>
      <c r="Y221">
        <v>6.46</v>
      </c>
      <c r="Z221">
        <v>0</v>
      </c>
      <c r="AD221">
        <v>34</v>
      </c>
      <c r="AE221" s="44">
        <f t="shared" si="10"/>
        <v>0</v>
      </c>
      <c r="AF221" s="46">
        <v>1767.0449718798691</v>
      </c>
      <c r="AG221" s="44">
        <v>1679.8210721820001</v>
      </c>
      <c r="AH221" s="44">
        <v>0</v>
      </c>
      <c r="AI221" s="41"/>
      <c r="AJ221" s="40">
        <v>7.6964651247849417E-2</v>
      </c>
      <c r="AK221" s="41">
        <v>8.0961003676030277E-2</v>
      </c>
      <c r="AL221" s="41"/>
      <c r="AM221" s="23">
        <v>1.62962962962963</v>
      </c>
      <c r="AN221" s="23">
        <v>2.518518518518519</v>
      </c>
      <c r="AO221" s="23">
        <v>0.88888888888888884</v>
      </c>
      <c r="AP221" s="23">
        <v>0</v>
      </c>
      <c r="AQ221" s="23">
        <v>0.32352941176470579</v>
      </c>
      <c r="AR221" s="23">
        <v>0.5</v>
      </c>
      <c r="AS221" s="23">
        <v>0.1764705882352941</v>
      </c>
      <c r="AT221" s="23">
        <v>0</v>
      </c>
      <c r="AU221" s="20">
        <v>0.82</v>
      </c>
      <c r="AV221" s="20">
        <v>3.44</v>
      </c>
      <c r="AW221" s="20">
        <v>2.62</v>
      </c>
      <c r="AX221" s="20">
        <v>2.642962962962963</v>
      </c>
      <c r="AY221">
        <v>2.642962962962963</v>
      </c>
      <c r="AZ221">
        <v>5.9587362692592576</v>
      </c>
      <c r="BA221" s="64">
        <v>0.48264383878002159</v>
      </c>
      <c r="BB221" s="64">
        <v>0.50770488753139842</v>
      </c>
      <c r="BE221">
        <v>3.8482325623924708E-2</v>
      </c>
      <c r="BF221">
        <v>4.0480501838015132E-2</v>
      </c>
      <c r="BH221">
        <v>7.8962827461939847E-2</v>
      </c>
      <c r="BI221">
        <v>3.9481413730969923E-2</v>
      </c>
      <c r="BJ221">
        <v>0.49517436315571001</v>
      </c>
    </row>
    <row r="222" spans="1:62" x14ac:dyDescent="0.3">
      <c r="A222" s="4" t="s">
        <v>184</v>
      </c>
      <c r="B222" s="29" t="s">
        <v>798</v>
      </c>
      <c r="C222" s="29"/>
      <c r="D222" s="4"/>
      <c r="E222" s="4"/>
      <c r="F222" s="4">
        <v>3.5</v>
      </c>
      <c r="G222" s="4" t="s">
        <v>183</v>
      </c>
      <c r="H222" s="30">
        <v>-2</v>
      </c>
      <c r="I222" s="4">
        <v>-1</v>
      </c>
      <c r="J222" s="4"/>
      <c r="K222" s="4"/>
      <c r="L222" s="31">
        <v>0</v>
      </c>
      <c r="M222">
        <v>0</v>
      </c>
      <c r="N222">
        <v>0</v>
      </c>
      <c r="O222" s="4"/>
      <c r="P222" s="4"/>
      <c r="Q222" s="4"/>
      <c r="R222" s="4"/>
      <c r="S222" s="4"/>
      <c r="T222" s="31">
        <v>0</v>
      </c>
      <c r="U222" s="31"/>
      <c r="V222" s="31"/>
      <c r="W222">
        <v>0</v>
      </c>
      <c r="Z222">
        <v>0</v>
      </c>
      <c r="AC222" s="4"/>
      <c r="AD222" s="4">
        <v>20</v>
      </c>
      <c r="AE222" s="44">
        <f t="shared" si="10"/>
        <v>0</v>
      </c>
      <c r="AF222" s="46">
        <v>0</v>
      </c>
      <c r="AG222" s="44">
        <v>0</v>
      </c>
      <c r="AH222" s="44">
        <v>0</v>
      </c>
      <c r="AI222" s="41"/>
      <c r="AJ222" s="40"/>
      <c r="AK222" s="41"/>
      <c r="AL222" s="41"/>
      <c r="AM222" s="4">
        <v>1.9375</v>
      </c>
      <c r="AN222" s="4">
        <v>2.5</v>
      </c>
      <c r="AO222" s="4">
        <v>0.5625</v>
      </c>
      <c r="AP222" s="4">
        <v>2.625</v>
      </c>
      <c r="AQ222" s="4">
        <v>0.25409836065573771</v>
      </c>
      <c r="AR222" s="4">
        <v>0.32786885245901642</v>
      </c>
      <c r="AS222" s="4">
        <v>7.3770491803278687E-2</v>
      </c>
      <c r="AT222" s="4">
        <v>0.34426229508196721</v>
      </c>
      <c r="AU222" s="31">
        <v>0.82</v>
      </c>
      <c r="AV222" s="31">
        <v>3.44</v>
      </c>
      <c r="AW222" s="31">
        <v>2.62</v>
      </c>
      <c r="AX222" s="31">
        <v>2.59375</v>
      </c>
      <c r="AY222" s="4">
        <v>2.59375</v>
      </c>
      <c r="AZ222" s="4">
        <v>5.9363868768750008</v>
      </c>
      <c r="BH222">
        <v>0</v>
      </c>
      <c r="BI222">
        <v>0</v>
      </c>
      <c r="BJ222">
        <v>0</v>
      </c>
    </row>
    <row r="223" spans="1:62" x14ac:dyDescent="0.3">
      <c r="A223" t="s">
        <v>185</v>
      </c>
      <c r="B223" s="12" t="s">
        <v>729</v>
      </c>
      <c r="C223" s="12"/>
      <c r="F223">
        <v>4.55</v>
      </c>
      <c r="G223" t="s">
        <v>192</v>
      </c>
      <c r="H223" s="8" t="s">
        <v>556</v>
      </c>
      <c r="I223" t="s">
        <v>633</v>
      </c>
      <c r="K223">
        <v>4</v>
      </c>
      <c r="L223" s="20">
        <v>2</v>
      </c>
      <c r="M223">
        <v>4</v>
      </c>
      <c r="N223">
        <v>0</v>
      </c>
      <c r="O223">
        <v>3.9369999999999998</v>
      </c>
      <c r="P223">
        <v>27.198</v>
      </c>
      <c r="Q223">
        <v>5.6920000000000002</v>
      </c>
      <c r="T223" s="20">
        <v>13.81974189</v>
      </c>
      <c r="U223" s="20">
        <v>13.81974189</v>
      </c>
      <c r="V223" s="20">
        <v>5.7110870199999999</v>
      </c>
      <c r="W223">
        <v>3.94</v>
      </c>
      <c r="X223">
        <v>27.15</v>
      </c>
      <c r="Y223">
        <v>5.6920000000000002</v>
      </c>
      <c r="Z223">
        <v>0</v>
      </c>
      <c r="AD223">
        <v>14</v>
      </c>
      <c r="AE223" s="44">
        <f t="shared" si="10"/>
        <v>609.49096999200003</v>
      </c>
      <c r="AF223" s="46">
        <v>309.44138863753989</v>
      </c>
      <c r="AG223" s="44">
        <v>608.87893199999996</v>
      </c>
      <c r="AH223" s="44">
        <v>0</v>
      </c>
      <c r="AI223" s="41">
        <f t="shared" ref="AI223:AI236" si="12">K223*AD223/AE223</f>
        <v>9.1879950248869205E-2</v>
      </c>
      <c r="AJ223" s="40">
        <v>9.0485633235046756E-2</v>
      </c>
      <c r="AK223" s="41">
        <v>9.1972306901891634E-2</v>
      </c>
      <c r="AL223" s="41"/>
      <c r="AM223" s="23">
        <v>2</v>
      </c>
      <c r="AN223" s="23">
        <v>2.545454545454545</v>
      </c>
      <c r="AO223" s="23">
        <v>0.54545454545454541</v>
      </c>
      <c r="AP223" s="23">
        <v>2.545454545454545</v>
      </c>
      <c r="AQ223" s="23">
        <v>0.26190476190476192</v>
      </c>
      <c r="AR223" s="23">
        <v>0.33333333333333331</v>
      </c>
      <c r="AS223" s="23">
        <v>7.1428571428571425E-2</v>
      </c>
      <c r="AT223" s="23">
        <v>0.33333333333333331</v>
      </c>
      <c r="AU223" s="20">
        <v>0.95</v>
      </c>
      <c r="AV223" s="20">
        <v>3.44</v>
      </c>
      <c r="AW223" s="20">
        <v>2.4900000000000002</v>
      </c>
      <c r="AX223" s="20">
        <v>2.6345454545454539</v>
      </c>
      <c r="AY223">
        <v>2.6345454545454552</v>
      </c>
      <c r="AZ223">
        <v>6.036062318181818</v>
      </c>
      <c r="BA223" s="64">
        <v>0.52932707238284982</v>
      </c>
      <c r="BB223" s="64">
        <v>0.53802388525275069</v>
      </c>
      <c r="BD223">
        <v>4.5939975124434602E-2</v>
      </c>
      <c r="BE223">
        <v>4.5242816617523378E-2</v>
      </c>
      <c r="BF223">
        <v>4.5986153450945817E-2</v>
      </c>
      <c r="BH223">
        <v>9.1445963461935856E-2</v>
      </c>
      <c r="BI223">
        <v>4.5722981730967928E-2</v>
      </c>
      <c r="BJ223">
        <v>0.5336754788178002</v>
      </c>
    </row>
    <row r="224" spans="1:62" x14ac:dyDescent="0.3">
      <c r="A224" t="s">
        <v>1227</v>
      </c>
      <c r="B224" s="57" t="s">
        <v>1234</v>
      </c>
      <c r="C224" s="12"/>
      <c r="F224">
        <v>4.43</v>
      </c>
      <c r="G224" t="s">
        <v>192</v>
      </c>
      <c r="H224" s="8">
        <v>-1</v>
      </c>
      <c r="I224">
        <v>-1</v>
      </c>
      <c r="K224">
        <v>4</v>
      </c>
      <c r="L224" s="20">
        <v>0</v>
      </c>
      <c r="M224">
        <v>0</v>
      </c>
      <c r="N224">
        <v>0</v>
      </c>
      <c r="O224" s="1">
        <v>3.9369999999999998</v>
      </c>
      <c r="P224" s="1">
        <v>27.198</v>
      </c>
      <c r="Q224" s="1">
        <v>5.6920000000000002</v>
      </c>
      <c r="T224" s="20">
        <v>0</v>
      </c>
      <c r="U224" s="20"/>
      <c r="V224" s="20"/>
      <c r="W224">
        <v>0</v>
      </c>
      <c r="Z224">
        <v>0</v>
      </c>
      <c r="AD224">
        <v>14</v>
      </c>
      <c r="AE224" s="44">
        <f t="shared" si="10"/>
        <v>609.49096999200003</v>
      </c>
      <c r="AF224" s="46">
        <v>0</v>
      </c>
      <c r="AG224" s="44">
        <v>0</v>
      </c>
      <c r="AH224" s="44">
        <v>0</v>
      </c>
      <c r="AI224" s="41">
        <f t="shared" si="12"/>
        <v>9.1879950248869205E-2</v>
      </c>
      <c r="AJ224" s="40"/>
      <c r="AK224" s="41"/>
      <c r="AL224" s="41"/>
      <c r="AM224" s="23">
        <v>1.9950000000000001</v>
      </c>
      <c r="AN224" s="23">
        <v>2.8</v>
      </c>
      <c r="AO224" s="23">
        <v>0.30499999999999999</v>
      </c>
      <c r="AP224" s="23">
        <v>1.33</v>
      </c>
      <c r="AQ224" s="23">
        <v>0.31026438569206838</v>
      </c>
      <c r="AR224" s="23">
        <v>0.43545878693623641</v>
      </c>
      <c r="AS224" s="23">
        <v>4.7433903576982892E-2</v>
      </c>
      <c r="AT224" s="23">
        <v>0.20684292379471231</v>
      </c>
      <c r="AU224" s="20">
        <v>0.95</v>
      </c>
      <c r="AV224" s="20">
        <v>3.44</v>
      </c>
      <c r="AW224" s="20">
        <v>2.4900000000000002</v>
      </c>
      <c r="AX224" s="20">
        <v>2.7484999999999991</v>
      </c>
      <c r="AY224">
        <v>2.7484999999999999</v>
      </c>
      <c r="AZ224">
        <v>6.2455429149999997</v>
      </c>
      <c r="BD224">
        <v>4.5939975124434602E-2</v>
      </c>
      <c r="BH224">
        <v>9.1879950248869205E-2</v>
      </c>
      <c r="BI224">
        <v>4.5939975124434602E-2</v>
      </c>
      <c r="BJ224">
        <v>0</v>
      </c>
    </row>
    <row r="225" spans="1:62" x14ac:dyDescent="0.3">
      <c r="A225" t="s">
        <v>1228</v>
      </c>
      <c r="B225" s="57" t="s">
        <v>1235</v>
      </c>
      <c r="C225" s="12"/>
      <c r="F225">
        <v>4.34</v>
      </c>
      <c r="G225" t="s">
        <v>192</v>
      </c>
      <c r="H225" s="8">
        <v>-1</v>
      </c>
      <c r="I225">
        <v>-1</v>
      </c>
      <c r="K225">
        <v>4</v>
      </c>
      <c r="L225" s="20">
        <v>0</v>
      </c>
      <c r="M225">
        <v>0</v>
      </c>
      <c r="N225">
        <v>0</v>
      </c>
      <c r="O225" s="1">
        <v>3.9369999999999998</v>
      </c>
      <c r="P225" s="1">
        <v>27.198</v>
      </c>
      <c r="Q225" s="1">
        <v>5.6920000000000002</v>
      </c>
      <c r="T225" s="20">
        <v>0</v>
      </c>
      <c r="U225" s="20"/>
      <c r="V225" s="20"/>
      <c r="W225">
        <v>0</v>
      </c>
      <c r="Z225">
        <v>0</v>
      </c>
      <c r="AD225">
        <v>14</v>
      </c>
      <c r="AE225" s="44">
        <f t="shared" si="10"/>
        <v>609.49096999200003</v>
      </c>
      <c r="AF225" s="46">
        <v>0</v>
      </c>
      <c r="AG225" s="44">
        <v>0</v>
      </c>
      <c r="AH225" s="44">
        <v>0</v>
      </c>
      <c r="AI225" s="41">
        <f t="shared" si="12"/>
        <v>9.1879950248869205E-2</v>
      </c>
      <c r="AJ225" s="40"/>
      <c r="AK225" s="41"/>
      <c r="AL225" s="41"/>
      <c r="AM225" s="23">
        <v>1.99</v>
      </c>
      <c r="AN225" s="23">
        <v>2.8</v>
      </c>
      <c r="AO225" s="23">
        <v>0.31</v>
      </c>
      <c r="AP225" s="23">
        <v>1.26</v>
      </c>
      <c r="AQ225" s="23">
        <v>0.31289308176100628</v>
      </c>
      <c r="AR225" s="23">
        <v>0.44025157232704398</v>
      </c>
      <c r="AS225" s="23">
        <v>4.874213836477987E-2</v>
      </c>
      <c r="AT225" s="23">
        <v>0.1981132075471698</v>
      </c>
      <c r="AU225" s="20">
        <v>0.95</v>
      </c>
      <c r="AV225" s="20">
        <v>3.44</v>
      </c>
      <c r="AW225" s="20">
        <v>2.4900000000000002</v>
      </c>
      <c r="AX225" s="20">
        <v>2.7490000000000001</v>
      </c>
      <c r="AY225">
        <v>2.7490000000000001</v>
      </c>
      <c r="AZ225">
        <v>6.2450518300000004</v>
      </c>
      <c r="BD225">
        <v>4.5939975124434602E-2</v>
      </c>
      <c r="BH225">
        <v>9.1879950248869205E-2</v>
      </c>
      <c r="BI225">
        <v>4.5939975124434602E-2</v>
      </c>
      <c r="BJ225">
        <v>0</v>
      </c>
    </row>
    <row r="226" spans="1:62" x14ac:dyDescent="0.3">
      <c r="A226" t="s">
        <v>1229</v>
      </c>
      <c r="B226" s="57" t="s">
        <v>1236</v>
      </c>
      <c r="C226" s="12"/>
      <c r="F226">
        <v>4.2699999999999996</v>
      </c>
      <c r="G226" t="s">
        <v>192</v>
      </c>
      <c r="H226" s="8">
        <v>-1</v>
      </c>
      <c r="I226">
        <v>-1</v>
      </c>
      <c r="K226">
        <v>4</v>
      </c>
      <c r="L226" s="20">
        <v>0</v>
      </c>
      <c r="M226">
        <v>0</v>
      </c>
      <c r="N226">
        <v>0</v>
      </c>
      <c r="O226" s="1">
        <v>3.9369999999999998</v>
      </c>
      <c r="P226" s="1">
        <v>27.198</v>
      </c>
      <c r="Q226" s="1">
        <v>5.6920000000000002</v>
      </c>
      <c r="T226" s="20">
        <v>0</v>
      </c>
      <c r="U226" s="20"/>
      <c r="V226" s="20"/>
      <c r="W226">
        <v>0</v>
      </c>
      <c r="Z226">
        <v>0</v>
      </c>
      <c r="AD226">
        <v>14</v>
      </c>
      <c r="AE226" s="44">
        <f t="shared" si="10"/>
        <v>609.49096999200003</v>
      </c>
      <c r="AF226" s="46">
        <v>0</v>
      </c>
      <c r="AG226" s="44">
        <v>0</v>
      </c>
      <c r="AH226" s="44">
        <v>0</v>
      </c>
      <c r="AI226" s="41">
        <f t="shared" si="12"/>
        <v>9.1879950248869205E-2</v>
      </c>
      <c r="AJ226" s="40"/>
      <c r="AK226" s="41"/>
      <c r="AL226" s="41"/>
      <c r="AM226" s="23">
        <v>1.9850000000000001</v>
      </c>
      <c r="AN226" s="23">
        <v>2.8</v>
      </c>
      <c r="AO226" s="23">
        <v>0.315</v>
      </c>
      <c r="AP226" s="23">
        <v>1.19</v>
      </c>
      <c r="AQ226" s="23">
        <v>0.31558028616852152</v>
      </c>
      <c r="AR226" s="23">
        <v>0.4451510333863275</v>
      </c>
      <c r="AS226" s="23">
        <v>5.0079491255961853E-2</v>
      </c>
      <c r="AT226" s="23">
        <v>0.1891891891891892</v>
      </c>
      <c r="AU226" s="20">
        <v>0.95</v>
      </c>
      <c r="AV226" s="20">
        <v>3.44</v>
      </c>
      <c r="AW226" s="20">
        <v>2.4900000000000002</v>
      </c>
      <c r="AX226" s="20">
        <v>2.7494999999999989</v>
      </c>
      <c r="AY226">
        <v>2.7494999999999998</v>
      </c>
      <c r="AZ226">
        <v>6.2445607449999994</v>
      </c>
      <c r="BD226">
        <v>4.5939975124434602E-2</v>
      </c>
      <c r="BH226">
        <v>9.1879950248869205E-2</v>
      </c>
      <c r="BI226">
        <v>4.5939975124434602E-2</v>
      </c>
      <c r="BJ226">
        <v>0</v>
      </c>
    </row>
    <row r="227" spans="1:62" x14ac:dyDescent="0.3">
      <c r="A227" t="s">
        <v>1230</v>
      </c>
      <c r="B227" s="57" t="s">
        <v>1237</v>
      </c>
      <c r="C227" s="12"/>
      <c r="F227">
        <v>4.13</v>
      </c>
      <c r="G227" t="s">
        <v>192</v>
      </c>
      <c r="H227" s="8">
        <v>-1</v>
      </c>
      <c r="I227">
        <v>-1</v>
      </c>
      <c r="K227">
        <v>4</v>
      </c>
      <c r="L227" s="20">
        <v>0</v>
      </c>
      <c r="M227">
        <v>0</v>
      </c>
      <c r="N227">
        <v>0</v>
      </c>
      <c r="O227" s="1">
        <v>3.9369999999999998</v>
      </c>
      <c r="P227" s="1">
        <v>27.198</v>
      </c>
      <c r="Q227" s="1">
        <v>5.6920000000000002</v>
      </c>
      <c r="T227" s="20">
        <v>0</v>
      </c>
      <c r="U227" s="20"/>
      <c r="V227" s="20"/>
      <c r="W227">
        <v>0</v>
      </c>
      <c r="Z227">
        <v>0</v>
      </c>
      <c r="AD227">
        <v>14</v>
      </c>
      <c r="AE227" s="44">
        <f t="shared" si="10"/>
        <v>609.49096999200003</v>
      </c>
      <c r="AF227" s="46">
        <v>0</v>
      </c>
      <c r="AG227" s="44">
        <v>0</v>
      </c>
      <c r="AH227" s="44">
        <v>0</v>
      </c>
      <c r="AI227" s="41">
        <f t="shared" si="12"/>
        <v>9.1879950248869205E-2</v>
      </c>
      <c r="AJ227" s="40"/>
      <c r="AK227" s="41"/>
      <c r="AL227" s="41"/>
      <c r="AM227" s="23">
        <v>1.9750000000000001</v>
      </c>
      <c r="AN227" s="23">
        <v>2.8</v>
      </c>
      <c r="AO227" s="23">
        <v>0.32500000000000001</v>
      </c>
      <c r="AP227" s="23">
        <v>1.05</v>
      </c>
      <c r="AQ227" s="23">
        <v>0.32113821138211379</v>
      </c>
      <c r="AR227" s="23">
        <v>0.45528455284552838</v>
      </c>
      <c r="AS227" s="23">
        <v>5.2845528455284549E-2</v>
      </c>
      <c r="AT227" s="23">
        <v>0.17073170731707321</v>
      </c>
      <c r="AU227" s="20">
        <v>0.95</v>
      </c>
      <c r="AV227" s="20">
        <v>3.44</v>
      </c>
      <c r="AW227" s="20">
        <v>2.4900000000000002</v>
      </c>
      <c r="AX227" s="20">
        <v>2.7505000000000002</v>
      </c>
      <c r="AY227">
        <v>2.7505000000000002</v>
      </c>
      <c r="AZ227">
        <v>6.2435785749999999</v>
      </c>
      <c r="BD227">
        <v>4.5939975124434602E-2</v>
      </c>
      <c r="BH227">
        <v>9.1879950248869205E-2</v>
      </c>
      <c r="BI227">
        <v>4.5939975124434602E-2</v>
      </c>
      <c r="BJ227">
        <v>0</v>
      </c>
    </row>
    <row r="228" spans="1:62" x14ac:dyDescent="0.3">
      <c r="A228" t="s">
        <v>1231</v>
      </c>
      <c r="B228" s="57" t="s">
        <v>1238</v>
      </c>
      <c r="C228" s="12"/>
      <c r="F228">
        <v>4.07</v>
      </c>
      <c r="G228" t="s">
        <v>192</v>
      </c>
      <c r="H228" s="8">
        <v>-1</v>
      </c>
      <c r="I228">
        <v>-1</v>
      </c>
      <c r="K228">
        <v>4</v>
      </c>
      <c r="L228" s="20">
        <v>0</v>
      </c>
      <c r="M228">
        <v>0</v>
      </c>
      <c r="N228">
        <v>0</v>
      </c>
      <c r="O228" s="1">
        <v>3.9369999999999998</v>
      </c>
      <c r="P228" s="1">
        <v>27.198</v>
      </c>
      <c r="Q228" s="1">
        <v>5.6920000000000002</v>
      </c>
      <c r="T228" s="20">
        <v>0</v>
      </c>
      <c r="U228" s="20"/>
      <c r="V228" s="20"/>
      <c r="W228">
        <v>0</v>
      </c>
      <c r="Z228">
        <v>0</v>
      </c>
      <c r="AD228">
        <v>14</v>
      </c>
      <c r="AE228" s="44">
        <f t="shared" si="10"/>
        <v>609.49096999200003</v>
      </c>
      <c r="AF228" s="46">
        <v>0</v>
      </c>
      <c r="AG228" s="44">
        <v>0</v>
      </c>
      <c r="AH228" s="44">
        <v>0</v>
      </c>
      <c r="AI228" s="41">
        <f t="shared" si="12"/>
        <v>9.1879950248869205E-2</v>
      </c>
      <c r="AJ228" s="40"/>
      <c r="AK228" s="41"/>
      <c r="AL228" s="41"/>
      <c r="AM228" s="23">
        <v>1.9650000000000001</v>
      </c>
      <c r="AN228" s="23">
        <v>2.8</v>
      </c>
      <c r="AO228" s="23">
        <v>0.33500000000000002</v>
      </c>
      <c r="AP228" s="23">
        <v>0.90999999999999992</v>
      </c>
      <c r="AQ228" s="23">
        <v>0.32695507487520797</v>
      </c>
      <c r="AR228" s="23">
        <v>0.46589018302828622</v>
      </c>
      <c r="AS228" s="23">
        <v>5.5740432612312818E-2</v>
      </c>
      <c r="AT228" s="23">
        <v>0.15141430948419299</v>
      </c>
      <c r="AU228" s="20">
        <v>0.95</v>
      </c>
      <c r="AV228" s="20">
        <v>3.44</v>
      </c>
      <c r="AW228" s="20">
        <v>2.4900000000000002</v>
      </c>
      <c r="AX228" s="20">
        <v>2.7515000000000001</v>
      </c>
      <c r="AY228">
        <v>2.7515000000000001</v>
      </c>
      <c r="AZ228">
        <v>6.2425964049999996</v>
      </c>
      <c r="BD228">
        <v>4.5939975124434602E-2</v>
      </c>
      <c r="BH228">
        <v>9.1879950248869205E-2</v>
      </c>
      <c r="BI228">
        <v>4.5939975124434602E-2</v>
      </c>
      <c r="BJ228">
        <v>0</v>
      </c>
    </row>
    <row r="229" spans="1:62" x14ac:dyDescent="0.3">
      <c r="A229" t="s">
        <v>1232</v>
      </c>
      <c r="B229" s="57" t="s">
        <v>1239</v>
      </c>
      <c r="C229" s="12"/>
      <c r="F229">
        <v>4.03</v>
      </c>
      <c r="G229" t="s">
        <v>192</v>
      </c>
      <c r="H229" s="8">
        <v>-1</v>
      </c>
      <c r="I229">
        <v>-1</v>
      </c>
      <c r="K229">
        <v>4</v>
      </c>
      <c r="L229" s="20">
        <v>0</v>
      </c>
      <c r="M229">
        <v>0</v>
      </c>
      <c r="N229">
        <v>0</v>
      </c>
      <c r="O229" s="1">
        <v>3.9369999999999998</v>
      </c>
      <c r="P229" s="1">
        <v>27.198</v>
      </c>
      <c r="Q229" s="1">
        <v>5.6920000000000002</v>
      </c>
      <c r="T229" s="20">
        <v>0</v>
      </c>
      <c r="U229" s="20"/>
      <c r="V229" s="20"/>
      <c r="W229">
        <v>0</v>
      </c>
      <c r="Z229">
        <v>0</v>
      </c>
      <c r="AD229">
        <v>14</v>
      </c>
      <c r="AE229" s="44">
        <f t="shared" si="10"/>
        <v>609.49096999200003</v>
      </c>
      <c r="AF229" s="46">
        <v>0</v>
      </c>
      <c r="AG229" s="44">
        <v>0</v>
      </c>
      <c r="AH229" s="44">
        <v>0</v>
      </c>
      <c r="AI229" s="41">
        <f t="shared" si="12"/>
        <v>9.1879950248869205E-2</v>
      </c>
      <c r="AJ229" s="40"/>
      <c r="AK229" s="41"/>
      <c r="AL229" s="41"/>
      <c r="AM229" s="23">
        <v>1.95</v>
      </c>
      <c r="AN229" s="23">
        <v>2.8</v>
      </c>
      <c r="AO229" s="23">
        <v>0.35</v>
      </c>
      <c r="AP229" s="23">
        <v>0.7</v>
      </c>
      <c r="AQ229" s="23">
        <v>0.33620689655172409</v>
      </c>
      <c r="AR229" s="23">
        <v>0.48275862068965508</v>
      </c>
      <c r="AS229" s="23">
        <v>6.0344827586206892E-2</v>
      </c>
      <c r="AT229" s="23">
        <v>0.1206896551724138</v>
      </c>
      <c r="AU229" s="20">
        <v>0.95</v>
      </c>
      <c r="AV229" s="20">
        <v>3.44</v>
      </c>
      <c r="AW229" s="20">
        <v>2.4900000000000002</v>
      </c>
      <c r="AX229" s="20">
        <v>2.7530000000000001</v>
      </c>
      <c r="AY229">
        <v>2.7530000000000001</v>
      </c>
      <c r="AZ229">
        <v>6.24112315</v>
      </c>
      <c r="BD229">
        <v>4.5939975124434602E-2</v>
      </c>
      <c r="BH229">
        <v>9.1879950248869205E-2</v>
      </c>
      <c r="BI229">
        <v>4.5939975124434602E-2</v>
      </c>
      <c r="BJ229">
        <v>0</v>
      </c>
    </row>
    <row r="230" spans="1:62" x14ac:dyDescent="0.3">
      <c r="A230" t="s">
        <v>1233</v>
      </c>
      <c r="B230" s="57" t="s">
        <v>1240</v>
      </c>
      <c r="C230" s="12"/>
      <c r="F230">
        <v>3.96</v>
      </c>
      <c r="G230" t="s">
        <v>192</v>
      </c>
      <c r="H230" s="8">
        <v>-1</v>
      </c>
      <c r="I230">
        <v>-1</v>
      </c>
      <c r="K230">
        <v>4</v>
      </c>
      <c r="L230" s="20">
        <v>0</v>
      </c>
      <c r="M230">
        <v>0</v>
      </c>
      <c r="N230">
        <v>0</v>
      </c>
      <c r="O230" s="1">
        <v>3.9369999999999998</v>
      </c>
      <c r="P230" s="1">
        <v>27.198</v>
      </c>
      <c r="Q230" s="1">
        <v>5.6920000000000002</v>
      </c>
      <c r="T230" s="20">
        <v>0</v>
      </c>
      <c r="U230" s="20"/>
      <c r="V230" s="20"/>
      <c r="W230">
        <v>0</v>
      </c>
      <c r="Z230">
        <v>0</v>
      </c>
      <c r="AD230">
        <v>14</v>
      </c>
      <c r="AE230" s="44">
        <f t="shared" si="10"/>
        <v>609.49096999200003</v>
      </c>
      <c r="AF230" s="46">
        <v>0</v>
      </c>
      <c r="AG230" s="44">
        <v>0</v>
      </c>
      <c r="AH230" s="44">
        <v>0</v>
      </c>
      <c r="AI230" s="41">
        <f t="shared" si="12"/>
        <v>9.1879950248869205E-2</v>
      </c>
      <c r="AJ230" s="40"/>
      <c r="AK230" s="41"/>
      <c r="AL230" s="41"/>
      <c r="AM230" s="23">
        <v>1.92</v>
      </c>
      <c r="AN230" s="23">
        <v>2.8</v>
      </c>
      <c r="AO230" s="23">
        <v>0.38</v>
      </c>
      <c r="AP230" s="23">
        <v>0.28000000000000003</v>
      </c>
      <c r="AQ230" s="23">
        <v>0.35687732342007428</v>
      </c>
      <c r="AR230" s="23">
        <v>0.5204460966542751</v>
      </c>
      <c r="AS230" s="23">
        <v>7.0631970260223054E-2</v>
      </c>
      <c r="AT230" s="23">
        <v>5.2044609665427517E-2</v>
      </c>
      <c r="AU230" s="20">
        <v>0.95</v>
      </c>
      <c r="AV230" s="20">
        <v>3.44</v>
      </c>
      <c r="AW230" s="20">
        <v>2.4900000000000002</v>
      </c>
      <c r="AX230" s="20">
        <v>2.7559999999999998</v>
      </c>
      <c r="AY230">
        <v>2.7559999999999998</v>
      </c>
      <c r="AZ230">
        <v>6.2381766400000007</v>
      </c>
      <c r="BD230">
        <v>4.5939975124434602E-2</v>
      </c>
      <c r="BH230">
        <v>9.1879950248869205E-2</v>
      </c>
      <c r="BI230">
        <v>4.5939975124434602E-2</v>
      </c>
      <c r="BJ230">
        <v>0</v>
      </c>
    </row>
    <row r="231" spans="1:62" x14ac:dyDescent="0.3">
      <c r="A231" t="s">
        <v>49</v>
      </c>
      <c r="B231" s="12" t="s">
        <v>725</v>
      </c>
      <c r="C231" s="12"/>
      <c r="F231">
        <v>3.92</v>
      </c>
      <c r="G231" t="s">
        <v>192</v>
      </c>
      <c r="H231" s="8" t="s">
        <v>553</v>
      </c>
      <c r="I231" t="s">
        <v>631</v>
      </c>
      <c r="L231" s="20">
        <v>8</v>
      </c>
      <c r="M231">
        <v>8</v>
      </c>
      <c r="N231">
        <v>0</v>
      </c>
      <c r="O231">
        <v>3.9329999999999998</v>
      </c>
      <c r="P231">
        <v>26.725999999999999</v>
      </c>
      <c r="Q231">
        <v>5.8630000000000004</v>
      </c>
      <c r="R231" t="s">
        <v>1095</v>
      </c>
      <c r="T231" s="20">
        <v>5.8017180100000001</v>
      </c>
      <c r="U231" s="20">
        <v>7.9756520899999996</v>
      </c>
      <c r="V231" s="20">
        <v>27.352093400000001</v>
      </c>
      <c r="W231">
        <v>26.646989999999999</v>
      </c>
      <c r="X231">
        <v>7.9359999999999999</v>
      </c>
      <c r="Y231">
        <v>5.7050000000000001</v>
      </c>
      <c r="Z231">
        <v>0</v>
      </c>
      <c r="AD231">
        <v>14</v>
      </c>
      <c r="AE231" s="44">
        <f t="shared" si="10"/>
        <v>616.27961795399995</v>
      </c>
      <c r="AF231" s="46">
        <v>1265.6493143942739</v>
      </c>
      <c r="AG231" s="44">
        <v>1206.4392746112001</v>
      </c>
      <c r="AH231" s="44">
        <v>0</v>
      </c>
      <c r="AI231" s="41"/>
      <c r="AJ231" s="40">
        <v>8.8492127105210025E-2</v>
      </c>
      <c r="AK231" s="41">
        <v>9.2835174017436004E-2</v>
      </c>
      <c r="AL231" s="41"/>
      <c r="AM231" s="23">
        <v>1.8181818181818179</v>
      </c>
      <c r="AN231" s="23">
        <v>2.545454545454545</v>
      </c>
      <c r="AO231" s="23">
        <v>0.72727272727272729</v>
      </c>
      <c r="AP231" s="23">
        <v>0</v>
      </c>
      <c r="AQ231" s="23">
        <v>0.35714285714285721</v>
      </c>
      <c r="AR231" s="23">
        <v>0.5</v>
      </c>
      <c r="AS231" s="23">
        <v>0.1428571428571429</v>
      </c>
      <c r="AT231" s="23">
        <v>0</v>
      </c>
      <c r="AU231" s="20">
        <v>0.95</v>
      </c>
      <c r="AV231" s="20">
        <v>3.44</v>
      </c>
      <c r="AW231" s="20">
        <v>2.4900000000000002</v>
      </c>
      <c r="AX231" s="20">
        <v>2.6527272727272719</v>
      </c>
      <c r="AY231">
        <v>2.6527272727272728</v>
      </c>
      <c r="AZ231">
        <v>6.0182046818181814</v>
      </c>
      <c r="BA231" s="64">
        <v>0.5176653673612065</v>
      </c>
      <c r="BB231" s="64">
        <v>0.54307152550012683</v>
      </c>
      <c r="BE231">
        <v>4.4246063552605013E-2</v>
      </c>
      <c r="BF231">
        <v>4.6417587008717988E-2</v>
      </c>
      <c r="BH231">
        <v>9.0663650561323014E-2</v>
      </c>
      <c r="BI231">
        <v>4.53318252806615E-2</v>
      </c>
      <c r="BJ231">
        <v>0.53036844643066661</v>
      </c>
    </row>
    <row r="232" spans="1:62" x14ac:dyDescent="0.3">
      <c r="A232" t="s">
        <v>46</v>
      </c>
      <c r="B232" s="12" t="s">
        <v>722</v>
      </c>
      <c r="C232" s="12"/>
      <c r="F232">
        <v>3.82</v>
      </c>
      <c r="G232" t="s">
        <v>197</v>
      </c>
      <c r="H232" s="8" t="s">
        <v>551</v>
      </c>
      <c r="I232" t="s">
        <v>629</v>
      </c>
      <c r="K232">
        <v>4</v>
      </c>
      <c r="L232" s="20">
        <v>2</v>
      </c>
      <c r="M232">
        <v>4</v>
      </c>
      <c r="N232">
        <v>0</v>
      </c>
      <c r="O232">
        <v>13.01</v>
      </c>
      <c r="P232">
        <v>5.5439999999999996</v>
      </c>
      <c r="Q232">
        <v>7.81</v>
      </c>
      <c r="R232" t="s">
        <v>1095</v>
      </c>
      <c r="T232" s="20">
        <v>7.41544296</v>
      </c>
      <c r="U232" s="20">
        <v>7.4154429599999991</v>
      </c>
      <c r="V232" s="20">
        <v>7.41544296</v>
      </c>
      <c r="W232">
        <v>7.8</v>
      </c>
      <c r="X232">
        <v>13.010999999999999</v>
      </c>
      <c r="Y232">
        <v>5.5460000000000003</v>
      </c>
      <c r="Z232">
        <v>0</v>
      </c>
      <c r="AD232">
        <v>14</v>
      </c>
      <c r="AE232" s="44">
        <f t="shared" si="10"/>
        <v>563.31530639999994</v>
      </c>
      <c r="AF232" s="46">
        <v>288.33429290182369</v>
      </c>
      <c r="AG232" s="44">
        <v>556.51188553357167</v>
      </c>
      <c r="AH232" s="44">
        <v>0</v>
      </c>
      <c r="AI232" s="41">
        <f t="shared" si="12"/>
        <v>9.9411465237614932E-2</v>
      </c>
      <c r="AJ232" s="40">
        <v>9.7109503410799117E-2</v>
      </c>
      <c r="AK232" s="41">
        <v>0.10062678166578309</v>
      </c>
      <c r="AL232" s="41"/>
      <c r="AM232" s="23">
        <v>2</v>
      </c>
      <c r="AN232" s="23">
        <v>2.545454545454545</v>
      </c>
      <c r="AO232" s="23">
        <v>0.54545454545454541</v>
      </c>
      <c r="AP232" s="23">
        <v>0</v>
      </c>
      <c r="AQ232" s="23">
        <v>0.39285714285714279</v>
      </c>
      <c r="AR232" s="23">
        <v>0.5</v>
      </c>
      <c r="AS232" s="23">
        <v>0.1071428571428571</v>
      </c>
      <c r="AT232" s="23">
        <v>0</v>
      </c>
      <c r="AU232" s="20">
        <v>1.1000000000000001</v>
      </c>
      <c r="AV232" s="20">
        <v>3.44</v>
      </c>
      <c r="AW232" s="20">
        <v>2.34</v>
      </c>
      <c r="AX232" s="20">
        <v>2.669090909090909</v>
      </c>
      <c r="AY232">
        <v>2.669090909090909</v>
      </c>
      <c r="AZ232">
        <v>5.9831974772727277</v>
      </c>
      <c r="BA232" s="64">
        <v>0.52442413903612473</v>
      </c>
      <c r="BB232" s="64">
        <v>0.54341863036636606</v>
      </c>
      <c r="BD232">
        <v>4.9705732618807473E-2</v>
      </c>
      <c r="BE232">
        <v>4.8554751705399558E-2</v>
      </c>
      <c r="BF232">
        <v>5.0313390832891547E-2</v>
      </c>
      <c r="BH232">
        <v>9.9049250104732381E-2</v>
      </c>
      <c r="BI232">
        <v>4.952462505236619E-2</v>
      </c>
      <c r="BJ232">
        <v>0.53392138470124539</v>
      </c>
    </row>
    <row r="233" spans="1:62" x14ac:dyDescent="0.3">
      <c r="A233" t="s">
        <v>193</v>
      </c>
      <c r="B233" s="12" t="s">
        <v>799</v>
      </c>
      <c r="C233" s="12"/>
      <c r="F233">
        <v>3.68</v>
      </c>
      <c r="G233" t="s">
        <v>197</v>
      </c>
      <c r="H233" s="8">
        <v>-1</v>
      </c>
      <c r="I233">
        <v>-1</v>
      </c>
      <c r="K233">
        <v>4</v>
      </c>
      <c r="L233" s="20">
        <v>0</v>
      </c>
      <c r="M233">
        <v>0</v>
      </c>
      <c r="N233">
        <v>0</v>
      </c>
      <c r="O233">
        <v>13.02</v>
      </c>
      <c r="P233">
        <v>5.5119999999999996</v>
      </c>
      <c r="Q233">
        <v>7.7450000000000001</v>
      </c>
      <c r="R233" t="s">
        <v>1095</v>
      </c>
      <c r="T233" s="20">
        <v>0</v>
      </c>
      <c r="U233" s="20"/>
      <c r="V233" s="20"/>
      <c r="W233">
        <v>0</v>
      </c>
      <c r="Z233">
        <v>0</v>
      </c>
      <c r="AD233">
        <v>14</v>
      </c>
      <c r="AE233" s="44">
        <f t="shared" si="10"/>
        <v>555.82952879999993</v>
      </c>
      <c r="AF233" s="46">
        <v>0</v>
      </c>
      <c r="AG233" s="44">
        <v>0</v>
      </c>
      <c r="AH233" s="44">
        <v>0</v>
      </c>
      <c r="AI233" s="41">
        <f t="shared" si="12"/>
        <v>0.10075031479687735</v>
      </c>
      <c r="AJ233" s="40"/>
      <c r="AK233" s="41"/>
      <c r="AL233" s="41"/>
      <c r="AM233" s="23">
        <v>2</v>
      </c>
      <c r="AN233" s="23">
        <v>2.545454545454545</v>
      </c>
      <c r="AO233" s="23">
        <v>0.45454545454545447</v>
      </c>
      <c r="AP233" s="23">
        <v>0.36363636363636359</v>
      </c>
      <c r="AQ233" s="23">
        <v>0.3728813559322034</v>
      </c>
      <c r="AR233" s="23">
        <v>0.47457627118644069</v>
      </c>
      <c r="AS233" s="23">
        <v>8.4745762711864403E-2</v>
      </c>
      <c r="AT233" s="23">
        <v>6.7796610169491525E-2</v>
      </c>
      <c r="AU233" s="20">
        <v>1.1000000000000001</v>
      </c>
      <c r="AV233" s="20">
        <v>3.44</v>
      </c>
      <c r="AW233" s="20">
        <v>2.34</v>
      </c>
      <c r="AX233" s="20">
        <v>2.672727272727272</v>
      </c>
      <c r="AY233">
        <v>2.6727272727272728</v>
      </c>
      <c r="AZ233">
        <v>5.9599268909090908</v>
      </c>
      <c r="BD233">
        <v>5.0375157398438668E-2</v>
      </c>
      <c r="BH233">
        <v>0.10075031479687729</v>
      </c>
      <c r="BI233">
        <v>5.0375157398438668E-2</v>
      </c>
      <c r="BJ233">
        <v>0</v>
      </c>
    </row>
    <row r="234" spans="1:62" x14ac:dyDescent="0.3">
      <c r="A234" t="s">
        <v>194</v>
      </c>
      <c r="B234" s="12" t="s">
        <v>800</v>
      </c>
      <c r="C234" s="12"/>
      <c r="F234">
        <v>3.65</v>
      </c>
      <c r="G234" t="s">
        <v>197</v>
      </c>
      <c r="H234" s="8" t="s">
        <v>582</v>
      </c>
      <c r="I234" t="s">
        <v>657</v>
      </c>
      <c r="K234">
        <v>4</v>
      </c>
      <c r="L234" s="20">
        <v>2</v>
      </c>
      <c r="M234">
        <v>8</v>
      </c>
      <c r="N234">
        <v>0</v>
      </c>
      <c r="O234">
        <v>13.02</v>
      </c>
      <c r="P234">
        <v>5.48</v>
      </c>
      <c r="Q234">
        <v>7.68</v>
      </c>
      <c r="R234" t="s">
        <v>1095</v>
      </c>
      <c r="T234" s="20">
        <v>7.2854997800000012</v>
      </c>
      <c r="U234" s="20">
        <v>7.2855000099999998</v>
      </c>
      <c r="V234" s="20">
        <v>7.28550129</v>
      </c>
      <c r="W234">
        <v>7.6769999999999996</v>
      </c>
      <c r="X234">
        <v>5.4560000000000004</v>
      </c>
      <c r="Y234">
        <v>26.012989999999999</v>
      </c>
      <c r="Z234">
        <v>0</v>
      </c>
      <c r="AD234">
        <v>14</v>
      </c>
      <c r="AE234" s="44">
        <f t="shared" si="10"/>
        <v>547.9649280000001</v>
      </c>
      <c r="AF234" s="46">
        <v>273.44070809730869</v>
      </c>
      <c r="AG234" s="44">
        <v>1077.884035254056</v>
      </c>
      <c r="AH234" s="44">
        <v>0</v>
      </c>
      <c r="AI234" s="41">
        <f t="shared" si="12"/>
        <v>0.10219632158647933</v>
      </c>
      <c r="AJ234" s="40">
        <v>0.1023987986091511</v>
      </c>
      <c r="AK234" s="41">
        <v>0.1039072816155049</v>
      </c>
      <c r="AL234" s="41"/>
      <c r="AM234" s="23">
        <v>2</v>
      </c>
      <c r="AN234" s="23">
        <v>2.545454545454545</v>
      </c>
      <c r="AO234" s="23">
        <v>0.36363636363636359</v>
      </c>
      <c r="AP234" s="23">
        <v>0.72727272727272729</v>
      </c>
      <c r="AQ234" s="23">
        <v>0.35483870967741932</v>
      </c>
      <c r="AR234" s="23">
        <v>0.45161290322580638</v>
      </c>
      <c r="AS234" s="23">
        <v>6.4516129032258063E-2</v>
      </c>
      <c r="AT234" s="23">
        <v>0.1290322580645161</v>
      </c>
      <c r="AU234" s="20">
        <v>1.1399999999999999</v>
      </c>
      <c r="AV234" s="20">
        <v>3.44</v>
      </c>
      <c r="AW234" s="20">
        <v>2.2999999999999998</v>
      </c>
      <c r="AX234" s="20">
        <v>2.6763636363636358</v>
      </c>
      <c r="AY234">
        <v>2.6763636363636358</v>
      </c>
      <c r="AZ234">
        <v>5.9366563045454548</v>
      </c>
      <c r="BA234" s="64">
        <v>0.5411256777060568</v>
      </c>
      <c r="BB234" s="64">
        <v>0.54909724475770694</v>
      </c>
      <c r="BD234">
        <v>5.1098160793239672E-2</v>
      </c>
      <c r="BE234">
        <v>5.119939930457558E-2</v>
      </c>
      <c r="BF234">
        <v>5.1953640807752437E-2</v>
      </c>
      <c r="BH234">
        <v>0.1028341339370451</v>
      </c>
      <c r="BI234">
        <v>5.1417066968522558E-2</v>
      </c>
      <c r="BJ234">
        <v>0.54511146123188192</v>
      </c>
    </row>
    <row r="235" spans="1:62" x14ac:dyDescent="0.3">
      <c r="A235" t="s">
        <v>195</v>
      </c>
      <c r="B235" s="12" t="s">
        <v>801</v>
      </c>
      <c r="C235" s="12"/>
      <c r="F235">
        <v>2.99</v>
      </c>
      <c r="G235" t="s">
        <v>197</v>
      </c>
      <c r="H235" s="8" t="s">
        <v>583</v>
      </c>
      <c r="I235">
        <v>-1</v>
      </c>
      <c r="K235">
        <v>4</v>
      </c>
      <c r="L235" s="20">
        <v>4</v>
      </c>
      <c r="M235">
        <v>0</v>
      </c>
      <c r="N235">
        <v>0</v>
      </c>
      <c r="O235">
        <v>12.996</v>
      </c>
      <c r="P235">
        <v>5.4850000000000003</v>
      </c>
      <c r="Q235">
        <v>7.7039999999999997</v>
      </c>
      <c r="R235" t="s">
        <v>1095</v>
      </c>
      <c r="T235" s="20">
        <v>5.5191434299999997</v>
      </c>
      <c r="U235" s="20">
        <v>7.7203982699999987</v>
      </c>
      <c r="V235" s="20">
        <v>13.117043880000001</v>
      </c>
      <c r="W235">
        <v>0</v>
      </c>
      <c r="Z235">
        <v>0</v>
      </c>
      <c r="AD235">
        <v>14</v>
      </c>
      <c r="AE235" s="44">
        <f t="shared" si="10"/>
        <v>549.16469424000002</v>
      </c>
      <c r="AF235" s="46">
        <v>552.74712386171507</v>
      </c>
      <c r="AG235" s="44">
        <v>0</v>
      </c>
      <c r="AH235" s="44">
        <v>0</v>
      </c>
      <c r="AI235" s="41">
        <f t="shared" si="12"/>
        <v>0.1019730521414883</v>
      </c>
      <c r="AJ235" s="40">
        <v>0.1013121508598025</v>
      </c>
      <c r="AK235" s="41"/>
      <c r="AL235" s="41"/>
      <c r="AM235" s="23">
        <v>2</v>
      </c>
      <c r="AN235" s="23">
        <v>2.545454545454545</v>
      </c>
      <c r="AO235" s="23">
        <v>0.36363636363636359</v>
      </c>
      <c r="AP235" s="23">
        <v>0.54545454545454541</v>
      </c>
      <c r="AQ235" s="23">
        <v>0.3666666666666667</v>
      </c>
      <c r="AR235" s="23">
        <v>0.46666666666666667</v>
      </c>
      <c r="AS235" s="23">
        <v>6.666666666666668E-2</v>
      </c>
      <c r="AT235" s="23">
        <v>0.1</v>
      </c>
      <c r="AU235" s="20">
        <v>1.1299999999999999</v>
      </c>
      <c r="AV235" s="20">
        <v>3.44</v>
      </c>
      <c r="AW235" s="20">
        <v>2.31</v>
      </c>
      <c r="AX235" s="20">
        <v>2.6745454545454539</v>
      </c>
      <c r="AY235">
        <v>2.6745454545454548</v>
      </c>
      <c r="AZ235">
        <v>5.9327418772727274</v>
      </c>
      <c r="BA235" s="64">
        <v>0.53699890088551772</v>
      </c>
      <c r="BD235">
        <v>5.0986526070744151E-2</v>
      </c>
      <c r="BE235">
        <v>5.0656075429901228E-2</v>
      </c>
      <c r="BH235">
        <v>0.1016426015006454</v>
      </c>
      <c r="BI235">
        <v>5.0821300750322693E-2</v>
      </c>
      <c r="BJ235">
        <v>0.53699890088551772</v>
      </c>
    </row>
    <row r="236" spans="1:62" x14ac:dyDescent="0.3">
      <c r="A236" t="s">
        <v>196</v>
      </c>
      <c r="B236" s="12" t="s">
        <v>802</v>
      </c>
      <c r="C236" s="12"/>
      <c r="F236">
        <v>2.98</v>
      </c>
      <c r="G236" t="s">
        <v>197</v>
      </c>
      <c r="H236" s="8">
        <v>-1</v>
      </c>
      <c r="I236">
        <v>-1</v>
      </c>
      <c r="K236">
        <v>4</v>
      </c>
      <c r="L236" s="20">
        <v>0</v>
      </c>
      <c r="M236">
        <v>0</v>
      </c>
      <c r="N236">
        <v>0</v>
      </c>
      <c r="O236">
        <v>13.003</v>
      </c>
      <c r="P236">
        <v>5.5149999999999997</v>
      </c>
      <c r="Q236">
        <v>7.7569999999999997</v>
      </c>
      <c r="R236" t="s">
        <v>1095</v>
      </c>
      <c r="T236" s="20">
        <v>0</v>
      </c>
      <c r="U236" s="20"/>
      <c r="V236" s="20"/>
      <c r="W236">
        <v>0</v>
      </c>
      <c r="Z236">
        <v>0</v>
      </c>
      <c r="AD236">
        <v>14</v>
      </c>
      <c r="AE236" s="44">
        <f t="shared" si="10"/>
        <v>556.266454565</v>
      </c>
      <c r="AF236" s="46">
        <v>0</v>
      </c>
      <c r="AG236" s="44">
        <v>0</v>
      </c>
      <c r="AH236" s="44">
        <v>0</v>
      </c>
      <c r="AI236" s="41">
        <f t="shared" si="12"/>
        <v>0.10067117932500884</v>
      </c>
      <c r="AJ236" s="40"/>
      <c r="AK236" s="41"/>
      <c r="AL236" s="41"/>
      <c r="AM236" s="23">
        <v>2</v>
      </c>
      <c r="AN236" s="23">
        <v>2.545454545454545</v>
      </c>
      <c r="AO236" s="23">
        <v>0.45454545454545447</v>
      </c>
      <c r="AP236" s="23">
        <v>0.27272727272727271</v>
      </c>
      <c r="AQ236" s="23">
        <v>0.37931034482758619</v>
      </c>
      <c r="AR236" s="23">
        <v>0.48275862068965519</v>
      </c>
      <c r="AS236" s="23">
        <v>8.6206896551724144E-2</v>
      </c>
      <c r="AT236" s="23">
        <v>5.1724137931034482E-2</v>
      </c>
      <c r="AU236" s="20">
        <v>1.1000000000000001</v>
      </c>
      <c r="AV236" s="20">
        <v>3.44</v>
      </c>
      <c r="AW236" s="20">
        <v>2.34</v>
      </c>
      <c r="AX236" s="20">
        <v>2.6718181818181819</v>
      </c>
      <c r="AY236">
        <v>2.6718181818181819</v>
      </c>
      <c r="AZ236">
        <v>5.9579696772727271</v>
      </c>
      <c r="BD236">
        <v>5.0335589662504419E-2</v>
      </c>
      <c r="BH236">
        <v>0.1006711793250088</v>
      </c>
      <c r="BI236">
        <v>5.0335589662504419E-2</v>
      </c>
      <c r="BJ236">
        <v>0</v>
      </c>
    </row>
    <row r="237" spans="1:62" x14ac:dyDescent="0.3">
      <c r="A237" t="s">
        <v>44</v>
      </c>
      <c r="B237" s="12" t="s">
        <v>720</v>
      </c>
      <c r="C237" s="12"/>
      <c r="F237">
        <v>2.1</v>
      </c>
      <c r="G237" t="s">
        <v>198</v>
      </c>
      <c r="H237" s="8" t="s">
        <v>549</v>
      </c>
      <c r="I237">
        <v>-1</v>
      </c>
      <c r="L237" s="20">
        <v>1</v>
      </c>
      <c r="M237">
        <v>0</v>
      </c>
      <c r="N237">
        <v>0</v>
      </c>
      <c r="O237">
        <v>3.871</v>
      </c>
      <c r="P237">
        <v>3.871</v>
      </c>
      <c r="Q237">
        <v>29.783999999999999</v>
      </c>
      <c r="R237" t="s">
        <v>440</v>
      </c>
      <c r="T237" s="20">
        <v>15.28115725</v>
      </c>
      <c r="U237" s="20">
        <v>15.28115725</v>
      </c>
      <c r="V237" s="20">
        <v>15.28115725</v>
      </c>
      <c r="W237">
        <v>0</v>
      </c>
      <c r="Z237">
        <v>0</v>
      </c>
      <c r="AD237">
        <v>20</v>
      </c>
      <c r="AE237" s="44">
        <f t="shared" si="10"/>
        <v>446.30254754399999</v>
      </c>
      <c r="AF237" s="46">
        <v>229.90248606119221</v>
      </c>
      <c r="AG237" s="44">
        <v>0</v>
      </c>
      <c r="AH237" s="44">
        <v>0</v>
      </c>
      <c r="AI237" s="41"/>
      <c r="AJ237" s="40">
        <v>8.6993404650164072E-2</v>
      </c>
      <c r="AK237" s="41"/>
      <c r="AL237" s="41"/>
      <c r="AM237" s="23">
        <v>1.882352941176471</v>
      </c>
      <c r="AN237" s="23">
        <v>2.3529411764705879</v>
      </c>
      <c r="AO237" s="23">
        <v>0.47058823529411759</v>
      </c>
      <c r="AP237" s="23">
        <v>0</v>
      </c>
      <c r="AQ237" s="23">
        <v>0.4</v>
      </c>
      <c r="AR237" s="23">
        <v>0.5</v>
      </c>
      <c r="AS237" s="23">
        <v>9.9999999999999992E-2</v>
      </c>
      <c r="AT237" s="23">
        <v>0</v>
      </c>
      <c r="AU237" s="20">
        <v>0.82</v>
      </c>
      <c r="AV237" s="20">
        <v>3.44</v>
      </c>
      <c r="AW237" s="20">
        <v>2.62</v>
      </c>
      <c r="AX237" s="20">
        <v>2.5211764705882351</v>
      </c>
      <c r="AY237">
        <v>2.521176470588236</v>
      </c>
      <c r="AZ237">
        <v>5.6898745917647062</v>
      </c>
      <c r="BA237" s="64">
        <v>0.57369840599679445</v>
      </c>
      <c r="BE237">
        <v>4.3496702325082043E-2</v>
      </c>
      <c r="BH237">
        <v>8.6993404650164072E-2</v>
      </c>
      <c r="BI237">
        <v>4.3496702325082043E-2</v>
      </c>
      <c r="BJ237">
        <v>0.57369840599679445</v>
      </c>
    </row>
    <row r="238" spans="1:62" x14ac:dyDescent="0.3">
      <c r="A238" t="s">
        <v>199</v>
      </c>
      <c r="B238" s="12" t="s">
        <v>867</v>
      </c>
      <c r="C238" s="12"/>
      <c r="F238">
        <v>2</v>
      </c>
      <c r="G238" t="s">
        <v>207</v>
      </c>
      <c r="H238" s="8">
        <v>-1</v>
      </c>
      <c r="I238">
        <v>-1</v>
      </c>
      <c r="L238" s="20">
        <v>0</v>
      </c>
      <c r="M238">
        <v>0</v>
      </c>
      <c r="N238">
        <v>0</v>
      </c>
      <c r="O238" s="1">
        <v>3.871</v>
      </c>
      <c r="P238" s="1">
        <v>3.871</v>
      </c>
      <c r="Q238">
        <v>29.297000000000001</v>
      </c>
      <c r="T238" s="20">
        <v>0</v>
      </c>
      <c r="U238" s="20"/>
      <c r="V238" s="20"/>
      <c r="W238">
        <v>0</v>
      </c>
      <c r="Z238">
        <v>0</v>
      </c>
      <c r="AD238">
        <v>20</v>
      </c>
      <c r="AE238" s="44">
        <f t="shared" si="10"/>
        <v>439.00502737700003</v>
      </c>
      <c r="AF238" s="46">
        <v>0</v>
      </c>
      <c r="AG238" s="44">
        <v>0</v>
      </c>
      <c r="AH238" s="44">
        <v>0</v>
      </c>
      <c r="AI238" s="41"/>
      <c r="AJ238" s="40"/>
      <c r="AK238" s="41"/>
      <c r="AL238" s="41"/>
      <c r="AM238" s="23">
        <v>1.882352941176471</v>
      </c>
      <c r="AN238" s="23">
        <v>2.3529411764705879</v>
      </c>
      <c r="AO238" s="23">
        <v>1.6470588235294119</v>
      </c>
      <c r="AP238" s="23">
        <v>0</v>
      </c>
      <c r="AQ238" s="23">
        <v>0.32</v>
      </c>
      <c r="AR238" s="23">
        <v>0.4</v>
      </c>
      <c r="AS238" s="23">
        <v>0.28000000000000003</v>
      </c>
      <c r="AT238" s="23">
        <v>0</v>
      </c>
      <c r="AU238" s="20">
        <v>1.1000000000000001</v>
      </c>
      <c r="AV238" s="20">
        <v>3.44</v>
      </c>
      <c r="AW238" s="20">
        <v>2.34</v>
      </c>
      <c r="AX238" s="20">
        <v>2.6482352941176468</v>
      </c>
      <c r="AY238">
        <v>2.6482352941176468</v>
      </c>
      <c r="AZ238">
        <v>5.9322299529411762</v>
      </c>
      <c r="BH238">
        <v>0</v>
      </c>
      <c r="BI238">
        <v>0</v>
      </c>
      <c r="BJ238">
        <v>0</v>
      </c>
    </row>
    <row r="239" spans="1:62" x14ac:dyDescent="0.3">
      <c r="A239" t="s">
        <v>200</v>
      </c>
      <c r="B239" s="12" t="s">
        <v>868</v>
      </c>
      <c r="C239" s="12"/>
      <c r="F239">
        <v>2.2000000000000002</v>
      </c>
      <c r="G239" t="s">
        <v>207</v>
      </c>
      <c r="H239" s="8">
        <v>-1</v>
      </c>
      <c r="I239">
        <v>-1</v>
      </c>
      <c r="L239" s="20">
        <v>0</v>
      </c>
      <c r="M239">
        <v>0</v>
      </c>
      <c r="N239">
        <v>0</v>
      </c>
      <c r="O239" s="1">
        <v>6.6040679999999998</v>
      </c>
      <c r="P239" s="1">
        <v>7.93</v>
      </c>
      <c r="Q239">
        <v>31.28</v>
      </c>
      <c r="T239" s="20">
        <v>0</v>
      </c>
      <c r="U239" s="20"/>
      <c r="V239" s="20"/>
      <c r="W239">
        <v>0</v>
      </c>
      <c r="Z239">
        <v>0</v>
      </c>
      <c r="AD239">
        <v>34</v>
      </c>
      <c r="AE239" s="44">
        <f t="shared" si="10"/>
        <v>1638.1417090272</v>
      </c>
      <c r="AF239" s="46">
        <v>0</v>
      </c>
      <c r="AG239" s="44">
        <v>0</v>
      </c>
      <c r="AH239" s="44">
        <v>0</v>
      </c>
      <c r="AI239" s="41"/>
      <c r="AJ239" s="40"/>
      <c r="AK239" s="41"/>
      <c r="AL239" s="41"/>
      <c r="AM239" s="23">
        <v>1.62962962962963</v>
      </c>
      <c r="AN239" s="23">
        <v>2.518518518518519</v>
      </c>
      <c r="AO239" s="23">
        <v>1.911111111111111</v>
      </c>
      <c r="AP239" s="23">
        <v>0</v>
      </c>
      <c r="AQ239" s="23">
        <v>0.26894865525672368</v>
      </c>
      <c r="AR239" s="23">
        <v>0.41564792176039123</v>
      </c>
      <c r="AS239" s="23">
        <v>0.31540342298288498</v>
      </c>
      <c r="AT239" s="23">
        <v>0</v>
      </c>
      <c r="AU239" s="20">
        <v>0.82</v>
      </c>
      <c r="AV239" s="20">
        <v>3.44</v>
      </c>
      <c r="AW239" s="20">
        <v>2.62</v>
      </c>
      <c r="AX239" s="20">
        <v>2.7533629629629628</v>
      </c>
      <c r="AY239">
        <v>2.7533629629629628</v>
      </c>
      <c r="AZ239">
        <v>6.1693161497481483</v>
      </c>
      <c r="BH239">
        <v>0</v>
      </c>
      <c r="BI239">
        <v>0</v>
      </c>
      <c r="BJ239">
        <v>0</v>
      </c>
    </row>
    <row r="240" spans="1:62" x14ac:dyDescent="0.3">
      <c r="A240" t="s">
        <v>0</v>
      </c>
      <c r="B240" s="12" t="s">
        <v>685</v>
      </c>
      <c r="C240" s="12"/>
      <c r="F240">
        <v>3.3</v>
      </c>
      <c r="G240" t="s">
        <v>207</v>
      </c>
      <c r="H240" s="8" t="s">
        <v>523</v>
      </c>
      <c r="I240" t="s">
        <v>606</v>
      </c>
      <c r="L240" s="20">
        <v>4</v>
      </c>
      <c r="M240">
        <v>4</v>
      </c>
      <c r="N240">
        <v>0</v>
      </c>
      <c r="O240" s="1">
        <v>6.6040679999999998</v>
      </c>
      <c r="P240" s="1">
        <v>7.93</v>
      </c>
      <c r="Q240">
        <v>32.700000000000003</v>
      </c>
      <c r="T240" s="20">
        <v>6.6040679999999998</v>
      </c>
      <c r="U240" s="20">
        <v>7.9389519999999996</v>
      </c>
      <c r="V240" s="20">
        <v>33.703336</v>
      </c>
      <c r="W240">
        <v>7.83</v>
      </c>
      <c r="X240">
        <v>33.209989999999998</v>
      </c>
      <c r="Y240">
        <v>6.46</v>
      </c>
      <c r="Z240">
        <v>0</v>
      </c>
      <c r="AD240">
        <v>34</v>
      </c>
      <c r="AE240" s="44">
        <f t="shared" si="10"/>
        <v>1712.5074771479999</v>
      </c>
      <c r="AF240" s="46">
        <v>1767.0449718798691</v>
      </c>
      <c r="AG240" s="44">
        <v>1679.8210721820001</v>
      </c>
      <c r="AH240" s="44">
        <v>0</v>
      </c>
      <c r="AI240" s="41"/>
      <c r="AJ240" s="40">
        <v>7.6964651247849417E-2</v>
      </c>
      <c r="AK240" s="41">
        <v>8.0961003676030277E-2</v>
      </c>
      <c r="AL240" s="41"/>
      <c r="AM240" s="23">
        <v>1.62962962962963</v>
      </c>
      <c r="AN240" s="23">
        <v>2.518518518518519</v>
      </c>
      <c r="AO240" s="23">
        <v>0.88888888888888884</v>
      </c>
      <c r="AP240" s="23">
        <v>0</v>
      </c>
      <c r="AQ240" s="23">
        <v>0.32352941176470579</v>
      </c>
      <c r="AR240" s="23">
        <v>0.5</v>
      </c>
      <c r="AS240" s="23">
        <v>0.1764705882352941</v>
      </c>
      <c r="AT240" s="23">
        <v>0</v>
      </c>
      <c r="AU240" s="20">
        <v>0.82</v>
      </c>
      <c r="AV240" s="20">
        <v>3.44</v>
      </c>
      <c r="AW240" s="20">
        <v>2.62</v>
      </c>
      <c r="AX240" s="20">
        <v>2.642962962962963</v>
      </c>
      <c r="AY240">
        <v>2.642962962962963</v>
      </c>
      <c r="AZ240">
        <v>5.9587362692592576</v>
      </c>
      <c r="BA240" s="64">
        <v>0.48264383878002159</v>
      </c>
      <c r="BB240" s="64">
        <v>0.50770488753139842</v>
      </c>
      <c r="BE240">
        <v>3.8482325623924708E-2</v>
      </c>
      <c r="BF240">
        <v>4.0480501838015132E-2</v>
      </c>
      <c r="BH240">
        <v>7.8962827461939847E-2</v>
      </c>
      <c r="BI240">
        <v>3.9481413730969923E-2</v>
      </c>
      <c r="BJ240">
        <v>0.49517436315571001</v>
      </c>
    </row>
    <row r="241" spans="1:62" x14ac:dyDescent="0.3">
      <c r="A241" t="s">
        <v>201</v>
      </c>
      <c r="B241" s="12" t="s">
        <v>869</v>
      </c>
      <c r="C241" s="12"/>
      <c r="F241">
        <v>2.2999999999999998</v>
      </c>
      <c r="G241" t="s">
        <v>207</v>
      </c>
      <c r="H241" s="25" t="s">
        <v>524</v>
      </c>
      <c r="I241" s="1" t="s">
        <v>607</v>
      </c>
      <c r="L241" s="20">
        <v>0</v>
      </c>
      <c r="M241">
        <v>1</v>
      </c>
      <c r="N241">
        <v>0</v>
      </c>
      <c r="O241">
        <v>-1</v>
      </c>
      <c r="T241" s="20">
        <v>0</v>
      </c>
      <c r="U241" s="20"/>
      <c r="V241" s="20"/>
      <c r="W241">
        <v>3.9060000000000001</v>
      </c>
      <c r="X241">
        <v>21.603000000000002</v>
      </c>
      <c r="Y241">
        <v>3.8879000000000001</v>
      </c>
      <c r="Z241">
        <v>0</v>
      </c>
      <c r="AD241">
        <v>14</v>
      </c>
      <c r="AE241" s="44">
        <f t="shared" si="10"/>
        <v>0</v>
      </c>
      <c r="AF241" s="46">
        <v>0</v>
      </c>
      <c r="AG241" s="44">
        <v>328.06612625219998</v>
      </c>
      <c r="AH241" s="44">
        <v>0</v>
      </c>
      <c r="AI241" s="41"/>
      <c r="AJ241" s="40"/>
      <c r="AK241" s="41">
        <v>4.2674323496713393E-2</v>
      </c>
      <c r="AL241" s="41"/>
      <c r="AM241" s="23">
        <v>1.7272727272727271</v>
      </c>
      <c r="AN241" s="23">
        <v>2.545454545454545</v>
      </c>
      <c r="AO241" s="23">
        <v>1.4090909090909089</v>
      </c>
      <c r="AP241" s="23">
        <v>0</v>
      </c>
      <c r="AQ241" s="23">
        <v>0.30399999999999999</v>
      </c>
      <c r="AR241" s="23">
        <v>0.44800000000000001</v>
      </c>
      <c r="AS241" s="23">
        <v>0.248</v>
      </c>
      <c r="AT241" s="23">
        <v>0</v>
      </c>
      <c r="AU241" s="20">
        <v>0.82</v>
      </c>
      <c r="AV241" s="20">
        <v>3.44</v>
      </c>
      <c r="AW241" s="20">
        <v>2.62</v>
      </c>
      <c r="AX241" s="20">
        <v>2.7183636363636361</v>
      </c>
      <c r="AY241">
        <v>2.718363636363637</v>
      </c>
      <c r="AZ241">
        <v>6.1164196318636357</v>
      </c>
      <c r="BA241" s="64">
        <v>0.48450364842179561</v>
      </c>
      <c r="BF241">
        <v>2.13371617483567E-2</v>
      </c>
      <c r="BH241">
        <v>4.2674323496713393E-2</v>
      </c>
      <c r="BI241">
        <v>2.13371617483567E-2</v>
      </c>
      <c r="BJ241">
        <v>0.48450364842179561</v>
      </c>
    </row>
    <row r="242" spans="1:62" x14ac:dyDescent="0.3">
      <c r="A242" t="s">
        <v>1</v>
      </c>
      <c r="B242" s="12" t="s">
        <v>686</v>
      </c>
      <c r="C242" s="12"/>
      <c r="F242">
        <v>3.2</v>
      </c>
      <c r="G242" t="s">
        <v>207</v>
      </c>
      <c r="H242" s="8" t="s">
        <v>524</v>
      </c>
      <c r="I242" t="s">
        <v>607</v>
      </c>
      <c r="L242" s="20">
        <v>1</v>
      </c>
      <c r="M242">
        <v>1</v>
      </c>
      <c r="N242">
        <v>0</v>
      </c>
      <c r="O242">
        <v>-1</v>
      </c>
      <c r="T242" s="20">
        <v>3.9327019999999999</v>
      </c>
      <c r="U242" s="20">
        <v>3.9458000000000002</v>
      </c>
      <c r="V242" s="20">
        <v>11.356398779999999</v>
      </c>
      <c r="W242">
        <v>3.9060000000000001</v>
      </c>
      <c r="X242">
        <v>21.603000000000002</v>
      </c>
      <c r="Y242">
        <v>3.8879000000000001</v>
      </c>
      <c r="Z242">
        <v>0</v>
      </c>
      <c r="AD242">
        <v>14</v>
      </c>
      <c r="AE242" s="44">
        <f t="shared" si="10"/>
        <v>0</v>
      </c>
      <c r="AF242" s="46">
        <v>173.54502164551991</v>
      </c>
      <c r="AG242" s="44">
        <v>328.06612625219998</v>
      </c>
      <c r="AH242" s="44">
        <v>0</v>
      </c>
      <c r="AI242" s="41"/>
      <c r="AJ242" s="40">
        <v>8.0670709348241429E-2</v>
      </c>
      <c r="AK242" s="41">
        <v>4.2674323496713393E-2</v>
      </c>
      <c r="AL242" s="41"/>
      <c r="AM242" s="23">
        <v>1.7272727272727271</v>
      </c>
      <c r="AN242" s="23">
        <v>2.545454545454545</v>
      </c>
      <c r="AO242" s="23">
        <v>0.81818181818181823</v>
      </c>
      <c r="AP242" s="23">
        <v>0</v>
      </c>
      <c r="AQ242" s="23">
        <v>0.3392857142857143</v>
      </c>
      <c r="AR242" s="23">
        <v>0.5</v>
      </c>
      <c r="AS242" s="23">
        <v>0.1607142857142857</v>
      </c>
      <c r="AT242" s="23">
        <v>0</v>
      </c>
      <c r="AU242" s="20">
        <v>0.82</v>
      </c>
      <c r="AV242" s="20">
        <v>3.44</v>
      </c>
      <c r="AW242" s="20">
        <v>2.62</v>
      </c>
      <c r="AX242" s="20">
        <v>2.6545454545454539</v>
      </c>
      <c r="AY242">
        <v>2.6545454545454539</v>
      </c>
      <c r="AZ242">
        <v>5.9946911436363637</v>
      </c>
      <c r="BA242" s="64">
        <v>0.48450364842179561</v>
      </c>
      <c r="BE242">
        <v>4.0335354674120701E-2</v>
      </c>
      <c r="BF242">
        <v>2.13371617483567E-2</v>
      </c>
      <c r="BH242">
        <v>6.1672516422477411E-2</v>
      </c>
      <c r="BI242">
        <v>3.0836258211238698E-2</v>
      </c>
      <c r="BJ242">
        <v>0.48450364842179561</v>
      </c>
    </row>
    <row r="243" spans="1:62" x14ac:dyDescent="0.3">
      <c r="A243" t="s">
        <v>202</v>
      </c>
      <c r="B243" s="12" t="s">
        <v>870</v>
      </c>
      <c r="C243" s="12"/>
      <c r="F243">
        <v>2.8</v>
      </c>
      <c r="G243" t="s">
        <v>207</v>
      </c>
      <c r="H243" s="25" t="s">
        <v>584</v>
      </c>
      <c r="I243" s="1" t="s">
        <v>658</v>
      </c>
      <c r="L243" s="20">
        <v>0</v>
      </c>
      <c r="M243">
        <v>1</v>
      </c>
      <c r="N243">
        <v>0</v>
      </c>
      <c r="O243">
        <v>-1</v>
      </c>
      <c r="T243" s="20">
        <v>0</v>
      </c>
      <c r="U243" s="20"/>
      <c r="V243" s="20"/>
      <c r="W243">
        <v>3.8573</v>
      </c>
      <c r="X243">
        <v>3.8573</v>
      </c>
      <c r="Y243">
        <v>15.044</v>
      </c>
      <c r="Z243">
        <v>0</v>
      </c>
      <c r="AD243">
        <v>20</v>
      </c>
      <c r="AE243" s="44">
        <f t="shared" si="10"/>
        <v>0</v>
      </c>
      <c r="AF243" s="46">
        <v>0</v>
      </c>
      <c r="AG243" s="44">
        <v>223.83611493475999</v>
      </c>
      <c r="AH243" s="44">
        <v>0</v>
      </c>
      <c r="AI243" s="41"/>
      <c r="AJ243" s="40"/>
      <c r="AK243" s="41">
        <v>8.9351086199066954E-2</v>
      </c>
      <c r="AL243" s="41"/>
      <c r="AM243" s="23">
        <v>1.9375</v>
      </c>
      <c r="AN243" s="23">
        <v>2.5</v>
      </c>
      <c r="AO243" s="23">
        <v>0.625</v>
      </c>
      <c r="AP243" s="23">
        <v>2.625</v>
      </c>
      <c r="AQ243" s="23">
        <v>0.25203252032520318</v>
      </c>
      <c r="AR243" s="23">
        <v>0.32520325203252032</v>
      </c>
      <c r="AS243" s="23">
        <v>8.1300813008130079E-2</v>
      </c>
      <c r="AT243" s="23">
        <v>0.34146341463414642</v>
      </c>
      <c r="AU243" s="20">
        <v>0.82</v>
      </c>
      <c r="AV243" s="20">
        <v>3.44</v>
      </c>
      <c r="AW243" s="20">
        <v>2.62</v>
      </c>
      <c r="AX243" s="20">
        <v>2.6142500000000002</v>
      </c>
      <c r="AY243">
        <v>2.6142500000000002</v>
      </c>
      <c r="AZ243">
        <v>5.9930639130937511</v>
      </c>
      <c r="BA243" s="64">
        <v>0.5100369583648936</v>
      </c>
      <c r="BB243" s="64">
        <v>0.54203706385343264</v>
      </c>
      <c r="BF243">
        <v>4.4675543099533477E-2</v>
      </c>
      <c r="BH243">
        <v>8.9351086199066954E-2</v>
      </c>
      <c r="BI243">
        <v>4.4675543099533477E-2</v>
      </c>
      <c r="BJ243">
        <v>0.52603701110916312</v>
      </c>
    </row>
    <row r="244" spans="1:62" x14ac:dyDescent="0.3">
      <c r="A244" t="s">
        <v>203</v>
      </c>
      <c r="B244" s="12" t="s">
        <v>803</v>
      </c>
      <c r="C244" s="12"/>
      <c r="F244">
        <v>4.5</v>
      </c>
      <c r="G244" t="s">
        <v>207</v>
      </c>
      <c r="H244" s="8" t="s">
        <v>584</v>
      </c>
      <c r="I244" t="s">
        <v>658</v>
      </c>
      <c r="L244" s="20">
        <v>1</v>
      </c>
      <c r="M244">
        <v>1</v>
      </c>
      <c r="N244">
        <v>0</v>
      </c>
      <c r="O244">
        <v>-1</v>
      </c>
      <c r="Q244">
        <v>15.05</v>
      </c>
      <c r="T244" s="20">
        <v>3.9414189999999998</v>
      </c>
      <c r="U244" s="20">
        <v>3.9414189999999998</v>
      </c>
      <c r="V244" s="20">
        <v>15.312718</v>
      </c>
      <c r="W244">
        <v>3.8573</v>
      </c>
      <c r="X244">
        <v>3.8573</v>
      </c>
      <c r="Y244">
        <v>15.044</v>
      </c>
      <c r="Z244">
        <v>0</v>
      </c>
      <c r="AD244">
        <v>20</v>
      </c>
      <c r="AE244" s="44">
        <f t="shared" si="10"/>
        <v>0</v>
      </c>
      <c r="AF244" s="46">
        <v>237.8797625030067</v>
      </c>
      <c r="AG244" s="44">
        <v>223.83611493475999</v>
      </c>
      <c r="AH244" s="44">
        <v>0</v>
      </c>
      <c r="AI244" s="41"/>
      <c r="AJ244" s="40">
        <v>8.4076088648975381E-2</v>
      </c>
      <c r="AK244" s="41">
        <v>8.9351086199066954E-2</v>
      </c>
      <c r="AL244" s="41"/>
      <c r="AM244" s="23">
        <v>1.9375</v>
      </c>
      <c r="AN244" s="23">
        <v>2.5</v>
      </c>
      <c r="AO244" s="23">
        <v>0.5625</v>
      </c>
      <c r="AP244" s="23">
        <v>2.625</v>
      </c>
      <c r="AQ244" s="23">
        <v>0.25409836065573771</v>
      </c>
      <c r="AR244" s="23">
        <v>0.32786885245901642</v>
      </c>
      <c r="AS244" s="23">
        <v>7.3770491803278687E-2</v>
      </c>
      <c r="AT244" s="23">
        <v>0.34426229508196721</v>
      </c>
      <c r="AU244" s="20">
        <v>0.82</v>
      </c>
      <c r="AV244" s="20">
        <v>3.44</v>
      </c>
      <c r="AW244" s="20">
        <v>2.62</v>
      </c>
      <c r="AX244" s="20">
        <v>2.6074999999999999</v>
      </c>
      <c r="AY244">
        <v>2.6074999999999999</v>
      </c>
      <c r="AZ244">
        <v>5.9796291640625006</v>
      </c>
      <c r="BA244" s="64">
        <v>0.5100369583648936</v>
      </c>
      <c r="BB244" s="64">
        <v>0.54203706385343264</v>
      </c>
      <c r="BE244">
        <v>4.203804432448769E-2</v>
      </c>
      <c r="BF244">
        <v>4.4675543099533477E-2</v>
      </c>
      <c r="BH244">
        <v>8.671358742402116E-2</v>
      </c>
      <c r="BI244">
        <v>4.335679371201058E-2</v>
      </c>
      <c r="BJ244">
        <v>0.52603701110916312</v>
      </c>
    </row>
    <row r="245" spans="1:62" x14ac:dyDescent="0.3">
      <c r="A245" t="s">
        <v>204</v>
      </c>
      <c r="B245" s="12" t="s">
        <v>804</v>
      </c>
      <c r="C245" s="12"/>
      <c r="F245">
        <v>4.8</v>
      </c>
      <c r="G245" t="s">
        <v>207</v>
      </c>
      <c r="H245" s="8" t="s">
        <v>585</v>
      </c>
      <c r="I245" t="s">
        <v>659</v>
      </c>
      <c r="L245" s="20">
        <v>2</v>
      </c>
      <c r="M245">
        <v>6</v>
      </c>
      <c r="N245">
        <v>0</v>
      </c>
      <c r="O245">
        <v>-1</v>
      </c>
      <c r="T245" s="20">
        <v>5.4445069999999998</v>
      </c>
      <c r="U245" s="20">
        <v>5.4445069999999998</v>
      </c>
      <c r="V245" s="20">
        <v>3.9426230000000002</v>
      </c>
      <c r="W245">
        <v>5.15428</v>
      </c>
      <c r="X245">
        <v>5.1542800000000009</v>
      </c>
      <c r="Y245">
        <v>13.7835</v>
      </c>
      <c r="Z245">
        <v>0</v>
      </c>
      <c r="AD245">
        <v>6</v>
      </c>
      <c r="AE245" s="44">
        <f t="shared" si="10"/>
        <v>0</v>
      </c>
      <c r="AF245" s="46">
        <v>116.8698191917419</v>
      </c>
      <c r="AG245" s="44">
        <v>317.12184318337751</v>
      </c>
      <c r="AH245" s="44">
        <v>0</v>
      </c>
      <c r="AI245" s="41"/>
      <c r="AJ245" s="40">
        <v>0.10267834829377349</v>
      </c>
      <c r="AK245" s="41">
        <v>0.1135210354437263</v>
      </c>
      <c r="AL245" s="41"/>
      <c r="AM245" s="23">
        <v>1.8</v>
      </c>
      <c r="AN245" s="23">
        <v>2.4</v>
      </c>
      <c r="AO245" s="23">
        <v>0.6</v>
      </c>
      <c r="AP245" s="23">
        <v>2.8</v>
      </c>
      <c r="AQ245" s="23">
        <v>0.23684210526315791</v>
      </c>
      <c r="AR245" s="23">
        <v>0.31578947368421051</v>
      </c>
      <c r="AS245" s="23">
        <v>7.8947368421052627E-2</v>
      </c>
      <c r="AT245" s="23">
        <v>0.36842105263157893</v>
      </c>
      <c r="AU245" s="20">
        <v>0.98</v>
      </c>
      <c r="AV245" s="20">
        <v>3.44</v>
      </c>
      <c r="AW245" s="20">
        <v>2.46</v>
      </c>
      <c r="AX245" s="20">
        <v>2.56</v>
      </c>
      <c r="AY245">
        <v>2.56</v>
      </c>
      <c r="AZ245">
        <v>5.9119936115999998</v>
      </c>
      <c r="BA245" s="64">
        <v>0.51645314797839414</v>
      </c>
      <c r="BB245" s="64">
        <v>0</v>
      </c>
      <c r="BE245">
        <v>5.1339174146886712E-2</v>
      </c>
      <c r="BF245">
        <v>5.6760517721863142E-2</v>
      </c>
      <c r="BH245">
        <v>0.1080996918687499</v>
      </c>
      <c r="BI245">
        <v>5.4049845934374917E-2</v>
      </c>
      <c r="BJ245">
        <v>0.25822657398919707</v>
      </c>
    </row>
    <row r="246" spans="1:62" x14ac:dyDescent="0.3">
      <c r="A246" t="s">
        <v>28</v>
      </c>
      <c r="B246" s="12" t="s">
        <v>805</v>
      </c>
      <c r="C246" s="12"/>
      <c r="F246">
        <v>4</v>
      </c>
      <c r="G246" t="s">
        <v>207</v>
      </c>
      <c r="H246" s="8" t="s">
        <v>586</v>
      </c>
      <c r="I246" t="s">
        <v>660</v>
      </c>
      <c r="L246" s="20">
        <v>8</v>
      </c>
      <c r="M246">
        <v>4</v>
      </c>
      <c r="N246">
        <v>0</v>
      </c>
      <c r="O246">
        <v>-1</v>
      </c>
      <c r="T246" s="20">
        <v>7.5714817599999993</v>
      </c>
      <c r="U246" s="20">
        <v>7.4441355800000002</v>
      </c>
      <c r="V246" s="20">
        <v>14.785262019999999</v>
      </c>
      <c r="W246">
        <v>5.4767999999999999</v>
      </c>
      <c r="X246">
        <v>5.5212000000000003</v>
      </c>
      <c r="Y246">
        <v>7.7889999999999997</v>
      </c>
      <c r="Z246">
        <v>0</v>
      </c>
      <c r="AD246">
        <v>6</v>
      </c>
      <c r="AE246" s="44">
        <f t="shared" si="10"/>
        <v>0</v>
      </c>
      <c r="AF246" s="46">
        <v>583.54908217201648</v>
      </c>
      <c r="AG246" s="44">
        <v>235.52774005824</v>
      </c>
      <c r="AH246" s="44">
        <v>0</v>
      </c>
      <c r="AI246" s="41"/>
      <c r="AJ246" s="40">
        <v>8.2255291742281814E-2</v>
      </c>
      <c r="AK246" s="41">
        <v>0.10189882514078979</v>
      </c>
      <c r="AL246" s="41"/>
      <c r="AM246" s="23">
        <v>1.8</v>
      </c>
      <c r="AN246" s="23">
        <v>2.4</v>
      </c>
      <c r="AO246" s="23">
        <v>0.6</v>
      </c>
      <c r="AP246" s="23">
        <v>2.8</v>
      </c>
      <c r="AQ246" s="23">
        <v>0.23684210526315791</v>
      </c>
      <c r="AR246" s="23">
        <v>0.31578947368421051</v>
      </c>
      <c r="AS246" s="23">
        <v>7.8947368421052627E-2</v>
      </c>
      <c r="AT246" s="23">
        <v>0.36842105263157893</v>
      </c>
      <c r="AU246" s="20">
        <v>0.93</v>
      </c>
      <c r="AV246" s="20">
        <v>3.44</v>
      </c>
      <c r="AW246" s="20">
        <v>2.5099999999999998</v>
      </c>
      <c r="AX246" s="20">
        <v>2.5499999999999998</v>
      </c>
      <c r="AY246">
        <v>2.5499999999999998</v>
      </c>
      <c r="AZ246">
        <v>5.8797175109999991</v>
      </c>
      <c r="BA246" s="64">
        <v>0.46150059156666667</v>
      </c>
      <c r="BB246" s="64">
        <v>0.57171237359127625</v>
      </c>
      <c r="BE246">
        <v>4.1127645871140907E-2</v>
      </c>
      <c r="BF246">
        <v>5.0949412570394918E-2</v>
      </c>
      <c r="BH246">
        <v>9.2077058441535797E-2</v>
      </c>
      <c r="BI246">
        <v>4.6038529220767913E-2</v>
      </c>
      <c r="BJ246">
        <v>0.51660648257897146</v>
      </c>
    </row>
    <row r="247" spans="1:62" x14ac:dyDescent="0.3">
      <c r="A247" t="s">
        <v>205</v>
      </c>
      <c r="B247" s="12" t="s">
        <v>871</v>
      </c>
      <c r="C247" s="12"/>
      <c r="F247">
        <v>2.8</v>
      </c>
      <c r="G247" t="s">
        <v>207</v>
      </c>
      <c r="H247" s="25" t="s">
        <v>585</v>
      </c>
      <c r="I247" s="1" t="s">
        <v>659</v>
      </c>
      <c r="L247" s="20">
        <v>0</v>
      </c>
      <c r="M247">
        <v>6</v>
      </c>
      <c r="N247">
        <v>0</v>
      </c>
      <c r="O247">
        <v>-1</v>
      </c>
      <c r="T247" s="20">
        <v>0</v>
      </c>
      <c r="U247" s="20"/>
      <c r="V247" s="20"/>
      <c r="W247">
        <v>5.15428</v>
      </c>
      <c r="X247">
        <v>5.1542800000000009</v>
      </c>
      <c r="Y247">
        <v>13.7835</v>
      </c>
      <c r="Z247">
        <v>0</v>
      </c>
      <c r="AD247">
        <v>6</v>
      </c>
      <c r="AE247" s="44">
        <f t="shared" si="10"/>
        <v>0</v>
      </c>
      <c r="AF247" s="46">
        <v>0</v>
      </c>
      <c r="AG247" s="44">
        <v>317.12184318337751</v>
      </c>
      <c r="AH247" s="44">
        <v>0</v>
      </c>
      <c r="AI247" s="41"/>
      <c r="AJ247" s="40"/>
      <c r="AK247" s="41">
        <v>0.1135210354437263</v>
      </c>
      <c r="AL247" s="41"/>
      <c r="AM247" s="23">
        <v>1.8</v>
      </c>
      <c r="AN247" s="23">
        <v>2.4</v>
      </c>
      <c r="AO247" s="23">
        <v>0.64</v>
      </c>
      <c r="AP247" s="23">
        <v>2.8</v>
      </c>
      <c r="AQ247" s="23">
        <v>0.2356020942408377</v>
      </c>
      <c r="AR247" s="23">
        <v>0.3141361256544502</v>
      </c>
      <c r="AS247" s="23">
        <v>8.3769633507853394E-2</v>
      </c>
      <c r="AT247" s="23">
        <v>0.36649214659685858</v>
      </c>
      <c r="AU247" s="20">
        <v>0.98</v>
      </c>
      <c r="AV247" s="20">
        <v>3.44</v>
      </c>
      <c r="AW247" s="20">
        <v>2.46</v>
      </c>
      <c r="AX247" s="20">
        <v>2.5636800000000002</v>
      </c>
      <c r="AY247">
        <v>2.5636800000000002</v>
      </c>
      <c r="AZ247">
        <v>5.9178984111680002</v>
      </c>
      <c r="BA247" s="64">
        <v>0.51645314797839414</v>
      </c>
      <c r="BB247" s="64">
        <v>0</v>
      </c>
      <c r="BF247">
        <v>5.6760517721863142E-2</v>
      </c>
      <c r="BH247">
        <v>0.1135210354437263</v>
      </c>
      <c r="BI247">
        <v>5.6760517721863142E-2</v>
      </c>
      <c r="BJ247">
        <v>0.25822657398919707</v>
      </c>
    </row>
    <row r="248" spans="1:62" x14ac:dyDescent="0.3">
      <c r="A248" t="s">
        <v>206</v>
      </c>
      <c r="B248" s="12" t="s">
        <v>872</v>
      </c>
      <c r="C248" s="12"/>
      <c r="F248">
        <v>2</v>
      </c>
      <c r="G248" t="s">
        <v>207</v>
      </c>
      <c r="H248" s="25" t="s">
        <v>586</v>
      </c>
      <c r="I248" s="1" t="s">
        <v>660</v>
      </c>
      <c r="L248" s="20">
        <v>0</v>
      </c>
      <c r="M248">
        <v>4</v>
      </c>
      <c r="N248">
        <v>0</v>
      </c>
      <c r="O248">
        <v>-1</v>
      </c>
      <c r="T248" s="20">
        <v>0</v>
      </c>
      <c r="U248" s="20"/>
      <c r="V248" s="20"/>
      <c r="W248">
        <v>5.4767999999999999</v>
      </c>
      <c r="X248">
        <v>5.5212000000000003</v>
      </c>
      <c r="Y248">
        <v>7.7889999999999997</v>
      </c>
      <c r="Z248">
        <v>0</v>
      </c>
      <c r="AD248">
        <v>6</v>
      </c>
      <c r="AE248" s="44">
        <f t="shared" si="10"/>
        <v>0</v>
      </c>
      <c r="AF248" s="46">
        <v>0</v>
      </c>
      <c r="AG248" s="44">
        <v>235.52774005824</v>
      </c>
      <c r="AH248" s="44">
        <v>0</v>
      </c>
      <c r="AI248" s="41"/>
      <c r="AJ248" s="40"/>
      <c r="AK248" s="41">
        <v>0.10189882514078979</v>
      </c>
      <c r="AL248" s="41"/>
      <c r="AM248" s="23">
        <v>1.8</v>
      </c>
      <c r="AN248" s="23">
        <v>2.4</v>
      </c>
      <c r="AO248" s="23">
        <v>0.78</v>
      </c>
      <c r="AP248" s="23">
        <v>2.8</v>
      </c>
      <c r="AQ248" s="23">
        <v>0.23136246786632389</v>
      </c>
      <c r="AR248" s="23">
        <v>0.30848329048843193</v>
      </c>
      <c r="AS248" s="23">
        <v>0.10025706940874041</v>
      </c>
      <c r="AT248" s="23">
        <v>0.35989717223650391</v>
      </c>
      <c r="AU248" s="20">
        <v>0.93</v>
      </c>
      <c r="AV248" s="20">
        <v>3.44</v>
      </c>
      <c r="AW248" s="20">
        <v>2.5099999999999998</v>
      </c>
      <c r="AX248" s="20">
        <v>2.5674600000000001</v>
      </c>
      <c r="AY248">
        <v>2.5674600000000001</v>
      </c>
      <c r="AZ248">
        <v>5.9091939581100004</v>
      </c>
      <c r="BA248" s="64">
        <v>0.46150059156666667</v>
      </c>
      <c r="BB248" s="64">
        <v>0.57171237359127625</v>
      </c>
      <c r="BF248">
        <v>5.0949412570394918E-2</v>
      </c>
      <c r="BH248">
        <v>0.10189882514078979</v>
      </c>
      <c r="BI248">
        <v>5.0949412570394918E-2</v>
      </c>
      <c r="BJ248">
        <v>0.51660648257897146</v>
      </c>
    </row>
    <row r="249" spans="1:62" x14ac:dyDescent="0.3">
      <c r="A249" t="s">
        <v>153</v>
      </c>
      <c r="B249" s="12" t="s">
        <v>775</v>
      </c>
      <c r="C249" s="12"/>
      <c r="F249">
        <v>3.36</v>
      </c>
      <c r="G249" t="s">
        <v>208</v>
      </c>
      <c r="H249" s="8" t="s">
        <v>578</v>
      </c>
      <c r="I249">
        <v>-1</v>
      </c>
      <c r="K249">
        <v>1</v>
      </c>
      <c r="L249" s="20">
        <v>1</v>
      </c>
      <c r="M249">
        <v>0</v>
      </c>
      <c r="N249">
        <v>0</v>
      </c>
      <c r="O249">
        <v>3.8860000000000001</v>
      </c>
      <c r="P249">
        <v>3.8860000000000001</v>
      </c>
      <c r="Q249">
        <v>10.548299999999999</v>
      </c>
      <c r="R249" t="s">
        <v>1097</v>
      </c>
      <c r="T249" s="20">
        <v>3.9263319999999999</v>
      </c>
      <c r="U249" s="20">
        <v>3.9263319999999999</v>
      </c>
      <c r="V249" s="20">
        <v>10.74639</v>
      </c>
      <c r="W249">
        <v>0</v>
      </c>
      <c r="Z249">
        <v>0</v>
      </c>
      <c r="AD249">
        <v>14</v>
      </c>
      <c r="AE249" s="44">
        <f t="shared" si="10"/>
        <v>159.28983610679998</v>
      </c>
      <c r="AF249" s="46">
        <v>165.66723991337099</v>
      </c>
      <c r="AG249" s="44">
        <v>0</v>
      </c>
      <c r="AH249" s="44">
        <v>0</v>
      </c>
      <c r="AI249" s="41"/>
      <c r="AJ249" s="40">
        <v>8.4506749839743392E-2</v>
      </c>
      <c r="AK249" s="41"/>
      <c r="AL249" s="41"/>
      <c r="AM249" s="23">
        <v>1.7272727272727271</v>
      </c>
      <c r="AN249" s="23">
        <v>2.545454545454545</v>
      </c>
      <c r="AO249" s="23">
        <v>0.81818181818181823</v>
      </c>
      <c r="AP249" s="23">
        <v>0</v>
      </c>
      <c r="AQ249" s="23">
        <v>0.3392857142857143</v>
      </c>
      <c r="AR249" s="23">
        <v>0.5</v>
      </c>
      <c r="AS249" s="23">
        <v>0.1607142857142857</v>
      </c>
      <c r="AT249" s="23">
        <v>0</v>
      </c>
      <c r="AU249" s="20">
        <v>1.1000000000000001</v>
      </c>
      <c r="AV249" s="20">
        <v>3.44</v>
      </c>
      <c r="AW249" s="20">
        <v>2.34</v>
      </c>
      <c r="AX249" s="20">
        <v>2.78</v>
      </c>
      <c r="AY249">
        <v>2.78</v>
      </c>
      <c r="AZ249">
        <v>6.4270052227137269</v>
      </c>
      <c r="BA249" s="64">
        <v>0.41874886813759421</v>
      </c>
      <c r="BD249">
        <v>4.3945051178950742E-2</v>
      </c>
      <c r="BE249">
        <v>4.2253374919871717E-2</v>
      </c>
      <c r="BH249">
        <v>8.4506749839743392E-2</v>
      </c>
      <c r="BI249">
        <v>4.3099213049411229E-2</v>
      </c>
      <c r="BJ249">
        <v>0.41874886813759421</v>
      </c>
    </row>
    <row r="250" spans="1:62" x14ac:dyDescent="0.3">
      <c r="A250" t="s">
        <v>153</v>
      </c>
      <c r="B250" s="12" t="s">
        <v>775</v>
      </c>
      <c r="C250" s="12"/>
      <c r="D250" t="s">
        <v>964</v>
      </c>
      <c r="E250">
        <v>0.66</v>
      </c>
      <c r="F250">
        <v>3.48</v>
      </c>
      <c r="G250" t="s">
        <v>208</v>
      </c>
      <c r="H250" s="8" t="s">
        <v>578</v>
      </c>
      <c r="I250">
        <v>-1</v>
      </c>
      <c r="K250">
        <v>1</v>
      </c>
      <c r="L250" s="20">
        <v>1</v>
      </c>
      <c r="M250">
        <v>0</v>
      </c>
      <c r="N250">
        <v>0</v>
      </c>
      <c r="O250">
        <v>3.8860000000000001</v>
      </c>
      <c r="P250">
        <v>3.8860000000000001</v>
      </c>
      <c r="Q250">
        <v>10.548299999999999</v>
      </c>
      <c r="R250" t="s">
        <v>1097</v>
      </c>
      <c r="T250" s="20">
        <v>3.9263319999999999</v>
      </c>
      <c r="U250" s="20">
        <v>3.9263319999999999</v>
      </c>
      <c r="V250" s="20">
        <v>10.74639</v>
      </c>
      <c r="W250">
        <v>0</v>
      </c>
      <c r="Z250">
        <v>0</v>
      </c>
      <c r="AD250">
        <v>14</v>
      </c>
      <c r="AE250" s="44">
        <f t="shared" si="10"/>
        <v>159.28983610679998</v>
      </c>
      <c r="AF250" s="46">
        <v>165.66723991337099</v>
      </c>
      <c r="AG250" s="44">
        <v>0</v>
      </c>
      <c r="AH250" s="44">
        <v>0</v>
      </c>
      <c r="AI250" s="41"/>
      <c r="AJ250" s="40">
        <v>8.4506749839743392E-2</v>
      </c>
      <c r="AK250" s="41"/>
      <c r="AL250" s="41"/>
      <c r="AM250" s="23">
        <v>1.7272727272727271</v>
      </c>
      <c r="AN250" s="23">
        <v>2.545454545454545</v>
      </c>
      <c r="AO250" s="23">
        <v>0.81818181818181823</v>
      </c>
      <c r="AP250" s="23">
        <v>0</v>
      </c>
      <c r="AQ250" s="23">
        <v>0.3392857142857143</v>
      </c>
      <c r="AR250" s="23">
        <v>0.5</v>
      </c>
      <c r="AS250" s="23">
        <v>0.1607142857142857</v>
      </c>
      <c r="AT250" s="23">
        <v>0</v>
      </c>
      <c r="AU250" s="20">
        <v>1.1000000000000001</v>
      </c>
      <c r="AV250" s="20">
        <v>3.44</v>
      </c>
      <c r="AW250" s="20">
        <v>2.34</v>
      </c>
      <c r="AX250" s="20">
        <v>2.78</v>
      </c>
      <c r="AY250">
        <v>2.78</v>
      </c>
      <c r="AZ250">
        <v>6.4270052227137269</v>
      </c>
      <c r="BA250" s="64">
        <v>0.41874886813759421</v>
      </c>
      <c r="BD250">
        <v>4.3945051178950742E-2</v>
      </c>
      <c r="BE250">
        <v>4.2253374919871717E-2</v>
      </c>
      <c r="BH250">
        <v>8.4506749839743392E-2</v>
      </c>
      <c r="BI250">
        <v>4.3099213049411229E-2</v>
      </c>
      <c r="BJ250">
        <v>0.41874886813759421</v>
      </c>
    </row>
    <row r="251" spans="1:62" x14ac:dyDescent="0.3">
      <c r="A251" t="s">
        <v>153</v>
      </c>
      <c r="B251" s="12" t="s">
        <v>775</v>
      </c>
      <c r="C251" s="12"/>
      <c r="D251" t="s">
        <v>964</v>
      </c>
      <c r="E251">
        <f>E250*2</f>
        <v>1.32</v>
      </c>
      <c r="F251">
        <v>3.47</v>
      </c>
      <c r="G251" t="s">
        <v>208</v>
      </c>
      <c r="H251" s="8" t="s">
        <v>578</v>
      </c>
      <c r="I251">
        <v>-1</v>
      </c>
      <c r="K251">
        <v>1</v>
      </c>
      <c r="L251" s="20">
        <v>1</v>
      </c>
      <c r="M251">
        <v>0</v>
      </c>
      <c r="N251">
        <v>0</v>
      </c>
      <c r="O251">
        <v>3.8860000000000001</v>
      </c>
      <c r="P251">
        <v>3.8860000000000001</v>
      </c>
      <c r="Q251">
        <v>10.548299999999999</v>
      </c>
      <c r="R251" t="s">
        <v>1097</v>
      </c>
      <c r="T251" s="20">
        <v>3.9263319999999999</v>
      </c>
      <c r="U251" s="20">
        <v>3.9263319999999999</v>
      </c>
      <c r="V251" s="20">
        <v>10.74639</v>
      </c>
      <c r="W251">
        <v>0</v>
      </c>
      <c r="Z251">
        <v>0</v>
      </c>
      <c r="AD251">
        <v>14</v>
      </c>
      <c r="AE251" s="44">
        <f t="shared" si="10"/>
        <v>159.28983610679998</v>
      </c>
      <c r="AF251" s="46">
        <v>165.66723991337099</v>
      </c>
      <c r="AG251" s="44">
        <v>0</v>
      </c>
      <c r="AH251" s="44">
        <v>0</v>
      </c>
      <c r="AI251" s="41"/>
      <c r="AJ251" s="40">
        <v>8.4506749839743392E-2</v>
      </c>
      <c r="AK251" s="41"/>
      <c r="AL251" s="41"/>
      <c r="AM251" s="23">
        <v>1.7272727272727271</v>
      </c>
      <c r="AN251" s="23">
        <v>2.545454545454545</v>
      </c>
      <c r="AO251" s="23">
        <v>0.81818181818181823</v>
      </c>
      <c r="AP251" s="23">
        <v>0</v>
      </c>
      <c r="AQ251" s="23">
        <v>0.3392857142857143</v>
      </c>
      <c r="AR251" s="23">
        <v>0.5</v>
      </c>
      <c r="AS251" s="23">
        <v>0.1607142857142857</v>
      </c>
      <c r="AT251" s="23">
        <v>0</v>
      </c>
      <c r="AU251" s="20">
        <v>1.1000000000000001</v>
      </c>
      <c r="AV251" s="20">
        <v>3.44</v>
      </c>
      <c r="AW251" s="20">
        <v>2.34</v>
      </c>
      <c r="AX251" s="20">
        <v>2.78</v>
      </c>
      <c r="AY251">
        <v>2.78</v>
      </c>
      <c r="AZ251">
        <v>6.4270052227137269</v>
      </c>
      <c r="BA251" s="64">
        <v>0.41874886813759421</v>
      </c>
      <c r="BD251">
        <v>4.3945051178950742E-2</v>
      </c>
      <c r="BE251">
        <v>4.2253374919871717E-2</v>
      </c>
      <c r="BH251">
        <v>8.4506749839743392E-2</v>
      </c>
      <c r="BI251">
        <v>4.3099213049411229E-2</v>
      </c>
      <c r="BJ251">
        <v>0.41874886813759421</v>
      </c>
    </row>
    <row r="252" spans="1:62" x14ac:dyDescent="0.3">
      <c r="A252" t="s">
        <v>153</v>
      </c>
      <c r="B252" s="12" t="s">
        <v>775</v>
      </c>
      <c r="C252" s="12"/>
      <c r="D252" t="s">
        <v>964</v>
      </c>
      <c r="E252">
        <f>E250*3</f>
        <v>1.98</v>
      </c>
      <c r="F252">
        <v>3.41</v>
      </c>
      <c r="G252" t="s">
        <v>208</v>
      </c>
      <c r="H252" s="8" t="s">
        <v>578</v>
      </c>
      <c r="I252">
        <v>-1</v>
      </c>
      <c r="K252">
        <v>1</v>
      </c>
      <c r="L252" s="20">
        <v>1</v>
      </c>
      <c r="M252">
        <v>0</v>
      </c>
      <c r="N252">
        <v>0</v>
      </c>
      <c r="O252">
        <v>3.8860000000000001</v>
      </c>
      <c r="P252">
        <v>3.8860000000000001</v>
      </c>
      <c r="Q252">
        <v>10.548299999999999</v>
      </c>
      <c r="R252" t="s">
        <v>1097</v>
      </c>
      <c r="T252" s="20">
        <v>3.9263319999999999</v>
      </c>
      <c r="U252" s="20">
        <v>3.9263319999999999</v>
      </c>
      <c r="V252" s="20">
        <v>10.74639</v>
      </c>
      <c r="W252">
        <v>0</v>
      </c>
      <c r="Z252">
        <v>0</v>
      </c>
      <c r="AD252">
        <v>14</v>
      </c>
      <c r="AE252" s="44">
        <f t="shared" si="10"/>
        <v>159.28983610679998</v>
      </c>
      <c r="AF252" s="46">
        <v>165.66723991337099</v>
      </c>
      <c r="AG252" s="44">
        <v>0</v>
      </c>
      <c r="AH252" s="44">
        <v>0</v>
      </c>
      <c r="AI252" s="41"/>
      <c r="AJ252" s="40">
        <v>8.4506749839743392E-2</v>
      </c>
      <c r="AK252" s="41"/>
      <c r="AL252" s="41"/>
      <c r="AM252" s="23">
        <v>1.7272727272727271</v>
      </c>
      <c r="AN252" s="23">
        <v>2.545454545454545</v>
      </c>
      <c r="AO252" s="23">
        <v>0.81818181818181823</v>
      </c>
      <c r="AP252" s="23">
        <v>0</v>
      </c>
      <c r="AQ252" s="23">
        <v>0.3392857142857143</v>
      </c>
      <c r="AR252" s="23">
        <v>0.5</v>
      </c>
      <c r="AS252" s="23">
        <v>0.1607142857142857</v>
      </c>
      <c r="AT252" s="23">
        <v>0</v>
      </c>
      <c r="AU252" s="20">
        <v>1.1000000000000001</v>
      </c>
      <c r="AV252" s="20">
        <v>3.44</v>
      </c>
      <c r="AW252" s="20">
        <v>2.34</v>
      </c>
      <c r="AX252" s="20">
        <v>2.78</v>
      </c>
      <c r="AY252">
        <v>2.78</v>
      </c>
      <c r="AZ252">
        <v>6.4270052227137269</v>
      </c>
      <c r="BA252" s="64">
        <v>0.41874886813759421</v>
      </c>
      <c r="BD252">
        <v>4.3945051178950742E-2</v>
      </c>
      <c r="BE252">
        <v>4.2253374919871717E-2</v>
      </c>
      <c r="BH252">
        <v>8.4506749839743392E-2</v>
      </c>
      <c r="BI252">
        <v>4.3099213049411229E-2</v>
      </c>
      <c r="BJ252">
        <v>0.41874886813759421</v>
      </c>
    </row>
    <row r="253" spans="1:62" x14ac:dyDescent="0.3">
      <c r="A253" t="s">
        <v>153</v>
      </c>
      <c r="B253" s="12" t="s">
        <v>775</v>
      </c>
      <c r="C253" s="12"/>
      <c r="D253" t="s">
        <v>964</v>
      </c>
      <c r="E253">
        <f>E250*4</f>
        <v>2.64</v>
      </c>
      <c r="F253">
        <v>3.42</v>
      </c>
      <c r="G253" t="s">
        <v>208</v>
      </c>
      <c r="H253" s="8" t="s">
        <v>578</v>
      </c>
      <c r="I253">
        <v>-1</v>
      </c>
      <c r="K253">
        <v>1</v>
      </c>
      <c r="L253" s="20">
        <v>1</v>
      </c>
      <c r="M253">
        <v>0</v>
      </c>
      <c r="N253">
        <v>0</v>
      </c>
      <c r="O253">
        <v>3.8860000000000001</v>
      </c>
      <c r="P253">
        <v>3.8860000000000001</v>
      </c>
      <c r="Q253">
        <v>10.548299999999999</v>
      </c>
      <c r="R253" t="s">
        <v>1097</v>
      </c>
      <c r="T253" s="20">
        <v>3.9263319999999999</v>
      </c>
      <c r="U253" s="20">
        <v>3.9263319999999999</v>
      </c>
      <c r="V253" s="20">
        <v>10.74639</v>
      </c>
      <c r="W253">
        <v>0</v>
      </c>
      <c r="Z253">
        <v>0</v>
      </c>
      <c r="AD253">
        <v>14</v>
      </c>
      <c r="AE253" s="44">
        <f t="shared" si="10"/>
        <v>159.28983610679998</v>
      </c>
      <c r="AF253" s="46">
        <v>165.66723991337099</v>
      </c>
      <c r="AG253" s="44">
        <v>0</v>
      </c>
      <c r="AH253" s="44">
        <v>0</v>
      </c>
      <c r="AI253" s="41"/>
      <c r="AJ253" s="40">
        <v>8.4506749839743392E-2</v>
      </c>
      <c r="AK253" s="41"/>
      <c r="AL253" s="41"/>
      <c r="AM253" s="23">
        <v>1.7272727272727271</v>
      </c>
      <c r="AN253" s="23">
        <v>2.545454545454545</v>
      </c>
      <c r="AO253" s="23">
        <v>0.81818181818181823</v>
      </c>
      <c r="AP253" s="23">
        <v>0</v>
      </c>
      <c r="AQ253" s="23">
        <v>0.3392857142857143</v>
      </c>
      <c r="AR253" s="23">
        <v>0.5</v>
      </c>
      <c r="AS253" s="23">
        <v>0.1607142857142857</v>
      </c>
      <c r="AT253" s="23">
        <v>0</v>
      </c>
      <c r="AU253" s="20">
        <v>1.1000000000000001</v>
      </c>
      <c r="AV253" s="20">
        <v>3.44</v>
      </c>
      <c r="AW253" s="20">
        <v>2.34</v>
      </c>
      <c r="AX253" s="20">
        <v>2.78</v>
      </c>
      <c r="AY253">
        <v>2.78</v>
      </c>
      <c r="AZ253">
        <v>6.4270052227137269</v>
      </c>
      <c r="BA253" s="64">
        <v>0.41874886813759421</v>
      </c>
      <c r="BD253">
        <v>4.3945051178950742E-2</v>
      </c>
      <c r="BE253">
        <v>4.2253374919871717E-2</v>
      </c>
      <c r="BH253">
        <v>8.4506749839743392E-2</v>
      </c>
      <c r="BI253">
        <v>4.3099213049411229E-2</v>
      </c>
      <c r="BJ253">
        <v>0.41874886813759421</v>
      </c>
    </row>
    <row r="254" spans="1:62" x14ac:dyDescent="0.3">
      <c r="A254" t="s">
        <v>153</v>
      </c>
      <c r="B254" s="12" t="s">
        <v>775</v>
      </c>
      <c r="C254" s="12"/>
      <c r="D254" t="s">
        <v>964</v>
      </c>
      <c r="E254">
        <f>E250*6</f>
        <v>3.96</v>
      </c>
      <c r="F254">
        <v>3.44</v>
      </c>
      <c r="G254" t="s">
        <v>208</v>
      </c>
      <c r="H254" s="8" t="s">
        <v>578</v>
      </c>
      <c r="I254">
        <v>-1</v>
      </c>
      <c r="K254">
        <v>1</v>
      </c>
      <c r="L254" s="20">
        <v>1</v>
      </c>
      <c r="M254">
        <v>0</v>
      </c>
      <c r="N254">
        <v>0</v>
      </c>
      <c r="O254">
        <v>3.8860000000000001</v>
      </c>
      <c r="P254">
        <v>3.8860000000000001</v>
      </c>
      <c r="Q254">
        <v>10.548299999999999</v>
      </c>
      <c r="R254" t="s">
        <v>1097</v>
      </c>
      <c r="T254" s="20">
        <v>3.9263319999999999</v>
      </c>
      <c r="U254" s="20">
        <v>3.9263319999999999</v>
      </c>
      <c r="V254" s="20">
        <v>10.74639</v>
      </c>
      <c r="W254">
        <v>0</v>
      </c>
      <c r="Z254">
        <v>0</v>
      </c>
      <c r="AD254">
        <v>14</v>
      </c>
      <c r="AE254" s="44">
        <f t="shared" si="10"/>
        <v>159.28983610679998</v>
      </c>
      <c r="AF254" s="46">
        <v>165.66723991337099</v>
      </c>
      <c r="AG254" s="44">
        <v>0</v>
      </c>
      <c r="AH254" s="44">
        <v>0</v>
      </c>
      <c r="AI254" s="41"/>
      <c r="AJ254" s="40">
        <v>8.4506749839743392E-2</v>
      </c>
      <c r="AK254" s="41"/>
      <c r="AL254" s="41"/>
      <c r="AM254" s="23">
        <v>1.7272727272727271</v>
      </c>
      <c r="AN254" s="23">
        <v>2.545454545454545</v>
      </c>
      <c r="AO254" s="23">
        <v>0.81818181818181823</v>
      </c>
      <c r="AP254" s="23">
        <v>0</v>
      </c>
      <c r="AQ254" s="23">
        <v>0.3392857142857143</v>
      </c>
      <c r="AR254" s="23">
        <v>0.5</v>
      </c>
      <c r="AS254" s="23">
        <v>0.1607142857142857</v>
      </c>
      <c r="AT254" s="23">
        <v>0</v>
      </c>
      <c r="AU254" s="20">
        <v>1.1000000000000001</v>
      </c>
      <c r="AV254" s="20">
        <v>3.44</v>
      </c>
      <c r="AW254" s="20">
        <v>2.34</v>
      </c>
      <c r="AX254" s="20">
        <v>2.78</v>
      </c>
      <c r="AY254">
        <v>2.78</v>
      </c>
      <c r="AZ254">
        <v>6.4270052227137269</v>
      </c>
      <c r="BA254" s="64">
        <v>0.41874886813759421</v>
      </c>
      <c r="BD254">
        <v>4.3945051178950742E-2</v>
      </c>
      <c r="BE254">
        <v>4.2253374919871717E-2</v>
      </c>
      <c r="BH254">
        <v>8.4506749839743392E-2</v>
      </c>
      <c r="BI254">
        <v>4.3099213049411229E-2</v>
      </c>
      <c r="BJ254">
        <v>0.41874886813759421</v>
      </c>
    </row>
    <row r="255" spans="1:62" x14ac:dyDescent="0.3">
      <c r="A255" t="s">
        <v>8</v>
      </c>
      <c r="B255" s="12" t="s">
        <v>694</v>
      </c>
      <c r="C255" s="12"/>
      <c r="F255">
        <v>3.2</v>
      </c>
      <c r="G255" t="s">
        <v>208</v>
      </c>
      <c r="H255" s="8" t="s">
        <v>530</v>
      </c>
      <c r="I255" t="s">
        <v>612</v>
      </c>
      <c r="L255" s="20">
        <v>30</v>
      </c>
      <c r="M255">
        <v>4</v>
      </c>
      <c r="N255">
        <v>0</v>
      </c>
      <c r="O255">
        <v>-2</v>
      </c>
      <c r="T255" s="20">
        <v>10.59112378</v>
      </c>
      <c r="U255" s="20">
        <v>10.784736629999999</v>
      </c>
      <c r="V255" s="20">
        <v>10.486176179999999</v>
      </c>
      <c r="W255">
        <v>3.73</v>
      </c>
      <c r="X255">
        <v>3.73</v>
      </c>
      <c r="Y255">
        <v>9.3699999999999992</v>
      </c>
      <c r="Z255">
        <v>0</v>
      </c>
      <c r="AD255">
        <v>4</v>
      </c>
      <c r="AE255" s="44">
        <f t="shared" si="10"/>
        <v>0</v>
      </c>
      <c r="AF255" s="46">
        <v>1182.741260108548</v>
      </c>
      <c r="AG255" s="44">
        <v>130.36387300000001</v>
      </c>
      <c r="AH255" s="44">
        <v>0</v>
      </c>
      <c r="AI255" s="41"/>
      <c r="AJ255" s="40">
        <v>0.1014592151701775</v>
      </c>
      <c r="AK255" s="41">
        <v>0.1227333894874388</v>
      </c>
      <c r="AL255" s="41"/>
      <c r="AM255" s="23">
        <v>2</v>
      </c>
      <c r="AN255" s="23">
        <v>2.666666666666667</v>
      </c>
      <c r="AO255" s="23">
        <v>0.66666666666666663</v>
      </c>
      <c r="AP255" s="23">
        <v>0</v>
      </c>
      <c r="AQ255" s="23">
        <v>0.375</v>
      </c>
      <c r="AR255" s="23">
        <v>0.5</v>
      </c>
      <c r="AS255" s="23">
        <v>0.125</v>
      </c>
      <c r="AT255" s="23">
        <v>0</v>
      </c>
      <c r="AU255" s="20">
        <v>1.54</v>
      </c>
      <c r="AV255" s="20">
        <v>3.44</v>
      </c>
      <c r="AW255" s="20">
        <v>1.9</v>
      </c>
      <c r="AX255" s="20">
        <v>2.8066666666666671</v>
      </c>
      <c r="AY255">
        <v>2.8066666666666662</v>
      </c>
      <c r="AZ255">
        <v>6.1769976</v>
      </c>
      <c r="BA255" s="64">
        <v>0.46900407026869628</v>
      </c>
      <c r="BB255" s="64">
        <v>0.56734579634715776</v>
      </c>
      <c r="BE255">
        <v>5.072960758508873E-2</v>
      </c>
      <c r="BF255">
        <v>6.136669474371937E-2</v>
      </c>
      <c r="BH255">
        <v>0.1120963023288082</v>
      </c>
      <c r="BI255">
        <v>5.604815116440405E-2</v>
      </c>
      <c r="BJ255">
        <v>0.51817493330792708</v>
      </c>
    </row>
    <row r="256" spans="1:62" x14ac:dyDescent="0.3">
      <c r="A256" t="s">
        <v>153</v>
      </c>
      <c r="B256" s="12" t="s">
        <v>775</v>
      </c>
      <c r="C256" s="12"/>
      <c r="F256">
        <v>3.1</v>
      </c>
      <c r="G256" t="s">
        <v>209</v>
      </c>
      <c r="H256" s="8" t="s">
        <v>578</v>
      </c>
      <c r="I256">
        <v>-1</v>
      </c>
      <c r="K256">
        <v>1</v>
      </c>
      <c r="L256" s="20">
        <v>1</v>
      </c>
      <c r="M256">
        <v>0</v>
      </c>
      <c r="N256">
        <v>0</v>
      </c>
      <c r="O256">
        <v>3.8860000000000001</v>
      </c>
      <c r="P256">
        <v>3.8860000000000001</v>
      </c>
      <c r="Q256">
        <v>10.548299999999999</v>
      </c>
      <c r="R256" t="s">
        <v>1097</v>
      </c>
      <c r="T256" s="20">
        <v>3.9263319999999999</v>
      </c>
      <c r="U256" s="20">
        <v>3.9263319999999999</v>
      </c>
      <c r="V256" s="20">
        <v>10.74639</v>
      </c>
      <c r="W256">
        <v>0</v>
      </c>
      <c r="Z256">
        <v>0</v>
      </c>
      <c r="AD256">
        <v>14</v>
      </c>
      <c r="AE256" s="44">
        <f t="shared" si="10"/>
        <v>159.28983610679998</v>
      </c>
      <c r="AF256" s="46">
        <v>165.66723991337099</v>
      </c>
      <c r="AG256" s="44">
        <v>0</v>
      </c>
      <c r="AH256" s="44">
        <v>0</v>
      </c>
      <c r="AI256" s="41">
        <f t="shared" ref="AI256:AI263" si="13">K256*AD256/AE256</f>
        <v>8.789010235790147E-2</v>
      </c>
      <c r="AJ256" s="40">
        <v>8.4506749839743392E-2</v>
      </c>
      <c r="AK256" s="41"/>
      <c r="AL256" s="41"/>
      <c r="AM256" s="23">
        <v>1.7272727272727271</v>
      </c>
      <c r="AN256" s="23">
        <v>2.545454545454545</v>
      </c>
      <c r="AO256" s="23">
        <v>0.81818181818181823</v>
      </c>
      <c r="AP256" s="23">
        <v>0</v>
      </c>
      <c r="AQ256" s="23">
        <v>0.3392857142857143</v>
      </c>
      <c r="AR256" s="23">
        <v>0.5</v>
      </c>
      <c r="AS256" s="23">
        <v>0.1607142857142857</v>
      </c>
      <c r="AT256" s="23">
        <v>0</v>
      </c>
      <c r="AU256" s="20">
        <v>1.1000000000000001</v>
      </c>
      <c r="AV256" s="20">
        <v>3.44</v>
      </c>
      <c r="AW256" s="20">
        <v>2.34</v>
      </c>
      <c r="AX256" s="20">
        <v>2.78</v>
      </c>
      <c r="AY256">
        <v>2.78</v>
      </c>
      <c r="AZ256">
        <v>6.4270052227137269</v>
      </c>
      <c r="BA256" s="64">
        <v>0.41874886813759421</v>
      </c>
      <c r="BD256">
        <v>4.3945051178950742E-2</v>
      </c>
      <c r="BE256">
        <v>4.2253374919871717E-2</v>
      </c>
      <c r="BH256">
        <v>8.6198426098822431E-2</v>
      </c>
      <c r="BI256">
        <v>4.3099213049411229E-2</v>
      </c>
      <c r="BJ256">
        <v>0.41874886813759421</v>
      </c>
    </row>
    <row r="257" spans="1:62" x14ac:dyDescent="0.3">
      <c r="A257" t="s">
        <v>210</v>
      </c>
      <c r="B257" s="16" t="s">
        <v>935</v>
      </c>
      <c r="C257" s="12"/>
      <c r="F257">
        <v>3.1</v>
      </c>
      <c r="G257" t="s">
        <v>209</v>
      </c>
      <c r="H257" s="25" t="s">
        <v>578</v>
      </c>
      <c r="I257">
        <v>-1</v>
      </c>
      <c r="K257">
        <v>1</v>
      </c>
      <c r="L257" s="20">
        <v>0</v>
      </c>
      <c r="M257">
        <v>0</v>
      </c>
      <c r="N257">
        <v>0</v>
      </c>
      <c r="O257" s="1">
        <v>3.8860000000000001</v>
      </c>
      <c r="P257" s="1">
        <v>3.8860000000000001</v>
      </c>
      <c r="Q257" s="1">
        <v>10.548299999999999</v>
      </c>
      <c r="R257" s="1" t="s">
        <v>1097</v>
      </c>
      <c r="T257" s="20">
        <v>0</v>
      </c>
      <c r="U257" s="20"/>
      <c r="V257" s="20"/>
      <c r="W257">
        <v>0</v>
      </c>
      <c r="Z257">
        <v>0</v>
      </c>
      <c r="AD257">
        <v>14</v>
      </c>
      <c r="AE257" s="44">
        <f t="shared" si="10"/>
        <v>159.28983610679998</v>
      </c>
      <c r="AF257" s="46">
        <v>0</v>
      </c>
      <c r="AG257" s="44">
        <v>0</v>
      </c>
      <c r="AH257" s="44">
        <v>0</v>
      </c>
      <c r="AI257" s="41">
        <f t="shared" si="13"/>
        <v>8.789010235790147E-2</v>
      </c>
      <c r="AJ257" s="40"/>
      <c r="AK257" s="41"/>
      <c r="AL257" s="41"/>
      <c r="AM257" s="23">
        <v>1.7285974499089249</v>
      </c>
      <c r="AN257" s="23">
        <v>2.5500910746812391</v>
      </c>
      <c r="AO257" s="23">
        <v>0.82149362477231325</v>
      </c>
      <c r="AP257" s="23">
        <v>0</v>
      </c>
      <c r="AQ257" s="23">
        <v>0.33892857142857141</v>
      </c>
      <c r="AR257" s="23">
        <v>0.5</v>
      </c>
      <c r="AS257" s="23">
        <v>0.16107142857142859</v>
      </c>
      <c r="AT257" s="23">
        <v>0</v>
      </c>
      <c r="AU257" s="20">
        <v>1.1000000000000001</v>
      </c>
      <c r="AV257" s="20">
        <v>3.44</v>
      </c>
      <c r="AW257" s="20">
        <v>2.34</v>
      </c>
      <c r="AX257" s="20">
        <v>2.7820765027322398</v>
      </c>
      <c r="AY257">
        <v>2.7820765027322398</v>
      </c>
      <c r="AZ257">
        <v>6.4257889029010924</v>
      </c>
      <c r="BA257" s="64">
        <v>0.41874886813759421</v>
      </c>
      <c r="BD257">
        <v>4.3945051178950742E-2</v>
      </c>
      <c r="BH257">
        <v>8.789010235790147E-2</v>
      </c>
      <c r="BI257">
        <v>4.3945051178950742E-2</v>
      </c>
      <c r="BJ257">
        <v>0.41874886813759421</v>
      </c>
    </row>
    <row r="258" spans="1:62" x14ac:dyDescent="0.3">
      <c r="A258" t="s">
        <v>211</v>
      </c>
      <c r="B258" s="16" t="s">
        <v>936</v>
      </c>
      <c r="C258" s="12"/>
      <c r="F258">
        <v>3.1</v>
      </c>
      <c r="G258" t="s">
        <v>209</v>
      </c>
      <c r="H258" s="25" t="s">
        <v>578</v>
      </c>
      <c r="I258">
        <v>-1</v>
      </c>
      <c r="K258">
        <v>1</v>
      </c>
      <c r="L258" s="20">
        <v>0</v>
      </c>
      <c r="M258">
        <v>0</v>
      </c>
      <c r="N258">
        <v>0</v>
      </c>
      <c r="O258" s="1">
        <v>3.8860000000000001</v>
      </c>
      <c r="P258" s="1">
        <v>3.8860000000000001</v>
      </c>
      <c r="Q258" s="1">
        <v>10.548299999999999</v>
      </c>
      <c r="R258" s="1" t="s">
        <v>1097</v>
      </c>
      <c r="T258" s="20">
        <v>0</v>
      </c>
      <c r="U258" s="20"/>
      <c r="V258" s="20"/>
      <c r="W258">
        <v>0</v>
      </c>
      <c r="Z258">
        <v>0</v>
      </c>
      <c r="AD258">
        <v>14</v>
      </c>
      <c r="AE258" s="44">
        <f t="shared" si="10"/>
        <v>159.28983610679998</v>
      </c>
      <c r="AF258" s="46">
        <v>0</v>
      </c>
      <c r="AG258" s="44">
        <v>0</v>
      </c>
      <c r="AH258" s="44">
        <v>0</v>
      </c>
      <c r="AI258" s="41">
        <f t="shared" si="13"/>
        <v>8.789010235790147E-2</v>
      </c>
      <c r="AJ258" s="40"/>
      <c r="AK258" s="41"/>
      <c r="AL258" s="41"/>
      <c r="AM258" s="23">
        <v>1.730593607305936</v>
      </c>
      <c r="AN258" s="23">
        <v>2.557077625570777</v>
      </c>
      <c r="AO258" s="23">
        <v>0.8264840182648403</v>
      </c>
      <c r="AP258" s="23">
        <v>0</v>
      </c>
      <c r="AQ258" s="23">
        <v>0.33839285714285711</v>
      </c>
      <c r="AR258" s="23">
        <v>0.5</v>
      </c>
      <c r="AS258" s="23">
        <v>0.16160714285714289</v>
      </c>
      <c r="AT258" s="23">
        <v>0</v>
      </c>
      <c r="AU258" s="20">
        <v>1.1000000000000001</v>
      </c>
      <c r="AV258" s="20">
        <v>3.44</v>
      </c>
      <c r="AW258" s="20">
        <v>2.34</v>
      </c>
      <c r="AX258" s="20">
        <v>2.7852054794520549</v>
      </c>
      <c r="AY258">
        <v>2.7852054794520549</v>
      </c>
      <c r="AZ258">
        <v>6.4239560922245156</v>
      </c>
      <c r="BA258" s="64">
        <v>0.41874886813759421</v>
      </c>
      <c r="BD258">
        <v>4.3945051178950742E-2</v>
      </c>
      <c r="BH258">
        <v>8.789010235790147E-2</v>
      </c>
      <c r="BI258">
        <v>4.3945051178950742E-2</v>
      </c>
      <c r="BJ258">
        <v>0.41874886813759421</v>
      </c>
    </row>
    <row r="259" spans="1:62" x14ac:dyDescent="0.3">
      <c r="A259" t="s">
        <v>212</v>
      </c>
      <c r="B259" s="16" t="s">
        <v>937</v>
      </c>
      <c r="C259" s="12"/>
      <c r="F259">
        <v>3.1</v>
      </c>
      <c r="G259" t="s">
        <v>209</v>
      </c>
      <c r="H259" s="25" t="s">
        <v>578</v>
      </c>
      <c r="I259">
        <v>-1</v>
      </c>
      <c r="K259">
        <v>1</v>
      </c>
      <c r="L259" s="20">
        <v>0</v>
      </c>
      <c r="M259">
        <v>0</v>
      </c>
      <c r="N259">
        <v>0</v>
      </c>
      <c r="O259" s="1">
        <v>3.8860000000000001</v>
      </c>
      <c r="P259" s="1">
        <v>3.8860000000000001</v>
      </c>
      <c r="Q259" s="1">
        <v>10.548299999999999</v>
      </c>
      <c r="R259" s="1" t="s">
        <v>1097</v>
      </c>
      <c r="T259" s="20">
        <v>0</v>
      </c>
      <c r="U259" s="20"/>
      <c r="V259" s="20"/>
      <c r="W259">
        <v>0</v>
      </c>
      <c r="Z259">
        <v>0</v>
      </c>
      <c r="AD259">
        <v>14</v>
      </c>
      <c r="AE259" s="44">
        <f t="shared" ref="AE259:AE322" si="14">O259*P259*Q259</f>
        <v>159.28983610679998</v>
      </c>
      <c r="AF259" s="46">
        <v>0</v>
      </c>
      <c r="AG259" s="44">
        <v>0</v>
      </c>
      <c r="AH259" s="44">
        <v>0</v>
      </c>
      <c r="AI259" s="41">
        <f t="shared" si="13"/>
        <v>8.789010235790147E-2</v>
      </c>
      <c r="AJ259" s="40"/>
      <c r="AK259" s="41"/>
      <c r="AL259" s="41"/>
      <c r="AM259" s="23">
        <v>1.7373271889400921</v>
      </c>
      <c r="AN259" s="23">
        <v>2.580645161290323</v>
      </c>
      <c r="AO259" s="23">
        <v>0.84331797235023043</v>
      </c>
      <c r="AP259" s="23">
        <v>0</v>
      </c>
      <c r="AQ259" s="23">
        <v>0.33660714285714288</v>
      </c>
      <c r="AR259" s="23">
        <v>0.5</v>
      </c>
      <c r="AS259" s="23">
        <v>0.16339285714285709</v>
      </c>
      <c r="AT259" s="23">
        <v>0</v>
      </c>
      <c r="AU259" s="20">
        <v>1.1000000000000001</v>
      </c>
      <c r="AV259" s="20">
        <v>3.44</v>
      </c>
      <c r="AW259" s="20">
        <v>2.34</v>
      </c>
      <c r="AX259" s="20">
        <v>2.7957603686635939</v>
      </c>
      <c r="AY259">
        <v>2.7957603686635939</v>
      </c>
      <c r="AZ259">
        <v>6.4177735234906308</v>
      </c>
      <c r="BA259" s="64">
        <v>0.41874886813759421</v>
      </c>
      <c r="BD259">
        <v>4.3945051178950742E-2</v>
      </c>
      <c r="BH259">
        <v>8.789010235790147E-2</v>
      </c>
      <c r="BI259">
        <v>4.3945051178950742E-2</v>
      </c>
      <c r="BJ259">
        <v>0.41874886813759421</v>
      </c>
    </row>
    <row r="260" spans="1:62" x14ac:dyDescent="0.3">
      <c r="A260" t="s">
        <v>153</v>
      </c>
      <c r="B260" s="16" t="s">
        <v>775</v>
      </c>
      <c r="C260" s="12"/>
      <c r="D260" t="s">
        <v>863</v>
      </c>
      <c r="E260">
        <v>1.34</v>
      </c>
      <c r="F260">
        <v>3.1</v>
      </c>
      <c r="G260" t="s">
        <v>209</v>
      </c>
      <c r="H260" s="8" t="s">
        <v>578</v>
      </c>
      <c r="I260">
        <v>-1</v>
      </c>
      <c r="K260">
        <v>1</v>
      </c>
      <c r="L260" s="20">
        <v>1</v>
      </c>
      <c r="M260">
        <v>0</v>
      </c>
      <c r="N260">
        <v>0</v>
      </c>
      <c r="O260">
        <v>3.8860000000000001</v>
      </c>
      <c r="P260">
        <v>3.8860000000000001</v>
      </c>
      <c r="Q260">
        <v>10.548299999999999</v>
      </c>
      <c r="R260" t="s">
        <v>1097</v>
      </c>
      <c r="T260" s="20">
        <v>3.9263319999999999</v>
      </c>
      <c r="U260" s="20">
        <v>3.9263319999999999</v>
      </c>
      <c r="V260" s="20">
        <v>10.74639</v>
      </c>
      <c r="W260">
        <v>0</v>
      </c>
      <c r="Z260">
        <v>0</v>
      </c>
      <c r="AD260">
        <v>14</v>
      </c>
      <c r="AE260" s="44">
        <f t="shared" si="14"/>
        <v>159.28983610679998</v>
      </c>
      <c r="AF260" s="46">
        <v>165.66723991337099</v>
      </c>
      <c r="AG260" s="44">
        <v>0</v>
      </c>
      <c r="AH260" s="44">
        <v>0</v>
      </c>
      <c r="AI260" s="41">
        <f t="shared" si="13"/>
        <v>8.789010235790147E-2</v>
      </c>
      <c r="AJ260" s="40">
        <v>8.4506749839743392E-2</v>
      </c>
      <c r="AK260" s="41"/>
      <c r="AL260" s="41"/>
      <c r="AM260" s="23">
        <v>1.7272727272727271</v>
      </c>
      <c r="AN260" s="23">
        <v>2.545454545454545</v>
      </c>
      <c r="AO260" s="23">
        <v>0.81818181818181823</v>
      </c>
      <c r="AP260" s="23">
        <v>0</v>
      </c>
      <c r="AQ260" s="23">
        <v>0.3392857142857143</v>
      </c>
      <c r="AR260" s="23">
        <v>0.5</v>
      </c>
      <c r="AS260" s="23">
        <v>0.1607142857142857</v>
      </c>
      <c r="AT260" s="23">
        <v>0</v>
      </c>
      <c r="AU260" s="20">
        <v>1.1000000000000001</v>
      </c>
      <c r="AV260" s="20">
        <v>3.44</v>
      </c>
      <c r="AW260" s="20">
        <v>2.34</v>
      </c>
      <c r="AX260" s="20">
        <v>2.78</v>
      </c>
      <c r="AY260">
        <v>2.78</v>
      </c>
      <c r="AZ260">
        <v>6.4270052227137269</v>
      </c>
      <c r="BA260" s="64">
        <v>0.41874886813759421</v>
      </c>
      <c r="BD260">
        <v>4.3945051178950742E-2</v>
      </c>
      <c r="BE260">
        <v>4.2253374919871717E-2</v>
      </c>
      <c r="BH260">
        <v>8.6198426098822431E-2</v>
      </c>
      <c r="BI260">
        <v>4.3099213049411229E-2</v>
      </c>
      <c r="BJ260">
        <v>0.41874886813759421</v>
      </c>
    </row>
    <row r="261" spans="1:62" x14ac:dyDescent="0.3">
      <c r="A261" t="s">
        <v>210</v>
      </c>
      <c r="B261" s="16" t="s">
        <v>935</v>
      </c>
      <c r="C261" s="12"/>
      <c r="D261" t="s">
        <v>863</v>
      </c>
      <c r="E261">
        <v>1.04</v>
      </c>
      <c r="F261">
        <v>3.1</v>
      </c>
      <c r="G261" t="s">
        <v>209</v>
      </c>
      <c r="H261" s="25" t="s">
        <v>578</v>
      </c>
      <c r="I261">
        <v>-1</v>
      </c>
      <c r="K261">
        <v>1</v>
      </c>
      <c r="L261" s="20">
        <v>0</v>
      </c>
      <c r="M261">
        <v>0</v>
      </c>
      <c r="N261">
        <v>0</v>
      </c>
      <c r="O261" s="1">
        <v>3.8860000000000001</v>
      </c>
      <c r="P261" s="1">
        <v>3.8860000000000001</v>
      </c>
      <c r="Q261" s="1">
        <v>10.548299999999999</v>
      </c>
      <c r="R261" s="1" t="s">
        <v>1097</v>
      </c>
      <c r="T261" s="20">
        <v>0</v>
      </c>
      <c r="U261" s="20"/>
      <c r="V261" s="20"/>
      <c r="W261">
        <v>0</v>
      </c>
      <c r="Z261">
        <v>0</v>
      </c>
      <c r="AD261">
        <v>14</v>
      </c>
      <c r="AE261" s="44">
        <f t="shared" si="14"/>
        <v>159.28983610679998</v>
      </c>
      <c r="AF261" s="46">
        <v>0</v>
      </c>
      <c r="AG261" s="44">
        <v>0</v>
      </c>
      <c r="AH261" s="44">
        <v>0</v>
      </c>
      <c r="AI261" s="41">
        <f t="shared" si="13"/>
        <v>8.789010235790147E-2</v>
      </c>
      <c r="AJ261" s="40"/>
      <c r="AK261" s="41"/>
      <c r="AL261" s="41"/>
      <c r="AM261" s="23">
        <v>1.7285974499089249</v>
      </c>
      <c r="AN261" s="23">
        <v>2.5500910746812391</v>
      </c>
      <c r="AO261" s="23">
        <v>0.82149362477231325</v>
      </c>
      <c r="AP261" s="23">
        <v>0</v>
      </c>
      <c r="AQ261" s="23">
        <v>0.33892857142857141</v>
      </c>
      <c r="AR261" s="23">
        <v>0.5</v>
      </c>
      <c r="AS261" s="23">
        <v>0.16107142857142859</v>
      </c>
      <c r="AT261" s="23">
        <v>0</v>
      </c>
      <c r="AU261" s="20">
        <v>1.1000000000000001</v>
      </c>
      <c r="AV261" s="20">
        <v>3.44</v>
      </c>
      <c r="AW261" s="20">
        <v>2.34</v>
      </c>
      <c r="AX261" s="20">
        <v>2.7820765027322398</v>
      </c>
      <c r="AY261">
        <v>2.7820765027322398</v>
      </c>
      <c r="AZ261">
        <v>6.4257889029010924</v>
      </c>
      <c r="BA261" s="64">
        <v>0.41874886813759421</v>
      </c>
      <c r="BD261">
        <v>4.3945051178950742E-2</v>
      </c>
      <c r="BH261">
        <v>8.789010235790147E-2</v>
      </c>
      <c r="BI261">
        <v>4.3945051178950742E-2</v>
      </c>
      <c r="BJ261">
        <v>0.41874886813759421</v>
      </c>
    </row>
    <row r="262" spans="1:62" x14ac:dyDescent="0.3">
      <c r="A262" t="s">
        <v>211</v>
      </c>
      <c r="B262" s="16" t="s">
        <v>936</v>
      </c>
      <c r="C262" s="12"/>
      <c r="D262" t="s">
        <v>863</v>
      </c>
      <c r="E262">
        <v>1.19</v>
      </c>
      <c r="F262">
        <v>3.1</v>
      </c>
      <c r="G262" t="s">
        <v>209</v>
      </c>
      <c r="H262" s="25" t="s">
        <v>578</v>
      </c>
      <c r="I262">
        <v>-1</v>
      </c>
      <c r="K262">
        <v>1</v>
      </c>
      <c r="L262" s="20">
        <v>0</v>
      </c>
      <c r="M262">
        <v>0</v>
      </c>
      <c r="N262">
        <v>0</v>
      </c>
      <c r="O262" s="1">
        <v>3.8860000000000001</v>
      </c>
      <c r="P262" s="1">
        <v>3.8860000000000001</v>
      </c>
      <c r="Q262" s="1">
        <v>10.548299999999999</v>
      </c>
      <c r="R262" s="1" t="s">
        <v>1097</v>
      </c>
      <c r="T262" s="20">
        <v>0</v>
      </c>
      <c r="U262" s="20"/>
      <c r="V262" s="20"/>
      <c r="W262">
        <v>0</v>
      </c>
      <c r="Z262">
        <v>0</v>
      </c>
      <c r="AD262">
        <v>14</v>
      </c>
      <c r="AE262" s="44">
        <f t="shared" si="14"/>
        <v>159.28983610679998</v>
      </c>
      <c r="AF262" s="46">
        <v>0</v>
      </c>
      <c r="AG262" s="44">
        <v>0</v>
      </c>
      <c r="AH262" s="44">
        <v>0</v>
      </c>
      <c r="AI262" s="41">
        <f t="shared" si="13"/>
        <v>8.789010235790147E-2</v>
      </c>
      <c r="AJ262" s="40"/>
      <c r="AK262" s="41"/>
      <c r="AL262" s="41"/>
      <c r="AM262" s="23">
        <v>1.730593607305936</v>
      </c>
      <c r="AN262" s="23">
        <v>2.557077625570777</v>
      </c>
      <c r="AO262" s="23">
        <v>0.8264840182648403</v>
      </c>
      <c r="AP262" s="23">
        <v>0</v>
      </c>
      <c r="AQ262" s="23">
        <v>0.33839285714285711</v>
      </c>
      <c r="AR262" s="23">
        <v>0.5</v>
      </c>
      <c r="AS262" s="23">
        <v>0.16160714285714289</v>
      </c>
      <c r="AT262" s="23">
        <v>0</v>
      </c>
      <c r="AU262" s="20">
        <v>1.1000000000000001</v>
      </c>
      <c r="AV262" s="20">
        <v>3.44</v>
      </c>
      <c r="AW262" s="20">
        <v>2.34</v>
      </c>
      <c r="AX262" s="20">
        <v>2.7852054794520549</v>
      </c>
      <c r="AY262">
        <v>2.7852054794520549</v>
      </c>
      <c r="AZ262">
        <v>6.4239560922245156</v>
      </c>
      <c r="BA262" s="64">
        <v>0.41874886813759421</v>
      </c>
      <c r="BD262">
        <v>4.3945051178950742E-2</v>
      </c>
      <c r="BH262">
        <v>8.789010235790147E-2</v>
      </c>
      <c r="BI262">
        <v>4.3945051178950742E-2</v>
      </c>
      <c r="BJ262">
        <v>0.41874886813759421</v>
      </c>
    </row>
    <row r="263" spans="1:62" x14ac:dyDescent="0.3">
      <c r="A263" t="s">
        <v>212</v>
      </c>
      <c r="B263" s="16" t="s">
        <v>937</v>
      </c>
      <c r="C263" s="12"/>
      <c r="D263" t="s">
        <v>863</v>
      </c>
      <c r="E263">
        <v>1.61</v>
      </c>
      <c r="F263">
        <v>3.1</v>
      </c>
      <c r="G263" t="s">
        <v>209</v>
      </c>
      <c r="H263" s="25" t="s">
        <v>578</v>
      </c>
      <c r="I263">
        <v>-1</v>
      </c>
      <c r="K263">
        <v>1</v>
      </c>
      <c r="L263" s="20">
        <v>0</v>
      </c>
      <c r="M263">
        <v>0</v>
      </c>
      <c r="N263">
        <v>0</v>
      </c>
      <c r="O263" s="1">
        <v>3.8860000000000001</v>
      </c>
      <c r="P263" s="1">
        <v>3.8860000000000001</v>
      </c>
      <c r="Q263" s="1">
        <v>10.548299999999999</v>
      </c>
      <c r="R263" s="1" t="s">
        <v>1097</v>
      </c>
      <c r="T263" s="20">
        <v>0</v>
      </c>
      <c r="U263" s="20"/>
      <c r="V263" s="20"/>
      <c r="W263">
        <v>0</v>
      </c>
      <c r="Z263">
        <v>0</v>
      </c>
      <c r="AD263">
        <v>14</v>
      </c>
      <c r="AE263" s="44">
        <f t="shared" si="14"/>
        <v>159.28983610679998</v>
      </c>
      <c r="AF263" s="46">
        <v>0</v>
      </c>
      <c r="AG263" s="44">
        <v>0</v>
      </c>
      <c r="AH263" s="44">
        <v>0</v>
      </c>
      <c r="AI263" s="41">
        <f t="shared" si="13"/>
        <v>8.789010235790147E-2</v>
      </c>
      <c r="AJ263" s="40"/>
      <c r="AK263" s="41"/>
      <c r="AL263" s="41"/>
      <c r="AM263" s="23">
        <v>1.7373271889400921</v>
      </c>
      <c r="AN263" s="23">
        <v>2.580645161290323</v>
      </c>
      <c r="AO263" s="23">
        <v>0.84331797235023043</v>
      </c>
      <c r="AP263" s="23">
        <v>0</v>
      </c>
      <c r="AQ263" s="23">
        <v>0.33660714285714288</v>
      </c>
      <c r="AR263" s="23">
        <v>0.5</v>
      </c>
      <c r="AS263" s="23">
        <v>0.16339285714285709</v>
      </c>
      <c r="AT263" s="23">
        <v>0</v>
      </c>
      <c r="AU263" s="20">
        <v>1.1000000000000001</v>
      </c>
      <c r="AV263" s="20">
        <v>3.44</v>
      </c>
      <c r="AW263" s="20">
        <v>2.34</v>
      </c>
      <c r="AX263" s="20">
        <v>2.7957603686635939</v>
      </c>
      <c r="AY263">
        <v>2.7957603686635939</v>
      </c>
      <c r="AZ263">
        <v>6.4177735234906308</v>
      </c>
      <c r="BA263" s="64">
        <v>0.41874886813759421</v>
      </c>
      <c r="BD263">
        <v>4.3945051178950742E-2</v>
      </c>
      <c r="BH263">
        <v>8.789010235790147E-2</v>
      </c>
      <c r="BI263">
        <v>4.3945051178950742E-2</v>
      </c>
      <c r="BJ263">
        <v>0.41874886813759421</v>
      </c>
    </row>
    <row r="264" spans="1:62" x14ac:dyDescent="0.3">
      <c r="A264" t="s">
        <v>22</v>
      </c>
      <c r="B264" s="16" t="s">
        <v>876</v>
      </c>
      <c r="C264" s="12"/>
      <c r="F264">
        <v>2.74</v>
      </c>
      <c r="G264" t="s">
        <v>213</v>
      </c>
      <c r="H264" s="25" t="s">
        <v>541</v>
      </c>
      <c r="I264" s="1" t="s">
        <v>621</v>
      </c>
      <c r="L264" s="20">
        <v>0</v>
      </c>
      <c r="M264">
        <v>4</v>
      </c>
      <c r="N264">
        <v>0</v>
      </c>
      <c r="O264" s="1">
        <v>5.4960000000000004</v>
      </c>
      <c r="P264" s="1">
        <v>5.4960000000000004</v>
      </c>
      <c r="Q264" s="1">
        <v>25.55</v>
      </c>
      <c r="R264" s="1" t="s">
        <v>450</v>
      </c>
      <c r="T264" s="20">
        <v>0</v>
      </c>
      <c r="U264" s="20"/>
      <c r="V264" s="20"/>
      <c r="W264">
        <v>5.5453000000000001</v>
      </c>
      <c r="X264">
        <v>5.5453000000000001</v>
      </c>
      <c r="Y264">
        <v>25.686699999999998</v>
      </c>
      <c r="Z264">
        <v>0</v>
      </c>
      <c r="AD264">
        <v>18</v>
      </c>
      <c r="AE264" s="44">
        <f t="shared" si="14"/>
        <v>771.76370880000013</v>
      </c>
      <c r="AF264" s="46">
        <v>0</v>
      </c>
      <c r="AG264" s="44">
        <v>789.87506903020289</v>
      </c>
      <c r="AH264" s="44">
        <v>0</v>
      </c>
      <c r="AI264" s="41"/>
      <c r="AJ264" s="40"/>
      <c r="AK264" s="41">
        <v>9.1153655588092616E-2</v>
      </c>
      <c r="AL264" s="41"/>
      <c r="AM264" s="23">
        <v>1.871428571428571</v>
      </c>
      <c r="AN264" s="23">
        <v>3.1428571428571428</v>
      </c>
      <c r="AO264" s="23">
        <v>2.714285714285714</v>
      </c>
      <c r="AP264" s="23">
        <v>3.2</v>
      </c>
      <c r="AQ264" s="23">
        <v>0.17124183006535951</v>
      </c>
      <c r="AR264" s="23">
        <v>0.28758169934640521</v>
      </c>
      <c r="AS264" s="23">
        <v>0.2483660130718954</v>
      </c>
      <c r="AT264" s="23">
        <v>0.29281045751633977</v>
      </c>
      <c r="AU264" s="20">
        <v>1.6</v>
      </c>
      <c r="AV264" s="20">
        <v>3.44</v>
      </c>
      <c r="AW264" s="20">
        <v>1.84</v>
      </c>
      <c r="AX264" s="20">
        <v>2.9058571428571431</v>
      </c>
      <c r="AY264">
        <v>2.9058571428571431</v>
      </c>
      <c r="AZ264">
        <v>6.2676757950000006</v>
      </c>
      <c r="BA264" s="64">
        <v>0.51995616258071919</v>
      </c>
      <c r="BB264" s="64">
        <v>0.51988140722208986</v>
      </c>
      <c r="BF264">
        <v>4.5576827794046308E-2</v>
      </c>
      <c r="BH264">
        <v>9.1153655588092616E-2</v>
      </c>
      <c r="BI264">
        <v>4.5576827794046308E-2</v>
      </c>
      <c r="BJ264">
        <v>0.51991878490140453</v>
      </c>
    </row>
    <row r="265" spans="1:62" x14ac:dyDescent="0.3">
      <c r="A265" t="s">
        <v>23</v>
      </c>
      <c r="B265" s="16" t="s">
        <v>877</v>
      </c>
      <c r="C265" s="12"/>
      <c r="F265">
        <v>2.74</v>
      </c>
      <c r="G265" t="s">
        <v>213</v>
      </c>
      <c r="H265" s="25" t="s">
        <v>541</v>
      </c>
      <c r="I265" s="1" t="s">
        <v>621</v>
      </c>
      <c r="L265" s="20">
        <v>0</v>
      </c>
      <c r="M265">
        <v>4</v>
      </c>
      <c r="N265">
        <v>0</v>
      </c>
      <c r="O265" s="1">
        <v>5.4960000000000004</v>
      </c>
      <c r="P265" s="1">
        <v>5.4960000000000004</v>
      </c>
      <c r="Q265" s="1">
        <v>25.55</v>
      </c>
      <c r="R265" s="1" t="s">
        <v>450</v>
      </c>
      <c r="T265" s="20">
        <v>0</v>
      </c>
      <c r="U265" s="20"/>
      <c r="V265" s="20"/>
      <c r="W265">
        <v>5.5453000000000001</v>
      </c>
      <c r="X265">
        <v>5.5453000000000001</v>
      </c>
      <c r="Y265">
        <v>25.686699999999998</v>
      </c>
      <c r="Z265">
        <v>0</v>
      </c>
      <c r="AD265">
        <v>18</v>
      </c>
      <c r="AE265" s="44">
        <f t="shared" si="14"/>
        <v>771.76370880000013</v>
      </c>
      <c r="AF265" s="46">
        <v>0</v>
      </c>
      <c r="AG265" s="44">
        <v>789.87506903020289</v>
      </c>
      <c r="AH265" s="44">
        <v>0</v>
      </c>
      <c r="AI265" s="41"/>
      <c r="AJ265" s="40"/>
      <c r="AK265" s="41">
        <v>9.1153655588092616E-2</v>
      </c>
      <c r="AL265" s="41"/>
      <c r="AM265" s="23">
        <v>1.8678571428571431</v>
      </c>
      <c r="AN265" s="23">
        <v>3.1428571428571428</v>
      </c>
      <c r="AO265" s="23">
        <v>2.714285714285714</v>
      </c>
      <c r="AP265" s="23">
        <v>3.15</v>
      </c>
      <c r="AQ265" s="23">
        <v>0.1717569786535304</v>
      </c>
      <c r="AR265" s="23">
        <v>0.28899835796387519</v>
      </c>
      <c r="AS265" s="23">
        <v>0.24958949096880129</v>
      </c>
      <c r="AT265" s="23">
        <v>0.28965517241379313</v>
      </c>
      <c r="AU265" s="20">
        <v>1.6</v>
      </c>
      <c r="AV265" s="20">
        <v>3.44</v>
      </c>
      <c r="AW265" s="20">
        <v>1.84</v>
      </c>
      <c r="AX265" s="20">
        <v>2.903142857142857</v>
      </c>
      <c r="AY265">
        <v>2.903142857142857</v>
      </c>
      <c r="AZ265">
        <v>6.2658828646428582</v>
      </c>
      <c r="BA265" s="64">
        <v>0.51995616258071919</v>
      </c>
      <c r="BB265" s="64">
        <v>0.51988140722208986</v>
      </c>
      <c r="BF265">
        <v>4.5576827794046308E-2</v>
      </c>
      <c r="BH265">
        <v>9.1153655588092616E-2</v>
      </c>
      <c r="BI265">
        <v>4.5576827794046308E-2</v>
      </c>
      <c r="BJ265">
        <v>0.51991878490140453</v>
      </c>
    </row>
    <row r="266" spans="1:62" x14ac:dyDescent="0.3">
      <c r="A266" t="s">
        <v>24</v>
      </c>
      <c r="B266" s="16" t="s">
        <v>878</v>
      </c>
      <c r="C266" s="12"/>
      <c r="F266">
        <v>2.75</v>
      </c>
      <c r="G266" t="s">
        <v>213</v>
      </c>
      <c r="H266" s="25" t="s">
        <v>541</v>
      </c>
      <c r="I266" s="1" t="s">
        <v>621</v>
      </c>
      <c r="L266" s="20">
        <v>0</v>
      </c>
      <c r="M266">
        <v>4</v>
      </c>
      <c r="N266">
        <v>0</v>
      </c>
      <c r="O266" s="1">
        <v>5.4960000000000004</v>
      </c>
      <c r="P266" s="1">
        <v>5.4960000000000004</v>
      </c>
      <c r="Q266" s="1">
        <v>25.55</v>
      </c>
      <c r="R266" s="1" t="s">
        <v>450</v>
      </c>
      <c r="T266" s="20">
        <v>0</v>
      </c>
      <c r="U266" s="20"/>
      <c r="V266" s="20"/>
      <c r="W266">
        <v>5.5453000000000001</v>
      </c>
      <c r="X266">
        <v>5.5453000000000001</v>
      </c>
      <c r="Y266">
        <v>25.686699999999998</v>
      </c>
      <c r="Z266">
        <v>0</v>
      </c>
      <c r="AD266">
        <v>18</v>
      </c>
      <c r="AE266" s="44">
        <f t="shared" si="14"/>
        <v>771.76370880000013</v>
      </c>
      <c r="AF266" s="46">
        <v>0</v>
      </c>
      <c r="AG266" s="44">
        <v>789.87506903020289</v>
      </c>
      <c r="AH266" s="44">
        <v>0</v>
      </c>
      <c r="AI266" s="41"/>
      <c r="AJ266" s="40"/>
      <c r="AK266" s="41">
        <v>9.1153655588092616E-2</v>
      </c>
      <c r="AL266" s="41"/>
      <c r="AM266" s="23">
        <v>1.8642857142857141</v>
      </c>
      <c r="AN266" s="23">
        <v>3.1428571428571428</v>
      </c>
      <c r="AO266" s="23">
        <v>2.714285714285714</v>
      </c>
      <c r="AP266" s="23">
        <v>3.1</v>
      </c>
      <c r="AQ266" s="23">
        <v>0.17227722772277229</v>
      </c>
      <c r="AR266" s="23">
        <v>0.29042904290429039</v>
      </c>
      <c r="AS266" s="23">
        <v>0.25082508250825092</v>
      </c>
      <c r="AT266" s="23">
        <v>0.28646864686468648</v>
      </c>
      <c r="AU266" s="20">
        <v>1.6</v>
      </c>
      <c r="AV266" s="20">
        <v>3.44</v>
      </c>
      <c r="AW266" s="20">
        <v>1.84</v>
      </c>
      <c r="AX266" s="20">
        <v>2.9004285714285709</v>
      </c>
      <c r="AY266">
        <v>2.9004285714285718</v>
      </c>
      <c r="AZ266">
        <v>6.2640899342857157</v>
      </c>
      <c r="BA266" s="64">
        <v>0.51995616258071919</v>
      </c>
      <c r="BB266" s="64">
        <v>0.51988140722208986</v>
      </c>
      <c r="BF266">
        <v>4.5576827794046308E-2</v>
      </c>
      <c r="BH266">
        <v>9.1153655588092616E-2</v>
      </c>
      <c r="BI266">
        <v>4.5576827794046308E-2</v>
      </c>
      <c r="BJ266">
        <v>0.51991878490140453</v>
      </c>
    </row>
    <row r="267" spans="1:62" x14ac:dyDescent="0.3">
      <c r="A267" t="s">
        <v>25</v>
      </c>
      <c r="B267" s="12" t="s">
        <v>708</v>
      </c>
      <c r="C267" s="12"/>
      <c r="F267">
        <v>2.88</v>
      </c>
      <c r="G267" t="s">
        <v>213</v>
      </c>
      <c r="H267" s="8" t="s">
        <v>541</v>
      </c>
      <c r="I267" t="s">
        <v>621</v>
      </c>
      <c r="L267" s="20">
        <v>1</v>
      </c>
      <c r="M267">
        <v>4</v>
      </c>
      <c r="N267">
        <v>0</v>
      </c>
      <c r="O267">
        <v>5.4960000000000004</v>
      </c>
      <c r="P267">
        <v>5.4960000000000004</v>
      </c>
      <c r="Q267">
        <v>25.55</v>
      </c>
      <c r="R267" t="s">
        <v>450</v>
      </c>
      <c r="T267" s="20">
        <v>12.868820120000001</v>
      </c>
      <c r="U267" s="20">
        <v>12.868820120000001</v>
      </c>
      <c r="V267" s="20">
        <v>12.868820120000001</v>
      </c>
      <c r="W267">
        <v>5.5453000000000001</v>
      </c>
      <c r="X267">
        <v>5.5453000000000001</v>
      </c>
      <c r="Y267">
        <v>25.686699999999998</v>
      </c>
      <c r="Z267">
        <v>0</v>
      </c>
      <c r="AD267">
        <v>18</v>
      </c>
      <c r="AE267" s="44">
        <f t="shared" si="14"/>
        <v>771.76370880000013</v>
      </c>
      <c r="AF267" s="46">
        <v>197.4403766939285</v>
      </c>
      <c r="AG267" s="44">
        <v>789.87506903020289</v>
      </c>
      <c r="AH267" s="44">
        <v>0</v>
      </c>
      <c r="AI267" s="41"/>
      <c r="AJ267" s="40">
        <v>9.1166762854710051E-2</v>
      </c>
      <c r="AK267" s="41">
        <v>9.1153655588092616E-2</v>
      </c>
      <c r="AL267" s="41"/>
      <c r="AM267" s="23">
        <v>1.857142857142857</v>
      </c>
      <c r="AN267" s="23">
        <v>3.1428571428571428</v>
      </c>
      <c r="AO267" s="23">
        <v>2.714285714285714</v>
      </c>
      <c r="AP267" s="23">
        <v>3</v>
      </c>
      <c r="AQ267" s="23">
        <v>0.17333333333333331</v>
      </c>
      <c r="AR267" s="23">
        <v>0.29333333333333328</v>
      </c>
      <c r="AS267" s="23">
        <v>0.25333333333333341</v>
      </c>
      <c r="AT267" s="23">
        <v>0.28000000000000003</v>
      </c>
      <c r="AU267" s="20">
        <v>1.6</v>
      </c>
      <c r="AV267" s="20">
        <v>3.44</v>
      </c>
      <c r="AW267" s="20">
        <v>1.84</v>
      </c>
      <c r="AX267" s="20">
        <v>2.895</v>
      </c>
      <c r="AY267">
        <v>2.895</v>
      </c>
      <c r="AZ267">
        <v>6.260504073571429</v>
      </c>
      <c r="BA267" s="64">
        <v>0.51995616258071919</v>
      </c>
      <c r="BB267" s="64">
        <v>0.51988140722208986</v>
      </c>
      <c r="BE267">
        <v>4.5583381427355033E-2</v>
      </c>
      <c r="BF267">
        <v>4.5576827794046308E-2</v>
      </c>
      <c r="BH267">
        <v>9.1160209221401334E-2</v>
      </c>
      <c r="BI267">
        <v>4.5580104610700667E-2</v>
      </c>
      <c r="BJ267">
        <v>0.51991878490140453</v>
      </c>
    </row>
    <row r="268" spans="1:62" x14ac:dyDescent="0.3">
      <c r="A268" t="s">
        <v>26</v>
      </c>
      <c r="B268" s="16" t="s">
        <v>879</v>
      </c>
      <c r="C268" s="12"/>
      <c r="F268">
        <v>2.91</v>
      </c>
      <c r="G268" t="s">
        <v>213</v>
      </c>
      <c r="H268" s="25" t="s">
        <v>541</v>
      </c>
      <c r="I268" s="1" t="s">
        <v>621</v>
      </c>
      <c r="J268" s="1"/>
      <c r="K268" s="1"/>
      <c r="L268" s="26">
        <v>0</v>
      </c>
      <c r="M268">
        <v>4</v>
      </c>
      <c r="N268">
        <v>0</v>
      </c>
      <c r="O268" s="1">
        <v>5.4960000000000004</v>
      </c>
      <c r="P268" s="1">
        <v>5.4960000000000004</v>
      </c>
      <c r="Q268" s="1">
        <v>25.55</v>
      </c>
      <c r="R268" s="1" t="s">
        <v>450</v>
      </c>
      <c r="T268" s="20">
        <v>0</v>
      </c>
      <c r="U268" s="20"/>
      <c r="V268" s="20"/>
      <c r="W268">
        <v>5.5453000000000001</v>
      </c>
      <c r="X268">
        <v>5.5453000000000001</v>
      </c>
      <c r="Y268">
        <v>25.686699999999998</v>
      </c>
      <c r="Z268">
        <v>0</v>
      </c>
      <c r="AD268">
        <v>18</v>
      </c>
      <c r="AE268" s="44">
        <f t="shared" si="14"/>
        <v>771.76370880000013</v>
      </c>
      <c r="AF268" s="46">
        <v>0</v>
      </c>
      <c r="AG268" s="44">
        <v>789.87506903020289</v>
      </c>
      <c r="AH268" s="44">
        <v>0</v>
      </c>
      <c r="AI268" s="41"/>
      <c r="AJ268" s="40"/>
      <c r="AK268" s="41">
        <v>9.1153655588092616E-2</v>
      </c>
      <c r="AL268" s="41"/>
      <c r="AM268" s="23">
        <v>1.8642857142857141</v>
      </c>
      <c r="AN268" s="23">
        <v>3.1428571428571428</v>
      </c>
      <c r="AO268" s="23">
        <v>2.7</v>
      </c>
      <c r="AP268" s="23">
        <v>3</v>
      </c>
      <c r="AQ268" s="23">
        <v>0.1741160773849233</v>
      </c>
      <c r="AR268" s="23">
        <v>0.29352901934623082</v>
      </c>
      <c r="AS268" s="23">
        <v>0.25216811207471651</v>
      </c>
      <c r="AT268" s="23">
        <v>0.28018679119412943</v>
      </c>
      <c r="AU268" s="20">
        <v>1.54</v>
      </c>
      <c r="AV268" s="20">
        <v>3.44</v>
      </c>
      <c r="AW268" s="20">
        <v>1.9</v>
      </c>
      <c r="AX268" s="20">
        <v>2.894571428571429</v>
      </c>
      <c r="AY268">
        <v>2.894571428571429</v>
      </c>
      <c r="AZ268">
        <v>6.2577448164285716</v>
      </c>
      <c r="BA268" s="64">
        <v>0.51995616258071919</v>
      </c>
      <c r="BB268" s="64">
        <v>0.51988140722208986</v>
      </c>
      <c r="BF268">
        <v>4.5576827794046308E-2</v>
      </c>
      <c r="BH268">
        <v>9.1153655588092616E-2</v>
      </c>
      <c r="BI268">
        <v>4.5576827794046308E-2</v>
      </c>
      <c r="BJ268">
        <v>0.51991878490140453</v>
      </c>
    </row>
    <row r="269" spans="1:62" x14ac:dyDescent="0.3">
      <c r="A269" t="s">
        <v>107</v>
      </c>
      <c r="B269" s="12" t="s">
        <v>727</v>
      </c>
      <c r="C269" s="12"/>
      <c r="F269">
        <v>3.08</v>
      </c>
      <c r="G269" t="s">
        <v>214</v>
      </c>
      <c r="H269" s="8" t="s">
        <v>555</v>
      </c>
      <c r="I269" t="s">
        <v>632</v>
      </c>
      <c r="L269" s="20">
        <v>1</v>
      </c>
      <c r="M269">
        <v>4</v>
      </c>
      <c r="N269">
        <v>0</v>
      </c>
      <c r="T269" s="20">
        <v>3.86469438</v>
      </c>
      <c r="U269" s="20">
        <v>3.86469438</v>
      </c>
      <c r="V269" s="20">
        <v>16.978874730000001</v>
      </c>
      <c r="W269">
        <v>32.83</v>
      </c>
      <c r="X269">
        <v>5.4109999999999996</v>
      </c>
      <c r="Y269">
        <v>5.4480000000000004</v>
      </c>
      <c r="Z269">
        <v>0</v>
      </c>
      <c r="AD269">
        <v>24</v>
      </c>
      <c r="AE269" s="44">
        <f t="shared" si="14"/>
        <v>0</v>
      </c>
      <c r="AF269" s="46">
        <v>251.01098912285789</v>
      </c>
      <c r="AG269" s="44">
        <v>967.79977224000004</v>
      </c>
      <c r="AH269" s="44">
        <v>0</v>
      </c>
      <c r="AI269" s="41"/>
      <c r="AJ269" s="40">
        <v>9.5613343797681868E-2</v>
      </c>
      <c r="AK269" s="41">
        <v>9.919407170122109E-2</v>
      </c>
      <c r="AL269" s="41"/>
      <c r="AM269" s="23">
        <v>2</v>
      </c>
      <c r="AN269" s="23">
        <v>3.1578947368421049</v>
      </c>
      <c r="AO269" s="23">
        <v>2.4210526315789469</v>
      </c>
      <c r="AP269" s="23">
        <v>2.947368421052631</v>
      </c>
      <c r="AQ269" s="23">
        <v>0.19</v>
      </c>
      <c r="AR269" s="23">
        <v>0.3</v>
      </c>
      <c r="AS269" s="23">
        <v>0.23</v>
      </c>
      <c r="AT269" s="23">
        <v>0.28000000000000003</v>
      </c>
      <c r="AU269" s="20">
        <v>1.54</v>
      </c>
      <c r="AV269" s="20">
        <v>3.44</v>
      </c>
      <c r="AW269" s="20">
        <v>1.9</v>
      </c>
      <c r="AX269" s="20">
        <v>2.8410526315789468</v>
      </c>
      <c r="AY269">
        <v>2.8410526315789468</v>
      </c>
      <c r="AZ269">
        <v>6.1729587136842099</v>
      </c>
      <c r="BA269" s="64">
        <v>0.52818907539878324</v>
      </c>
      <c r="BB269" s="64">
        <v>0.54796980145127927</v>
      </c>
      <c r="BE269">
        <v>4.7806671898840941E-2</v>
      </c>
      <c r="BF269">
        <v>4.9597035850610538E-2</v>
      </c>
      <c r="BH269">
        <v>9.7403707749451479E-2</v>
      </c>
      <c r="BI269">
        <v>4.870185387472574E-2</v>
      </c>
      <c r="BJ269">
        <v>0.53807943842503125</v>
      </c>
    </row>
    <row r="270" spans="1:62" x14ac:dyDescent="0.3">
      <c r="A270" t="s">
        <v>215</v>
      </c>
      <c r="B270" s="12" t="s">
        <v>734</v>
      </c>
      <c r="C270" s="12"/>
      <c r="F270">
        <v>3.8</v>
      </c>
      <c r="G270" t="s">
        <v>216</v>
      </c>
      <c r="H270" s="8" t="s">
        <v>587</v>
      </c>
      <c r="I270" t="s">
        <v>636</v>
      </c>
      <c r="L270" s="20">
        <v>1</v>
      </c>
      <c r="M270">
        <v>1</v>
      </c>
      <c r="N270">
        <v>0</v>
      </c>
      <c r="T270" s="20">
        <v>3.950634</v>
      </c>
      <c r="U270" s="20">
        <v>3.950634</v>
      </c>
      <c r="V270" s="20">
        <v>15.513552000000001</v>
      </c>
      <c r="W270">
        <v>3.8658999999999999</v>
      </c>
      <c r="X270">
        <v>3.8658999999999999</v>
      </c>
      <c r="Y270">
        <v>15.2538</v>
      </c>
      <c r="Z270">
        <v>0</v>
      </c>
      <c r="AD270">
        <v>20</v>
      </c>
      <c r="AE270" s="44">
        <f t="shared" si="14"/>
        <v>0</v>
      </c>
      <c r="AF270" s="46">
        <v>242.1279024923125</v>
      </c>
      <c r="AG270" s="44">
        <v>227.970829547178</v>
      </c>
      <c r="AH270" s="44">
        <v>0</v>
      </c>
      <c r="AI270" s="41"/>
      <c r="AJ270" s="40">
        <v>8.2600971611006269E-2</v>
      </c>
      <c r="AK270" s="41">
        <v>8.7730522539775438E-2</v>
      </c>
      <c r="AL270" s="41"/>
      <c r="AM270" s="23">
        <v>1.9375</v>
      </c>
      <c r="AN270" s="23">
        <v>2.5</v>
      </c>
      <c r="AO270" s="23">
        <v>0.5625</v>
      </c>
      <c r="AP270" s="23">
        <v>2.625</v>
      </c>
      <c r="AQ270" s="23">
        <v>0.25409836065573771</v>
      </c>
      <c r="AR270" s="23">
        <v>0.32786885245901642</v>
      </c>
      <c r="AS270" s="23">
        <v>7.3770491803278687E-2</v>
      </c>
      <c r="AT270" s="23">
        <v>0.34426229508196721</v>
      </c>
      <c r="AU270" s="20">
        <v>0.79</v>
      </c>
      <c r="AV270" s="20">
        <v>3.44</v>
      </c>
      <c r="AW270" s="20">
        <v>2.65</v>
      </c>
      <c r="AX270" s="20">
        <v>2.6056249999999999</v>
      </c>
      <c r="AY270">
        <v>2.6056249999999999</v>
      </c>
      <c r="AZ270">
        <v>5.9703320286696879</v>
      </c>
      <c r="BA270" s="64">
        <v>0.52453741991489755</v>
      </c>
      <c r="BB270" s="64">
        <v>0.55711138795694093</v>
      </c>
      <c r="BE270">
        <v>4.1300485805503127E-2</v>
      </c>
      <c r="BF270">
        <v>4.3865261269887712E-2</v>
      </c>
      <c r="BH270">
        <v>8.5165747075390846E-2</v>
      </c>
      <c r="BI270">
        <v>4.2582873537695423E-2</v>
      </c>
      <c r="BJ270">
        <v>0.54082440393591924</v>
      </c>
    </row>
    <row r="271" spans="1:62" x14ac:dyDescent="0.3">
      <c r="A271" t="s">
        <v>215</v>
      </c>
      <c r="B271" s="12" t="s">
        <v>734</v>
      </c>
      <c r="C271" s="12"/>
      <c r="D271" t="s">
        <v>676</v>
      </c>
      <c r="E271">
        <v>0.44</v>
      </c>
      <c r="F271">
        <v>2</v>
      </c>
      <c r="G271" t="s">
        <v>216</v>
      </c>
      <c r="H271" s="8" t="s">
        <v>587</v>
      </c>
      <c r="I271" t="s">
        <v>636</v>
      </c>
      <c r="L271" s="20">
        <v>1</v>
      </c>
      <c r="M271">
        <v>1</v>
      </c>
      <c r="N271">
        <v>0</v>
      </c>
      <c r="T271" s="20">
        <v>3.950634</v>
      </c>
      <c r="U271" s="20">
        <v>3.950634</v>
      </c>
      <c r="V271" s="20">
        <v>15.513552000000001</v>
      </c>
      <c r="W271">
        <v>3.8658999999999999</v>
      </c>
      <c r="X271">
        <v>3.8658999999999999</v>
      </c>
      <c r="Y271">
        <v>15.2538</v>
      </c>
      <c r="Z271">
        <v>0</v>
      </c>
      <c r="AD271">
        <v>20</v>
      </c>
      <c r="AE271" s="44">
        <f t="shared" si="14"/>
        <v>0</v>
      </c>
      <c r="AF271" s="46">
        <v>242.1279024923125</v>
      </c>
      <c r="AG271" s="44">
        <v>227.970829547178</v>
      </c>
      <c r="AH271" s="44">
        <v>0</v>
      </c>
      <c r="AI271" s="41"/>
      <c r="AJ271" s="40">
        <v>8.2600971611006269E-2</v>
      </c>
      <c r="AK271" s="41">
        <v>8.7730522539775438E-2</v>
      </c>
      <c r="AL271" s="41"/>
      <c r="AM271" s="23">
        <v>1.9375</v>
      </c>
      <c r="AN271" s="23">
        <v>2.5</v>
      </c>
      <c r="AO271" s="23">
        <v>0.5625</v>
      </c>
      <c r="AP271" s="23">
        <v>2.625</v>
      </c>
      <c r="AQ271" s="23">
        <v>0.25409836065573771</v>
      </c>
      <c r="AR271" s="23">
        <v>0.32786885245901642</v>
      </c>
      <c r="AS271" s="23">
        <v>7.3770491803278687E-2</v>
      </c>
      <c r="AT271" s="23">
        <v>0.34426229508196721</v>
      </c>
      <c r="AU271" s="20">
        <v>0.79</v>
      </c>
      <c r="AV271" s="20">
        <v>3.44</v>
      </c>
      <c r="AW271" s="20">
        <v>2.65</v>
      </c>
      <c r="AX271" s="20">
        <v>2.6056249999999999</v>
      </c>
      <c r="AY271">
        <v>2.6056249999999999</v>
      </c>
      <c r="AZ271">
        <v>5.9703320286696879</v>
      </c>
      <c r="BA271" s="64">
        <v>0.52453741991489755</v>
      </c>
      <c r="BB271" s="64">
        <v>0.55711138795694093</v>
      </c>
      <c r="BE271">
        <v>4.1300485805503127E-2</v>
      </c>
      <c r="BF271">
        <v>4.3865261269887712E-2</v>
      </c>
      <c r="BH271">
        <v>8.5165747075390846E-2</v>
      </c>
      <c r="BI271">
        <v>4.2582873537695423E-2</v>
      </c>
      <c r="BJ271">
        <v>0.54082440393591924</v>
      </c>
    </row>
    <row r="272" spans="1:62" x14ac:dyDescent="0.3">
      <c r="A272" t="s">
        <v>217</v>
      </c>
      <c r="B272" s="12" t="s">
        <v>806</v>
      </c>
      <c r="C272" s="12"/>
      <c r="F272">
        <v>2.58</v>
      </c>
      <c r="G272" t="s">
        <v>218</v>
      </c>
      <c r="H272" s="8">
        <v>-1</v>
      </c>
      <c r="I272">
        <v>-1</v>
      </c>
      <c r="K272">
        <v>1</v>
      </c>
      <c r="L272" s="20">
        <v>0</v>
      </c>
      <c r="M272">
        <v>0</v>
      </c>
      <c r="N272">
        <v>0</v>
      </c>
      <c r="O272">
        <v>3.93</v>
      </c>
      <c r="P272">
        <v>3.93</v>
      </c>
      <c r="Q272">
        <v>15.3</v>
      </c>
      <c r="T272" s="20">
        <v>0</v>
      </c>
      <c r="U272" s="20"/>
      <c r="V272" s="20"/>
      <c r="W272">
        <v>0</v>
      </c>
      <c r="Z272">
        <v>0</v>
      </c>
      <c r="AD272">
        <v>20</v>
      </c>
      <c r="AE272" s="44">
        <f t="shared" si="14"/>
        <v>236.30697000000001</v>
      </c>
      <c r="AF272" s="46">
        <v>0</v>
      </c>
      <c r="AG272" s="44">
        <v>0</v>
      </c>
      <c r="AH272" s="44">
        <v>0</v>
      </c>
      <c r="AI272" s="41">
        <f t="shared" ref="AI272:AI273" si="15">K272*AD272/AE272</f>
        <v>8.4635675367510321E-2</v>
      </c>
      <c r="AJ272" s="40"/>
      <c r="AK272" s="41"/>
      <c r="AL272" s="41"/>
      <c r="AM272" s="23">
        <v>1.75</v>
      </c>
      <c r="AN272" s="23">
        <v>2.75</v>
      </c>
      <c r="AO272" s="23">
        <v>2</v>
      </c>
      <c r="AP272" s="23">
        <v>1.75</v>
      </c>
      <c r="AQ272" s="23">
        <v>0.2121212121212121</v>
      </c>
      <c r="AR272" s="23">
        <v>0.33333333333333331</v>
      </c>
      <c r="AS272" s="23">
        <v>0.2424242424242424</v>
      </c>
      <c r="AT272" s="23">
        <v>0.2121212121212121</v>
      </c>
      <c r="AU272" s="20">
        <v>1.6</v>
      </c>
      <c r="AV272" s="20">
        <v>3.44</v>
      </c>
      <c r="AW272" s="20">
        <v>1.84</v>
      </c>
      <c r="AX272" s="20">
        <v>2.8787500000000001</v>
      </c>
      <c r="AY272">
        <v>2.8787500000000001</v>
      </c>
      <c r="AZ272">
        <v>6.3662565249906873</v>
      </c>
      <c r="BD272">
        <v>4.2317837683755161E-2</v>
      </c>
      <c r="BH272">
        <v>8.4635675367510321E-2</v>
      </c>
      <c r="BI272">
        <v>4.2317837683755161E-2</v>
      </c>
      <c r="BJ272">
        <v>0</v>
      </c>
    </row>
    <row r="273" spans="1:62" x14ac:dyDescent="0.3">
      <c r="A273" t="s">
        <v>873</v>
      </c>
      <c r="B273" s="12" t="s">
        <v>874</v>
      </c>
      <c r="C273" s="12"/>
      <c r="F273">
        <v>2.29</v>
      </c>
      <c r="G273" t="s">
        <v>218</v>
      </c>
      <c r="H273" s="8">
        <v>-1</v>
      </c>
      <c r="I273">
        <v>-1</v>
      </c>
      <c r="K273">
        <v>1</v>
      </c>
      <c r="L273" s="20">
        <v>0</v>
      </c>
      <c r="M273">
        <v>0</v>
      </c>
      <c r="N273">
        <v>0</v>
      </c>
      <c r="O273">
        <v>3.93</v>
      </c>
      <c r="P273">
        <v>3.93</v>
      </c>
      <c r="Q273">
        <v>15.3</v>
      </c>
      <c r="T273" s="20">
        <v>0</v>
      </c>
      <c r="U273" s="20"/>
      <c r="V273" s="20"/>
      <c r="W273">
        <v>0</v>
      </c>
      <c r="Z273">
        <v>0</v>
      </c>
      <c r="AD273">
        <v>20</v>
      </c>
      <c r="AE273" s="44">
        <f t="shared" si="14"/>
        <v>236.30697000000001</v>
      </c>
      <c r="AF273" s="46">
        <v>0</v>
      </c>
      <c r="AG273" s="44">
        <v>0</v>
      </c>
      <c r="AH273" s="44">
        <v>0</v>
      </c>
      <c r="AI273" s="41">
        <f t="shared" si="15"/>
        <v>8.4635675367510321E-2</v>
      </c>
      <c r="AJ273" s="40"/>
      <c r="AK273" s="41"/>
      <c r="AL273" s="41"/>
      <c r="AM273" s="23">
        <v>1.714285714285714</v>
      </c>
      <c r="AN273" s="23">
        <v>2.6190476190476191</v>
      </c>
      <c r="AO273" s="23">
        <v>1.9285714285714279</v>
      </c>
      <c r="AP273" s="23">
        <v>1.666666666666667</v>
      </c>
      <c r="AQ273" s="23">
        <v>0.2162162162162162</v>
      </c>
      <c r="AR273" s="23">
        <v>0.33033033033033038</v>
      </c>
      <c r="AS273" s="23">
        <v>0.2432432432432432</v>
      </c>
      <c r="AT273" s="23">
        <v>0.21021021021021019</v>
      </c>
      <c r="AU273" s="20">
        <v>1.6</v>
      </c>
      <c r="AV273" s="20">
        <v>3.44</v>
      </c>
      <c r="AW273" s="20">
        <v>1.84</v>
      </c>
      <c r="AX273" s="20">
        <v>2.847857142857142</v>
      </c>
      <c r="AY273">
        <v>2.8478571428571429</v>
      </c>
      <c r="AZ273">
        <v>6.402055730936417</v>
      </c>
      <c r="BD273">
        <v>4.2317837683755161E-2</v>
      </c>
      <c r="BH273">
        <v>8.4635675367510321E-2</v>
      </c>
      <c r="BI273">
        <v>4.2317837683755161E-2</v>
      </c>
      <c r="BJ273">
        <v>0</v>
      </c>
    </row>
    <row r="274" spans="1:62" x14ac:dyDescent="0.3">
      <c r="A274" t="s">
        <v>220</v>
      </c>
      <c r="B274" s="12" t="s">
        <v>807</v>
      </c>
      <c r="C274" s="12"/>
      <c r="F274">
        <v>4.05</v>
      </c>
      <c r="G274" t="s">
        <v>219</v>
      </c>
      <c r="H274" s="8" t="s">
        <v>588</v>
      </c>
      <c r="I274" t="s">
        <v>661</v>
      </c>
      <c r="L274" s="20">
        <v>1</v>
      </c>
      <c r="M274">
        <v>1</v>
      </c>
      <c r="N274">
        <v>0</v>
      </c>
      <c r="T274" s="20">
        <v>5.81978595</v>
      </c>
      <c r="U274" s="20">
        <v>5.81978595</v>
      </c>
      <c r="V274" s="20">
        <v>11.88463337</v>
      </c>
      <c r="W274">
        <v>5.7759999999999998</v>
      </c>
      <c r="X274">
        <v>5.7759999999999998</v>
      </c>
      <c r="Y274">
        <v>11.82</v>
      </c>
      <c r="Z274">
        <v>0</v>
      </c>
      <c r="AD274">
        <v>30</v>
      </c>
      <c r="AE274" s="44">
        <f t="shared" si="14"/>
        <v>0</v>
      </c>
      <c r="AF274" s="46">
        <v>348.60249769877402</v>
      </c>
      <c r="AG274" s="44">
        <v>341.5092547488552</v>
      </c>
      <c r="AH274" s="44">
        <v>0</v>
      </c>
      <c r="AI274" s="41"/>
      <c r="AJ274" s="40">
        <v>8.6057903193576313E-2</v>
      </c>
      <c r="AK274" s="41">
        <v>8.7845349965879851E-2</v>
      </c>
      <c r="AL274" s="41"/>
      <c r="AM274" s="23">
        <v>2</v>
      </c>
      <c r="AN274" s="23">
        <v>2.5</v>
      </c>
      <c r="AO274" s="23">
        <v>0.5</v>
      </c>
      <c r="AP274" s="23">
        <v>2.333333333333333</v>
      </c>
      <c r="AQ274" s="23">
        <v>0.27272727272727282</v>
      </c>
      <c r="AR274" s="23">
        <v>0.34090909090909088</v>
      </c>
      <c r="AS274" s="23">
        <v>6.8181818181818191E-2</v>
      </c>
      <c r="AT274" s="23">
        <v>0.31818181818181818</v>
      </c>
      <c r="AU274" s="20">
        <v>0.89</v>
      </c>
      <c r="AV274" s="20">
        <v>3.44</v>
      </c>
      <c r="AW274" s="20">
        <v>2.5499999999999998</v>
      </c>
      <c r="AX274" s="20">
        <v>2.5854166666666671</v>
      </c>
      <c r="AY274">
        <v>2.5854166666666671</v>
      </c>
      <c r="AZ274">
        <v>5.9262421145833333</v>
      </c>
      <c r="BA274" s="64">
        <v>0.58209579444379334</v>
      </c>
      <c r="BB274" s="64">
        <v>0.59418608726221844</v>
      </c>
      <c r="BE274">
        <v>4.3028951596788149E-2</v>
      </c>
      <c r="BF274">
        <v>4.3922674982939933E-2</v>
      </c>
      <c r="BH274">
        <v>8.6951626579728075E-2</v>
      </c>
      <c r="BI274">
        <v>4.3475813289864038E-2</v>
      </c>
      <c r="BJ274">
        <v>0.58814094085300583</v>
      </c>
    </row>
    <row r="275" spans="1:62" x14ac:dyDescent="0.3">
      <c r="A275" t="s">
        <v>220</v>
      </c>
      <c r="B275" s="12" t="s">
        <v>807</v>
      </c>
      <c r="C275" s="12"/>
      <c r="D275" t="s">
        <v>676</v>
      </c>
      <c r="E275">
        <v>0.3</v>
      </c>
      <c r="F275">
        <v>1.75</v>
      </c>
      <c r="G275" t="s">
        <v>219</v>
      </c>
      <c r="H275" s="8" t="s">
        <v>588</v>
      </c>
      <c r="I275" t="s">
        <v>661</v>
      </c>
      <c r="L275" s="20">
        <v>1</v>
      </c>
      <c r="M275">
        <v>1</v>
      </c>
      <c r="N275">
        <v>0</v>
      </c>
      <c r="T275" s="20">
        <v>5.81978595</v>
      </c>
      <c r="U275" s="20">
        <v>5.81978595</v>
      </c>
      <c r="V275" s="20">
        <v>11.88463337</v>
      </c>
      <c r="W275">
        <v>5.7759999999999998</v>
      </c>
      <c r="X275">
        <v>5.7759999999999998</v>
      </c>
      <c r="Y275">
        <v>11.82</v>
      </c>
      <c r="Z275">
        <v>0</v>
      </c>
      <c r="AD275">
        <v>30</v>
      </c>
      <c r="AE275" s="44">
        <f t="shared" si="14"/>
        <v>0</v>
      </c>
      <c r="AF275" s="46">
        <v>348.60249769877402</v>
      </c>
      <c r="AG275" s="44">
        <v>341.5092547488552</v>
      </c>
      <c r="AH275" s="44">
        <v>0</v>
      </c>
      <c r="AI275" s="41"/>
      <c r="AJ275" s="40">
        <v>8.6057903193576313E-2</v>
      </c>
      <c r="AK275" s="41">
        <v>8.7845349965879851E-2</v>
      </c>
      <c r="AL275" s="41"/>
      <c r="AM275" s="23">
        <v>2</v>
      </c>
      <c r="AN275" s="23">
        <v>2.5</v>
      </c>
      <c r="AO275" s="23">
        <v>0.5</v>
      </c>
      <c r="AP275" s="23">
        <v>2.333333333333333</v>
      </c>
      <c r="AQ275" s="23">
        <v>0.27272727272727282</v>
      </c>
      <c r="AR275" s="23">
        <v>0.34090909090909088</v>
      </c>
      <c r="AS275" s="23">
        <v>6.8181818181818191E-2</v>
      </c>
      <c r="AT275" s="23">
        <v>0.31818181818181818</v>
      </c>
      <c r="AU275" s="20">
        <v>0.89</v>
      </c>
      <c r="AV275" s="20">
        <v>3.44</v>
      </c>
      <c r="AW275" s="20">
        <v>2.5499999999999998</v>
      </c>
      <c r="AX275" s="20">
        <v>2.5854166666666671</v>
      </c>
      <c r="AY275">
        <v>2.5854166666666671</v>
      </c>
      <c r="AZ275">
        <v>5.9262421145833333</v>
      </c>
      <c r="BA275" s="64">
        <v>0.58209579444379334</v>
      </c>
      <c r="BB275" s="64">
        <v>0.59418608726221844</v>
      </c>
      <c r="BE275">
        <v>4.3028951596788149E-2</v>
      </c>
      <c r="BF275">
        <v>4.3922674982939933E-2</v>
      </c>
      <c r="BH275">
        <v>8.6951626579728075E-2</v>
      </c>
      <c r="BI275">
        <v>4.3475813289864038E-2</v>
      </c>
      <c r="BJ275">
        <v>0.58814094085300583</v>
      </c>
    </row>
    <row r="276" spans="1:62" x14ac:dyDescent="0.3">
      <c r="A276" t="s">
        <v>221</v>
      </c>
      <c r="B276" s="12" t="s">
        <v>808</v>
      </c>
      <c r="C276" s="12"/>
      <c r="F276">
        <v>4.51</v>
      </c>
      <c r="G276" t="s">
        <v>222</v>
      </c>
      <c r="H276" s="8" t="s">
        <v>589</v>
      </c>
      <c r="I276">
        <v>-1</v>
      </c>
      <c r="L276" s="20">
        <v>1</v>
      </c>
      <c r="M276">
        <v>0</v>
      </c>
      <c r="N276">
        <v>0</v>
      </c>
      <c r="T276" s="20">
        <v>5.6694849300000003</v>
      </c>
      <c r="U276" s="20">
        <v>5.6694842000000003</v>
      </c>
      <c r="V276" s="20">
        <v>11.54266629</v>
      </c>
      <c r="W276">
        <v>0</v>
      </c>
      <c r="Z276">
        <v>0</v>
      </c>
      <c r="AD276">
        <v>30</v>
      </c>
      <c r="AE276" s="44">
        <f t="shared" si="14"/>
        <v>0</v>
      </c>
      <c r="AF276" s="46">
        <v>321.30962315738361</v>
      </c>
      <c r="AG276" s="44">
        <v>0</v>
      </c>
      <c r="AH276" s="44">
        <v>0</v>
      </c>
      <c r="AI276" s="41"/>
      <c r="AJ276" s="40">
        <v>9.3367885173191417E-2</v>
      </c>
      <c r="AK276" s="41"/>
      <c r="AL276" s="41"/>
      <c r="AM276" s="23">
        <v>2</v>
      </c>
      <c r="AN276" s="23">
        <v>2.5</v>
      </c>
      <c r="AO276" s="23">
        <v>0.5</v>
      </c>
      <c r="AP276" s="23">
        <v>2.333333333333333</v>
      </c>
      <c r="AQ276" s="23">
        <v>0.27272727272727282</v>
      </c>
      <c r="AR276" s="23">
        <v>0.34090909090909088</v>
      </c>
      <c r="AS276" s="23">
        <v>6.8181818181818191E-2</v>
      </c>
      <c r="AT276" s="23">
        <v>0.31818181818181818</v>
      </c>
      <c r="AU276" s="20">
        <v>0.95</v>
      </c>
      <c r="AV276" s="20">
        <v>3.44</v>
      </c>
      <c r="AW276" s="20">
        <v>2.4900000000000002</v>
      </c>
      <c r="AX276" s="20">
        <v>2.5979166666666669</v>
      </c>
      <c r="AY276">
        <v>2.597916666666666</v>
      </c>
      <c r="AZ276">
        <v>5.966934078125</v>
      </c>
      <c r="BA276" s="64">
        <v>0.56583721757051464</v>
      </c>
      <c r="BE276">
        <v>4.6683942586595709E-2</v>
      </c>
      <c r="BH276">
        <v>9.3367885173191417E-2</v>
      </c>
      <c r="BI276">
        <v>4.6683942586595709E-2</v>
      </c>
      <c r="BJ276">
        <v>0.56583721757051464</v>
      </c>
    </row>
    <row r="277" spans="1:62" x14ac:dyDescent="0.3">
      <c r="A277" t="s">
        <v>221</v>
      </c>
      <c r="B277" s="12" t="s">
        <v>808</v>
      </c>
      <c r="C277" s="12"/>
      <c r="D277" t="s">
        <v>676</v>
      </c>
      <c r="E277">
        <v>0.63</v>
      </c>
      <c r="F277">
        <v>2.2000000000000002</v>
      </c>
      <c r="G277" t="s">
        <v>222</v>
      </c>
      <c r="H277" s="8" t="s">
        <v>589</v>
      </c>
      <c r="I277">
        <v>-1</v>
      </c>
      <c r="L277" s="20">
        <v>1</v>
      </c>
      <c r="M277">
        <v>0</v>
      </c>
      <c r="N277">
        <v>0</v>
      </c>
      <c r="T277" s="20">
        <v>5.6694849300000003</v>
      </c>
      <c r="U277" s="20">
        <v>5.6694842000000003</v>
      </c>
      <c r="V277" s="20">
        <v>11.54266629</v>
      </c>
      <c r="W277">
        <v>0</v>
      </c>
      <c r="Z277">
        <v>0</v>
      </c>
      <c r="AD277">
        <v>30</v>
      </c>
      <c r="AE277" s="44">
        <f t="shared" si="14"/>
        <v>0</v>
      </c>
      <c r="AF277" s="46">
        <v>321.30962315738361</v>
      </c>
      <c r="AG277" s="44">
        <v>0</v>
      </c>
      <c r="AH277" s="44">
        <v>0</v>
      </c>
      <c r="AI277" s="41"/>
      <c r="AJ277" s="40">
        <v>9.3367885173191417E-2</v>
      </c>
      <c r="AK277" s="41"/>
      <c r="AL277" s="41"/>
      <c r="AM277" s="23">
        <v>2</v>
      </c>
      <c r="AN277" s="23">
        <v>2.5</v>
      </c>
      <c r="AO277" s="23">
        <v>0.5</v>
      </c>
      <c r="AP277" s="23">
        <v>2.333333333333333</v>
      </c>
      <c r="AQ277" s="23">
        <v>0.27272727272727282</v>
      </c>
      <c r="AR277" s="23">
        <v>0.34090909090909088</v>
      </c>
      <c r="AS277" s="23">
        <v>6.8181818181818191E-2</v>
      </c>
      <c r="AT277" s="23">
        <v>0.31818181818181818</v>
      </c>
      <c r="AU277" s="20">
        <v>0.95</v>
      </c>
      <c r="AV277" s="20">
        <v>3.44</v>
      </c>
      <c r="AW277" s="20">
        <v>2.4900000000000002</v>
      </c>
      <c r="AX277" s="20">
        <v>2.5979166666666669</v>
      </c>
      <c r="AY277">
        <v>2.597916666666666</v>
      </c>
      <c r="AZ277">
        <v>5.966934078125</v>
      </c>
      <c r="BA277" s="64">
        <v>0.56583721757051464</v>
      </c>
      <c r="BE277">
        <v>4.6683942586595709E-2</v>
      </c>
      <c r="BH277">
        <v>9.3367885173191417E-2</v>
      </c>
      <c r="BI277">
        <v>4.6683942586595709E-2</v>
      </c>
      <c r="BJ277">
        <v>0.56583721757051464</v>
      </c>
    </row>
    <row r="278" spans="1:62" x14ac:dyDescent="0.3">
      <c r="A278" t="s">
        <v>185</v>
      </c>
      <c r="B278" s="12" t="s">
        <v>729</v>
      </c>
      <c r="C278" s="12"/>
      <c r="F278">
        <v>4.2</v>
      </c>
      <c r="G278" t="s">
        <v>223</v>
      </c>
      <c r="H278" s="8" t="s">
        <v>556</v>
      </c>
      <c r="I278" t="s">
        <v>633</v>
      </c>
      <c r="L278" s="20">
        <v>2</v>
      </c>
      <c r="M278">
        <v>4</v>
      </c>
      <c r="N278">
        <v>0</v>
      </c>
      <c r="T278" s="20">
        <v>13.81974189</v>
      </c>
      <c r="U278" s="20">
        <v>13.81974189</v>
      </c>
      <c r="V278" s="20">
        <v>5.7110870199999999</v>
      </c>
      <c r="W278">
        <v>3.94</v>
      </c>
      <c r="X278">
        <v>27.15</v>
      </c>
      <c r="Y278">
        <v>5.6920000000000002</v>
      </c>
      <c r="Z278">
        <v>0</v>
      </c>
      <c r="AD278">
        <v>14</v>
      </c>
      <c r="AE278" s="44">
        <f t="shared" si="14"/>
        <v>0</v>
      </c>
      <c r="AF278" s="46">
        <v>309.44138863753989</v>
      </c>
      <c r="AG278" s="44">
        <v>608.87893199999996</v>
      </c>
      <c r="AH278" s="44">
        <v>0</v>
      </c>
      <c r="AI278" s="41"/>
      <c r="AJ278" s="40">
        <v>9.0485633235046756E-2</v>
      </c>
      <c r="AK278" s="41">
        <v>9.1972306901891634E-2</v>
      </c>
      <c r="AL278" s="41"/>
      <c r="AM278" s="23">
        <v>2</v>
      </c>
      <c r="AN278" s="23">
        <v>2.545454545454545</v>
      </c>
      <c r="AO278" s="23">
        <v>0.54545454545454541</v>
      </c>
      <c r="AP278" s="23">
        <v>2.545454545454545</v>
      </c>
      <c r="AQ278" s="23">
        <v>0.26190476190476192</v>
      </c>
      <c r="AR278" s="23">
        <v>0.33333333333333331</v>
      </c>
      <c r="AS278" s="23">
        <v>7.1428571428571425E-2</v>
      </c>
      <c r="AT278" s="23">
        <v>0.33333333333333331</v>
      </c>
      <c r="AU278" s="20">
        <v>0.95</v>
      </c>
      <c r="AV278" s="20">
        <v>3.44</v>
      </c>
      <c r="AW278" s="20">
        <v>2.4900000000000002</v>
      </c>
      <c r="AX278" s="20">
        <v>2.6345454545454539</v>
      </c>
      <c r="AY278">
        <v>2.6345454545454552</v>
      </c>
      <c r="AZ278">
        <v>6.036062318181818</v>
      </c>
      <c r="BA278" s="64">
        <v>0.52932707238284982</v>
      </c>
      <c r="BB278" s="64">
        <v>0.53802388525275069</v>
      </c>
      <c r="BE278">
        <v>4.5242816617523378E-2</v>
      </c>
      <c r="BF278">
        <v>4.5986153450945817E-2</v>
      </c>
      <c r="BH278">
        <v>9.1228970068469195E-2</v>
      </c>
      <c r="BI278">
        <v>4.5614485034234598E-2</v>
      </c>
      <c r="BJ278">
        <v>0.5336754788178002</v>
      </c>
    </row>
    <row r="279" spans="1:62" x14ac:dyDescent="0.3">
      <c r="A279" t="s">
        <v>185</v>
      </c>
      <c r="B279" s="12" t="s">
        <v>729</v>
      </c>
      <c r="C279" s="12"/>
      <c r="D279" t="s">
        <v>676</v>
      </c>
      <c r="E279">
        <v>0.90500000000000003</v>
      </c>
      <c r="F279">
        <v>2.2999999999999998</v>
      </c>
      <c r="G279" t="s">
        <v>223</v>
      </c>
      <c r="H279" s="8" t="s">
        <v>556</v>
      </c>
      <c r="I279" t="s">
        <v>633</v>
      </c>
      <c r="L279" s="20">
        <v>2</v>
      </c>
      <c r="M279">
        <v>4</v>
      </c>
      <c r="N279">
        <v>0</v>
      </c>
      <c r="T279" s="20">
        <v>13.81974189</v>
      </c>
      <c r="U279" s="20">
        <v>13.81974189</v>
      </c>
      <c r="V279" s="20">
        <v>5.7110870199999999</v>
      </c>
      <c r="W279">
        <v>3.94</v>
      </c>
      <c r="X279">
        <v>27.15</v>
      </c>
      <c r="Y279">
        <v>5.6920000000000002</v>
      </c>
      <c r="Z279">
        <v>0</v>
      </c>
      <c r="AD279">
        <v>14</v>
      </c>
      <c r="AE279" s="44">
        <f t="shared" si="14"/>
        <v>0</v>
      </c>
      <c r="AF279" s="46">
        <v>309.44138863753989</v>
      </c>
      <c r="AG279" s="44">
        <v>608.87893199999996</v>
      </c>
      <c r="AH279" s="44">
        <v>0</v>
      </c>
      <c r="AI279" s="41"/>
      <c r="AJ279" s="40">
        <v>9.0485633235046756E-2</v>
      </c>
      <c r="AK279" s="41">
        <v>9.1972306901891634E-2</v>
      </c>
      <c r="AL279" s="41"/>
      <c r="AM279" s="23">
        <v>2</v>
      </c>
      <c r="AN279" s="23">
        <v>2.545454545454545</v>
      </c>
      <c r="AO279" s="23">
        <v>0.54545454545454541</v>
      </c>
      <c r="AP279" s="23">
        <v>2.545454545454545</v>
      </c>
      <c r="AQ279" s="23">
        <v>0.26190476190476192</v>
      </c>
      <c r="AR279" s="23">
        <v>0.33333333333333331</v>
      </c>
      <c r="AS279" s="23">
        <v>7.1428571428571425E-2</v>
      </c>
      <c r="AT279" s="23">
        <v>0.33333333333333331</v>
      </c>
      <c r="AU279" s="20">
        <v>0.95</v>
      </c>
      <c r="AV279" s="20">
        <v>3.44</v>
      </c>
      <c r="AW279" s="20">
        <v>2.4900000000000002</v>
      </c>
      <c r="AX279" s="20">
        <v>2.6345454545454539</v>
      </c>
      <c r="AY279">
        <v>2.6345454545454552</v>
      </c>
      <c r="AZ279">
        <v>6.036062318181818</v>
      </c>
      <c r="BA279" s="64">
        <v>0.52932707238284982</v>
      </c>
      <c r="BB279" s="64">
        <v>0.53802388525275069</v>
      </c>
      <c r="BE279">
        <v>4.5242816617523378E-2</v>
      </c>
      <c r="BF279">
        <v>4.5986153450945817E-2</v>
      </c>
      <c r="BH279">
        <v>9.1228970068469195E-2</v>
      </c>
      <c r="BI279">
        <v>4.5614485034234598E-2</v>
      </c>
      <c r="BJ279">
        <v>0.5336754788178002</v>
      </c>
    </row>
    <row r="280" spans="1:62" x14ac:dyDescent="0.3">
      <c r="A280" t="s">
        <v>46</v>
      </c>
      <c r="B280" s="12" t="s">
        <v>722</v>
      </c>
      <c r="C280" s="12"/>
      <c r="F280">
        <v>3.82</v>
      </c>
      <c r="G280" t="s">
        <v>224</v>
      </c>
      <c r="H280" s="8" t="s">
        <v>551</v>
      </c>
      <c r="I280" t="s">
        <v>629</v>
      </c>
      <c r="L280" s="20">
        <v>2</v>
      </c>
      <c r="M280">
        <v>4</v>
      </c>
      <c r="N280">
        <v>0</v>
      </c>
      <c r="T280" s="20">
        <v>7.41544296</v>
      </c>
      <c r="U280" s="20">
        <v>7.4154429599999991</v>
      </c>
      <c r="V280" s="20">
        <v>7.41544296</v>
      </c>
      <c r="W280">
        <v>7.8</v>
      </c>
      <c r="X280">
        <v>13.010999999999999</v>
      </c>
      <c r="Y280">
        <v>5.5460000000000003</v>
      </c>
      <c r="Z280">
        <v>0</v>
      </c>
      <c r="AD280">
        <v>14</v>
      </c>
      <c r="AE280" s="44">
        <f t="shared" si="14"/>
        <v>0</v>
      </c>
      <c r="AF280" s="46">
        <v>288.33429290182369</v>
      </c>
      <c r="AG280" s="44">
        <v>556.51188553357167</v>
      </c>
      <c r="AH280" s="44">
        <v>0</v>
      </c>
      <c r="AI280" s="41"/>
      <c r="AJ280" s="40">
        <v>9.7109503410799117E-2</v>
      </c>
      <c r="AK280" s="41">
        <v>0.10062678166578309</v>
      </c>
      <c r="AL280" s="41"/>
      <c r="AM280" s="23">
        <v>2</v>
      </c>
      <c r="AN280" s="23">
        <v>2.545454545454545</v>
      </c>
      <c r="AO280" s="23">
        <v>0.54545454545454541</v>
      </c>
      <c r="AP280" s="23">
        <v>0</v>
      </c>
      <c r="AQ280" s="23">
        <v>0.39285714285714279</v>
      </c>
      <c r="AR280" s="23">
        <v>0.5</v>
      </c>
      <c r="AS280" s="23">
        <v>0.1071428571428571</v>
      </c>
      <c r="AT280" s="23">
        <v>0</v>
      </c>
      <c r="AU280" s="20">
        <v>1.1000000000000001</v>
      </c>
      <c r="AV280" s="20">
        <v>3.44</v>
      </c>
      <c r="AW280" s="20">
        <v>2.34</v>
      </c>
      <c r="AX280" s="20">
        <v>2.669090909090909</v>
      </c>
      <c r="AY280">
        <v>2.669090909090909</v>
      </c>
      <c r="AZ280">
        <v>5.9831974772727277</v>
      </c>
      <c r="BA280" s="64">
        <v>0.52442413903612473</v>
      </c>
      <c r="BB280" s="64">
        <v>0.54341863036636606</v>
      </c>
      <c r="BE280">
        <v>4.8554751705399558E-2</v>
      </c>
      <c r="BF280">
        <v>5.0313390832891547E-2</v>
      </c>
      <c r="BH280">
        <v>9.8868142538291098E-2</v>
      </c>
      <c r="BI280">
        <v>4.9434071269145549E-2</v>
      </c>
      <c r="BJ280">
        <v>0.53392138470124539</v>
      </c>
    </row>
    <row r="281" spans="1:62" x14ac:dyDescent="0.3">
      <c r="A281" t="s">
        <v>46</v>
      </c>
      <c r="B281" s="12" t="s">
        <v>722</v>
      </c>
      <c r="C281" s="12"/>
      <c r="F281">
        <v>3.82</v>
      </c>
      <c r="G281" t="s">
        <v>225</v>
      </c>
      <c r="H281" s="8" t="s">
        <v>551</v>
      </c>
      <c r="I281" t="s">
        <v>629</v>
      </c>
      <c r="L281" s="20">
        <v>2</v>
      </c>
      <c r="M281">
        <v>4</v>
      </c>
      <c r="N281">
        <v>0</v>
      </c>
      <c r="T281" s="20">
        <v>7.41544296</v>
      </c>
      <c r="U281" s="20">
        <v>7.4154429599999991</v>
      </c>
      <c r="V281" s="20">
        <v>7.41544296</v>
      </c>
      <c r="W281">
        <v>7.8</v>
      </c>
      <c r="X281">
        <v>13.010999999999999</v>
      </c>
      <c r="Y281">
        <v>5.5460000000000003</v>
      </c>
      <c r="Z281">
        <v>0</v>
      </c>
      <c r="AD281">
        <v>14</v>
      </c>
      <c r="AE281" s="44">
        <f t="shared" si="14"/>
        <v>0</v>
      </c>
      <c r="AF281" s="46">
        <v>288.33429290182369</v>
      </c>
      <c r="AG281" s="44">
        <v>556.51188553357167</v>
      </c>
      <c r="AH281" s="44">
        <v>0</v>
      </c>
      <c r="AI281" s="41"/>
      <c r="AJ281" s="40">
        <v>9.7109503410799117E-2</v>
      </c>
      <c r="AK281" s="41">
        <v>0.10062678166578309</v>
      </c>
      <c r="AL281" s="41"/>
      <c r="AM281" s="23">
        <v>2</v>
      </c>
      <c r="AN281" s="23">
        <v>2.545454545454545</v>
      </c>
      <c r="AO281" s="23">
        <v>0.54545454545454541</v>
      </c>
      <c r="AP281" s="23">
        <v>0</v>
      </c>
      <c r="AQ281" s="23">
        <v>0.39285714285714279</v>
      </c>
      <c r="AR281" s="23">
        <v>0.5</v>
      </c>
      <c r="AS281" s="23">
        <v>0.1071428571428571</v>
      </c>
      <c r="AT281" s="23">
        <v>0</v>
      </c>
      <c r="AU281" s="20">
        <v>1.1000000000000001</v>
      </c>
      <c r="AV281" s="20">
        <v>3.44</v>
      </c>
      <c r="AW281" s="20">
        <v>2.34</v>
      </c>
      <c r="AX281" s="20">
        <v>2.669090909090909</v>
      </c>
      <c r="AY281">
        <v>2.669090909090909</v>
      </c>
      <c r="AZ281">
        <v>5.9831974772727277</v>
      </c>
      <c r="BA281" s="64">
        <v>0.52442413903612473</v>
      </c>
      <c r="BB281" s="64">
        <v>0.54341863036636606</v>
      </c>
      <c r="BE281">
        <v>4.8554751705399558E-2</v>
      </c>
      <c r="BF281">
        <v>5.0313390832891547E-2</v>
      </c>
      <c r="BH281">
        <v>9.8868142538291098E-2</v>
      </c>
      <c r="BI281">
        <v>4.9434071269145549E-2</v>
      </c>
      <c r="BJ281">
        <v>0.53392138470124539</v>
      </c>
    </row>
    <row r="282" spans="1:62" x14ac:dyDescent="0.3">
      <c r="A282" t="s">
        <v>226</v>
      </c>
      <c r="B282" s="27" t="s">
        <v>938</v>
      </c>
      <c r="C282" s="12"/>
      <c r="F282">
        <v>2.6</v>
      </c>
      <c r="G282" t="s">
        <v>225</v>
      </c>
      <c r="H282" s="25" t="s">
        <v>551</v>
      </c>
      <c r="I282" s="1" t="s">
        <v>629</v>
      </c>
      <c r="L282" s="20">
        <v>0</v>
      </c>
      <c r="M282">
        <v>4</v>
      </c>
      <c r="N282">
        <v>0</v>
      </c>
      <c r="O282">
        <v>-1</v>
      </c>
      <c r="T282" s="20">
        <v>0</v>
      </c>
      <c r="U282" s="20"/>
      <c r="V282" s="20"/>
      <c r="W282">
        <v>7.8</v>
      </c>
      <c r="X282">
        <v>13.010999999999999</v>
      </c>
      <c r="Y282">
        <v>5.5460000000000003</v>
      </c>
      <c r="Z282">
        <v>0</v>
      </c>
      <c r="AD282">
        <v>14</v>
      </c>
      <c r="AE282" s="44">
        <f t="shared" si="14"/>
        <v>0</v>
      </c>
      <c r="AF282" s="46">
        <v>0</v>
      </c>
      <c r="AG282" s="44">
        <v>556.51188553357167</v>
      </c>
      <c r="AH282" s="44">
        <v>0</v>
      </c>
      <c r="AI282" s="41"/>
      <c r="AJ282" s="40"/>
      <c r="AK282" s="41">
        <v>0.10062678166578309</v>
      </c>
      <c r="AL282" s="41"/>
      <c r="AM282" s="23">
        <v>2</v>
      </c>
      <c r="AN282" s="23">
        <v>2.545454545454545</v>
      </c>
      <c r="AO282" s="23">
        <v>0.55454545454545456</v>
      </c>
      <c r="AP282" s="23">
        <v>0</v>
      </c>
      <c r="AQ282" s="23">
        <v>0.39215686274509798</v>
      </c>
      <c r="AR282" s="23">
        <v>0.49910873440285197</v>
      </c>
      <c r="AS282" s="23">
        <v>0.1087344028520499</v>
      </c>
      <c r="AT282" s="23">
        <v>0</v>
      </c>
      <c r="AU282" s="20">
        <v>1.1000000000000001</v>
      </c>
      <c r="AV282" s="20">
        <v>3.44</v>
      </c>
      <c r="AW282" s="20">
        <v>2.34</v>
      </c>
      <c r="AX282" s="20">
        <v>2.670418181818182</v>
      </c>
      <c r="AY282">
        <v>2.670418181818182</v>
      </c>
      <c r="AZ282">
        <v>5.9849440756727272</v>
      </c>
      <c r="BA282" s="64">
        <v>0.52442413903612473</v>
      </c>
      <c r="BB282" s="64">
        <v>0.54341863036636606</v>
      </c>
      <c r="BF282">
        <v>5.0313390832891547E-2</v>
      </c>
      <c r="BH282">
        <v>0.10062678166578309</v>
      </c>
      <c r="BI282">
        <v>5.0313390832891547E-2</v>
      </c>
      <c r="BJ282">
        <v>0.53392138470124539</v>
      </c>
    </row>
    <row r="283" spans="1:62" x14ac:dyDescent="0.3">
      <c r="A283" t="s">
        <v>227</v>
      </c>
      <c r="B283" s="16" t="s">
        <v>939</v>
      </c>
      <c r="C283" s="12"/>
      <c r="F283">
        <v>2.2000000000000002</v>
      </c>
      <c r="G283" t="s">
        <v>225</v>
      </c>
      <c r="H283" s="25" t="s">
        <v>551</v>
      </c>
      <c r="I283" s="1" t="s">
        <v>629</v>
      </c>
      <c r="L283" s="20">
        <v>0</v>
      </c>
      <c r="M283">
        <v>4</v>
      </c>
      <c r="N283">
        <v>0</v>
      </c>
      <c r="O283">
        <v>-1</v>
      </c>
      <c r="T283" s="20">
        <v>0</v>
      </c>
      <c r="U283" s="20"/>
      <c r="V283" s="20"/>
      <c r="W283">
        <v>7.8</v>
      </c>
      <c r="X283">
        <v>13.010999999999999</v>
      </c>
      <c r="Y283">
        <v>5.5460000000000003</v>
      </c>
      <c r="Z283">
        <v>0</v>
      </c>
      <c r="AD283">
        <v>14</v>
      </c>
      <c r="AE283" s="44">
        <f t="shared" si="14"/>
        <v>0</v>
      </c>
      <c r="AF283" s="46">
        <v>0</v>
      </c>
      <c r="AG283" s="44">
        <v>556.51188553357167</v>
      </c>
      <c r="AH283" s="44">
        <v>0</v>
      </c>
      <c r="AI283" s="41"/>
      <c r="AJ283" s="40"/>
      <c r="AK283" s="41">
        <v>0.10062678166578309</v>
      </c>
      <c r="AL283" s="41"/>
      <c r="AM283" s="23">
        <v>1.9981818181818181</v>
      </c>
      <c r="AN283" s="23">
        <v>2.545454545454545</v>
      </c>
      <c r="AO283" s="23">
        <v>0.55272727272727273</v>
      </c>
      <c r="AP283" s="23">
        <v>0</v>
      </c>
      <c r="AQ283" s="23">
        <v>0.39207991437745271</v>
      </c>
      <c r="AR283" s="23">
        <v>0.49946485907955762</v>
      </c>
      <c r="AS283" s="23">
        <v>0.1084552265429897</v>
      </c>
      <c r="AT283" s="23">
        <v>0</v>
      </c>
      <c r="AU283" s="20">
        <v>1.1000000000000001</v>
      </c>
      <c r="AV283" s="20">
        <v>3.44</v>
      </c>
      <c r="AW283" s="20">
        <v>2.34</v>
      </c>
      <c r="AX283" s="20">
        <v>2.670109090909091</v>
      </c>
      <c r="AY283">
        <v>2.670109090909091</v>
      </c>
      <c r="AZ283">
        <v>5.9843864818181816</v>
      </c>
      <c r="BA283" s="64">
        <v>0.52442413903612473</v>
      </c>
      <c r="BB283" s="64">
        <v>0.54341863036636606</v>
      </c>
      <c r="BF283">
        <v>5.0313390832891547E-2</v>
      </c>
      <c r="BH283">
        <v>0.10062678166578309</v>
      </c>
      <c r="BI283">
        <v>5.0313390832891547E-2</v>
      </c>
      <c r="BJ283">
        <v>0.53392138470124539</v>
      </c>
    </row>
    <row r="284" spans="1:62" x14ac:dyDescent="0.3">
      <c r="A284" t="s">
        <v>49</v>
      </c>
      <c r="B284" s="12" t="s">
        <v>725</v>
      </c>
      <c r="C284" s="12"/>
      <c r="F284">
        <v>4</v>
      </c>
      <c r="G284" t="s">
        <v>228</v>
      </c>
      <c r="H284" s="8" t="s">
        <v>553</v>
      </c>
      <c r="I284" t="s">
        <v>631</v>
      </c>
      <c r="L284" s="20">
        <v>8</v>
      </c>
      <c r="M284">
        <v>8</v>
      </c>
      <c r="N284">
        <v>0</v>
      </c>
      <c r="T284" s="20">
        <v>5.8017180100000001</v>
      </c>
      <c r="U284" s="20">
        <v>7.9756520899999996</v>
      </c>
      <c r="V284" s="20">
        <v>27.352093400000001</v>
      </c>
      <c r="W284">
        <v>26.646989999999999</v>
      </c>
      <c r="X284">
        <v>7.9359999999999999</v>
      </c>
      <c r="Y284">
        <v>5.7050000000000001</v>
      </c>
      <c r="Z284">
        <v>0</v>
      </c>
      <c r="AD284">
        <v>14</v>
      </c>
      <c r="AE284" s="44">
        <f t="shared" si="14"/>
        <v>0</v>
      </c>
      <c r="AF284" s="46">
        <v>1265.6493143942739</v>
      </c>
      <c r="AG284" s="44">
        <v>1206.4392746112001</v>
      </c>
      <c r="AH284" s="44">
        <v>0</v>
      </c>
      <c r="AI284" s="41"/>
      <c r="AJ284" s="40">
        <v>8.8492127105210025E-2</v>
      </c>
      <c r="AK284" s="41">
        <v>9.2835174017436004E-2</v>
      </c>
      <c r="AL284" s="41"/>
      <c r="AM284" s="23">
        <v>1.8181818181818179</v>
      </c>
      <c r="AN284" s="23">
        <v>2.545454545454545</v>
      </c>
      <c r="AO284" s="23">
        <v>0.72727272727272729</v>
      </c>
      <c r="AP284" s="23">
        <v>0</v>
      </c>
      <c r="AQ284" s="23">
        <v>0.35714285714285721</v>
      </c>
      <c r="AR284" s="23">
        <v>0.5</v>
      </c>
      <c r="AS284" s="23">
        <v>0.1428571428571429</v>
      </c>
      <c r="AT284" s="23">
        <v>0</v>
      </c>
      <c r="AU284" s="20">
        <v>0.95</v>
      </c>
      <c r="AV284" s="20">
        <v>3.44</v>
      </c>
      <c r="AW284" s="20">
        <v>2.4900000000000002</v>
      </c>
      <c r="AX284" s="20">
        <v>2.6527272727272719</v>
      </c>
      <c r="AY284">
        <v>2.6527272727272728</v>
      </c>
      <c r="AZ284">
        <v>6.0182046818181814</v>
      </c>
      <c r="BA284" s="64">
        <v>0.5176653673612065</v>
      </c>
      <c r="BB284" s="64">
        <v>0.54307152550012683</v>
      </c>
      <c r="BE284">
        <v>4.4246063552605013E-2</v>
      </c>
      <c r="BF284">
        <v>4.6417587008717988E-2</v>
      </c>
      <c r="BH284">
        <v>9.0663650561323014E-2</v>
      </c>
      <c r="BI284">
        <v>4.53318252806615E-2</v>
      </c>
      <c r="BJ284">
        <v>0.53036844643066661</v>
      </c>
    </row>
    <row r="285" spans="1:62" x14ac:dyDescent="0.3">
      <c r="A285" t="s">
        <v>46</v>
      </c>
      <c r="B285" s="12" t="s">
        <v>722</v>
      </c>
      <c r="C285" s="12"/>
      <c r="F285">
        <v>3.9</v>
      </c>
      <c r="G285" t="s">
        <v>229</v>
      </c>
      <c r="H285" s="11" t="s">
        <v>551</v>
      </c>
      <c r="I285" t="s">
        <v>629</v>
      </c>
      <c r="L285" s="20">
        <v>2</v>
      </c>
      <c r="M285">
        <v>4</v>
      </c>
      <c r="N285">
        <v>0</v>
      </c>
      <c r="T285" s="20">
        <v>7.41544296</v>
      </c>
      <c r="U285" s="20">
        <v>7.4154429599999991</v>
      </c>
      <c r="V285" s="20">
        <v>7.41544296</v>
      </c>
      <c r="W285">
        <v>7.8</v>
      </c>
      <c r="X285">
        <v>13.010999999999999</v>
      </c>
      <c r="Y285">
        <v>5.5460000000000003</v>
      </c>
      <c r="Z285">
        <v>0</v>
      </c>
      <c r="AD285">
        <v>14</v>
      </c>
      <c r="AE285" s="44">
        <f t="shared" si="14"/>
        <v>0</v>
      </c>
      <c r="AF285" s="46">
        <v>288.33429290182369</v>
      </c>
      <c r="AG285" s="44">
        <v>556.51188553357167</v>
      </c>
      <c r="AH285" s="44">
        <v>0</v>
      </c>
      <c r="AI285" s="41"/>
      <c r="AJ285" s="40">
        <v>9.7109503410799117E-2</v>
      </c>
      <c r="AK285" s="41">
        <v>0.10062678166578309</v>
      </c>
      <c r="AL285" s="41"/>
      <c r="AM285" s="23">
        <v>2</v>
      </c>
      <c r="AN285" s="23">
        <v>2.545454545454545</v>
      </c>
      <c r="AO285" s="23">
        <v>0.54545454545454541</v>
      </c>
      <c r="AP285" s="23">
        <v>0</v>
      </c>
      <c r="AQ285" s="23">
        <v>0.39285714285714279</v>
      </c>
      <c r="AR285" s="23">
        <v>0.5</v>
      </c>
      <c r="AS285" s="23">
        <v>0.1071428571428571</v>
      </c>
      <c r="AT285" s="23">
        <v>0</v>
      </c>
      <c r="AU285" s="20">
        <v>1.1000000000000001</v>
      </c>
      <c r="AV285" s="20">
        <v>3.44</v>
      </c>
      <c r="AW285" s="20">
        <v>2.34</v>
      </c>
      <c r="AX285" s="20">
        <v>2.669090909090909</v>
      </c>
      <c r="AY285">
        <v>2.669090909090909</v>
      </c>
      <c r="AZ285">
        <v>5.9831974772727277</v>
      </c>
      <c r="BA285" s="64">
        <v>0.52442413903612473</v>
      </c>
      <c r="BB285" s="64">
        <v>0.54341863036636606</v>
      </c>
      <c r="BE285">
        <v>4.8554751705399558E-2</v>
      </c>
      <c r="BF285">
        <v>5.0313390832891547E-2</v>
      </c>
      <c r="BH285">
        <v>9.8868142538291098E-2</v>
      </c>
      <c r="BI285">
        <v>4.9434071269145549E-2</v>
      </c>
      <c r="BJ285">
        <v>0.53392138470124539</v>
      </c>
    </row>
    <row r="286" spans="1:62" x14ac:dyDescent="0.3">
      <c r="A286" t="s">
        <v>46</v>
      </c>
      <c r="B286" s="12" t="s">
        <v>722</v>
      </c>
      <c r="C286" s="12"/>
      <c r="D286" t="s">
        <v>890</v>
      </c>
      <c r="E286">
        <v>0.42</v>
      </c>
      <c r="F286">
        <v>3.78</v>
      </c>
      <c r="G286" t="s">
        <v>229</v>
      </c>
      <c r="H286" s="11" t="s">
        <v>551</v>
      </c>
      <c r="I286" t="s">
        <v>629</v>
      </c>
      <c r="L286" s="20">
        <v>2</v>
      </c>
      <c r="M286">
        <v>4</v>
      </c>
      <c r="N286">
        <v>0</v>
      </c>
      <c r="T286" s="20">
        <v>7.41544296</v>
      </c>
      <c r="U286" s="20">
        <v>7.4154429599999991</v>
      </c>
      <c r="V286" s="20">
        <v>7.41544296</v>
      </c>
      <c r="W286">
        <v>7.8</v>
      </c>
      <c r="X286">
        <v>13.010999999999999</v>
      </c>
      <c r="Y286">
        <v>5.5460000000000003</v>
      </c>
      <c r="Z286">
        <v>0</v>
      </c>
      <c r="AD286">
        <v>14</v>
      </c>
      <c r="AE286" s="44">
        <f t="shared" si="14"/>
        <v>0</v>
      </c>
      <c r="AF286" s="46">
        <v>288.33429290182369</v>
      </c>
      <c r="AG286" s="44">
        <v>556.51188553357167</v>
      </c>
      <c r="AH286" s="44">
        <v>0</v>
      </c>
      <c r="AI286" s="41"/>
      <c r="AJ286" s="40">
        <v>9.7109503410799117E-2</v>
      </c>
      <c r="AK286" s="41">
        <v>0.10062678166578309</v>
      </c>
      <c r="AL286" s="41"/>
      <c r="AM286" s="23">
        <v>2</v>
      </c>
      <c r="AN286" s="23">
        <v>2.545454545454545</v>
      </c>
      <c r="AO286" s="23">
        <v>0.54545454545454541</v>
      </c>
      <c r="AP286" s="23">
        <v>0</v>
      </c>
      <c r="AQ286" s="23">
        <v>0.39285714285714279</v>
      </c>
      <c r="AR286" s="23">
        <v>0.5</v>
      </c>
      <c r="AS286" s="23">
        <v>0.1071428571428571</v>
      </c>
      <c r="AT286" s="23">
        <v>0</v>
      </c>
      <c r="AU286" s="20">
        <v>1.1000000000000001</v>
      </c>
      <c r="AV286" s="20">
        <v>3.44</v>
      </c>
      <c r="AW286" s="20">
        <v>2.34</v>
      </c>
      <c r="AX286" s="20">
        <v>2.669090909090909</v>
      </c>
      <c r="AY286">
        <v>2.669090909090909</v>
      </c>
      <c r="AZ286">
        <v>5.9831974772727277</v>
      </c>
      <c r="BA286" s="64">
        <v>0.52442413903612473</v>
      </c>
      <c r="BB286" s="64">
        <v>0.54341863036636606</v>
      </c>
      <c r="BE286">
        <v>4.8554751705399558E-2</v>
      </c>
      <c r="BF286">
        <v>5.0313390832891547E-2</v>
      </c>
      <c r="BH286">
        <v>9.8868142538291098E-2</v>
      </c>
      <c r="BI286">
        <v>4.9434071269145549E-2</v>
      </c>
      <c r="BJ286">
        <v>0.53392138470124539</v>
      </c>
    </row>
    <row r="287" spans="1:62" x14ac:dyDescent="0.3">
      <c r="A287" t="s">
        <v>44</v>
      </c>
      <c r="B287" s="12" t="s">
        <v>720</v>
      </c>
      <c r="C287" s="12"/>
      <c r="F287">
        <v>3.5</v>
      </c>
      <c r="G287" s="6" t="s">
        <v>230</v>
      </c>
      <c r="H287" s="11" t="s">
        <v>549</v>
      </c>
      <c r="I287">
        <v>-1</v>
      </c>
      <c r="K287" s="6"/>
      <c r="L287" s="20">
        <v>1</v>
      </c>
      <c r="M287">
        <v>0</v>
      </c>
      <c r="N287">
        <v>0</v>
      </c>
      <c r="T287" s="20">
        <v>15.28115725</v>
      </c>
      <c r="U287" s="20">
        <v>15.28115725</v>
      </c>
      <c r="V287" s="20">
        <v>15.28115725</v>
      </c>
      <c r="W287">
        <v>0</v>
      </c>
      <c r="Z287">
        <v>0</v>
      </c>
      <c r="AD287">
        <v>20</v>
      </c>
      <c r="AE287" s="44">
        <f t="shared" si="14"/>
        <v>0</v>
      </c>
      <c r="AF287" s="46">
        <v>229.90248606119221</v>
      </c>
      <c r="AG287" s="44">
        <v>0</v>
      </c>
      <c r="AH287" s="44">
        <v>0</v>
      </c>
      <c r="AI287" s="41"/>
      <c r="AJ287" s="40">
        <v>8.6993404650164072E-2</v>
      </c>
      <c r="AK287" s="41"/>
      <c r="AL287" s="41"/>
      <c r="AM287" s="23">
        <v>1.882352941176471</v>
      </c>
      <c r="AN287" s="23">
        <v>2.3529411764705879</v>
      </c>
      <c r="AO287" s="23">
        <v>0.47058823529411759</v>
      </c>
      <c r="AP287" s="23">
        <v>0</v>
      </c>
      <c r="AQ287" s="23">
        <v>0.4</v>
      </c>
      <c r="AR287" s="23">
        <v>0.5</v>
      </c>
      <c r="AS287" s="23">
        <v>9.9999999999999992E-2</v>
      </c>
      <c r="AT287" s="23">
        <v>0</v>
      </c>
      <c r="AU287" s="20">
        <v>0.82</v>
      </c>
      <c r="AV287" s="20">
        <v>3.44</v>
      </c>
      <c r="AW287" s="20">
        <v>2.62</v>
      </c>
      <c r="AX287" s="20">
        <v>2.5211764705882351</v>
      </c>
      <c r="AY287">
        <v>2.521176470588236</v>
      </c>
      <c r="AZ287">
        <v>5.6898745917647062</v>
      </c>
      <c r="BA287" s="64">
        <v>0.57369840599679445</v>
      </c>
      <c r="BE287">
        <v>4.3496702325082043E-2</v>
      </c>
      <c r="BH287">
        <v>8.6993404650164072E-2</v>
      </c>
      <c r="BI287">
        <v>4.3496702325082043E-2</v>
      </c>
      <c r="BJ287">
        <v>0.57369840599679445</v>
      </c>
    </row>
    <row r="288" spans="1:62" x14ac:dyDescent="0.3">
      <c r="A288" t="s">
        <v>44</v>
      </c>
      <c r="B288" s="12" t="s">
        <v>720</v>
      </c>
      <c r="C288" s="12"/>
      <c r="D288" t="s">
        <v>875</v>
      </c>
      <c r="E288" t="s">
        <v>1067</v>
      </c>
      <c r="F288">
        <v>3.06</v>
      </c>
      <c r="G288" s="6" t="s">
        <v>230</v>
      </c>
      <c r="H288" s="11" t="s">
        <v>549</v>
      </c>
      <c r="I288">
        <v>-1</v>
      </c>
      <c r="K288" s="6"/>
      <c r="L288" s="20">
        <v>1</v>
      </c>
      <c r="M288">
        <v>0</v>
      </c>
      <c r="N288">
        <v>0</v>
      </c>
      <c r="T288" s="20">
        <v>15.28115725</v>
      </c>
      <c r="U288" s="20">
        <v>15.28115725</v>
      </c>
      <c r="V288" s="20">
        <v>15.28115725</v>
      </c>
      <c r="W288">
        <v>0</v>
      </c>
      <c r="Z288">
        <v>0</v>
      </c>
      <c r="AD288">
        <v>20</v>
      </c>
      <c r="AE288" s="44">
        <f t="shared" si="14"/>
        <v>0</v>
      </c>
      <c r="AF288" s="46">
        <v>229.90248606119221</v>
      </c>
      <c r="AG288" s="44">
        <v>0</v>
      </c>
      <c r="AH288" s="44">
        <v>0</v>
      </c>
      <c r="AI288" s="41"/>
      <c r="AJ288" s="40">
        <v>8.6993404650164072E-2</v>
      </c>
      <c r="AK288" s="41"/>
      <c r="AL288" s="41"/>
      <c r="AM288" s="23">
        <v>1.882352941176471</v>
      </c>
      <c r="AN288" s="23">
        <v>2.3529411764705879</v>
      </c>
      <c r="AO288" s="23">
        <v>0.47058823529411759</v>
      </c>
      <c r="AP288" s="23">
        <v>0</v>
      </c>
      <c r="AQ288" s="23">
        <v>0.4</v>
      </c>
      <c r="AR288" s="23">
        <v>0.5</v>
      </c>
      <c r="AS288" s="23">
        <v>9.9999999999999992E-2</v>
      </c>
      <c r="AT288" s="23">
        <v>0</v>
      </c>
      <c r="AU288" s="20">
        <v>0.82</v>
      </c>
      <c r="AV288" s="20">
        <v>3.44</v>
      </c>
      <c r="AW288" s="20">
        <v>2.62</v>
      </c>
      <c r="AX288" s="20">
        <v>2.5211764705882351</v>
      </c>
      <c r="AY288">
        <v>2.521176470588236</v>
      </c>
      <c r="AZ288">
        <v>5.6898745917647062</v>
      </c>
      <c r="BA288" s="64">
        <v>0.57369840599679445</v>
      </c>
      <c r="BE288">
        <v>4.3496702325082043E-2</v>
      </c>
      <c r="BH288">
        <v>8.6993404650164072E-2</v>
      </c>
      <c r="BI288">
        <v>4.3496702325082043E-2</v>
      </c>
      <c r="BJ288">
        <v>0.57369840599679445</v>
      </c>
    </row>
    <row r="289" spans="1:62" x14ac:dyDescent="0.3">
      <c r="A289" t="s">
        <v>8</v>
      </c>
      <c r="B289" s="12" t="s">
        <v>694</v>
      </c>
      <c r="C289" s="12"/>
      <c r="F289">
        <v>3.26</v>
      </c>
      <c r="G289" t="s">
        <v>231</v>
      </c>
      <c r="H289" s="8" t="s">
        <v>530</v>
      </c>
      <c r="I289" t="s">
        <v>612</v>
      </c>
      <c r="L289" s="20">
        <v>30</v>
      </c>
      <c r="M289">
        <v>4</v>
      </c>
      <c r="N289">
        <v>0</v>
      </c>
      <c r="T289" s="20">
        <v>10.59112378</v>
      </c>
      <c r="U289" s="20">
        <v>10.784736629999999</v>
      </c>
      <c r="V289" s="20">
        <v>10.486176179999999</v>
      </c>
      <c r="W289">
        <v>3.73</v>
      </c>
      <c r="X289">
        <v>3.73</v>
      </c>
      <c r="Y289">
        <v>9.3699999999999992</v>
      </c>
      <c r="Z289">
        <v>0</v>
      </c>
      <c r="AD289">
        <v>4</v>
      </c>
      <c r="AE289" s="44">
        <f t="shared" si="14"/>
        <v>0</v>
      </c>
      <c r="AF289" s="46">
        <v>1182.741260108548</v>
      </c>
      <c r="AG289" s="44">
        <v>130.36387300000001</v>
      </c>
      <c r="AH289" s="44">
        <v>0</v>
      </c>
      <c r="AI289" s="41"/>
      <c r="AJ289" s="40">
        <v>0.1014592151701775</v>
      </c>
      <c r="AK289" s="41">
        <v>0.1227333894874388</v>
      </c>
      <c r="AL289" s="41"/>
      <c r="AM289" s="23">
        <v>2</v>
      </c>
      <c r="AN289" s="23">
        <v>2.666666666666667</v>
      </c>
      <c r="AO289" s="23">
        <v>0.66666666666666663</v>
      </c>
      <c r="AP289" s="23">
        <v>0</v>
      </c>
      <c r="AQ289" s="23">
        <v>0.375</v>
      </c>
      <c r="AR289" s="23">
        <v>0.5</v>
      </c>
      <c r="AS289" s="23">
        <v>0.125</v>
      </c>
      <c r="AT289" s="23">
        <v>0</v>
      </c>
      <c r="AU289" s="20">
        <v>1.54</v>
      </c>
      <c r="AV289" s="20">
        <v>3.44</v>
      </c>
      <c r="AW289" s="20">
        <v>1.9</v>
      </c>
      <c r="AX289" s="20">
        <v>2.8066666666666671</v>
      </c>
      <c r="AY289">
        <v>2.8066666666666662</v>
      </c>
      <c r="AZ289">
        <v>6.1769976</v>
      </c>
      <c r="BA289" s="64">
        <v>0.46900407026869628</v>
      </c>
      <c r="BB289" s="64">
        <v>0.56734579634715776</v>
      </c>
      <c r="BE289">
        <v>5.072960758508873E-2</v>
      </c>
      <c r="BF289">
        <v>6.136669474371937E-2</v>
      </c>
      <c r="BH289">
        <v>0.1120963023288082</v>
      </c>
      <c r="BI289">
        <v>5.604815116440405E-2</v>
      </c>
      <c r="BJ289">
        <v>0.51817493330792708</v>
      </c>
    </row>
    <row r="290" spans="1:62" x14ac:dyDescent="0.3">
      <c r="A290" t="s">
        <v>153</v>
      </c>
      <c r="B290" s="12" t="s">
        <v>775</v>
      </c>
      <c r="C290" s="12"/>
      <c r="F290">
        <v>3.1</v>
      </c>
      <c r="G290" t="s">
        <v>231</v>
      </c>
      <c r="H290" s="8" t="s">
        <v>578</v>
      </c>
      <c r="I290">
        <v>-1</v>
      </c>
      <c r="L290" s="20">
        <v>1</v>
      </c>
      <c r="M290">
        <v>0</v>
      </c>
      <c r="N290">
        <v>0</v>
      </c>
      <c r="T290" s="20">
        <v>3.9263319999999999</v>
      </c>
      <c r="U290" s="20">
        <v>3.9263319999999999</v>
      </c>
      <c r="V290" s="20">
        <v>10.74639</v>
      </c>
      <c r="W290">
        <v>0</v>
      </c>
      <c r="Z290">
        <v>0</v>
      </c>
      <c r="AD290">
        <v>14</v>
      </c>
      <c r="AE290" s="44">
        <f t="shared" si="14"/>
        <v>0</v>
      </c>
      <c r="AF290" s="46">
        <v>165.66723991337099</v>
      </c>
      <c r="AG290" s="44">
        <v>0</v>
      </c>
      <c r="AH290" s="44">
        <v>0</v>
      </c>
      <c r="AI290" s="41"/>
      <c r="AJ290" s="40">
        <v>8.4506749839743392E-2</v>
      </c>
      <c r="AK290" s="41"/>
      <c r="AL290" s="41"/>
      <c r="AM290" s="23">
        <v>1.7272727272727271</v>
      </c>
      <c r="AN290" s="23">
        <v>2.545454545454545</v>
      </c>
      <c r="AO290" s="23">
        <v>0.81818181818181823</v>
      </c>
      <c r="AP290" s="23">
        <v>0</v>
      </c>
      <c r="AQ290" s="23">
        <v>0.3392857142857143</v>
      </c>
      <c r="AR290" s="23">
        <v>0.5</v>
      </c>
      <c r="AS290" s="23">
        <v>0.1607142857142857</v>
      </c>
      <c r="AT290" s="23">
        <v>0</v>
      </c>
      <c r="AU290" s="20">
        <v>1.1000000000000001</v>
      </c>
      <c r="AV290" s="20">
        <v>3.44</v>
      </c>
      <c r="AW290" s="20">
        <v>2.34</v>
      </c>
      <c r="AX290" s="20">
        <v>2.78</v>
      </c>
      <c r="AY290">
        <v>2.78</v>
      </c>
      <c r="AZ290">
        <v>6.4270052227137269</v>
      </c>
      <c r="BA290" s="64">
        <v>0.41874886813759421</v>
      </c>
      <c r="BE290">
        <v>4.2253374919871717E-2</v>
      </c>
      <c r="BH290">
        <v>8.4506749839743392E-2</v>
      </c>
      <c r="BI290">
        <v>4.2253374919871717E-2</v>
      </c>
      <c r="BJ290">
        <v>0.41874886813759421</v>
      </c>
    </row>
    <row r="291" spans="1:62" x14ac:dyDescent="0.3">
      <c r="A291" t="s">
        <v>153</v>
      </c>
      <c r="B291" s="12" t="s">
        <v>775</v>
      </c>
      <c r="C291" s="12"/>
      <c r="D291" t="s">
        <v>863</v>
      </c>
      <c r="E291">
        <v>0.8</v>
      </c>
      <c r="F291">
        <v>3.1</v>
      </c>
      <c r="G291" t="s">
        <v>231</v>
      </c>
      <c r="H291" s="8" t="s">
        <v>578</v>
      </c>
      <c r="I291">
        <v>-1</v>
      </c>
      <c r="L291" s="20">
        <v>1</v>
      </c>
      <c r="M291">
        <v>0</v>
      </c>
      <c r="N291">
        <v>0</v>
      </c>
      <c r="T291" s="20">
        <v>3.9263319999999999</v>
      </c>
      <c r="U291" s="20">
        <v>3.9263319999999999</v>
      </c>
      <c r="V291" s="20">
        <v>10.74639</v>
      </c>
      <c r="W291">
        <v>0</v>
      </c>
      <c r="Z291">
        <v>0</v>
      </c>
      <c r="AD291">
        <v>14</v>
      </c>
      <c r="AE291" s="44">
        <f t="shared" si="14"/>
        <v>0</v>
      </c>
      <c r="AF291" s="46">
        <v>165.66723991337099</v>
      </c>
      <c r="AG291" s="44">
        <v>0</v>
      </c>
      <c r="AH291" s="44">
        <v>0</v>
      </c>
      <c r="AI291" s="41"/>
      <c r="AJ291" s="40">
        <v>8.4506749839743392E-2</v>
      </c>
      <c r="AK291" s="41"/>
      <c r="AL291" s="41"/>
      <c r="AM291" s="23">
        <v>1.7272727272727271</v>
      </c>
      <c r="AN291" s="23">
        <v>2.545454545454545</v>
      </c>
      <c r="AO291" s="23">
        <v>0.81818181818181823</v>
      </c>
      <c r="AP291" s="23">
        <v>0</v>
      </c>
      <c r="AQ291" s="23">
        <v>0.3392857142857143</v>
      </c>
      <c r="AR291" s="23">
        <v>0.5</v>
      </c>
      <c r="AS291" s="23">
        <v>0.1607142857142857</v>
      </c>
      <c r="AT291" s="23">
        <v>0</v>
      </c>
      <c r="AU291" s="20">
        <v>1.1000000000000001</v>
      </c>
      <c r="AV291" s="20">
        <v>3.44</v>
      </c>
      <c r="AW291" s="20">
        <v>2.34</v>
      </c>
      <c r="AX291" s="20">
        <v>2.78</v>
      </c>
      <c r="AY291">
        <v>2.78</v>
      </c>
      <c r="AZ291">
        <v>6.4270052227137269</v>
      </c>
      <c r="BA291" s="64">
        <v>0.41874886813759421</v>
      </c>
      <c r="BE291">
        <v>4.2253374919871717E-2</v>
      </c>
      <c r="BH291">
        <v>8.4506749839743392E-2</v>
      </c>
      <c r="BI291">
        <v>4.2253374919871717E-2</v>
      </c>
      <c r="BJ291">
        <v>0.41874886813759421</v>
      </c>
    </row>
    <row r="292" spans="1:62" x14ac:dyDescent="0.3">
      <c r="A292" t="s">
        <v>153</v>
      </c>
      <c r="B292" s="12" t="s">
        <v>775</v>
      </c>
      <c r="C292" s="12"/>
      <c r="D292" t="s">
        <v>8</v>
      </c>
      <c r="E292">
        <v>4.3</v>
      </c>
      <c r="F292">
        <v>3.1</v>
      </c>
      <c r="G292" t="s">
        <v>231</v>
      </c>
      <c r="H292" s="8" t="s">
        <v>578</v>
      </c>
      <c r="I292">
        <v>-1</v>
      </c>
      <c r="L292" s="20">
        <v>1</v>
      </c>
      <c r="M292">
        <v>0</v>
      </c>
      <c r="N292">
        <v>0</v>
      </c>
      <c r="T292" s="20">
        <v>3.9263319999999999</v>
      </c>
      <c r="U292" s="20">
        <v>3.9263319999999999</v>
      </c>
      <c r="V292" s="20">
        <v>10.74639</v>
      </c>
      <c r="W292">
        <v>0</v>
      </c>
      <c r="Z292">
        <v>0</v>
      </c>
      <c r="AD292">
        <v>14</v>
      </c>
      <c r="AE292" s="44">
        <f t="shared" si="14"/>
        <v>0</v>
      </c>
      <c r="AF292" s="46">
        <v>165.66723991337099</v>
      </c>
      <c r="AG292" s="44">
        <v>0</v>
      </c>
      <c r="AH292" s="44">
        <v>0</v>
      </c>
      <c r="AI292" s="41"/>
      <c r="AJ292" s="40">
        <v>8.4506749839743392E-2</v>
      </c>
      <c r="AK292" s="41"/>
      <c r="AL292" s="41"/>
      <c r="AM292" s="23">
        <v>1.7272727272727271</v>
      </c>
      <c r="AN292" s="23">
        <v>2.545454545454545</v>
      </c>
      <c r="AO292" s="23">
        <v>0.81818181818181823</v>
      </c>
      <c r="AP292" s="23">
        <v>0</v>
      </c>
      <c r="AQ292" s="23">
        <v>0.3392857142857143</v>
      </c>
      <c r="AR292" s="23">
        <v>0.5</v>
      </c>
      <c r="AS292" s="23">
        <v>0.1607142857142857</v>
      </c>
      <c r="AT292" s="23">
        <v>0</v>
      </c>
      <c r="AU292" s="20">
        <v>1.1000000000000001</v>
      </c>
      <c r="AV292" s="20">
        <v>3.44</v>
      </c>
      <c r="AW292" s="20">
        <v>2.34</v>
      </c>
      <c r="AX292" s="20">
        <v>2.78</v>
      </c>
      <c r="AY292">
        <v>2.78</v>
      </c>
      <c r="AZ292">
        <v>6.4270052227137269</v>
      </c>
      <c r="BA292" s="64">
        <v>0.41874886813759421</v>
      </c>
      <c r="BE292">
        <v>4.2253374919871717E-2</v>
      </c>
      <c r="BH292">
        <v>8.4506749839743392E-2</v>
      </c>
      <c r="BI292">
        <v>4.2253374919871717E-2</v>
      </c>
      <c r="BJ292">
        <v>0.41874886813759421</v>
      </c>
    </row>
    <row r="293" spans="1:62" x14ac:dyDescent="0.3">
      <c r="A293" t="s">
        <v>63</v>
      </c>
      <c r="B293" s="12" t="s">
        <v>773</v>
      </c>
      <c r="C293" s="12"/>
      <c r="F293">
        <v>3.66</v>
      </c>
      <c r="G293" t="s">
        <v>233</v>
      </c>
      <c r="H293" s="8">
        <v>-1</v>
      </c>
      <c r="I293">
        <v>-1</v>
      </c>
      <c r="K293">
        <v>1</v>
      </c>
      <c r="L293" s="20">
        <v>0</v>
      </c>
      <c r="M293">
        <v>0</v>
      </c>
      <c r="N293">
        <v>0</v>
      </c>
      <c r="O293">
        <v>3.85</v>
      </c>
      <c r="P293">
        <v>3.85</v>
      </c>
      <c r="Q293">
        <v>14.379</v>
      </c>
      <c r="T293" s="20">
        <v>0</v>
      </c>
      <c r="U293" s="20"/>
      <c r="V293" s="20"/>
      <c r="W293">
        <v>0</v>
      </c>
      <c r="Z293">
        <v>0</v>
      </c>
      <c r="AD293">
        <v>20</v>
      </c>
      <c r="AE293" s="44">
        <f t="shared" si="14"/>
        <v>213.13272750000002</v>
      </c>
      <c r="AF293" s="46">
        <v>0</v>
      </c>
      <c r="AG293" s="44">
        <v>0</v>
      </c>
      <c r="AH293" s="44">
        <v>0</v>
      </c>
      <c r="AI293" s="41">
        <f t="shared" ref="AI293:AI296" si="16">K293*AD293/AE293</f>
        <v>9.3838239835784945E-2</v>
      </c>
      <c r="AJ293" s="40"/>
      <c r="AK293" s="41"/>
      <c r="AL293" s="41"/>
      <c r="AM293" s="23">
        <v>1.75</v>
      </c>
      <c r="AN293" s="23">
        <v>2.5</v>
      </c>
      <c r="AO293" s="23">
        <v>0.75</v>
      </c>
      <c r="AP293" s="23">
        <v>0</v>
      </c>
      <c r="AQ293" s="23">
        <v>0.35</v>
      </c>
      <c r="AR293" s="23">
        <v>0.5</v>
      </c>
      <c r="AS293" s="23">
        <v>0.15</v>
      </c>
      <c r="AT293" s="23">
        <v>0</v>
      </c>
      <c r="AU293" s="20">
        <v>1</v>
      </c>
      <c r="AV293" s="20">
        <v>3.44</v>
      </c>
      <c r="AW293" s="20">
        <v>2.44</v>
      </c>
      <c r="AX293" s="20">
        <v>2.7124999999999999</v>
      </c>
      <c r="AY293">
        <v>2.7124999999999999</v>
      </c>
      <c r="AZ293">
        <v>6.264025610615688</v>
      </c>
      <c r="BD293">
        <v>4.6919119917892473E-2</v>
      </c>
      <c r="BH293">
        <v>9.3838239835784945E-2</v>
      </c>
      <c r="BI293">
        <v>4.6919119917892473E-2</v>
      </c>
      <c r="BJ293">
        <v>0</v>
      </c>
    </row>
    <row r="294" spans="1:62" x14ac:dyDescent="0.3">
      <c r="A294" t="s">
        <v>232</v>
      </c>
      <c r="B294" s="12" t="s">
        <v>809</v>
      </c>
      <c r="C294" s="12"/>
      <c r="F294">
        <v>3.65</v>
      </c>
      <c r="G294" t="s">
        <v>233</v>
      </c>
      <c r="H294" s="8">
        <v>-1</v>
      </c>
      <c r="I294">
        <v>-1</v>
      </c>
      <c r="K294">
        <v>1</v>
      </c>
      <c r="L294" s="20">
        <v>0</v>
      </c>
      <c r="M294">
        <v>0</v>
      </c>
      <c r="N294">
        <v>0</v>
      </c>
      <c r="O294" s="1">
        <v>3.85</v>
      </c>
      <c r="P294" s="1">
        <v>3.85</v>
      </c>
      <c r="Q294" s="1">
        <v>14.379</v>
      </c>
      <c r="T294" s="20">
        <v>0</v>
      </c>
      <c r="U294" s="20"/>
      <c r="V294" s="20"/>
      <c r="W294">
        <v>0</v>
      </c>
      <c r="Z294">
        <v>0</v>
      </c>
      <c r="AD294">
        <v>20</v>
      </c>
      <c r="AE294" s="44">
        <f t="shared" si="14"/>
        <v>213.13272750000002</v>
      </c>
      <c r="AF294" s="46">
        <v>0</v>
      </c>
      <c r="AG294" s="44">
        <v>0</v>
      </c>
      <c r="AH294" s="44">
        <v>0</v>
      </c>
      <c r="AI294" s="41">
        <f t="shared" si="16"/>
        <v>9.3838239835784945E-2</v>
      </c>
      <c r="AJ294" s="40"/>
      <c r="AK294" s="41"/>
      <c r="AL294" s="41"/>
      <c r="AM294" s="23">
        <v>1.8125</v>
      </c>
      <c r="AN294" s="23">
        <v>2.5</v>
      </c>
      <c r="AO294" s="23">
        <v>0.6875</v>
      </c>
      <c r="AP294" s="23">
        <v>0.875</v>
      </c>
      <c r="AQ294" s="23">
        <v>0.30851063829787229</v>
      </c>
      <c r="AR294" s="23">
        <v>0.42553191489361702</v>
      </c>
      <c r="AS294" s="23">
        <v>0.1170212765957447</v>
      </c>
      <c r="AT294" s="23">
        <v>0.14893617021276601</v>
      </c>
      <c r="AU294" s="20">
        <v>1</v>
      </c>
      <c r="AV294" s="20">
        <v>3.44</v>
      </c>
      <c r="AW294" s="20">
        <v>2.44</v>
      </c>
      <c r="AX294" s="20">
        <v>2.7062499999999998</v>
      </c>
      <c r="AY294">
        <v>2.7062499999999998</v>
      </c>
      <c r="AZ294">
        <v>6.2701641731156874</v>
      </c>
      <c r="BD294">
        <v>4.6919119917892473E-2</v>
      </c>
      <c r="BH294">
        <v>9.3838239835784945E-2</v>
      </c>
      <c r="BI294">
        <v>4.6919119917892473E-2</v>
      </c>
      <c r="BJ294">
        <v>0</v>
      </c>
    </row>
    <row r="295" spans="1:62" x14ac:dyDescent="0.3">
      <c r="A295" t="s">
        <v>63</v>
      </c>
      <c r="B295" s="12" t="s">
        <v>773</v>
      </c>
      <c r="C295" s="12"/>
      <c r="D295" t="s">
        <v>887</v>
      </c>
      <c r="E295" t="s">
        <v>1067</v>
      </c>
      <c r="F295">
        <v>3.54</v>
      </c>
      <c r="G295" t="s">
        <v>233</v>
      </c>
      <c r="H295" s="8">
        <v>-1</v>
      </c>
      <c r="I295">
        <v>-1</v>
      </c>
      <c r="K295">
        <v>1</v>
      </c>
      <c r="L295" s="20">
        <v>0</v>
      </c>
      <c r="M295">
        <v>0</v>
      </c>
      <c r="N295">
        <v>0</v>
      </c>
      <c r="O295" s="1">
        <v>3.85</v>
      </c>
      <c r="P295" s="1">
        <v>3.85</v>
      </c>
      <c r="Q295" s="1">
        <v>14.379</v>
      </c>
      <c r="T295" s="20">
        <v>0</v>
      </c>
      <c r="U295" s="20"/>
      <c r="V295" s="20"/>
      <c r="W295">
        <v>0</v>
      </c>
      <c r="Z295">
        <v>0</v>
      </c>
      <c r="AD295">
        <v>20</v>
      </c>
      <c r="AE295" s="44">
        <f t="shared" si="14"/>
        <v>213.13272750000002</v>
      </c>
      <c r="AF295" s="46">
        <v>0</v>
      </c>
      <c r="AG295" s="44">
        <v>0</v>
      </c>
      <c r="AH295" s="44">
        <v>0</v>
      </c>
      <c r="AI295" s="41">
        <f t="shared" si="16"/>
        <v>9.3838239835784945E-2</v>
      </c>
      <c r="AJ295" s="40"/>
      <c r="AK295" s="41"/>
      <c r="AL295" s="41"/>
      <c r="AM295" s="23">
        <v>1.75</v>
      </c>
      <c r="AN295" s="23">
        <v>2.5</v>
      </c>
      <c r="AO295" s="23">
        <v>0.75</v>
      </c>
      <c r="AP295" s="23">
        <v>0</v>
      </c>
      <c r="AQ295" s="23">
        <v>0.35</v>
      </c>
      <c r="AR295" s="23">
        <v>0.5</v>
      </c>
      <c r="AS295" s="23">
        <v>0.15</v>
      </c>
      <c r="AT295" s="23">
        <v>0</v>
      </c>
      <c r="AU295" s="20">
        <v>1</v>
      </c>
      <c r="AV295" s="20">
        <v>3.44</v>
      </c>
      <c r="AW295" s="20">
        <v>2.44</v>
      </c>
      <c r="AX295" s="20">
        <v>2.7124999999999999</v>
      </c>
      <c r="AY295">
        <v>2.7124999999999999</v>
      </c>
      <c r="AZ295">
        <v>6.264025610615688</v>
      </c>
      <c r="BD295">
        <v>4.6919119917892473E-2</v>
      </c>
      <c r="BH295">
        <v>9.3838239835784945E-2</v>
      </c>
      <c r="BI295">
        <v>4.6919119917892473E-2</v>
      </c>
      <c r="BJ295">
        <v>0</v>
      </c>
    </row>
    <row r="296" spans="1:62" x14ac:dyDescent="0.3">
      <c r="A296" t="s">
        <v>232</v>
      </c>
      <c r="B296" s="12" t="s">
        <v>809</v>
      </c>
      <c r="C296" s="12"/>
      <c r="D296" t="s">
        <v>887</v>
      </c>
      <c r="E296" t="s">
        <v>1067</v>
      </c>
      <c r="F296">
        <v>3.54</v>
      </c>
      <c r="G296" t="s">
        <v>233</v>
      </c>
      <c r="H296" s="8">
        <v>-1</v>
      </c>
      <c r="I296">
        <v>-1</v>
      </c>
      <c r="K296">
        <v>1</v>
      </c>
      <c r="L296" s="20">
        <v>0</v>
      </c>
      <c r="M296">
        <v>0</v>
      </c>
      <c r="N296">
        <v>0</v>
      </c>
      <c r="O296" s="1">
        <v>3.85</v>
      </c>
      <c r="P296" s="1">
        <v>3.85</v>
      </c>
      <c r="Q296" s="1">
        <v>14.379</v>
      </c>
      <c r="T296" s="20">
        <v>0</v>
      </c>
      <c r="U296" s="20"/>
      <c r="V296" s="20"/>
      <c r="W296">
        <v>0</v>
      </c>
      <c r="Z296">
        <v>0</v>
      </c>
      <c r="AD296">
        <v>20</v>
      </c>
      <c r="AE296" s="44">
        <f t="shared" si="14"/>
        <v>213.13272750000002</v>
      </c>
      <c r="AF296" s="46">
        <v>0</v>
      </c>
      <c r="AG296" s="44">
        <v>0</v>
      </c>
      <c r="AH296" s="44">
        <v>0</v>
      </c>
      <c r="AI296" s="41">
        <f t="shared" si="16"/>
        <v>9.3838239835784945E-2</v>
      </c>
      <c r="AJ296" s="40"/>
      <c r="AK296" s="41"/>
      <c r="AL296" s="41"/>
      <c r="AM296" s="23">
        <v>1.8125</v>
      </c>
      <c r="AN296" s="23">
        <v>2.5</v>
      </c>
      <c r="AO296" s="23">
        <v>0.6875</v>
      </c>
      <c r="AP296" s="23">
        <v>0.875</v>
      </c>
      <c r="AQ296" s="23">
        <v>0.30851063829787229</v>
      </c>
      <c r="AR296" s="23">
        <v>0.42553191489361702</v>
      </c>
      <c r="AS296" s="23">
        <v>0.1170212765957447</v>
      </c>
      <c r="AT296" s="23">
        <v>0.14893617021276601</v>
      </c>
      <c r="AU296" s="20">
        <v>1</v>
      </c>
      <c r="AV296" s="20">
        <v>3.44</v>
      </c>
      <c r="AW296" s="20">
        <v>2.44</v>
      </c>
      <c r="AX296" s="20">
        <v>2.7062499999999998</v>
      </c>
      <c r="AY296">
        <v>2.7062499999999998</v>
      </c>
      <c r="AZ296">
        <v>6.2701641731156874</v>
      </c>
      <c r="BD296">
        <v>4.6919119917892473E-2</v>
      </c>
      <c r="BH296">
        <v>9.3838239835784945E-2</v>
      </c>
      <c r="BI296">
        <v>4.6919119917892473E-2</v>
      </c>
      <c r="BJ296">
        <v>0</v>
      </c>
    </row>
    <row r="297" spans="1:62" x14ac:dyDescent="0.3">
      <c r="A297" t="s">
        <v>46</v>
      </c>
      <c r="B297" s="12" t="s">
        <v>722</v>
      </c>
      <c r="C297" s="12"/>
      <c r="F297">
        <v>3.87</v>
      </c>
      <c r="G297" t="s">
        <v>234</v>
      </c>
      <c r="H297" s="8" t="s">
        <v>551</v>
      </c>
      <c r="I297" t="s">
        <v>629</v>
      </c>
      <c r="L297" s="20">
        <v>2</v>
      </c>
      <c r="M297">
        <v>4</v>
      </c>
      <c r="N297">
        <v>0</v>
      </c>
      <c r="T297" s="20">
        <v>7.41544296</v>
      </c>
      <c r="U297" s="20">
        <v>7.4154429599999991</v>
      </c>
      <c r="V297" s="20">
        <v>7.41544296</v>
      </c>
      <c r="W297">
        <v>7.8</v>
      </c>
      <c r="X297">
        <v>13.010999999999999</v>
      </c>
      <c r="Y297">
        <v>5.5460000000000003</v>
      </c>
      <c r="Z297">
        <v>0</v>
      </c>
      <c r="AD297">
        <v>14</v>
      </c>
      <c r="AE297" s="44">
        <f t="shared" si="14"/>
        <v>0</v>
      </c>
      <c r="AF297" s="46">
        <v>288.33429290182369</v>
      </c>
      <c r="AG297" s="44">
        <v>556.51188553357167</v>
      </c>
      <c r="AH297" s="44">
        <v>0</v>
      </c>
      <c r="AI297" s="41"/>
      <c r="AJ297" s="40">
        <v>9.7109503410799117E-2</v>
      </c>
      <c r="AK297" s="41">
        <v>0.10062678166578309</v>
      </c>
      <c r="AL297" s="41"/>
      <c r="AM297" s="23">
        <v>2</v>
      </c>
      <c r="AN297" s="23">
        <v>2.545454545454545</v>
      </c>
      <c r="AO297" s="23">
        <v>0.54545454545454541</v>
      </c>
      <c r="AP297" s="23">
        <v>0</v>
      </c>
      <c r="AQ297" s="23">
        <v>0.39285714285714279</v>
      </c>
      <c r="AR297" s="23">
        <v>0.5</v>
      </c>
      <c r="AS297" s="23">
        <v>0.1071428571428571</v>
      </c>
      <c r="AT297" s="23">
        <v>0</v>
      </c>
      <c r="AU297" s="20">
        <v>1.1000000000000001</v>
      </c>
      <c r="AV297" s="20">
        <v>3.44</v>
      </c>
      <c r="AW297" s="20">
        <v>2.34</v>
      </c>
      <c r="AX297" s="20">
        <v>2.669090909090909</v>
      </c>
      <c r="AY297">
        <v>2.669090909090909</v>
      </c>
      <c r="AZ297">
        <v>5.9831974772727277</v>
      </c>
      <c r="BA297" s="64">
        <v>0.52442413903612473</v>
      </c>
      <c r="BB297" s="64">
        <v>0.54341863036636606</v>
      </c>
      <c r="BE297">
        <v>4.8554751705399558E-2</v>
      </c>
      <c r="BF297">
        <v>5.0313390832891547E-2</v>
      </c>
      <c r="BH297">
        <v>9.8868142538291098E-2</v>
      </c>
      <c r="BI297">
        <v>4.9434071269145549E-2</v>
      </c>
      <c r="BJ297">
        <v>0.53392138470124539</v>
      </c>
    </row>
    <row r="298" spans="1:62" x14ac:dyDescent="0.3">
      <c r="A298" s="4" t="s">
        <v>19</v>
      </c>
      <c r="B298" s="28" t="s">
        <v>705</v>
      </c>
      <c r="C298" s="29"/>
      <c r="D298" s="4"/>
      <c r="E298" s="4"/>
      <c r="F298" s="4">
        <v>3.53</v>
      </c>
      <c r="G298" s="4" t="s">
        <v>235</v>
      </c>
      <c r="H298" s="30">
        <v>-2</v>
      </c>
      <c r="I298" s="4" t="s">
        <v>1167</v>
      </c>
      <c r="J298" s="4"/>
      <c r="K298" s="4"/>
      <c r="L298" s="31">
        <v>0</v>
      </c>
      <c r="M298">
        <v>0</v>
      </c>
      <c r="N298">
        <v>4</v>
      </c>
      <c r="O298" s="4"/>
      <c r="P298" s="4"/>
      <c r="Q298" s="4"/>
      <c r="R298" s="4" t="s">
        <v>450</v>
      </c>
      <c r="S298" s="4"/>
      <c r="T298" s="31">
        <v>0</v>
      </c>
      <c r="U298" s="31"/>
      <c r="V298" s="31"/>
      <c r="W298">
        <v>0</v>
      </c>
      <c r="Z298">
        <v>24.8627</v>
      </c>
      <c r="AA298">
        <v>5.4355000000000002</v>
      </c>
      <c r="AB298">
        <v>5.4478</v>
      </c>
      <c r="AC298" s="4"/>
      <c r="AD298" s="4">
        <v>18</v>
      </c>
      <c r="AE298" s="44">
        <f t="shared" si="14"/>
        <v>0</v>
      </c>
      <c r="AF298" s="46">
        <v>0</v>
      </c>
      <c r="AG298" s="44">
        <v>0</v>
      </c>
      <c r="AH298" s="44">
        <f t="shared" ref="AH298:AH303" si="17">Z298*AA298*AB298</f>
        <v>736.22226122963002</v>
      </c>
      <c r="AI298" s="41"/>
      <c r="AJ298" s="40"/>
      <c r="AK298" s="41"/>
      <c r="AL298" s="56">
        <f t="shared" ref="AL298:AL303" si="18">N298*AD298/AH298</f>
        <v>9.7796553828386576E-2</v>
      </c>
      <c r="AM298" s="4">
        <v>1.8666666666666669</v>
      </c>
      <c r="AN298" s="4">
        <v>2.8</v>
      </c>
      <c r="AO298" s="4">
        <v>1.8666666666666669</v>
      </c>
      <c r="AP298" s="4">
        <v>1.8666666666666669</v>
      </c>
      <c r="AQ298" s="4">
        <v>0.22222222222222221</v>
      </c>
      <c r="AR298" s="4">
        <v>0.33333333333333331</v>
      </c>
      <c r="AS298" s="4">
        <v>0.22222222222222221</v>
      </c>
      <c r="AT298" s="4">
        <v>0.22222222222222221</v>
      </c>
      <c r="AU298" s="31">
        <v>1</v>
      </c>
      <c r="AV298" s="31">
        <v>3.44</v>
      </c>
      <c r="AW298" s="31">
        <v>2.44</v>
      </c>
      <c r="AX298" s="31">
        <v>2.68</v>
      </c>
      <c r="AY298" s="4">
        <v>2.68</v>
      </c>
      <c r="AZ298" s="4">
        <v>5.9932041966666656</v>
      </c>
      <c r="BG298">
        <v>4.8898276914193288E-2</v>
      </c>
      <c r="BH298">
        <v>9.7796553828386576E-2</v>
      </c>
      <c r="BI298">
        <v>4.8898276914193288E-2</v>
      </c>
      <c r="BJ298">
        <v>0</v>
      </c>
    </row>
    <row r="299" spans="1:62" x14ac:dyDescent="0.3">
      <c r="A299" s="4" t="s">
        <v>20</v>
      </c>
      <c r="B299" s="28" t="s">
        <v>706</v>
      </c>
      <c r="C299" s="29"/>
      <c r="D299" s="4"/>
      <c r="E299" s="4"/>
      <c r="F299" s="4">
        <v>3.42</v>
      </c>
      <c r="G299" s="4" t="s">
        <v>235</v>
      </c>
      <c r="H299" s="30">
        <v>-2</v>
      </c>
      <c r="I299" s="4" t="s">
        <v>1168</v>
      </c>
      <c r="J299" s="4"/>
      <c r="K299" s="4"/>
      <c r="L299" s="31">
        <v>0</v>
      </c>
      <c r="M299">
        <v>0</v>
      </c>
      <c r="N299">
        <v>4</v>
      </c>
      <c r="O299" s="4"/>
      <c r="P299" s="4"/>
      <c r="Q299" s="4"/>
      <c r="R299" s="4" t="s">
        <v>450</v>
      </c>
      <c r="S299" s="4"/>
      <c r="T299" s="31">
        <v>0</v>
      </c>
      <c r="U299" s="31"/>
      <c r="V299" s="31"/>
      <c r="W299">
        <v>0</v>
      </c>
      <c r="Z299">
        <v>24.556999999999999</v>
      </c>
      <c r="AA299">
        <v>5.5289999999999999</v>
      </c>
      <c r="AB299">
        <v>5.5289999999999999</v>
      </c>
      <c r="AC299" s="4"/>
      <c r="AD299" s="4">
        <v>18</v>
      </c>
      <c r="AE299" s="44">
        <f t="shared" si="14"/>
        <v>0</v>
      </c>
      <c r="AF299" s="46">
        <v>0</v>
      </c>
      <c r="AG299" s="44">
        <v>0</v>
      </c>
      <c r="AH299" s="44">
        <f t="shared" si="17"/>
        <v>750.7035854369999</v>
      </c>
      <c r="AI299" s="41"/>
      <c r="AJ299" s="40"/>
      <c r="AK299" s="41"/>
      <c r="AL299" s="56">
        <f t="shared" si="18"/>
        <v>9.5910025470422294E-2</v>
      </c>
      <c r="AM299" s="4">
        <v>1.8666666666666669</v>
      </c>
      <c r="AN299" s="4">
        <v>2.8</v>
      </c>
      <c r="AO299" s="4">
        <v>1.8666666666666669</v>
      </c>
      <c r="AP299" s="4">
        <v>1.8666666666666669</v>
      </c>
      <c r="AQ299" s="4">
        <v>0.22222222222222221</v>
      </c>
      <c r="AR299" s="4">
        <v>0.33333333333333331</v>
      </c>
      <c r="AS299" s="4">
        <v>0.22222222222222221</v>
      </c>
      <c r="AT299" s="4">
        <v>0.22222222222222221</v>
      </c>
      <c r="AU299" s="31">
        <v>0.95</v>
      </c>
      <c r="AV299" s="31">
        <v>3.44</v>
      </c>
      <c r="AW299" s="31">
        <v>2.4900000000000002</v>
      </c>
      <c r="AX299" s="31">
        <v>2.6733333333333329</v>
      </c>
      <c r="AY299" s="4">
        <v>2.6733333333333329</v>
      </c>
      <c r="AZ299" s="4">
        <v>5.9671526619999993</v>
      </c>
      <c r="BG299">
        <v>4.7955012735211147E-2</v>
      </c>
      <c r="BH299">
        <v>9.5910025470422294E-2</v>
      </c>
      <c r="BI299">
        <v>4.7955012735211147E-2</v>
      </c>
      <c r="BJ299">
        <v>0</v>
      </c>
    </row>
    <row r="300" spans="1:62" x14ac:dyDescent="0.3">
      <c r="A300" s="4" t="s">
        <v>21</v>
      </c>
      <c r="B300" s="28" t="s">
        <v>707</v>
      </c>
      <c r="C300" s="29"/>
      <c r="D300" s="4"/>
      <c r="E300" s="4"/>
      <c r="F300" s="4">
        <v>2.82</v>
      </c>
      <c r="G300" s="4" t="s">
        <v>235</v>
      </c>
      <c r="H300" s="30">
        <v>-2</v>
      </c>
      <c r="I300" s="4" t="s">
        <v>1169</v>
      </c>
      <c r="J300" s="4"/>
      <c r="K300" s="4"/>
      <c r="L300" s="31">
        <v>0</v>
      </c>
      <c r="M300">
        <v>0</v>
      </c>
      <c r="N300">
        <v>4</v>
      </c>
      <c r="O300" s="4"/>
      <c r="P300" s="4"/>
      <c r="Q300" s="4"/>
      <c r="R300" s="4" t="s">
        <v>440</v>
      </c>
      <c r="S300" s="4"/>
      <c r="T300" s="31">
        <v>0</v>
      </c>
      <c r="U300" s="31"/>
      <c r="V300" s="31"/>
      <c r="W300">
        <v>0</v>
      </c>
      <c r="Z300">
        <v>25.574999999999999</v>
      </c>
      <c r="AA300">
        <v>5.5629999999999997</v>
      </c>
      <c r="AB300">
        <v>5.5629999999999997</v>
      </c>
      <c r="AC300" s="4"/>
      <c r="AD300" s="4">
        <v>18</v>
      </c>
      <c r="AE300" s="44">
        <f t="shared" si="14"/>
        <v>0</v>
      </c>
      <c r="AF300" s="46">
        <v>0</v>
      </c>
      <c r="AG300" s="44">
        <v>0</v>
      </c>
      <c r="AH300" s="44">
        <f t="shared" si="17"/>
        <v>791.4687321749999</v>
      </c>
      <c r="AI300" s="41"/>
      <c r="AJ300" s="40"/>
      <c r="AK300" s="41"/>
      <c r="AL300" s="56">
        <f t="shared" si="18"/>
        <v>9.0970112997565952E-2</v>
      </c>
      <c r="AM300" s="4">
        <v>1.8666666666666669</v>
      </c>
      <c r="AN300" s="4">
        <v>2.8</v>
      </c>
      <c r="AO300" s="4">
        <v>1.8666666666666669</v>
      </c>
      <c r="AP300" s="4">
        <v>1.8666666666666669</v>
      </c>
      <c r="AQ300" s="4">
        <v>0.22222222222222221</v>
      </c>
      <c r="AR300" s="4">
        <v>0.33333333333333331</v>
      </c>
      <c r="AS300" s="4">
        <v>0.22222222222222221</v>
      </c>
      <c r="AT300" s="4">
        <v>0.22222222222222221</v>
      </c>
      <c r="AU300" s="31">
        <v>0.89</v>
      </c>
      <c r="AV300" s="31">
        <v>3.44</v>
      </c>
      <c r="AW300" s="31">
        <v>2.5499999999999998</v>
      </c>
      <c r="AX300" s="31">
        <v>2.6653333333333342</v>
      </c>
      <c r="AY300" s="4">
        <v>2.6653333333333329</v>
      </c>
      <c r="AZ300" s="4">
        <v>5.9411098053333333</v>
      </c>
      <c r="BG300">
        <v>4.5485056498782983E-2</v>
      </c>
      <c r="BH300">
        <v>9.0970112997565952E-2</v>
      </c>
      <c r="BI300">
        <v>4.5485056498782983E-2</v>
      </c>
      <c r="BJ300">
        <v>0</v>
      </c>
    </row>
    <row r="301" spans="1:62" x14ac:dyDescent="0.3">
      <c r="A301" t="s">
        <v>19</v>
      </c>
      <c r="B301" s="27" t="s">
        <v>705</v>
      </c>
      <c r="C301" s="12"/>
      <c r="F301">
        <v>3.51</v>
      </c>
      <c r="G301" t="s">
        <v>235</v>
      </c>
      <c r="H301" s="8">
        <v>-1</v>
      </c>
      <c r="I301" t="s">
        <v>1167</v>
      </c>
      <c r="L301" s="20">
        <v>0</v>
      </c>
      <c r="M301">
        <v>0</v>
      </c>
      <c r="N301">
        <v>4</v>
      </c>
      <c r="R301" t="s">
        <v>450</v>
      </c>
      <c r="T301" s="20">
        <v>0</v>
      </c>
      <c r="U301" s="20"/>
      <c r="V301" s="20"/>
      <c r="W301">
        <v>0</v>
      </c>
      <c r="Z301">
        <v>24.8627</v>
      </c>
      <c r="AA301">
        <v>5.4355000000000002</v>
      </c>
      <c r="AB301">
        <v>5.4478</v>
      </c>
      <c r="AD301">
        <v>18</v>
      </c>
      <c r="AE301" s="44">
        <f t="shared" si="14"/>
        <v>0</v>
      </c>
      <c r="AF301" s="46">
        <v>0</v>
      </c>
      <c r="AG301" s="44">
        <v>0</v>
      </c>
      <c r="AH301" s="44">
        <f t="shared" si="17"/>
        <v>736.22226122963002</v>
      </c>
      <c r="AI301" s="41"/>
      <c r="AJ301" s="40"/>
      <c r="AK301" s="41"/>
      <c r="AL301" s="56">
        <f t="shared" si="18"/>
        <v>9.7796553828386576E-2</v>
      </c>
      <c r="AM301" s="23">
        <v>1.8666666666666669</v>
      </c>
      <c r="AN301" s="23">
        <v>2.8</v>
      </c>
      <c r="AO301" s="23">
        <v>1.8666666666666669</v>
      </c>
      <c r="AP301" s="23">
        <v>1.8666666666666669</v>
      </c>
      <c r="AQ301" s="23">
        <v>0.22222222222222221</v>
      </c>
      <c r="AR301" s="23">
        <v>0.33333333333333331</v>
      </c>
      <c r="AS301" s="23">
        <v>0.22222222222222221</v>
      </c>
      <c r="AT301" s="23">
        <v>0.22222222222222221</v>
      </c>
      <c r="AU301" s="20">
        <v>1</v>
      </c>
      <c r="AV301" s="20">
        <v>3.44</v>
      </c>
      <c r="AW301" s="20">
        <v>2.44</v>
      </c>
      <c r="AX301" s="20">
        <v>2.68</v>
      </c>
      <c r="AY301">
        <v>2.68</v>
      </c>
      <c r="AZ301">
        <v>5.9932041966666656</v>
      </c>
      <c r="BG301">
        <v>4.8898276914193288E-2</v>
      </c>
      <c r="BH301">
        <v>9.7796553828386576E-2</v>
      </c>
      <c r="BI301">
        <v>4.8898276914193288E-2</v>
      </c>
      <c r="BJ301">
        <v>0</v>
      </c>
    </row>
    <row r="302" spans="1:62" x14ac:dyDescent="0.3">
      <c r="A302" t="s">
        <v>20</v>
      </c>
      <c r="B302" s="27" t="s">
        <v>706</v>
      </c>
      <c r="C302" s="12"/>
      <c r="F302">
        <v>3.48</v>
      </c>
      <c r="G302" t="s">
        <v>235</v>
      </c>
      <c r="H302" s="8">
        <v>-1</v>
      </c>
      <c r="I302" t="s">
        <v>1168</v>
      </c>
      <c r="L302" s="20">
        <v>0</v>
      </c>
      <c r="M302">
        <v>0</v>
      </c>
      <c r="N302">
        <v>4</v>
      </c>
      <c r="R302" t="s">
        <v>450</v>
      </c>
      <c r="T302" s="20">
        <v>0</v>
      </c>
      <c r="U302" s="20"/>
      <c r="V302" s="20"/>
      <c r="W302">
        <v>0</v>
      </c>
      <c r="Z302">
        <v>24.556999999999999</v>
      </c>
      <c r="AA302">
        <v>5.5289999999999999</v>
      </c>
      <c r="AB302">
        <v>5.5289999999999999</v>
      </c>
      <c r="AD302">
        <v>18</v>
      </c>
      <c r="AE302" s="44">
        <f t="shared" si="14"/>
        <v>0</v>
      </c>
      <c r="AF302" s="46">
        <v>0</v>
      </c>
      <c r="AG302" s="44">
        <v>0</v>
      </c>
      <c r="AH302" s="44">
        <f t="shared" si="17"/>
        <v>750.7035854369999</v>
      </c>
      <c r="AI302" s="41"/>
      <c r="AJ302" s="40"/>
      <c r="AK302" s="41"/>
      <c r="AL302" s="56">
        <f t="shared" si="18"/>
        <v>9.5910025470422294E-2</v>
      </c>
      <c r="AM302" s="23">
        <v>1.8666666666666669</v>
      </c>
      <c r="AN302" s="23">
        <v>2.8</v>
      </c>
      <c r="AO302" s="23">
        <v>1.8666666666666669</v>
      </c>
      <c r="AP302" s="23">
        <v>1.8666666666666669</v>
      </c>
      <c r="AQ302" s="23">
        <v>0.22222222222222221</v>
      </c>
      <c r="AR302" s="23">
        <v>0.33333333333333331</v>
      </c>
      <c r="AS302" s="23">
        <v>0.22222222222222221</v>
      </c>
      <c r="AT302" s="23">
        <v>0.22222222222222221</v>
      </c>
      <c r="AU302" s="20">
        <v>0.95</v>
      </c>
      <c r="AV302" s="20">
        <v>3.44</v>
      </c>
      <c r="AW302" s="20">
        <v>2.4900000000000002</v>
      </c>
      <c r="AX302" s="20">
        <v>2.6733333333333329</v>
      </c>
      <c r="AY302">
        <v>2.6733333333333329</v>
      </c>
      <c r="AZ302">
        <v>5.9671526619999993</v>
      </c>
      <c r="BG302">
        <v>4.7955012735211147E-2</v>
      </c>
      <c r="BH302">
        <v>9.5910025470422294E-2</v>
      </c>
      <c r="BI302">
        <v>4.7955012735211147E-2</v>
      </c>
      <c r="BJ302">
        <v>0</v>
      </c>
    </row>
    <row r="303" spans="1:62" x14ac:dyDescent="0.3">
      <c r="A303" t="s">
        <v>21</v>
      </c>
      <c r="B303" s="27" t="s">
        <v>707</v>
      </c>
      <c r="C303" s="12"/>
      <c r="F303">
        <v>3.08</v>
      </c>
      <c r="G303" t="s">
        <v>235</v>
      </c>
      <c r="H303" s="8">
        <v>-1</v>
      </c>
      <c r="I303" t="s">
        <v>1169</v>
      </c>
      <c r="L303" s="20">
        <v>0</v>
      </c>
      <c r="M303">
        <v>0</v>
      </c>
      <c r="N303">
        <v>4</v>
      </c>
      <c r="R303" t="s">
        <v>440</v>
      </c>
      <c r="T303" s="20">
        <v>0</v>
      </c>
      <c r="U303" s="20"/>
      <c r="V303" s="20"/>
      <c r="W303">
        <v>0</v>
      </c>
      <c r="Z303">
        <v>25.574999999999999</v>
      </c>
      <c r="AA303">
        <v>5.5629999999999997</v>
      </c>
      <c r="AB303">
        <v>5.5629999999999997</v>
      </c>
      <c r="AD303">
        <v>18</v>
      </c>
      <c r="AE303" s="44">
        <f t="shared" si="14"/>
        <v>0</v>
      </c>
      <c r="AF303" s="46">
        <v>0</v>
      </c>
      <c r="AG303" s="44">
        <v>0</v>
      </c>
      <c r="AH303" s="44">
        <f t="shared" si="17"/>
        <v>791.4687321749999</v>
      </c>
      <c r="AI303" s="41"/>
      <c r="AJ303" s="40"/>
      <c r="AK303" s="41"/>
      <c r="AL303" s="56">
        <f t="shared" si="18"/>
        <v>9.0970112997565952E-2</v>
      </c>
      <c r="AM303" s="23">
        <v>1.8666666666666669</v>
      </c>
      <c r="AN303" s="23">
        <v>2.8</v>
      </c>
      <c r="AO303" s="23">
        <v>1.8666666666666669</v>
      </c>
      <c r="AP303" s="23">
        <v>1.8666666666666669</v>
      </c>
      <c r="AQ303" s="23">
        <v>0.22222222222222221</v>
      </c>
      <c r="AR303" s="23">
        <v>0.33333333333333331</v>
      </c>
      <c r="AS303" s="23">
        <v>0.22222222222222221</v>
      </c>
      <c r="AT303" s="23">
        <v>0.22222222222222221</v>
      </c>
      <c r="AU303" s="20">
        <v>0.89</v>
      </c>
      <c r="AV303" s="20">
        <v>3.44</v>
      </c>
      <c r="AW303" s="20">
        <v>2.5499999999999998</v>
      </c>
      <c r="AX303" s="20">
        <v>2.6653333333333342</v>
      </c>
      <c r="AY303">
        <v>2.6653333333333329</v>
      </c>
      <c r="AZ303">
        <v>5.9411098053333333</v>
      </c>
      <c r="BG303">
        <v>4.5485056498782983E-2</v>
      </c>
      <c r="BH303">
        <v>9.0970112997565952E-2</v>
      </c>
      <c r="BI303">
        <v>4.5485056498782983E-2</v>
      </c>
      <c r="BJ303">
        <v>0</v>
      </c>
    </row>
    <row r="304" spans="1:62" x14ac:dyDescent="0.3">
      <c r="A304" t="s">
        <v>236</v>
      </c>
      <c r="B304" s="12" t="s">
        <v>810</v>
      </c>
      <c r="C304" s="12"/>
      <c r="F304">
        <v>4.5999999999999996</v>
      </c>
      <c r="G304" t="s">
        <v>238</v>
      </c>
      <c r="H304" s="8" t="s">
        <v>586</v>
      </c>
      <c r="I304" t="s">
        <v>662</v>
      </c>
      <c r="L304" s="20">
        <v>8</v>
      </c>
      <c r="M304">
        <v>1</v>
      </c>
      <c r="N304">
        <v>0</v>
      </c>
      <c r="T304" s="20">
        <v>7.5714817599999993</v>
      </c>
      <c r="U304" s="20">
        <v>7.4441355800000002</v>
      </c>
      <c r="V304" s="20">
        <v>14.785262019999999</v>
      </c>
      <c r="W304">
        <v>10.442</v>
      </c>
      <c r="X304">
        <v>10.442</v>
      </c>
      <c r="Y304">
        <v>10.442</v>
      </c>
      <c r="Z304">
        <v>0</v>
      </c>
      <c r="AD304">
        <v>12</v>
      </c>
      <c r="AE304" s="44">
        <f t="shared" si="14"/>
        <v>0</v>
      </c>
      <c r="AF304" s="46">
        <v>583.54908217201648</v>
      </c>
      <c r="AG304" s="44">
        <v>1138.547270888</v>
      </c>
      <c r="AH304" s="44">
        <v>0</v>
      </c>
      <c r="AI304" s="41"/>
      <c r="AJ304" s="40">
        <v>0.1645105834845636</v>
      </c>
      <c r="AK304" s="41">
        <v>1.053974683953237E-2</v>
      </c>
      <c r="AL304" s="41"/>
      <c r="AM304" s="23">
        <v>1.8</v>
      </c>
      <c r="AN304" s="23">
        <v>2.4</v>
      </c>
      <c r="AO304" s="23">
        <v>0.6</v>
      </c>
      <c r="AP304" s="23">
        <v>2.8</v>
      </c>
      <c r="AQ304" s="23">
        <v>0.23684210526315791</v>
      </c>
      <c r="AR304" s="23">
        <v>0.31578947368421051</v>
      </c>
      <c r="AS304" s="23">
        <v>7.8947368421052627E-2</v>
      </c>
      <c r="AT304" s="23">
        <v>0.36842105263157893</v>
      </c>
      <c r="AU304" s="20">
        <v>0.93</v>
      </c>
      <c r="AV304" s="20">
        <v>3.44</v>
      </c>
      <c r="AW304" s="20">
        <v>2.5099999999999998</v>
      </c>
      <c r="AX304" s="20">
        <v>2.5499999999999998</v>
      </c>
      <c r="AY304">
        <v>2.5499999999999998</v>
      </c>
      <c r="AZ304">
        <v>5.8797175109999991</v>
      </c>
      <c r="BA304" s="64">
        <v>0.46150059156666667</v>
      </c>
      <c r="BE304">
        <v>8.2255291742281814E-2</v>
      </c>
      <c r="BF304">
        <v>5.2698734197661841E-3</v>
      </c>
      <c r="BH304">
        <v>8.7525165162047988E-2</v>
      </c>
      <c r="BI304">
        <v>4.3762582581024001E-2</v>
      </c>
      <c r="BJ304">
        <v>0.46150059156666667</v>
      </c>
    </row>
    <row r="305" spans="1:62" x14ac:dyDescent="0.3">
      <c r="A305" t="s">
        <v>237</v>
      </c>
      <c r="B305" s="12" t="s">
        <v>811</v>
      </c>
      <c r="C305" s="12"/>
      <c r="F305">
        <v>4.5</v>
      </c>
      <c r="G305" t="s">
        <v>238</v>
      </c>
      <c r="H305" s="8" t="s">
        <v>563</v>
      </c>
      <c r="I305">
        <v>-1</v>
      </c>
      <c r="L305" s="20">
        <v>1</v>
      </c>
      <c r="M305">
        <v>0</v>
      </c>
      <c r="N305">
        <v>0</v>
      </c>
      <c r="T305" s="20">
        <v>3.9948813699999999</v>
      </c>
      <c r="U305" s="20">
        <v>3.9948813699999999</v>
      </c>
      <c r="V305" s="20">
        <v>3.9948813699999999</v>
      </c>
      <c r="W305">
        <v>0</v>
      </c>
      <c r="Z305">
        <v>0</v>
      </c>
      <c r="AD305">
        <v>12</v>
      </c>
      <c r="AE305" s="44">
        <f t="shared" si="14"/>
        <v>0</v>
      </c>
      <c r="AF305" s="46">
        <v>63.754620030366901</v>
      </c>
      <c r="AG305" s="44">
        <v>0</v>
      </c>
      <c r="AH305" s="44">
        <v>0</v>
      </c>
      <c r="AI305" s="41"/>
      <c r="AJ305" s="40">
        <v>0.18822165349404149</v>
      </c>
      <c r="AK305" s="41"/>
      <c r="AL305" s="41"/>
      <c r="AM305" s="23">
        <v>1.8</v>
      </c>
      <c r="AN305" s="23">
        <v>2.4</v>
      </c>
      <c r="AO305" s="23">
        <v>0.6</v>
      </c>
      <c r="AP305" s="23">
        <v>2.8</v>
      </c>
      <c r="AQ305" s="23">
        <v>0.23684210526315791</v>
      </c>
      <c r="AR305" s="23">
        <v>0.31578947368421051</v>
      </c>
      <c r="AS305" s="23">
        <v>7.8947368421052627E-2</v>
      </c>
      <c r="AT305" s="23">
        <v>0.36842105263157893</v>
      </c>
      <c r="AU305" s="20">
        <v>0.82</v>
      </c>
      <c r="AV305" s="20">
        <v>3.44</v>
      </c>
      <c r="AW305" s="20">
        <v>2.62</v>
      </c>
      <c r="AX305" s="20">
        <v>2.528</v>
      </c>
      <c r="AY305">
        <v>2.528</v>
      </c>
      <c r="AZ305">
        <v>5.7952294759999994</v>
      </c>
      <c r="BA305" s="64">
        <v>0.65619545508850963</v>
      </c>
      <c r="BE305">
        <v>9.4110826747020773E-2</v>
      </c>
      <c r="BH305">
        <v>0.18822165349404149</v>
      </c>
      <c r="BI305">
        <v>9.4110826747020773E-2</v>
      </c>
      <c r="BJ305">
        <v>0.65619545508850963</v>
      </c>
    </row>
    <row r="306" spans="1:62" x14ac:dyDescent="0.3">
      <c r="A306" t="s">
        <v>239</v>
      </c>
      <c r="B306" s="12" t="s">
        <v>812</v>
      </c>
      <c r="C306" s="12"/>
      <c r="F306">
        <v>4.4000000000000004</v>
      </c>
      <c r="G306" t="s">
        <v>238</v>
      </c>
      <c r="H306" s="8" t="s">
        <v>590</v>
      </c>
      <c r="I306" t="s">
        <v>663</v>
      </c>
      <c r="L306" s="20">
        <v>16</v>
      </c>
      <c r="M306">
        <v>8</v>
      </c>
      <c r="N306">
        <v>0</v>
      </c>
      <c r="T306" s="20">
        <v>7.4248940299999999</v>
      </c>
      <c r="U306" s="20">
        <v>7.4248940300000008</v>
      </c>
      <c r="V306" s="20">
        <v>48.809404000000001</v>
      </c>
      <c r="W306">
        <v>10.37</v>
      </c>
      <c r="X306">
        <v>10.37</v>
      </c>
      <c r="Y306">
        <v>10.37</v>
      </c>
      <c r="Z306">
        <v>0</v>
      </c>
      <c r="AD306">
        <v>14</v>
      </c>
      <c r="AE306" s="44">
        <f t="shared" si="14"/>
        <v>0</v>
      </c>
      <c r="AF306" s="46">
        <v>2333.5692942103669</v>
      </c>
      <c r="AG306" s="44">
        <v>1115.157653</v>
      </c>
      <c r="AH306" s="44">
        <v>0</v>
      </c>
      <c r="AI306" s="41"/>
      <c r="AJ306" s="40">
        <v>9.5990292876988306E-2</v>
      </c>
      <c r="AK306" s="41">
        <v>0.10043422981378219</v>
      </c>
      <c r="AL306" s="41"/>
      <c r="AM306" s="23">
        <v>2</v>
      </c>
      <c r="AN306" s="23">
        <v>2.545454545454545</v>
      </c>
      <c r="AO306" s="23">
        <v>0.54545454545454541</v>
      </c>
      <c r="AP306" s="23">
        <v>2.545454545454545</v>
      </c>
      <c r="AQ306" s="23">
        <v>0.26190476190476192</v>
      </c>
      <c r="AR306" s="23">
        <v>0.33333333333333331</v>
      </c>
      <c r="AS306" s="23">
        <v>7.1428571428571425E-2</v>
      </c>
      <c r="AT306" s="23">
        <v>0.33333333333333331</v>
      </c>
      <c r="AU306" s="20">
        <v>1</v>
      </c>
      <c r="AV306" s="20">
        <v>3.44</v>
      </c>
      <c r="AW306" s="20">
        <v>2.44</v>
      </c>
      <c r="AX306" s="20">
        <v>2.643636363636364</v>
      </c>
      <c r="AY306">
        <v>2.643636363636364</v>
      </c>
      <c r="AZ306">
        <v>6.0715871381818181</v>
      </c>
      <c r="BA306" s="64">
        <v>0.51451783825131059</v>
      </c>
      <c r="BB306" s="64">
        <v>0.53833779709834217</v>
      </c>
      <c r="BE306">
        <v>4.7995146438494153E-2</v>
      </c>
      <c r="BF306">
        <v>5.0217114906891097E-2</v>
      </c>
      <c r="BH306">
        <v>9.8212261345385243E-2</v>
      </c>
      <c r="BI306">
        <v>4.9106130672692622E-2</v>
      </c>
      <c r="BJ306">
        <v>0.52642781767482638</v>
      </c>
    </row>
    <row r="307" spans="1:62" x14ac:dyDescent="0.3">
      <c r="A307" t="s">
        <v>48</v>
      </c>
      <c r="B307" s="12" t="s">
        <v>724</v>
      </c>
      <c r="C307" s="12"/>
      <c r="F307">
        <v>4.0999999999999996</v>
      </c>
      <c r="G307" t="s">
        <v>238</v>
      </c>
      <c r="H307" s="8" t="s">
        <v>552</v>
      </c>
      <c r="I307" t="s">
        <v>630</v>
      </c>
      <c r="L307" s="20">
        <v>2</v>
      </c>
      <c r="M307">
        <v>8</v>
      </c>
      <c r="N307">
        <v>0</v>
      </c>
      <c r="T307" s="20">
        <v>7.4836094600000003</v>
      </c>
      <c r="U307" s="20">
        <v>7.4836094600000003</v>
      </c>
      <c r="V307" s="20">
        <v>7.4836094600000003</v>
      </c>
      <c r="W307">
        <v>10.34</v>
      </c>
      <c r="X307">
        <v>10.34</v>
      </c>
      <c r="Y307">
        <v>10.34</v>
      </c>
      <c r="Z307">
        <v>0</v>
      </c>
      <c r="AD307">
        <v>14</v>
      </c>
      <c r="AE307" s="44">
        <f t="shared" si="14"/>
        <v>0</v>
      </c>
      <c r="AF307" s="46">
        <v>296.35915518228359</v>
      </c>
      <c r="AG307" s="44">
        <v>1105.507304</v>
      </c>
      <c r="AH307" s="44">
        <v>0</v>
      </c>
      <c r="AI307" s="41"/>
      <c r="AJ307" s="40">
        <v>9.4479956196318104E-2</v>
      </c>
      <c r="AK307" s="41">
        <v>0.1013109543417363</v>
      </c>
      <c r="AL307" s="41"/>
      <c r="AM307" s="23">
        <v>1.8181818181818179</v>
      </c>
      <c r="AN307" s="23">
        <v>2.545454545454545</v>
      </c>
      <c r="AO307" s="23">
        <v>0.72727272727272729</v>
      </c>
      <c r="AP307" s="23">
        <v>0</v>
      </c>
      <c r="AQ307" s="23">
        <v>0.35714285714285721</v>
      </c>
      <c r="AR307" s="23">
        <v>0.5</v>
      </c>
      <c r="AS307" s="23">
        <v>0.1428571428571429</v>
      </c>
      <c r="AT307" s="23">
        <v>0</v>
      </c>
      <c r="AU307" s="20">
        <v>1</v>
      </c>
      <c r="AV307" s="20">
        <v>3.44</v>
      </c>
      <c r="AW307" s="20">
        <v>2.44</v>
      </c>
      <c r="AX307" s="20">
        <v>2.6618181818181821</v>
      </c>
      <c r="AY307">
        <v>2.6618181818181821</v>
      </c>
      <c r="AZ307">
        <v>6.0537295018181814</v>
      </c>
      <c r="BA307" s="64">
        <v>0.50642227837041764</v>
      </c>
      <c r="BB307" s="64">
        <v>0.5430371307011983</v>
      </c>
      <c r="BE307">
        <v>4.7239978098159073E-2</v>
      </c>
      <c r="BF307">
        <v>5.0655477170868157E-2</v>
      </c>
      <c r="BH307">
        <v>9.789545526902721E-2</v>
      </c>
      <c r="BI307">
        <v>4.8947727634513619E-2</v>
      </c>
      <c r="BJ307">
        <v>0.52472970453580792</v>
      </c>
    </row>
    <row r="308" spans="1:62" x14ac:dyDescent="0.3">
      <c r="A308" t="s">
        <v>46</v>
      </c>
      <c r="B308" s="12" t="s">
        <v>722</v>
      </c>
      <c r="C308" s="12"/>
      <c r="F308">
        <v>3.31</v>
      </c>
      <c r="G308" t="s">
        <v>240</v>
      </c>
      <c r="H308" s="8" t="s">
        <v>551</v>
      </c>
      <c r="I308" t="s">
        <v>629</v>
      </c>
      <c r="L308" s="20">
        <v>2</v>
      </c>
      <c r="M308">
        <v>4</v>
      </c>
      <c r="N308">
        <v>0</v>
      </c>
      <c r="T308" s="20">
        <v>7.41544296</v>
      </c>
      <c r="U308" s="20">
        <v>7.4154429599999991</v>
      </c>
      <c r="V308" s="20">
        <v>7.41544296</v>
      </c>
      <c r="W308">
        <v>7.8</v>
      </c>
      <c r="X308">
        <v>13.010999999999999</v>
      </c>
      <c r="Y308">
        <v>5.5460000000000003</v>
      </c>
      <c r="Z308">
        <v>0</v>
      </c>
      <c r="AD308">
        <v>14</v>
      </c>
      <c r="AE308" s="44">
        <f t="shared" si="14"/>
        <v>0</v>
      </c>
      <c r="AF308" s="46">
        <v>288.33429290182369</v>
      </c>
      <c r="AG308" s="44">
        <v>556.51188553357167</v>
      </c>
      <c r="AH308" s="44">
        <v>0</v>
      </c>
      <c r="AI308" s="41"/>
      <c r="AJ308" s="40">
        <v>9.7109503410799117E-2</v>
      </c>
      <c r="AK308" s="41">
        <v>0.10062678166578309</v>
      </c>
      <c r="AL308" s="41"/>
      <c r="AM308" s="23">
        <v>2</v>
      </c>
      <c r="AN308" s="23">
        <v>2.545454545454545</v>
      </c>
      <c r="AO308" s="23">
        <v>0.54545454545454541</v>
      </c>
      <c r="AP308" s="23">
        <v>0</v>
      </c>
      <c r="AQ308" s="23">
        <v>0.39285714285714279</v>
      </c>
      <c r="AR308" s="23">
        <v>0.5</v>
      </c>
      <c r="AS308" s="23">
        <v>0.1071428571428571</v>
      </c>
      <c r="AT308" s="23">
        <v>0</v>
      </c>
      <c r="AU308" s="20">
        <v>1.1000000000000001</v>
      </c>
      <c r="AV308" s="20">
        <v>3.44</v>
      </c>
      <c r="AW308" s="20">
        <v>2.34</v>
      </c>
      <c r="AX308" s="20">
        <v>2.669090909090909</v>
      </c>
      <c r="AY308">
        <v>2.669090909090909</v>
      </c>
      <c r="AZ308">
        <v>5.9831974772727277</v>
      </c>
      <c r="BA308" s="64">
        <v>0.52442413903612473</v>
      </c>
      <c r="BB308" s="64">
        <v>0.54341863036636606</v>
      </c>
      <c r="BE308">
        <v>4.8554751705399558E-2</v>
      </c>
      <c r="BF308">
        <v>5.0313390832891547E-2</v>
      </c>
      <c r="BH308">
        <v>9.8868142538291098E-2</v>
      </c>
      <c r="BI308">
        <v>4.9434071269145549E-2</v>
      </c>
      <c r="BJ308">
        <v>0.53392138470124539</v>
      </c>
    </row>
    <row r="309" spans="1:62" x14ac:dyDescent="0.3">
      <c r="A309" t="s">
        <v>220</v>
      </c>
      <c r="B309" s="12" t="s">
        <v>807</v>
      </c>
      <c r="C309" s="12"/>
      <c r="F309">
        <v>4.5</v>
      </c>
      <c r="G309" t="s">
        <v>242</v>
      </c>
      <c r="H309" s="8" t="s">
        <v>588</v>
      </c>
      <c r="I309" t="s">
        <v>661</v>
      </c>
      <c r="L309" s="20">
        <v>1</v>
      </c>
      <c r="M309">
        <v>1</v>
      </c>
      <c r="N309">
        <v>0</v>
      </c>
      <c r="T309" s="20">
        <v>5.81978595</v>
      </c>
      <c r="U309" s="20">
        <v>5.81978595</v>
      </c>
      <c r="V309" s="20">
        <v>11.88463337</v>
      </c>
      <c r="W309">
        <v>5.7759999999999998</v>
      </c>
      <c r="X309">
        <v>5.7759999999999998</v>
      </c>
      <c r="Y309">
        <v>11.82</v>
      </c>
      <c r="Z309">
        <v>0</v>
      </c>
      <c r="AD309">
        <v>30</v>
      </c>
      <c r="AE309" s="44">
        <f t="shared" si="14"/>
        <v>0</v>
      </c>
      <c r="AF309" s="46">
        <v>348.60249769877402</v>
      </c>
      <c r="AG309" s="44">
        <v>341.5092547488552</v>
      </c>
      <c r="AH309" s="44">
        <v>0</v>
      </c>
      <c r="AI309" s="41"/>
      <c r="AJ309" s="40">
        <v>8.6057903193576313E-2</v>
      </c>
      <c r="AK309" s="41">
        <v>8.7845349965879851E-2</v>
      </c>
      <c r="AL309" s="41"/>
      <c r="AM309" s="23">
        <v>2</v>
      </c>
      <c r="AN309" s="23">
        <v>2.5</v>
      </c>
      <c r="AO309" s="23">
        <v>0.5</v>
      </c>
      <c r="AP309" s="23">
        <v>2.333333333333333</v>
      </c>
      <c r="AQ309" s="23">
        <v>0.27272727272727282</v>
      </c>
      <c r="AR309" s="23">
        <v>0.34090909090909088</v>
      </c>
      <c r="AS309" s="23">
        <v>6.8181818181818191E-2</v>
      </c>
      <c r="AT309" s="23">
        <v>0.31818181818181818</v>
      </c>
      <c r="AU309" s="20">
        <v>0.89</v>
      </c>
      <c r="AV309" s="20">
        <v>3.44</v>
      </c>
      <c r="AW309" s="20">
        <v>2.5499999999999998</v>
      </c>
      <c r="AX309" s="20">
        <v>2.5854166666666671</v>
      </c>
      <c r="AY309">
        <v>2.5854166666666671</v>
      </c>
      <c r="AZ309">
        <v>5.9262421145833333</v>
      </c>
      <c r="BA309" s="64">
        <v>0.58209579444379334</v>
      </c>
      <c r="BB309" s="64">
        <v>0.59418608726221844</v>
      </c>
      <c r="BE309">
        <v>4.3028951596788149E-2</v>
      </c>
      <c r="BF309">
        <v>4.3922674982939933E-2</v>
      </c>
      <c r="BH309">
        <v>8.6951626579728075E-2</v>
      </c>
      <c r="BI309">
        <v>4.3475813289864038E-2</v>
      </c>
      <c r="BJ309">
        <v>0.58814094085300583</v>
      </c>
    </row>
    <row r="310" spans="1:62" x14ac:dyDescent="0.3">
      <c r="A310" t="s">
        <v>241</v>
      </c>
      <c r="B310" s="12" t="s">
        <v>813</v>
      </c>
      <c r="C310" s="12"/>
      <c r="F310">
        <v>4.2</v>
      </c>
      <c r="G310" t="s">
        <v>242</v>
      </c>
      <c r="H310" s="8">
        <v>-1</v>
      </c>
      <c r="I310" t="s">
        <v>664</v>
      </c>
      <c r="J310" t="s">
        <v>1170</v>
      </c>
      <c r="L310" s="20">
        <v>0</v>
      </c>
      <c r="M310">
        <v>1</v>
      </c>
      <c r="N310">
        <v>0</v>
      </c>
      <c r="O310">
        <v>-1</v>
      </c>
      <c r="T310" s="20">
        <v>0</v>
      </c>
      <c r="U310" s="20"/>
      <c r="V310" s="20"/>
      <c r="W310">
        <v>5.7946999999999997</v>
      </c>
      <c r="X310">
        <v>5.7946999999999997</v>
      </c>
      <c r="Y310">
        <v>11.803000000000001</v>
      </c>
      <c r="Z310">
        <v>0</v>
      </c>
      <c r="AD310">
        <v>30</v>
      </c>
      <c r="AE310" s="44">
        <f t="shared" si="14"/>
        <v>0</v>
      </c>
      <c r="AF310" s="46">
        <v>0</v>
      </c>
      <c r="AG310" s="44">
        <v>343.22977251102628</v>
      </c>
      <c r="AH310" s="44">
        <v>0</v>
      </c>
      <c r="AI310" s="41"/>
      <c r="AJ310" s="40"/>
      <c r="AK310" s="41">
        <v>8.7405005051058762E-2</v>
      </c>
      <c r="AL310" s="41"/>
      <c r="AM310" s="23">
        <v>1.916666666666667</v>
      </c>
      <c r="AN310" s="23">
        <v>2.5</v>
      </c>
      <c r="AO310" s="23">
        <v>0.58333333333333337</v>
      </c>
      <c r="AP310" s="23">
        <v>1.166666666666667</v>
      </c>
      <c r="AQ310" s="23">
        <v>0.3108108108108108</v>
      </c>
      <c r="AR310" s="23">
        <v>0.40540540540540537</v>
      </c>
      <c r="AS310" s="23">
        <v>9.45945945945946E-2</v>
      </c>
      <c r="AT310" s="23">
        <v>0.1891891891891892</v>
      </c>
      <c r="AU310" s="20">
        <v>0.89</v>
      </c>
      <c r="AV310" s="20">
        <v>3.44</v>
      </c>
      <c r="AW310" s="20">
        <v>2.5499999999999998</v>
      </c>
      <c r="AX310" s="20">
        <v>2.59375</v>
      </c>
      <c r="AY310">
        <v>2.59375</v>
      </c>
      <c r="AZ310">
        <v>5.9180573645833334</v>
      </c>
      <c r="BB310" s="64">
        <v>0</v>
      </c>
      <c r="BF310">
        <v>4.3702502525529381E-2</v>
      </c>
      <c r="BH310">
        <v>8.7405005051058762E-2</v>
      </c>
      <c r="BI310">
        <v>4.3702502525529381E-2</v>
      </c>
      <c r="BJ310">
        <v>0</v>
      </c>
    </row>
    <row r="311" spans="1:62" x14ac:dyDescent="0.3">
      <c r="A311" t="s">
        <v>38</v>
      </c>
      <c r="B311" s="12" t="s">
        <v>714</v>
      </c>
      <c r="C311" s="12"/>
      <c r="F311">
        <v>3.9</v>
      </c>
      <c r="G311" t="s">
        <v>242</v>
      </c>
      <c r="H311" s="8" t="s">
        <v>545</v>
      </c>
      <c r="I311" t="s">
        <v>626</v>
      </c>
      <c r="L311" s="20">
        <v>1</v>
      </c>
      <c r="M311">
        <v>1</v>
      </c>
      <c r="N311">
        <v>0</v>
      </c>
      <c r="T311" s="20">
        <v>5.8532381300000003</v>
      </c>
      <c r="U311" s="20">
        <v>5.8532371599999999</v>
      </c>
      <c r="V311" s="20">
        <v>11.912811489999999</v>
      </c>
      <c r="W311">
        <v>5.7946</v>
      </c>
      <c r="X311">
        <v>5.7946</v>
      </c>
      <c r="Y311">
        <v>11.787599999999999</v>
      </c>
      <c r="Z311">
        <v>0</v>
      </c>
      <c r="AD311">
        <v>30</v>
      </c>
      <c r="AE311" s="44">
        <f t="shared" si="14"/>
        <v>0</v>
      </c>
      <c r="AF311" s="46">
        <v>353.45760058531442</v>
      </c>
      <c r="AG311" s="44">
        <v>342.77011164986573</v>
      </c>
      <c r="AH311" s="44">
        <v>0</v>
      </c>
      <c r="AI311" s="41"/>
      <c r="AJ311" s="40">
        <v>8.487580957467307E-2</v>
      </c>
      <c r="AK311" s="41">
        <v>8.752221672887435E-2</v>
      </c>
      <c r="AL311" s="41"/>
      <c r="AM311" s="23">
        <v>1.833333333333333</v>
      </c>
      <c r="AN311" s="23">
        <v>2.5</v>
      </c>
      <c r="AO311" s="23">
        <v>0.66666666666666663</v>
      </c>
      <c r="AP311" s="23">
        <v>0</v>
      </c>
      <c r="AQ311" s="23">
        <v>0.36666666666666659</v>
      </c>
      <c r="AR311" s="23">
        <v>0.5</v>
      </c>
      <c r="AS311" s="23">
        <v>0.1333333333333333</v>
      </c>
      <c r="AT311" s="23">
        <v>0</v>
      </c>
      <c r="AU311" s="20">
        <v>0.89</v>
      </c>
      <c r="AV311" s="20">
        <v>3.44</v>
      </c>
      <c r="AW311" s="20">
        <v>2.5499999999999998</v>
      </c>
      <c r="AX311" s="20">
        <v>2.6020833333333329</v>
      </c>
      <c r="AY311">
        <v>2.6020833333333329</v>
      </c>
      <c r="AZ311">
        <v>5.9098726145833336</v>
      </c>
      <c r="BA311" s="64">
        <v>0.57410011132036598</v>
      </c>
      <c r="BB311" s="64">
        <v>0.59200041353179045</v>
      </c>
      <c r="BE311">
        <v>4.2437904787336528E-2</v>
      </c>
      <c r="BF311">
        <v>4.3761108364437168E-2</v>
      </c>
      <c r="BH311">
        <v>8.619901315177371E-2</v>
      </c>
      <c r="BI311">
        <v>4.3099506575886848E-2</v>
      </c>
      <c r="BJ311">
        <v>0.58305026242607827</v>
      </c>
    </row>
    <row r="312" spans="1:62" x14ac:dyDescent="0.3">
      <c r="A312" t="s">
        <v>244</v>
      </c>
      <c r="B312" s="12" t="s">
        <v>814</v>
      </c>
      <c r="C312" s="12"/>
      <c r="F312">
        <v>3.03</v>
      </c>
      <c r="G312" t="s">
        <v>243</v>
      </c>
      <c r="H312" s="8" t="s">
        <v>591</v>
      </c>
      <c r="I312" t="s">
        <v>665</v>
      </c>
      <c r="L312" s="20">
        <v>40</v>
      </c>
      <c r="M312">
        <v>2</v>
      </c>
      <c r="N312">
        <v>0</v>
      </c>
      <c r="T312" s="20">
        <v>10.442762460000001</v>
      </c>
      <c r="U312" s="20">
        <v>9.9768317300000007</v>
      </c>
      <c r="V312" s="20">
        <v>10.791803529999999</v>
      </c>
      <c r="W312">
        <v>3.22</v>
      </c>
      <c r="X312">
        <v>3.22</v>
      </c>
      <c r="Y312">
        <v>5.2</v>
      </c>
      <c r="Z312">
        <v>0</v>
      </c>
      <c r="AD312">
        <v>2</v>
      </c>
      <c r="AE312" s="44">
        <f t="shared" si="14"/>
        <v>0</v>
      </c>
      <c r="AF312" s="46">
        <v>1118.3380703947059</v>
      </c>
      <c r="AG312" s="44">
        <v>46.692348542312601</v>
      </c>
      <c r="AH312" s="44">
        <v>0</v>
      </c>
      <c r="AI312" s="41"/>
      <c r="AJ312" s="40">
        <v>7.1534719346328615E-2</v>
      </c>
      <c r="AK312" s="41">
        <v>8.566714086731364E-2</v>
      </c>
      <c r="AL312" s="41"/>
      <c r="AM312" s="23">
        <v>2</v>
      </c>
      <c r="AN312" s="23">
        <v>2</v>
      </c>
      <c r="AO312" s="23">
        <v>5</v>
      </c>
      <c r="AP312" s="23">
        <v>0</v>
      </c>
      <c r="AQ312" s="23">
        <v>0.22222222222222221</v>
      </c>
      <c r="AR312" s="23">
        <v>0.22222222222222221</v>
      </c>
      <c r="AS312" s="23">
        <v>0.55555555555555558</v>
      </c>
      <c r="AT312" s="23">
        <v>0</v>
      </c>
      <c r="AU312" s="20">
        <v>1.65</v>
      </c>
      <c r="AV312" s="20">
        <v>3.44</v>
      </c>
      <c r="AW312" s="20">
        <v>1.79</v>
      </c>
      <c r="AX312" s="20">
        <v>2.5449999999999999</v>
      </c>
      <c r="AY312">
        <v>2.5449999999999999</v>
      </c>
      <c r="AZ312">
        <v>5.9633393249999997</v>
      </c>
      <c r="BA312" s="64">
        <v>0.40179973947095132</v>
      </c>
      <c r="BB312" s="64">
        <v>0.48117942163247568</v>
      </c>
      <c r="BE312">
        <v>3.5767359673164308E-2</v>
      </c>
      <c r="BF312">
        <v>4.283357043365682E-2</v>
      </c>
      <c r="BH312">
        <v>7.8600930106821121E-2</v>
      </c>
      <c r="BI312">
        <v>3.930046505341056E-2</v>
      </c>
      <c r="BJ312">
        <v>0.4414895805517135</v>
      </c>
    </row>
    <row r="313" spans="1:62" x14ac:dyDescent="0.3">
      <c r="A313" t="s">
        <v>244</v>
      </c>
      <c r="B313" s="12" t="s">
        <v>814</v>
      </c>
      <c r="C313" s="12"/>
      <c r="D313" t="s">
        <v>888</v>
      </c>
      <c r="E313">
        <v>1</v>
      </c>
      <c r="F313">
        <v>2.96</v>
      </c>
      <c r="G313" t="s">
        <v>243</v>
      </c>
      <c r="H313" s="8" t="s">
        <v>591</v>
      </c>
      <c r="I313" t="s">
        <v>665</v>
      </c>
      <c r="L313" s="20">
        <v>40</v>
      </c>
      <c r="M313">
        <v>2</v>
      </c>
      <c r="N313">
        <v>0</v>
      </c>
      <c r="T313" s="20">
        <v>10.442762460000001</v>
      </c>
      <c r="U313" s="20">
        <v>9.9768317300000007</v>
      </c>
      <c r="V313" s="20">
        <v>10.791803529999999</v>
      </c>
      <c r="W313">
        <v>3.22</v>
      </c>
      <c r="X313">
        <v>3.22</v>
      </c>
      <c r="Y313">
        <v>5.2</v>
      </c>
      <c r="Z313">
        <v>0</v>
      </c>
      <c r="AD313">
        <v>2</v>
      </c>
      <c r="AE313" s="44">
        <f t="shared" si="14"/>
        <v>0</v>
      </c>
      <c r="AF313" s="46">
        <v>1118.3380703947059</v>
      </c>
      <c r="AG313" s="44">
        <v>46.692348542312601</v>
      </c>
      <c r="AH313" s="44">
        <v>0</v>
      </c>
      <c r="AI313" s="41"/>
      <c r="AJ313" s="40">
        <v>7.1534719346328615E-2</v>
      </c>
      <c r="AK313" s="41">
        <v>8.566714086731364E-2</v>
      </c>
      <c r="AL313" s="41"/>
      <c r="AM313" s="23">
        <v>2</v>
      </c>
      <c r="AN313" s="23">
        <v>2</v>
      </c>
      <c r="AO313" s="23">
        <v>5</v>
      </c>
      <c r="AP313" s="23">
        <v>0</v>
      </c>
      <c r="AQ313" s="23">
        <v>0.22222222222222221</v>
      </c>
      <c r="AR313" s="23">
        <v>0.22222222222222221</v>
      </c>
      <c r="AS313" s="23">
        <v>0.55555555555555558</v>
      </c>
      <c r="AT313" s="23">
        <v>0</v>
      </c>
      <c r="AU313" s="20">
        <v>1.65</v>
      </c>
      <c r="AV313" s="20">
        <v>3.44</v>
      </c>
      <c r="AW313" s="20">
        <v>1.79</v>
      </c>
      <c r="AX313" s="20">
        <v>2.5449999999999999</v>
      </c>
      <c r="AY313">
        <v>2.5449999999999999</v>
      </c>
      <c r="AZ313">
        <v>5.9633393249999997</v>
      </c>
      <c r="BA313" s="64">
        <v>0.40179973947095132</v>
      </c>
      <c r="BB313" s="64">
        <v>0.48117942163247568</v>
      </c>
      <c r="BE313">
        <v>3.5767359673164308E-2</v>
      </c>
      <c r="BF313">
        <v>4.283357043365682E-2</v>
      </c>
      <c r="BH313">
        <v>7.8600930106821121E-2</v>
      </c>
      <c r="BI313">
        <v>3.930046505341056E-2</v>
      </c>
      <c r="BJ313">
        <v>0.4414895805517135</v>
      </c>
    </row>
    <row r="314" spans="1:62" x14ac:dyDescent="0.3">
      <c r="A314" t="s">
        <v>244</v>
      </c>
      <c r="B314" s="12" t="s">
        <v>814</v>
      </c>
      <c r="C314" s="12"/>
      <c r="D314" t="s">
        <v>888</v>
      </c>
      <c r="E314">
        <v>3</v>
      </c>
      <c r="F314">
        <v>3.14</v>
      </c>
      <c r="G314" t="s">
        <v>243</v>
      </c>
      <c r="H314" s="8" t="s">
        <v>591</v>
      </c>
      <c r="I314" t="s">
        <v>665</v>
      </c>
      <c r="L314" s="20">
        <v>40</v>
      </c>
      <c r="M314">
        <v>2</v>
      </c>
      <c r="N314">
        <v>0</v>
      </c>
      <c r="T314" s="20">
        <v>10.442762460000001</v>
      </c>
      <c r="U314" s="20">
        <v>9.9768317300000007</v>
      </c>
      <c r="V314" s="20">
        <v>10.791803529999999</v>
      </c>
      <c r="W314">
        <v>3.22</v>
      </c>
      <c r="X314">
        <v>3.22</v>
      </c>
      <c r="Y314">
        <v>5.2</v>
      </c>
      <c r="Z314">
        <v>0</v>
      </c>
      <c r="AD314">
        <v>2</v>
      </c>
      <c r="AE314" s="44">
        <f t="shared" si="14"/>
        <v>0</v>
      </c>
      <c r="AF314" s="46">
        <v>1118.3380703947059</v>
      </c>
      <c r="AG314" s="44">
        <v>46.692348542312601</v>
      </c>
      <c r="AH314" s="44">
        <v>0</v>
      </c>
      <c r="AI314" s="41"/>
      <c r="AJ314" s="40">
        <v>7.1534719346328615E-2</v>
      </c>
      <c r="AK314" s="41">
        <v>8.566714086731364E-2</v>
      </c>
      <c r="AL314" s="41"/>
      <c r="AM314" s="23">
        <v>2</v>
      </c>
      <c r="AN314" s="23">
        <v>2</v>
      </c>
      <c r="AO314" s="23">
        <v>5</v>
      </c>
      <c r="AP314" s="23">
        <v>0</v>
      </c>
      <c r="AQ314" s="23">
        <v>0.22222222222222221</v>
      </c>
      <c r="AR314" s="23">
        <v>0.22222222222222221</v>
      </c>
      <c r="AS314" s="23">
        <v>0.55555555555555558</v>
      </c>
      <c r="AT314" s="23">
        <v>0</v>
      </c>
      <c r="AU314" s="20">
        <v>1.65</v>
      </c>
      <c r="AV314" s="20">
        <v>3.44</v>
      </c>
      <c r="AW314" s="20">
        <v>1.79</v>
      </c>
      <c r="AX314" s="20">
        <v>2.5449999999999999</v>
      </c>
      <c r="AY314">
        <v>2.5449999999999999</v>
      </c>
      <c r="AZ314">
        <v>5.9633393249999997</v>
      </c>
      <c r="BA314" s="64">
        <v>0.40179973947095132</v>
      </c>
      <c r="BB314" s="64">
        <v>0.48117942163247568</v>
      </c>
      <c r="BE314">
        <v>3.5767359673164308E-2</v>
      </c>
      <c r="BF314">
        <v>4.283357043365682E-2</v>
      </c>
      <c r="BH314">
        <v>7.8600930106821121E-2</v>
      </c>
      <c r="BI314">
        <v>3.930046505341056E-2</v>
      </c>
      <c r="BJ314">
        <v>0.4414895805517135</v>
      </c>
    </row>
    <row r="315" spans="1:62" x14ac:dyDescent="0.3">
      <c r="A315" t="s">
        <v>246</v>
      </c>
      <c r="B315" s="12" t="s">
        <v>815</v>
      </c>
      <c r="C315" s="12"/>
      <c r="F315">
        <v>2.3199999999999998</v>
      </c>
      <c r="G315" t="s">
        <v>245</v>
      </c>
      <c r="H315" s="8" t="s">
        <v>592</v>
      </c>
      <c r="I315" t="s">
        <v>666</v>
      </c>
      <c r="J315" t="s">
        <v>1173</v>
      </c>
      <c r="L315" s="20">
        <v>1</v>
      </c>
      <c r="M315">
        <v>2</v>
      </c>
      <c r="N315">
        <v>2</v>
      </c>
      <c r="T315" s="20">
        <v>4.2561477500000002</v>
      </c>
      <c r="U315" s="20">
        <v>4.2561477500000002</v>
      </c>
      <c r="V315" s="20">
        <v>5.9211799999999997</v>
      </c>
      <c r="W315">
        <v>4.1500000000000004</v>
      </c>
      <c r="X315">
        <v>4.1500000000000004</v>
      </c>
      <c r="Y315">
        <v>6.7370000000000001</v>
      </c>
      <c r="Z315">
        <v>0</v>
      </c>
      <c r="AD315">
        <v>2</v>
      </c>
      <c r="AE315" s="44">
        <f t="shared" si="14"/>
        <v>0</v>
      </c>
      <c r="AF315" s="46">
        <v>92.890714642371009</v>
      </c>
      <c r="AG315" s="44">
        <v>100.4831803948563</v>
      </c>
      <c r="AH315" s="44">
        <v>100.1</v>
      </c>
      <c r="AI315" s="41"/>
      <c r="AJ315" s="40">
        <f>L315*AD315/AF315</f>
        <v>2.1530677287821442E-2</v>
      </c>
      <c r="AK315" s="41"/>
      <c r="AL315" s="56">
        <f>N315*AD315/AH315</f>
        <v>3.996003996003996E-2</v>
      </c>
      <c r="AM315" s="23">
        <v>2</v>
      </c>
      <c r="AN315" s="23">
        <v>2</v>
      </c>
      <c r="AO315" s="23">
        <v>5</v>
      </c>
      <c r="AP315" s="23">
        <v>0</v>
      </c>
      <c r="AQ315" s="23">
        <v>0.22222222222222221</v>
      </c>
      <c r="AR315" s="23">
        <v>0.22222222222222221</v>
      </c>
      <c r="AS315" s="23">
        <v>0.55555555555555558</v>
      </c>
      <c r="AT315" s="23">
        <v>0</v>
      </c>
      <c r="AU315" s="20">
        <v>1.69</v>
      </c>
      <c r="AV315" s="20">
        <v>2.58</v>
      </c>
      <c r="AW315" s="20">
        <v>0.89000000000000012</v>
      </c>
      <c r="AX315" s="20">
        <v>2.1349999999999998</v>
      </c>
      <c r="AY315">
        <v>2.1349999999999998</v>
      </c>
      <c r="AZ315">
        <v>5.1777336280000004</v>
      </c>
      <c r="BA315" s="64">
        <v>0.2799432770686035</v>
      </c>
      <c r="BB315" s="64">
        <v>0.51758176769574038</v>
      </c>
      <c r="BC315" s="64">
        <v>0.51949166816826697</v>
      </c>
      <c r="BE315">
        <v>0</v>
      </c>
      <c r="BF315">
        <v>0</v>
      </c>
      <c r="BG315">
        <v>0</v>
      </c>
      <c r="BH315">
        <v>3.0745358623930699E-2</v>
      </c>
      <c r="BI315">
        <v>0</v>
      </c>
      <c r="BJ315">
        <v>0.43900557097753701</v>
      </c>
    </row>
    <row r="316" spans="1:62" x14ac:dyDescent="0.3">
      <c r="A316" s="4" t="s">
        <v>247</v>
      </c>
      <c r="B316" s="36" t="s">
        <v>940</v>
      </c>
      <c r="C316" s="29"/>
      <c r="D316" s="4"/>
      <c r="E316" s="4"/>
      <c r="F316" s="4">
        <v>2.41</v>
      </c>
      <c r="G316" s="4" t="s">
        <v>245</v>
      </c>
      <c r="H316" s="30">
        <v>-2</v>
      </c>
      <c r="I316" s="4">
        <v>-1</v>
      </c>
      <c r="J316" s="4"/>
      <c r="K316" s="4"/>
      <c r="L316" s="31">
        <v>0</v>
      </c>
      <c r="M316">
        <v>0</v>
      </c>
      <c r="N316">
        <v>0</v>
      </c>
      <c r="O316" s="4">
        <v>-1</v>
      </c>
      <c r="P316" s="4"/>
      <c r="Q316" s="4"/>
      <c r="R316" s="4"/>
      <c r="S316" s="4"/>
      <c r="T316" s="31">
        <v>0</v>
      </c>
      <c r="U316" s="31"/>
      <c r="V316" s="31"/>
      <c r="W316">
        <v>0</v>
      </c>
      <c r="Z316">
        <v>0</v>
      </c>
      <c r="AC316" s="4"/>
      <c r="AD316" s="4">
        <v>0</v>
      </c>
      <c r="AE316" s="44">
        <f t="shared" si="14"/>
        <v>0</v>
      </c>
      <c r="AF316" s="46">
        <v>0</v>
      </c>
      <c r="AG316" s="44">
        <v>0</v>
      </c>
      <c r="AH316" s="44">
        <v>0</v>
      </c>
      <c r="AI316" s="41"/>
      <c r="AJ316" s="40"/>
      <c r="AK316" s="41"/>
      <c r="AL316" s="41"/>
      <c r="AM316" s="4">
        <v>2</v>
      </c>
      <c r="AN316" s="4">
        <v>0</v>
      </c>
      <c r="AO316" s="4">
        <v>10</v>
      </c>
      <c r="AP316" s="4">
        <v>0</v>
      </c>
      <c r="AQ316" s="4">
        <v>0.16666666666666671</v>
      </c>
      <c r="AR316" s="4">
        <v>0</v>
      </c>
      <c r="AS316" s="4">
        <v>0.83333333333333337</v>
      </c>
      <c r="AT316" s="4">
        <v>0</v>
      </c>
      <c r="AU316" s="31">
        <v>1.65</v>
      </c>
      <c r="AV316" s="31">
        <v>1.69</v>
      </c>
      <c r="AW316" s="31">
        <v>4.0000000000000042E-2</v>
      </c>
      <c r="AX316" s="31">
        <v>1.6859999999999999</v>
      </c>
      <c r="AY316" s="4">
        <v>1.6859999999999999</v>
      </c>
      <c r="AZ316" s="4">
        <v>4.1619288499999998</v>
      </c>
      <c r="BH316">
        <v>0</v>
      </c>
      <c r="BI316">
        <v>0</v>
      </c>
      <c r="BJ316">
        <v>0</v>
      </c>
    </row>
    <row r="317" spans="1:62" x14ac:dyDescent="0.3">
      <c r="A317" s="4" t="s">
        <v>252</v>
      </c>
      <c r="B317" s="36" t="s">
        <v>941</v>
      </c>
      <c r="C317" s="29"/>
      <c r="D317" s="4"/>
      <c r="E317" s="4"/>
      <c r="F317" s="4">
        <v>2.54</v>
      </c>
      <c r="G317" s="4" t="s">
        <v>245</v>
      </c>
      <c r="H317" s="30">
        <v>-2</v>
      </c>
      <c r="I317" s="4">
        <v>-1</v>
      </c>
      <c r="J317" s="4"/>
      <c r="K317" s="4"/>
      <c r="L317" s="31">
        <v>0</v>
      </c>
      <c r="M317">
        <v>0</v>
      </c>
      <c r="N317">
        <v>0</v>
      </c>
      <c r="O317" s="4">
        <v>-1</v>
      </c>
      <c r="P317" s="4"/>
      <c r="Q317" s="4"/>
      <c r="R317" s="4"/>
      <c r="S317" s="4"/>
      <c r="T317" s="31">
        <v>0</v>
      </c>
      <c r="U317" s="31"/>
      <c r="V317" s="31"/>
      <c r="W317">
        <v>0</v>
      </c>
      <c r="Z317">
        <v>0</v>
      </c>
      <c r="AC317" s="4"/>
      <c r="AD317" s="4">
        <v>0</v>
      </c>
      <c r="AE317" s="44">
        <f t="shared" si="14"/>
        <v>0</v>
      </c>
      <c r="AF317" s="46">
        <v>0</v>
      </c>
      <c r="AG317" s="44">
        <v>0</v>
      </c>
      <c r="AH317" s="44">
        <v>0</v>
      </c>
      <c r="AI317" s="41"/>
      <c r="AJ317" s="40"/>
      <c r="AK317" s="41"/>
      <c r="AL317" s="41"/>
      <c r="AM317" s="4">
        <v>2</v>
      </c>
      <c r="AN317" s="4">
        <v>0</v>
      </c>
      <c r="AO317" s="4">
        <v>10</v>
      </c>
      <c r="AP317" s="4">
        <v>0</v>
      </c>
      <c r="AQ317" s="4">
        <v>0.16666666666666671</v>
      </c>
      <c r="AR317" s="4">
        <v>0</v>
      </c>
      <c r="AS317" s="4">
        <v>0.83333333333333348</v>
      </c>
      <c r="AT317" s="4">
        <v>0</v>
      </c>
      <c r="AU317" s="31">
        <v>1.65</v>
      </c>
      <c r="AV317" s="31">
        <v>1.69</v>
      </c>
      <c r="AW317" s="31">
        <v>4.0000000000000042E-2</v>
      </c>
      <c r="AX317" s="31">
        <v>1.6779999999999999</v>
      </c>
      <c r="AY317" s="4">
        <v>1.6779999999999999</v>
      </c>
      <c r="AZ317" s="4">
        <v>4.2119665499999996</v>
      </c>
      <c r="BH317">
        <v>0</v>
      </c>
      <c r="BI317">
        <v>0</v>
      </c>
      <c r="BJ317">
        <v>0</v>
      </c>
    </row>
    <row r="318" spans="1:62" x14ac:dyDescent="0.3">
      <c r="A318" s="4" t="s">
        <v>251</v>
      </c>
      <c r="B318" s="36" t="s">
        <v>942</v>
      </c>
      <c r="C318" s="29"/>
      <c r="D318" s="4"/>
      <c r="E318" s="4"/>
      <c r="F318" s="4">
        <v>2.68</v>
      </c>
      <c r="G318" s="4" t="s">
        <v>245</v>
      </c>
      <c r="H318" s="30">
        <v>-2</v>
      </c>
      <c r="I318" s="4">
        <v>-1</v>
      </c>
      <c r="J318" s="4"/>
      <c r="K318" s="4"/>
      <c r="L318" s="31">
        <v>0</v>
      </c>
      <c r="M318">
        <v>0</v>
      </c>
      <c r="N318">
        <v>0</v>
      </c>
      <c r="O318" s="4">
        <v>-1</v>
      </c>
      <c r="P318" s="4"/>
      <c r="Q318" s="4"/>
      <c r="R318" s="4"/>
      <c r="S318" s="4"/>
      <c r="T318" s="31">
        <v>0</v>
      </c>
      <c r="U318" s="31"/>
      <c r="V318" s="31"/>
      <c r="W318">
        <v>0</v>
      </c>
      <c r="Z318">
        <v>0</v>
      </c>
      <c r="AC318" s="4"/>
      <c r="AD318" s="4">
        <v>0</v>
      </c>
      <c r="AE318" s="44">
        <f t="shared" si="14"/>
        <v>0</v>
      </c>
      <c r="AF318" s="46">
        <v>0</v>
      </c>
      <c r="AG318" s="44">
        <v>0</v>
      </c>
      <c r="AH318" s="44">
        <v>0</v>
      </c>
      <c r="AI318" s="41"/>
      <c r="AJ318" s="40"/>
      <c r="AK318" s="41"/>
      <c r="AL318" s="41"/>
      <c r="AM318" s="4">
        <v>2</v>
      </c>
      <c r="AN318" s="4">
        <v>0</v>
      </c>
      <c r="AO318" s="4">
        <v>10</v>
      </c>
      <c r="AP318" s="4">
        <v>0</v>
      </c>
      <c r="AQ318" s="4">
        <v>0.16666666666666671</v>
      </c>
      <c r="AR318" s="4">
        <v>0</v>
      </c>
      <c r="AS318" s="4">
        <v>0.83333333333333337</v>
      </c>
      <c r="AT318" s="4">
        <v>0</v>
      </c>
      <c r="AU318" s="31">
        <v>1.65</v>
      </c>
      <c r="AV318" s="31">
        <v>1.69</v>
      </c>
      <c r="AW318" s="31">
        <v>4.0000000000000042E-2</v>
      </c>
      <c r="AX318" s="31">
        <v>1.67</v>
      </c>
      <c r="AY318" s="4">
        <v>1.67</v>
      </c>
      <c r="AZ318" s="4">
        <v>4.2620042500000004</v>
      </c>
      <c r="BH318">
        <v>0</v>
      </c>
      <c r="BI318">
        <v>0</v>
      </c>
      <c r="BJ318">
        <v>0</v>
      </c>
    </row>
    <row r="319" spans="1:62" x14ac:dyDescent="0.3">
      <c r="A319" s="4" t="s">
        <v>250</v>
      </c>
      <c r="B319" s="36" t="s">
        <v>943</v>
      </c>
      <c r="C319" s="29"/>
      <c r="D319" s="4"/>
      <c r="E319" s="4"/>
      <c r="F319" s="4">
        <v>2.91</v>
      </c>
      <c r="G319" s="4" t="s">
        <v>245</v>
      </c>
      <c r="H319" s="30">
        <v>-2</v>
      </c>
      <c r="I319" s="4">
        <v>-1</v>
      </c>
      <c r="J319" s="4"/>
      <c r="K319" s="4"/>
      <c r="L319" s="31">
        <v>0</v>
      </c>
      <c r="M319">
        <v>0</v>
      </c>
      <c r="N319">
        <v>0</v>
      </c>
      <c r="O319" s="4">
        <v>-1</v>
      </c>
      <c r="P319" s="4"/>
      <c r="Q319" s="4"/>
      <c r="R319" s="4"/>
      <c r="S319" s="4"/>
      <c r="T319" s="31">
        <v>0</v>
      </c>
      <c r="U319" s="31"/>
      <c r="V319" s="31"/>
      <c r="W319">
        <v>0</v>
      </c>
      <c r="Z319">
        <v>0</v>
      </c>
      <c r="AC319" s="4"/>
      <c r="AD319" s="4">
        <v>0</v>
      </c>
      <c r="AE319" s="44">
        <f t="shared" si="14"/>
        <v>0</v>
      </c>
      <c r="AF319" s="46">
        <v>0</v>
      </c>
      <c r="AG319" s="44">
        <v>0</v>
      </c>
      <c r="AH319" s="44">
        <v>0</v>
      </c>
      <c r="AI319" s="41"/>
      <c r="AJ319" s="40"/>
      <c r="AK319" s="41"/>
      <c r="AL319" s="41"/>
      <c r="AM319" s="4">
        <v>2</v>
      </c>
      <c r="AN319" s="4">
        <v>0</v>
      </c>
      <c r="AO319" s="4">
        <v>10</v>
      </c>
      <c r="AP319" s="4">
        <v>0</v>
      </c>
      <c r="AQ319" s="4">
        <v>0.16666666666666671</v>
      </c>
      <c r="AR319" s="4">
        <v>0</v>
      </c>
      <c r="AS319" s="4">
        <v>0.83333333333333348</v>
      </c>
      <c r="AT319" s="4">
        <v>0</v>
      </c>
      <c r="AU319" s="31">
        <v>1.65</v>
      </c>
      <c r="AV319" s="31">
        <v>1.69</v>
      </c>
      <c r="AW319" s="31">
        <v>4.0000000000000042E-2</v>
      </c>
      <c r="AX319" s="31">
        <v>1.6619999999999999</v>
      </c>
      <c r="AY319" s="4">
        <v>1.6619999999999999</v>
      </c>
      <c r="AZ319" s="4">
        <v>4.3120419500000002</v>
      </c>
      <c r="BH319">
        <v>0</v>
      </c>
      <c r="BI319">
        <v>0</v>
      </c>
      <c r="BJ319">
        <v>0</v>
      </c>
    </row>
    <row r="320" spans="1:62" x14ac:dyDescent="0.3">
      <c r="A320" s="4" t="s">
        <v>249</v>
      </c>
      <c r="B320" s="36" t="s">
        <v>944</v>
      </c>
      <c r="C320" s="29"/>
      <c r="D320" s="4"/>
      <c r="E320" s="4"/>
      <c r="F320" s="4">
        <v>3.36</v>
      </c>
      <c r="G320" s="4" t="s">
        <v>245</v>
      </c>
      <c r="H320" s="30">
        <v>-2</v>
      </c>
      <c r="I320" s="4">
        <v>-1</v>
      </c>
      <c r="J320" s="4"/>
      <c r="K320" s="4"/>
      <c r="L320" s="31">
        <v>0</v>
      </c>
      <c r="M320">
        <v>0</v>
      </c>
      <c r="N320">
        <v>0</v>
      </c>
      <c r="O320" s="4">
        <v>-1</v>
      </c>
      <c r="P320" s="4"/>
      <c r="Q320" s="4"/>
      <c r="R320" s="4"/>
      <c r="S320" s="4"/>
      <c r="T320" s="31">
        <v>0</v>
      </c>
      <c r="U320" s="31"/>
      <c r="V320" s="31"/>
      <c r="W320">
        <v>0</v>
      </c>
      <c r="Z320">
        <v>0</v>
      </c>
      <c r="AC320" s="4"/>
      <c r="AD320" s="4">
        <v>0</v>
      </c>
      <c r="AE320" s="44">
        <f t="shared" si="14"/>
        <v>0</v>
      </c>
      <c r="AF320" s="46">
        <v>0</v>
      </c>
      <c r="AG320" s="44">
        <v>0</v>
      </c>
      <c r="AH320" s="44">
        <v>0</v>
      </c>
      <c r="AI320" s="41"/>
      <c r="AJ320" s="40"/>
      <c r="AK320" s="41"/>
      <c r="AL320" s="41"/>
      <c r="AM320" s="4">
        <v>2</v>
      </c>
      <c r="AN320" s="4">
        <v>0</v>
      </c>
      <c r="AO320" s="4">
        <v>10</v>
      </c>
      <c r="AP320" s="4">
        <v>0</v>
      </c>
      <c r="AQ320" s="4">
        <v>0.16666666666666671</v>
      </c>
      <c r="AR320" s="4">
        <v>0</v>
      </c>
      <c r="AS320" s="4">
        <v>0.83333333333333337</v>
      </c>
      <c r="AT320" s="4">
        <v>0</v>
      </c>
      <c r="AU320" s="31">
        <v>1.65</v>
      </c>
      <c r="AV320" s="31">
        <v>1.69</v>
      </c>
      <c r="AW320" s="31">
        <v>4.0000000000000042E-2</v>
      </c>
      <c r="AX320" s="31">
        <v>1.6539999999999999</v>
      </c>
      <c r="AY320" s="4">
        <v>1.6539999999999999</v>
      </c>
      <c r="AZ320" s="4">
        <v>4.3620796500000001</v>
      </c>
      <c r="BH320">
        <v>0</v>
      </c>
      <c r="BI320">
        <v>0</v>
      </c>
      <c r="BJ320">
        <v>0</v>
      </c>
    </row>
    <row r="321" spans="1:62" x14ac:dyDescent="0.3">
      <c r="A321" t="s">
        <v>248</v>
      </c>
      <c r="B321" s="12" t="s">
        <v>816</v>
      </c>
      <c r="C321" s="12"/>
      <c r="F321">
        <v>3.6</v>
      </c>
      <c r="G321" t="s">
        <v>245</v>
      </c>
      <c r="H321" s="8" t="s">
        <v>593</v>
      </c>
      <c r="I321" t="s">
        <v>667</v>
      </c>
      <c r="J321" t="s">
        <v>1172</v>
      </c>
      <c r="L321" s="20">
        <v>50</v>
      </c>
      <c r="M321">
        <v>2</v>
      </c>
      <c r="N321">
        <v>0</v>
      </c>
      <c r="T321" s="20">
        <v>12.345150759999999</v>
      </c>
      <c r="U321" s="20">
        <v>15.34169717</v>
      </c>
      <c r="V321" s="20">
        <v>13.410947439999999</v>
      </c>
      <c r="W321">
        <v>3.8</v>
      </c>
      <c r="X321">
        <v>3.8</v>
      </c>
      <c r="Y321">
        <v>6.23</v>
      </c>
      <c r="Z321">
        <v>0</v>
      </c>
      <c r="AD321">
        <v>0</v>
      </c>
      <c r="AE321" s="44">
        <f t="shared" si="14"/>
        <v>0</v>
      </c>
      <c r="AF321" s="46">
        <v>2502.9167389596269</v>
      </c>
      <c r="AG321" s="44">
        <v>77.908684554932648</v>
      </c>
      <c r="AH321" s="44">
        <v>0</v>
      </c>
      <c r="AI321" s="41"/>
      <c r="AJ321" s="40">
        <v>0</v>
      </c>
      <c r="AK321" s="41">
        <v>0</v>
      </c>
      <c r="AL321" s="41"/>
      <c r="AM321" s="23">
        <v>2</v>
      </c>
      <c r="AN321" s="23">
        <v>2</v>
      </c>
      <c r="AO321" s="23">
        <v>5</v>
      </c>
      <c r="AP321" s="23">
        <v>0</v>
      </c>
      <c r="AQ321" s="23">
        <v>0.22222222222222221</v>
      </c>
      <c r="AR321" s="23">
        <v>0.22222222222222221</v>
      </c>
      <c r="AS321" s="23">
        <v>0.55555555555555558</v>
      </c>
      <c r="AT321" s="23">
        <v>0</v>
      </c>
      <c r="AU321" s="20">
        <v>1.65</v>
      </c>
      <c r="AV321" s="20">
        <v>2.58</v>
      </c>
      <c r="AW321" s="20">
        <v>0.93000000000000016</v>
      </c>
      <c r="AX321" s="20">
        <v>2.1150000000000002</v>
      </c>
      <c r="AY321">
        <v>2.1150000000000002</v>
      </c>
      <c r="AZ321">
        <v>5.3028278780000004</v>
      </c>
      <c r="BA321" s="64">
        <v>0.46813521899838401</v>
      </c>
      <c r="BB321" s="64">
        <v>0.6015778510039812</v>
      </c>
      <c r="BE321">
        <v>0</v>
      </c>
      <c r="BF321">
        <v>0</v>
      </c>
      <c r="BH321">
        <v>0</v>
      </c>
      <c r="BI321">
        <v>0</v>
      </c>
      <c r="BJ321">
        <v>0.53485653500118258</v>
      </c>
    </row>
    <row r="322" spans="1:62" x14ac:dyDescent="0.3">
      <c r="A322" t="s">
        <v>15</v>
      </c>
      <c r="B322" s="12" t="s">
        <v>700</v>
      </c>
      <c r="C322" s="12"/>
      <c r="F322">
        <v>4.49</v>
      </c>
      <c r="G322" t="s">
        <v>253</v>
      </c>
      <c r="H322" s="8" t="s">
        <v>533</v>
      </c>
      <c r="I322" t="s">
        <v>614</v>
      </c>
      <c r="L322" s="20">
        <v>4</v>
      </c>
      <c r="M322">
        <v>4</v>
      </c>
      <c r="N322">
        <v>0</v>
      </c>
      <c r="T322" s="20">
        <v>5.63450966</v>
      </c>
      <c r="U322" s="20">
        <v>7.6422105</v>
      </c>
      <c r="V322" s="20">
        <v>11.066420430000001</v>
      </c>
      <c r="W322">
        <v>11.013</v>
      </c>
      <c r="X322">
        <v>7.6319999999999997</v>
      </c>
      <c r="Y322">
        <v>5.6210000000000004</v>
      </c>
      <c r="Z322">
        <v>0</v>
      </c>
      <c r="AD322">
        <v>12</v>
      </c>
      <c r="AE322" s="44">
        <f t="shared" si="14"/>
        <v>0</v>
      </c>
      <c r="AF322" s="46">
        <v>476.5212686940929</v>
      </c>
      <c r="AG322" s="44">
        <v>472.45188513599999</v>
      </c>
      <c r="AH322" s="44">
        <v>0</v>
      </c>
      <c r="AI322" s="41"/>
      <c r="AJ322" s="40">
        <v>0.1007300264509579</v>
      </c>
      <c r="AK322" s="41">
        <v>0.1015976473163669</v>
      </c>
      <c r="AL322" s="41"/>
      <c r="AM322" s="23">
        <v>2</v>
      </c>
      <c r="AN322" s="23">
        <v>2.666666666666667</v>
      </c>
      <c r="AO322" s="23">
        <v>0.66666666666666663</v>
      </c>
      <c r="AP322" s="23">
        <v>3.1111111111111112</v>
      </c>
      <c r="AQ322" s="23">
        <v>0.23684210526315791</v>
      </c>
      <c r="AR322" s="23">
        <v>0.31578947368421051</v>
      </c>
      <c r="AS322" s="23">
        <v>7.8947368421052627E-2</v>
      </c>
      <c r="AT322" s="23">
        <v>0.36842105263157893</v>
      </c>
      <c r="AU322" s="20">
        <v>0.95</v>
      </c>
      <c r="AV322" s="20">
        <v>3.44</v>
      </c>
      <c r="AW322" s="20">
        <v>2.4900000000000002</v>
      </c>
      <c r="AX322" s="20">
        <v>2.7322222222222221</v>
      </c>
      <c r="AY322">
        <v>2.7322222222222221</v>
      </c>
      <c r="AZ322">
        <v>6.2204042916666662</v>
      </c>
      <c r="BA322" s="64">
        <v>0.5362582325986015</v>
      </c>
      <c r="BB322" s="64">
        <v>0.54087720122437066</v>
      </c>
      <c r="BE322">
        <v>5.0365013225478962E-2</v>
      </c>
      <c r="BF322">
        <v>5.0798823658183438E-2</v>
      </c>
      <c r="BH322">
        <v>0.1011638368836624</v>
      </c>
      <c r="BI322">
        <v>5.05819184418312E-2</v>
      </c>
      <c r="BJ322">
        <v>0.53856771691148608</v>
      </c>
    </row>
    <row r="323" spans="1:62" x14ac:dyDescent="0.3">
      <c r="A323" t="s">
        <v>254</v>
      </c>
      <c r="B323" s="12" t="s">
        <v>817</v>
      </c>
      <c r="C323" s="12"/>
      <c r="F323">
        <v>4.8099999999999996</v>
      </c>
      <c r="G323" t="s">
        <v>253</v>
      </c>
      <c r="H323" s="8" t="s">
        <v>594</v>
      </c>
      <c r="I323">
        <v>-1</v>
      </c>
      <c r="L323" s="20">
        <v>4</v>
      </c>
      <c r="M323">
        <v>0</v>
      </c>
      <c r="N323">
        <v>0</v>
      </c>
      <c r="T323" s="20">
        <v>5.8119930000000002</v>
      </c>
      <c r="U323" s="20">
        <v>10.228956</v>
      </c>
      <c r="V323" s="20">
        <v>17.904929589999998</v>
      </c>
      <c r="W323">
        <v>0</v>
      </c>
      <c r="Z323">
        <v>0</v>
      </c>
      <c r="AD323">
        <v>18</v>
      </c>
      <c r="AE323" s="44">
        <f t="shared" ref="AE323:AE386" si="19">O323*P323*Q323</f>
        <v>0</v>
      </c>
      <c r="AF323" s="46">
        <v>882.26177591634428</v>
      </c>
      <c r="AG323" s="44">
        <v>0</v>
      </c>
      <c r="AH323" s="44">
        <v>0</v>
      </c>
      <c r="AI323" s="41"/>
      <c r="AJ323" s="40">
        <v>8.1608431834438916E-2</v>
      </c>
      <c r="AK323" s="41"/>
      <c r="AL323" s="41"/>
      <c r="AM323" s="23">
        <v>2</v>
      </c>
      <c r="AN323" s="23">
        <v>2.4</v>
      </c>
      <c r="AO323" s="23">
        <v>0.4</v>
      </c>
      <c r="AP323" s="23">
        <v>1.8666666666666669</v>
      </c>
      <c r="AQ323" s="23">
        <v>0.3</v>
      </c>
      <c r="AR323" s="23">
        <v>0.36</v>
      </c>
      <c r="AS323" s="23">
        <v>0.06</v>
      </c>
      <c r="AT323" s="23">
        <v>0.28000000000000003</v>
      </c>
      <c r="AU323" s="20">
        <v>0.95</v>
      </c>
      <c r="AV323" s="20">
        <v>3.44</v>
      </c>
      <c r="AW323" s="20">
        <v>2.4900000000000002</v>
      </c>
      <c r="AX323" s="20">
        <v>2.5173333333333332</v>
      </c>
      <c r="AY323">
        <v>2.5173333333333341</v>
      </c>
      <c r="AZ323">
        <v>5.8148519500000004</v>
      </c>
      <c r="BA323" s="64">
        <v>0.53464553504946077</v>
      </c>
      <c r="BE323">
        <v>4.0804215917219458E-2</v>
      </c>
      <c r="BH323">
        <v>8.1608431834438916E-2</v>
      </c>
      <c r="BI323">
        <v>4.0804215917219458E-2</v>
      </c>
      <c r="BJ323">
        <v>0.53464553504946077</v>
      </c>
    </row>
    <row r="324" spans="1:62" x14ac:dyDescent="0.3">
      <c r="A324" t="s">
        <v>221</v>
      </c>
      <c r="B324" s="12" t="s">
        <v>808</v>
      </c>
      <c r="C324" s="12"/>
      <c r="F324">
        <v>4.75</v>
      </c>
      <c r="G324" t="s">
        <v>253</v>
      </c>
      <c r="H324" s="8" t="s">
        <v>589</v>
      </c>
      <c r="I324">
        <v>-1</v>
      </c>
      <c r="L324" s="20">
        <v>1</v>
      </c>
      <c r="M324">
        <v>0</v>
      </c>
      <c r="N324">
        <v>0</v>
      </c>
      <c r="T324" s="20">
        <v>5.6694849300000003</v>
      </c>
      <c r="U324" s="20">
        <v>5.6694842000000003</v>
      </c>
      <c r="V324" s="20">
        <v>11.54266629</v>
      </c>
      <c r="W324">
        <v>0</v>
      </c>
      <c r="Z324">
        <v>0</v>
      </c>
      <c r="AD324">
        <v>30</v>
      </c>
      <c r="AE324" s="44">
        <f t="shared" si="19"/>
        <v>0</v>
      </c>
      <c r="AF324" s="46">
        <v>321.30962315738361</v>
      </c>
      <c r="AG324" s="44">
        <v>0</v>
      </c>
      <c r="AH324" s="44">
        <v>0</v>
      </c>
      <c r="AI324" s="41"/>
      <c r="AJ324" s="40">
        <v>9.3367885173191417E-2</v>
      </c>
      <c r="AK324" s="41"/>
      <c r="AL324" s="41"/>
      <c r="AM324" s="23">
        <v>2</v>
      </c>
      <c r="AN324" s="23">
        <v>2.5</v>
      </c>
      <c r="AO324" s="23">
        <v>0.5</v>
      </c>
      <c r="AP324" s="23">
        <v>2.333333333333333</v>
      </c>
      <c r="AQ324" s="23">
        <v>0.27272727272727282</v>
      </c>
      <c r="AR324" s="23">
        <v>0.34090909090909088</v>
      </c>
      <c r="AS324" s="23">
        <v>6.8181818181818191E-2</v>
      </c>
      <c r="AT324" s="23">
        <v>0.31818181818181818</v>
      </c>
      <c r="AU324" s="20">
        <v>0.95</v>
      </c>
      <c r="AV324" s="20">
        <v>3.44</v>
      </c>
      <c r="AW324" s="20">
        <v>2.4900000000000002</v>
      </c>
      <c r="AX324" s="20">
        <v>2.5979166666666669</v>
      </c>
      <c r="AY324">
        <v>2.597916666666666</v>
      </c>
      <c r="AZ324">
        <v>5.966934078125</v>
      </c>
      <c r="BA324" s="64">
        <v>0.56583721757051464</v>
      </c>
      <c r="BE324">
        <v>4.6683942586595709E-2</v>
      </c>
      <c r="BH324">
        <v>9.3367885173191417E-2</v>
      </c>
      <c r="BI324">
        <v>4.6683942586595709E-2</v>
      </c>
      <c r="BJ324">
        <v>0.56583721757051464</v>
      </c>
    </row>
    <row r="325" spans="1:62" x14ac:dyDescent="0.3">
      <c r="A325" t="s">
        <v>255</v>
      </c>
      <c r="B325" s="12" t="s">
        <v>818</v>
      </c>
      <c r="C325" s="12"/>
      <c r="F325">
        <v>1.55</v>
      </c>
      <c r="G325" t="s">
        <v>256</v>
      </c>
      <c r="H325" s="8" t="s">
        <v>595</v>
      </c>
      <c r="I325" t="s">
        <v>668</v>
      </c>
      <c r="L325" s="20">
        <v>2</v>
      </c>
      <c r="M325">
        <v>4</v>
      </c>
      <c r="N325">
        <v>0</v>
      </c>
      <c r="T325" s="20">
        <v>6.8866614799999999</v>
      </c>
      <c r="U325" s="20">
        <v>6.8866614799999999</v>
      </c>
      <c r="V325" s="20">
        <v>6.8866614799999999</v>
      </c>
      <c r="W325">
        <v>8.51</v>
      </c>
      <c r="X325">
        <v>8.51</v>
      </c>
      <c r="Y325">
        <v>5.8140000000000001</v>
      </c>
      <c r="Z325">
        <v>0</v>
      </c>
      <c r="AD325">
        <v>8</v>
      </c>
      <c r="AE325" s="44">
        <f t="shared" si="19"/>
        <v>0</v>
      </c>
      <c r="AF325" s="46">
        <v>222.33131811857061</v>
      </c>
      <c r="AG325" s="44">
        <v>421.05046140000002</v>
      </c>
      <c r="AH325" s="44">
        <v>0</v>
      </c>
      <c r="AI325" s="41"/>
      <c r="AJ325" s="40">
        <v>7.1964670274059672E-2</v>
      </c>
      <c r="AK325" s="41">
        <v>7.6000391719318994E-2</v>
      </c>
      <c r="AL325" s="41"/>
      <c r="AM325" s="23">
        <v>1.857142857142857</v>
      </c>
      <c r="AN325" s="23">
        <v>3.1428571428571428</v>
      </c>
      <c r="AO325" s="23">
        <v>4.2857142857142856</v>
      </c>
      <c r="AP325" s="23">
        <v>4</v>
      </c>
      <c r="AQ325" s="23">
        <v>0.1397849462365591</v>
      </c>
      <c r="AR325" s="23">
        <v>0.23655913978494619</v>
      </c>
      <c r="AS325" s="23">
        <v>0.32258064516129031</v>
      </c>
      <c r="AT325" s="23">
        <v>0.30107526881720431</v>
      </c>
      <c r="AU325" s="20">
        <v>1.9</v>
      </c>
      <c r="AV325" s="20">
        <v>3.44</v>
      </c>
      <c r="AW325" s="20">
        <v>1.54</v>
      </c>
      <c r="AX325" s="20">
        <v>2.8142857142857141</v>
      </c>
      <c r="AY325">
        <v>2.8142857142857141</v>
      </c>
      <c r="AZ325">
        <v>6.1238972471428568</v>
      </c>
      <c r="BA325" s="64">
        <v>0.44701389447074941</v>
      </c>
      <c r="BB325" s="64">
        <v>0.47208207797488139</v>
      </c>
      <c r="BE325">
        <v>3.5982335137029829E-2</v>
      </c>
      <c r="BF325">
        <v>3.800019585965949E-2</v>
      </c>
      <c r="BH325">
        <v>7.3982530996689333E-2</v>
      </c>
      <c r="BI325">
        <v>3.699126549834466E-2</v>
      </c>
      <c r="BJ325">
        <v>0.4595479862228154</v>
      </c>
    </row>
    <row r="326" spans="1:62" x14ac:dyDescent="0.3">
      <c r="A326" t="s">
        <v>0</v>
      </c>
      <c r="B326" s="12" t="s">
        <v>685</v>
      </c>
      <c r="C326" s="12"/>
      <c r="F326">
        <v>3.3</v>
      </c>
      <c r="G326" t="s">
        <v>257</v>
      </c>
      <c r="H326" s="8" t="s">
        <v>523</v>
      </c>
      <c r="I326" t="s">
        <v>606</v>
      </c>
      <c r="L326" s="20">
        <v>4</v>
      </c>
      <c r="M326">
        <v>4</v>
      </c>
      <c r="N326">
        <v>0</v>
      </c>
      <c r="T326" s="20">
        <v>6.6040679999999998</v>
      </c>
      <c r="U326" s="20">
        <v>7.9389519999999996</v>
      </c>
      <c r="V326" s="20">
        <v>33.703336</v>
      </c>
      <c r="W326">
        <v>7.83</v>
      </c>
      <c r="X326">
        <v>33.209989999999998</v>
      </c>
      <c r="Y326">
        <v>6.46</v>
      </c>
      <c r="Z326">
        <v>0</v>
      </c>
      <c r="AD326">
        <v>34</v>
      </c>
      <c r="AE326" s="44">
        <f t="shared" si="19"/>
        <v>0</v>
      </c>
      <c r="AF326" s="46">
        <v>1767.0449718798691</v>
      </c>
      <c r="AG326" s="44">
        <v>1679.8210721820001</v>
      </c>
      <c r="AH326" s="44">
        <v>0</v>
      </c>
      <c r="AI326" s="41"/>
      <c r="AJ326" s="40">
        <v>7.6964651247849417E-2</v>
      </c>
      <c r="AK326" s="41">
        <v>8.0961003676030277E-2</v>
      </c>
      <c r="AL326" s="41"/>
      <c r="AM326" s="23">
        <v>1.62962962962963</v>
      </c>
      <c r="AN326" s="23">
        <v>2.518518518518519</v>
      </c>
      <c r="AO326" s="23">
        <v>0.88888888888888884</v>
      </c>
      <c r="AP326" s="23">
        <v>0</v>
      </c>
      <c r="AQ326" s="23">
        <v>0.32352941176470579</v>
      </c>
      <c r="AR326" s="23">
        <v>0.5</v>
      </c>
      <c r="AS326" s="23">
        <v>0.1764705882352941</v>
      </c>
      <c r="AT326" s="23">
        <v>0</v>
      </c>
      <c r="AU326" s="20">
        <v>0.82</v>
      </c>
      <c r="AV326" s="20">
        <v>3.44</v>
      </c>
      <c r="AW326" s="20">
        <v>2.62</v>
      </c>
      <c r="AX326" s="20">
        <v>2.642962962962963</v>
      </c>
      <c r="AY326">
        <v>2.642962962962963</v>
      </c>
      <c r="AZ326">
        <v>5.9587362692592576</v>
      </c>
      <c r="BA326" s="64">
        <v>0.48264383878002159</v>
      </c>
      <c r="BB326" s="64">
        <v>0.50770488753139842</v>
      </c>
      <c r="BE326">
        <v>3.8482325623924708E-2</v>
      </c>
      <c r="BF326">
        <v>4.0480501838015132E-2</v>
      </c>
      <c r="BH326">
        <v>7.8962827461939847E-2</v>
      </c>
      <c r="BI326">
        <v>3.9481413730969923E-2</v>
      </c>
      <c r="BJ326">
        <v>0.49517436315571001</v>
      </c>
    </row>
    <row r="327" spans="1:62" x14ac:dyDescent="0.3">
      <c r="A327" t="s">
        <v>215</v>
      </c>
      <c r="B327" s="12" t="s">
        <v>734</v>
      </c>
      <c r="C327" s="12"/>
      <c r="F327">
        <v>4.13</v>
      </c>
      <c r="G327" t="s">
        <v>258</v>
      </c>
      <c r="H327" s="8" t="s">
        <v>587</v>
      </c>
      <c r="I327" t="s">
        <v>636</v>
      </c>
      <c r="L327" s="20">
        <v>1</v>
      </c>
      <c r="M327">
        <v>1</v>
      </c>
      <c r="N327">
        <v>0</v>
      </c>
      <c r="T327" s="20">
        <v>3.950634</v>
      </c>
      <c r="U327" s="20">
        <v>3.950634</v>
      </c>
      <c r="V327" s="20">
        <v>15.513552000000001</v>
      </c>
      <c r="W327">
        <v>3.8658999999999999</v>
      </c>
      <c r="X327">
        <v>3.8658999999999999</v>
      </c>
      <c r="Y327">
        <v>15.2538</v>
      </c>
      <c r="Z327">
        <v>0</v>
      </c>
      <c r="AD327">
        <v>20</v>
      </c>
      <c r="AE327" s="44">
        <f t="shared" si="19"/>
        <v>0</v>
      </c>
      <c r="AF327" s="46">
        <v>242.1279024923125</v>
      </c>
      <c r="AG327" s="44">
        <v>227.970829547178</v>
      </c>
      <c r="AH327" s="44">
        <v>0</v>
      </c>
      <c r="AI327" s="41"/>
      <c r="AJ327" s="40">
        <v>8.2600971611006269E-2</v>
      </c>
      <c r="AK327" s="41">
        <v>8.7730522539775438E-2</v>
      </c>
      <c r="AL327" s="41"/>
      <c r="AM327" s="23">
        <v>1.9375</v>
      </c>
      <c r="AN327" s="23">
        <v>2.5</v>
      </c>
      <c r="AO327" s="23">
        <v>0.5625</v>
      </c>
      <c r="AP327" s="23">
        <v>2.625</v>
      </c>
      <c r="AQ327" s="23">
        <v>0.25409836065573771</v>
      </c>
      <c r="AR327" s="23">
        <v>0.32786885245901642</v>
      </c>
      <c r="AS327" s="23">
        <v>7.3770491803278687E-2</v>
      </c>
      <c r="AT327" s="23">
        <v>0.34426229508196721</v>
      </c>
      <c r="AU327" s="20">
        <v>0.79</v>
      </c>
      <c r="AV327" s="20">
        <v>3.44</v>
      </c>
      <c r="AW327" s="20">
        <v>2.65</v>
      </c>
      <c r="AX327" s="20">
        <v>2.6056249999999999</v>
      </c>
      <c r="AY327">
        <v>2.6056249999999999</v>
      </c>
      <c r="AZ327">
        <v>5.9703320286696879</v>
      </c>
      <c r="BA327" s="64">
        <v>0.52453741991489755</v>
      </c>
      <c r="BB327" s="64">
        <v>0.55711138795694093</v>
      </c>
      <c r="BE327">
        <v>4.1300485805503127E-2</v>
      </c>
      <c r="BF327">
        <v>4.3865261269887712E-2</v>
      </c>
      <c r="BH327">
        <v>8.5165747075390846E-2</v>
      </c>
      <c r="BI327">
        <v>4.2582873537695423E-2</v>
      </c>
      <c r="BJ327">
        <v>0.54082440393591924</v>
      </c>
    </row>
    <row r="328" spans="1:62" x14ac:dyDescent="0.3">
      <c r="A328" t="s">
        <v>259</v>
      </c>
      <c r="B328" s="16" t="s">
        <v>734</v>
      </c>
      <c r="C328" s="12"/>
      <c r="D328" t="s">
        <v>676</v>
      </c>
      <c r="E328">
        <v>0.3</v>
      </c>
      <c r="F328">
        <v>2.17</v>
      </c>
      <c r="G328" t="s">
        <v>258</v>
      </c>
      <c r="H328" s="8" t="s">
        <v>587</v>
      </c>
      <c r="I328" t="s">
        <v>636</v>
      </c>
      <c r="L328" s="20">
        <v>1</v>
      </c>
      <c r="M328">
        <v>1</v>
      </c>
      <c r="N328">
        <v>0</v>
      </c>
      <c r="T328" s="20">
        <v>3.950634</v>
      </c>
      <c r="U328" s="20">
        <v>3.950634</v>
      </c>
      <c r="V328" s="20">
        <v>15.513552000000001</v>
      </c>
      <c r="W328">
        <v>3.8658999999999999</v>
      </c>
      <c r="X328">
        <v>3.8658999999999999</v>
      </c>
      <c r="Y328">
        <v>15.2538</v>
      </c>
      <c r="Z328">
        <v>0</v>
      </c>
      <c r="AD328">
        <v>20</v>
      </c>
      <c r="AE328" s="44">
        <f t="shared" si="19"/>
        <v>0</v>
      </c>
      <c r="AF328" s="46">
        <v>242.1279024923125</v>
      </c>
      <c r="AG328" s="44">
        <v>227.970829547178</v>
      </c>
      <c r="AH328" s="44">
        <v>0</v>
      </c>
      <c r="AI328" s="41"/>
      <c r="AJ328" s="40">
        <v>8.2600971611006269E-2</v>
      </c>
      <c r="AK328" s="41">
        <v>8.7730522539775438E-2</v>
      </c>
      <c r="AL328" s="41"/>
      <c r="AM328" s="23">
        <v>1.9375</v>
      </c>
      <c r="AN328" s="23">
        <v>2.5</v>
      </c>
      <c r="AO328" s="23">
        <v>0.5625</v>
      </c>
      <c r="AP328" s="23">
        <v>2.625</v>
      </c>
      <c r="AQ328" s="23">
        <v>0.25409836065573771</v>
      </c>
      <c r="AR328" s="23">
        <v>0.32786885245901642</v>
      </c>
      <c r="AS328" s="23">
        <v>7.3770491803278687E-2</v>
      </c>
      <c r="AT328" s="23">
        <v>0.34426229508196721</v>
      </c>
      <c r="AU328" s="20">
        <v>0.79</v>
      </c>
      <c r="AV328" s="20">
        <v>3.44</v>
      </c>
      <c r="AW328" s="20">
        <v>2.65</v>
      </c>
      <c r="AX328" s="20">
        <v>2.6056249999999999</v>
      </c>
      <c r="AY328">
        <v>2.6056249999999999</v>
      </c>
      <c r="AZ328">
        <v>5.9703320286696879</v>
      </c>
      <c r="BA328" s="64">
        <v>0.52453741991489755</v>
      </c>
      <c r="BB328" s="64">
        <v>0.55711138795694093</v>
      </c>
      <c r="BE328">
        <v>4.1300485805503127E-2</v>
      </c>
      <c r="BF328">
        <v>4.3865261269887712E-2</v>
      </c>
      <c r="BH328">
        <v>8.5165747075390846E-2</v>
      </c>
      <c r="BI328">
        <v>4.2582873537695423E-2</v>
      </c>
      <c r="BJ328">
        <v>0.54082440393591924</v>
      </c>
    </row>
    <row r="329" spans="1:62" x14ac:dyDescent="0.3">
      <c r="A329" t="s">
        <v>4</v>
      </c>
      <c r="B329" s="12" t="s">
        <v>689</v>
      </c>
      <c r="C329" s="12"/>
      <c r="F329">
        <v>3.35</v>
      </c>
      <c r="G329" t="s">
        <v>260</v>
      </c>
      <c r="H329" s="8" t="s">
        <v>527</v>
      </c>
      <c r="I329" t="s">
        <v>609</v>
      </c>
      <c r="L329" s="20">
        <v>4</v>
      </c>
      <c r="M329">
        <v>4</v>
      </c>
      <c r="N329">
        <v>0</v>
      </c>
      <c r="T329" s="20">
        <v>7.8084429999999996</v>
      </c>
      <c r="U329" s="20">
        <v>7.8548809999999998</v>
      </c>
      <c r="V329" s="20">
        <v>15.19056011</v>
      </c>
      <c r="W329">
        <v>3.8801999999999999</v>
      </c>
      <c r="X329">
        <v>29.507999999999999</v>
      </c>
      <c r="Y329">
        <v>7.7140000000000004</v>
      </c>
      <c r="Z329">
        <v>0</v>
      </c>
      <c r="AD329">
        <v>20</v>
      </c>
      <c r="AE329" s="44">
        <f t="shared" si="19"/>
        <v>0</v>
      </c>
      <c r="AF329" s="46">
        <v>924.74694800021894</v>
      </c>
      <c r="AG329" s="44">
        <v>883.22940750240002</v>
      </c>
      <c r="AH329" s="44">
        <v>0</v>
      </c>
      <c r="AI329" s="41"/>
      <c r="AJ329" s="40">
        <v>8.6510153045653584E-2</v>
      </c>
      <c r="AK329" s="41">
        <v>9.0576694254581439E-2</v>
      </c>
      <c r="AL329" s="41"/>
      <c r="AM329" s="23">
        <v>1.75</v>
      </c>
      <c r="AN329" s="23">
        <v>2.5</v>
      </c>
      <c r="AO329" s="23">
        <v>0.75</v>
      </c>
      <c r="AP329" s="23">
        <v>0</v>
      </c>
      <c r="AQ329" s="23">
        <v>0.35</v>
      </c>
      <c r="AR329" s="23">
        <v>0.5</v>
      </c>
      <c r="AS329" s="23">
        <v>0.15</v>
      </c>
      <c r="AT329" s="23">
        <v>0</v>
      </c>
      <c r="AU329" s="20">
        <v>0.82</v>
      </c>
      <c r="AV329" s="20">
        <v>3.44</v>
      </c>
      <c r="AW329" s="20">
        <v>2.62</v>
      </c>
      <c r="AX329" s="20">
        <v>2.6262500000000002</v>
      </c>
      <c r="AY329">
        <v>2.6262500000000002</v>
      </c>
      <c r="AZ329">
        <v>5.96680968125</v>
      </c>
      <c r="BA329" s="64">
        <v>0.50555206026575039</v>
      </c>
      <c r="BB329" s="64">
        <v>0</v>
      </c>
      <c r="BE329">
        <v>4.3255076522826792E-2</v>
      </c>
      <c r="BF329">
        <v>4.5288347127290719E-2</v>
      </c>
      <c r="BH329">
        <v>8.8543423650117511E-2</v>
      </c>
      <c r="BI329">
        <v>4.4271711825058763E-2</v>
      </c>
      <c r="BJ329">
        <v>0.2527760301328752</v>
      </c>
    </row>
    <row r="330" spans="1:62" x14ac:dyDescent="0.3">
      <c r="A330" t="s">
        <v>38</v>
      </c>
      <c r="B330" s="12" t="s">
        <v>714</v>
      </c>
      <c r="C330" s="12"/>
      <c r="F330">
        <v>3.92</v>
      </c>
      <c r="G330" t="s">
        <v>261</v>
      </c>
      <c r="H330" s="8" t="s">
        <v>545</v>
      </c>
      <c r="I330" t="s">
        <v>626</v>
      </c>
      <c r="L330" s="20">
        <v>1</v>
      </c>
      <c r="M330">
        <v>1</v>
      </c>
      <c r="N330">
        <v>0</v>
      </c>
      <c r="T330" s="20">
        <v>5.8532381300000003</v>
      </c>
      <c r="U330" s="20">
        <v>5.8532371599999999</v>
      </c>
      <c r="V330" s="20">
        <v>11.912811489999999</v>
      </c>
      <c r="W330">
        <v>5.7946</v>
      </c>
      <c r="X330">
        <v>5.7946</v>
      </c>
      <c r="Y330">
        <v>11.787599999999999</v>
      </c>
      <c r="Z330">
        <v>0</v>
      </c>
      <c r="AD330">
        <v>30</v>
      </c>
      <c r="AE330" s="44">
        <f t="shared" si="19"/>
        <v>0</v>
      </c>
      <c r="AF330" s="46">
        <v>353.45760058531442</v>
      </c>
      <c r="AG330" s="44">
        <v>342.77011164986573</v>
      </c>
      <c r="AH330" s="44">
        <v>0</v>
      </c>
      <c r="AI330" s="41"/>
      <c r="AJ330" s="40">
        <v>8.487580957467307E-2</v>
      </c>
      <c r="AK330" s="41">
        <v>8.752221672887435E-2</v>
      </c>
      <c r="AL330" s="41"/>
      <c r="AM330" s="23">
        <v>1.833333333333333</v>
      </c>
      <c r="AN330" s="23">
        <v>2.5</v>
      </c>
      <c r="AO330" s="23">
        <v>0.66666666666666663</v>
      </c>
      <c r="AP330" s="23">
        <v>0</v>
      </c>
      <c r="AQ330" s="23">
        <v>0.36666666666666659</v>
      </c>
      <c r="AR330" s="23">
        <v>0.5</v>
      </c>
      <c r="AS330" s="23">
        <v>0.1333333333333333</v>
      </c>
      <c r="AT330" s="23">
        <v>0</v>
      </c>
      <c r="AU330" s="20">
        <v>0.89</v>
      </c>
      <c r="AV330" s="20">
        <v>3.44</v>
      </c>
      <c r="AW330" s="20">
        <v>2.5499999999999998</v>
      </c>
      <c r="AX330" s="20">
        <v>2.6020833333333329</v>
      </c>
      <c r="AY330">
        <v>2.6020833333333329</v>
      </c>
      <c r="AZ330">
        <v>5.9098726145833336</v>
      </c>
      <c r="BA330" s="64">
        <v>0.57410011132036598</v>
      </c>
      <c r="BB330" s="64">
        <v>0.59200041353179045</v>
      </c>
      <c r="BE330">
        <v>4.2437904787336528E-2</v>
      </c>
      <c r="BF330">
        <v>4.3761108364437168E-2</v>
      </c>
      <c r="BH330">
        <v>8.619901315177371E-2</v>
      </c>
      <c r="BI330">
        <v>4.3099506575886848E-2</v>
      </c>
      <c r="BJ330">
        <v>0.58305026242607827</v>
      </c>
    </row>
    <row r="331" spans="1:62" x14ac:dyDescent="0.3">
      <c r="A331" t="s">
        <v>4</v>
      </c>
      <c r="B331" s="19" t="s">
        <v>689</v>
      </c>
      <c r="C331" s="12"/>
      <c r="F331">
        <v>3.55</v>
      </c>
      <c r="G331" t="s">
        <v>263</v>
      </c>
      <c r="H331" s="8">
        <v>-1</v>
      </c>
      <c r="I331">
        <v>-1</v>
      </c>
      <c r="K331">
        <v>4</v>
      </c>
      <c r="L331" s="20">
        <v>0</v>
      </c>
      <c r="M331">
        <v>0</v>
      </c>
      <c r="N331">
        <v>0</v>
      </c>
      <c r="O331">
        <v>3.8450000000000002</v>
      </c>
      <c r="P331">
        <v>29.35</v>
      </c>
      <c r="Q331">
        <v>7.6580000000000004</v>
      </c>
      <c r="R331" t="s">
        <v>472</v>
      </c>
      <c r="T331" s="20">
        <v>0</v>
      </c>
      <c r="U331" s="20"/>
      <c r="V331" s="20"/>
      <c r="W331">
        <v>0</v>
      </c>
      <c r="Z331">
        <v>0</v>
      </c>
      <c r="AD331">
        <v>20</v>
      </c>
      <c r="AE331" s="44">
        <f t="shared" si="19"/>
        <v>864.21104350000007</v>
      </c>
      <c r="AF331" s="46">
        <v>0</v>
      </c>
      <c r="AG331" s="44">
        <v>0</v>
      </c>
      <c r="AH331" s="44">
        <v>0</v>
      </c>
      <c r="AI331" s="41">
        <f t="shared" ref="AI331:AI332" si="20">K331*AD331/AE331</f>
        <v>9.256998114257492E-2</v>
      </c>
      <c r="AJ331" s="40"/>
      <c r="AK331" s="41"/>
      <c r="AL331" s="41"/>
      <c r="AM331" s="23">
        <v>1.75</v>
      </c>
      <c r="AN331" s="23">
        <v>2.5</v>
      </c>
      <c r="AO331" s="23">
        <v>0.75</v>
      </c>
      <c r="AP331" s="23">
        <v>0</v>
      </c>
      <c r="AQ331" s="23">
        <v>0.35</v>
      </c>
      <c r="AR331" s="23">
        <v>0.5</v>
      </c>
      <c r="AS331" s="23">
        <v>0.15</v>
      </c>
      <c r="AT331" s="23">
        <v>0</v>
      </c>
      <c r="AU331" s="20">
        <v>0.82</v>
      </c>
      <c r="AV331" s="20">
        <v>3.44</v>
      </c>
      <c r="AW331" s="20">
        <v>2.62</v>
      </c>
      <c r="AX331" s="20">
        <v>2.6262500000000002</v>
      </c>
      <c r="AY331">
        <v>2.7466666666666661</v>
      </c>
      <c r="AZ331">
        <v>6.2031928980000002</v>
      </c>
      <c r="BD331">
        <v>4.628499057128746E-2</v>
      </c>
      <c r="BH331">
        <v>9.256998114257492E-2</v>
      </c>
      <c r="BI331">
        <v>4.628499057128746E-2</v>
      </c>
      <c r="BJ331">
        <v>0</v>
      </c>
    </row>
    <row r="332" spans="1:62" x14ac:dyDescent="0.3">
      <c r="A332" t="s">
        <v>4</v>
      </c>
      <c r="B332" s="19" t="s">
        <v>689</v>
      </c>
      <c r="C332" s="12"/>
      <c r="D332" t="s">
        <v>676</v>
      </c>
      <c r="E332">
        <v>1.37</v>
      </c>
      <c r="F332">
        <v>3.03</v>
      </c>
      <c r="G332" t="s">
        <v>263</v>
      </c>
      <c r="H332" s="8">
        <v>-1</v>
      </c>
      <c r="I332">
        <v>-1</v>
      </c>
      <c r="K332">
        <v>4</v>
      </c>
      <c r="L332" s="20">
        <v>0</v>
      </c>
      <c r="M332">
        <v>0</v>
      </c>
      <c r="N332">
        <v>0</v>
      </c>
      <c r="O332">
        <v>3.8490000000000002</v>
      </c>
      <c r="P332">
        <v>29.42</v>
      </c>
      <c r="Q332">
        <v>7.6680000000000001</v>
      </c>
      <c r="R332" t="s">
        <v>472</v>
      </c>
      <c r="T332" s="20">
        <v>0</v>
      </c>
      <c r="U332" s="20"/>
      <c r="V332" s="20"/>
      <c r="W332">
        <v>0</v>
      </c>
      <c r="Z332">
        <v>0</v>
      </c>
      <c r="AD332">
        <v>20</v>
      </c>
      <c r="AE332" s="44">
        <f t="shared" si="19"/>
        <v>868.30576344000008</v>
      </c>
      <c r="AF332" s="46">
        <v>0</v>
      </c>
      <c r="AG332" s="44">
        <v>0</v>
      </c>
      <c r="AH332" s="44">
        <v>0</v>
      </c>
      <c r="AI332" s="41">
        <f t="shared" si="20"/>
        <v>9.2133443503888482E-2</v>
      </c>
      <c r="AJ332" s="40"/>
      <c r="AK332" s="41"/>
      <c r="AL332" s="41"/>
      <c r="AM332" s="23">
        <v>1.75</v>
      </c>
      <c r="AN332" s="23">
        <v>2.5</v>
      </c>
      <c r="AO332" s="23">
        <v>0.75</v>
      </c>
      <c r="AP332" s="23">
        <v>0</v>
      </c>
      <c r="AQ332" s="23">
        <v>0.35</v>
      </c>
      <c r="AR332" s="23">
        <v>0.5</v>
      </c>
      <c r="AS332" s="23">
        <v>0.15</v>
      </c>
      <c r="AT332" s="23">
        <v>0</v>
      </c>
      <c r="AU332" s="20">
        <v>0.82</v>
      </c>
      <c r="AV332" s="20">
        <v>3.44</v>
      </c>
      <c r="AW332" s="20">
        <v>2.62</v>
      </c>
      <c r="AX332" s="20">
        <v>2.6262500000000002</v>
      </c>
      <c r="AY332">
        <v>2.7466666666666661</v>
      </c>
      <c r="AZ332">
        <v>6.2031928980000002</v>
      </c>
      <c r="BD332">
        <v>4.6066721751944241E-2</v>
      </c>
      <c r="BH332">
        <v>9.2133443503888482E-2</v>
      </c>
      <c r="BI332">
        <v>4.6066721751944241E-2</v>
      </c>
      <c r="BJ332">
        <v>0</v>
      </c>
    </row>
    <row r="333" spans="1:62" x14ac:dyDescent="0.3">
      <c r="A333" t="s">
        <v>889</v>
      </c>
      <c r="B333" s="16" t="s">
        <v>945</v>
      </c>
      <c r="C333" s="12"/>
      <c r="D333" t="s">
        <v>676</v>
      </c>
      <c r="E333">
        <v>0.41</v>
      </c>
      <c r="F333">
        <v>2.1800000000000002</v>
      </c>
      <c r="G333" t="s">
        <v>264</v>
      </c>
      <c r="H333" s="8">
        <v>-1</v>
      </c>
      <c r="I333">
        <v>-1</v>
      </c>
      <c r="J333" t="s">
        <v>1174</v>
      </c>
      <c r="K333">
        <v>1</v>
      </c>
      <c r="L333" s="20">
        <v>0</v>
      </c>
      <c r="M333">
        <v>0</v>
      </c>
      <c r="N333">
        <v>1</v>
      </c>
      <c r="O333">
        <v>3.899</v>
      </c>
      <c r="P333">
        <v>3.899</v>
      </c>
      <c r="Q333">
        <v>15.5359</v>
      </c>
      <c r="T333" s="20">
        <v>0</v>
      </c>
      <c r="U333" s="20"/>
      <c r="V333" s="20"/>
      <c r="W333">
        <v>0</v>
      </c>
      <c r="Z333">
        <v>0</v>
      </c>
      <c r="AD333">
        <v>20</v>
      </c>
      <c r="AE333" s="44">
        <f t="shared" si="19"/>
        <v>236.1798745159</v>
      </c>
      <c r="AF333" s="46">
        <v>0</v>
      </c>
      <c r="AG333" s="44">
        <v>0</v>
      </c>
      <c r="AH333" s="44">
        <v>236.2</v>
      </c>
      <c r="AI333" s="41"/>
      <c r="AJ333" s="40"/>
      <c r="AK333" s="41"/>
      <c r="AL333" s="56">
        <f>N333*AD333/AH333</f>
        <v>8.4674005080440304E-2</v>
      </c>
      <c r="AM333" s="23">
        <v>1.9375</v>
      </c>
      <c r="AN333" s="23">
        <v>2.5</v>
      </c>
      <c r="AO333" s="23">
        <v>0.5625</v>
      </c>
      <c r="AP333" s="23">
        <v>2.625</v>
      </c>
      <c r="AQ333" s="23">
        <v>0.25409836065573771</v>
      </c>
      <c r="AR333" s="23">
        <v>0.32786885245901642</v>
      </c>
      <c r="AS333" s="23">
        <v>7.3770491803278687E-2</v>
      </c>
      <c r="AT333" s="23">
        <v>0.34426229508196721</v>
      </c>
      <c r="AU333" s="20">
        <v>0.79</v>
      </c>
      <c r="AV333" s="20">
        <v>3.44</v>
      </c>
      <c r="AW333" s="20">
        <v>2.65</v>
      </c>
      <c r="AX333" s="20">
        <v>2.5975000000000001</v>
      </c>
      <c r="AY333">
        <v>2.5975000000000001</v>
      </c>
      <c r="AZ333">
        <v>5.9398049203884389</v>
      </c>
      <c r="BC333" s="64">
        <v>0.56677800513792698</v>
      </c>
      <c r="BD333">
        <v>4.2340610183221959E-2</v>
      </c>
      <c r="BG333">
        <v>4.2337002540220152E-2</v>
      </c>
      <c r="BH333">
        <v>8.4674005080440304E-2</v>
      </c>
      <c r="BI333">
        <v>4.2338806361721062E-2</v>
      </c>
      <c r="BJ333">
        <v>0.56677800513792698</v>
      </c>
    </row>
    <row r="334" spans="1:62" x14ac:dyDescent="0.3">
      <c r="A334" t="s">
        <v>4</v>
      </c>
      <c r="B334" s="12" t="s">
        <v>689</v>
      </c>
      <c r="C334" s="12"/>
      <c r="D334" t="s">
        <v>890</v>
      </c>
      <c r="E334">
        <v>0.55000000000000004</v>
      </c>
      <c r="F334">
        <v>2.92</v>
      </c>
      <c r="G334" t="s">
        <v>265</v>
      </c>
      <c r="H334" s="8" t="s">
        <v>527</v>
      </c>
      <c r="I334" t="s">
        <v>609</v>
      </c>
      <c r="L334" s="20">
        <v>4</v>
      </c>
      <c r="M334">
        <v>4</v>
      </c>
      <c r="N334">
        <v>0</v>
      </c>
      <c r="T334" s="20">
        <v>7.8084429999999996</v>
      </c>
      <c r="U334" s="20">
        <v>7.8548809999999998</v>
      </c>
      <c r="V334" s="20">
        <v>15.19056011</v>
      </c>
      <c r="W334">
        <v>3.8801999999999999</v>
      </c>
      <c r="X334">
        <v>29.507999999999999</v>
      </c>
      <c r="Y334">
        <v>7.7140000000000004</v>
      </c>
      <c r="Z334">
        <v>0</v>
      </c>
      <c r="AD334">
        <v>20</v>
      </c>
      <c r="AE334" s="44">
        <f t="shared" si="19"/>
        <v>0</v>
      </c>
      <c r="AF334" s="46">
        <v>924.74694800021894</v>
      </c>
      <c r="AG334" s="44">
        <v>883.22940750240002</v>
      </c>
      <c r="AH334" s="44">
        <v>0</v>
      </c>
      <c r="AI334" s="41"/>
      <c r="AJ334" s="40">
        <v>8.6510153045653584E-2</v>
      </c>
      <c r="AK334" s="41">
        <v>9.0576694254581439E-2</v>
      </c>
      <c r="AL334" s="41"/>
      <c r="AM334" s="23">
        <v>1.75</v>
      </c>
      <c r="AN334" s="23">
        <v>2.5</v>
      </c>
      <c r="AO334" s="23">
        <v>0.75</v>
      </c>
      <c r="AP334" s="23">
        <v>0</v>
      </c>
      <c r="AQ334" s="23">
        <v>0.35</v>
      </c>
      <c r="AR334" s="23">
        <v>0.5</v>
      </c>
      <c r="AS334" s="23">
        <v>0.15</v>
      </c>
      <c r="AT334" s="23">
        <v>0</v>
      </c>
      <c r="AU334" s="20">
        <v>0.82</v>
      </c>
      <c r="AV334" s="20">
        <v>3.44</v>
      </c>
      <c r="AW334" s="20">
        <v>2.62</v>
      </c>
      <c r="AX334" s="20">
        <v>2.6262500000000002</v>
      </c>
      <c r="AY334">
        <v>2.6262500000000002</v>
      </c>
      <c r="AZ334">
        <v>5.96680968125</v>
      </c>
      <c r="BA334" s="64">
        <v>0.50555206026575039</v>
      </c>
      <c r="BB334" s="64">
        <v>0</v>
      </c>
      <c r="BE334">
        <v>4.3255076522826792E-2</v>
      </c>
      <c r="BF334">
        <v>4.5288347127290719E-2</v>
      </c>
      <c r="BH334">
        <v>8.8543423650117511E-2</v>
      </c>
      <c r="BI334">
        <v>4.4271711825058763E-2</v>
      </c>
      <c r="BJ334">
        <v>0.2527760301328752</v>
      </c>
    </row>
    <row r="335" spans="1:62" x14ac:dyDescent="0.3">
      <c r="A335" t="s">
        <v>4</v>
      </c>
      <c r="B335" s="12" t="s">
        <v>689</v>
      </c>
      <c r="C335" s="12"/>
      <c r="F335">
        <v>3.55</v>
      </c>
      <c r="G335" t="s">
        <v>265</v>
      </c>
      <c r="H335" s="8" t="s">
        <v>527</v>
      </c>
      <c r="I335" t="s">
        <v>609</v>
      </c>
      <c r="L335" s="20">
        <v>4</v>
      </c>
      <c r="M335">
        <v>4</v>
      </c>
      <c r="N335">
        <v>0</v>
      </c>
      <c r="T335" s="20">
        <v>7.8084429999999996</v>
      </c>
      <c r="U335" s="20">
        <v>7.8548809999999998</v>
      </c>
      <c r="V335" s="20">
        <v>15.19056011</v>
      </c>
      <c r="W335">
        <v>3.8801999999999999</v>
      </c>
      <c r="X335">
        <v>29.507999999999999</v>
      </c>
      <c r="Y335">
        <v>7.7140000000000004</v>
      </c>
      <c r="Z335">
        <v>0</v>
      </c>
      <c r="AD335">
        <v>20</v>
      </c>
      <c r="AE335" s="44">
        <f t="shared" si="19"/>
        <v>0</v>
      </c>
      <c r="AF335" s="46">
        <v>924.74694800021894</v>
      </c>
      <c r="AG335" s="44">
        <v>883.22940750240002</v>
      </c>
      <c r="AH335" s="44">
        <v>0</v>
      </c>
      <c r="AI335" s="41"/>
      <c r="AJ335" s="40">
        <v>8.6510153045653584E-2</v>
      </c>
      <c r="AK335" s="41">
        <v>9.0576694254581439E-2</v>
      </c>
      <c r="AL335" s="41"/>
      <c r="AM335" s="23">
        <v>1.75</v>
      </c>
      <c r="AN335" s="23">
        <v>2.5</v>
      </c>
      <c r="AO335" s="23">
        <v>0.75</v>
      </c>
      <c r="AP335" s="23">
        <v>0</v>
      </c>
      <c r="AQ335" s="23">
        <v>0.35</v>
      </c>
      <c r="AR335" s="23">
        <v>0.5</v>
      </c>
      <c r="AS335" s="23">
        <v>0.15</v>
      </c>
      <c r="AT335" s="23">
        <v>0</v>
      </c>
      <c r="AU335" s="20">
        <v>0.82</v>
      </c>
      <c r="AV335" s="20">
        <v>3.44</v>
      </c>
      <c r="AW335" s="20">
        <v>2.62</v>
      </c>
      <c r="AX335" s="20">
        <v>2.6262500000000002</v>
      </c>
      <c r="AY335">
        <v>2.6262500000000002</v>
      </c>
      <c r="AZ335">
        <v>5.96680968125</v>
      </c>
      <c r="BA335" s="64">
        <v>0.50555206026575039</v>
      </c>
      <c r="BB335" s="64">
        <v>0</v>
      </c>
      <c r="BE335">
        <v>4.3255076522826792E-2</v>
      </c>
      <c r="BF335">
        <v>4.5288347127290719E-2</v>
      </c>
      <c r="BH335">
        <v>8.8543423650117511E-2</v>
      </c>
      <c r="BI335">
        <v>4.4271711825058763E-2</v>
      </c>
      <c r="BJ335">
        <v>0.2527760301328752</v>
      </c>
    </row>
    <row r="336" spans="1:62" x14ac:dyDescent="0.3">
      <c r="A336" t="s">
        <v>266</v>
      </c>
      <c r="B336" s="12" t="s">
        <v>819</v>
      </c>
      <c r="C336" s="12"/>
      <c r="F336">
        <v>2.8</v>
      </c>
      <c r="G336" t="s">
        <v>267</v>
      </c>
      <c r="H336" s="8" t="s">
        <v>596</v>
      </c>
      <c r="I336" t="s">
        <v>669</v>
      </c>
      <c r="L336" s="20">
        <v>1</v>
      </c>
      <c r="M336">
        <v>1</v>
      </c>
      <c r="N336">
        <v>0</v>
      </c>
      <c r="O336">
        <v>3.97</v>
      </c>
      <c r="P336">
        <v>3.97</v>
      </c>
      <c r="Q336">
        <v>15.56</v>
      </c>
      <c r="R336" t="s">
        <v>519</v>
      </c>
      <c r="T336" s="20">
        <v>4.0290549999999996</v>
      </c>
      <c r="U336" s="20">
        <v>4.0290549999999996</v>
      </c>
      <c r="V336" s="20">
        <v>16.069894999999999</v>
      </c>
      <c r="W336">
        <v>3.9765999999999999</v>
      </c>
      <c r="X336">
        <v>3.9765999999999999</v>
      </c>
      <c r="Y336">
        <v>15.5792</v>
      </c>
      <c r="Z336">
        <v>0</v>
      </c>
      <c r="AD336">
        <v>20</v>
      </c>
      <c r="AE336" s="44">
        <f t="shared" si="19"/>
        <v>245.23960400000001</v>
      </c>
      <c r="AF336" s="46">
        <v>260.8671724870714</v>
      </c>
      <c r="AG336" s="44">
        <v>246.35930430675199</v>
      </c>
      <c r="AH336" s="44">
        <v>0</v>
      </c>
      <c r="AI336" s="41"/>
      <c r="AJ336" s="40">
        <v>7.6667369869971663E-2</v>
      </c>
      <c r="AK336" s="41">
        <v>8.1182239316186677E-2</v>
      </c>
      <c r="AL336" s="41"/>
      <c r="AM336" s="23">
        <v>1.75</v>
      </c>
      <c r="AN336" s="23">
        <v>2.5</v>
      </c>
      <c r="AO336" s="23">
        <v>0.75</v>
      </c>
      <c r="AP336" s="23">
        <v>0</v>
      </c>
      <c r="AQ336" s="23">
        <v>0.35</v>
      </c>
      <c r="AR336" s="23">
        <v>0.5</v>
      </c>
      <c r="AS336" s="23">
        <v>0.15</v>
      </c>
      <c r="AT336" s="23">
        <v>0</v>
      </c>
      <c r="AU336" s="20">
        <v>0.79</v>
      </c>
      <c r="AV336" s="20">
        <v>3.44</v>
      </c>
      <c r="AW336" s="20">
        <v>2.65</v>
      </c>
      <c r="AX336" s="20">
        <v>2.6106250000000002</v>
      </c>
      <c r="AY336">
        <v>2.6106250000000002</v>
      </c>
      <c r="AZ336">
        <v>5.9030778492946876</v>
      </c>
      <c r="BA336" s="64">
        <v>0.54551133687670861</v>
      </c>
      <c r="BB336" s="64">
        <v>0.57763598744977085</v>
      </c>
      <c r="BE336">
        <v>3.8333684934985832E-2</v>
      </c>
      <c r="BF336">
        <v>4.0591119658093339E-2</v>
      </c>
      <c r="BH336">
        <v>7.892480459307917E-2</v>
      </c>
      <c r="BI336">
        <v>3.9462402296539592E-2</v>
      </c>
      <c r="BJ336">
        <v>0.56157366216323967</v>
      </c>
    </row>
    <row r="337" spans="1:62" x14ac:dyDescent="0.3">
      <c r="A337" t="s">
        <v>268</v>
      </c>
      <c r="B337" s="12" t="s">
        <v>820</v>
      </c>
      <c r="C337" s="12"/>
      <c r="F337">
        <v>2.8</v>
      </c>
      <c r="G337" t="s">
        <v>267</v>
      </c>
      <c r="H337" s="8">
        <v>-1</v>
      </c>
      <c r="I337">
        <v>-1</v>
      </c>
      <c r="K337">
        <v>1</v>
      </c>
      <c r="L337" s="20">
        <v>0</v>
      </c>
      <c r="M337">
        <v>0</v>
      </c>
      <c r="N337">
        <v>0</v>
      </c>
      <c r="O337">
        <v>3.97</v>
      </c>
      <c r="P337">
        <v>3.97</v>
      </c>
      <c r="Q337">
        <v>15.56</v>
      </c>
      <c r="R337" t="s">
        <v>519</v>
      </c>
      <c r="T337" s="20">
        <v>0</v>
      </c>
      <c r="U337" s="20"/>
      <c r="V337" s="20"/>
      <c r="W337">
        <v>0</v>
      </c>
      <c r="Z337">
        <v>0</v>
      </c>
      <c r="AD337">
        <v>20</v>
      </c>
      <c r="AE337" s="44">
        <f t="shared" si="19"/>
        <v>245.23960400000001</v>
      </c>
      <c r="AF337" s="46">
        <v>0</v>
      </c>
      <c r="AG337" s="44">
        <v>0</v>
      </c>
      <c r="AH337" s="44">
        <v>0</v>
      </c>
      <c r="AI337" s="41">
        <f t="shared" ref="AI337:AI350" si="21">K337*AD337/AE337</f>
        <v>8.1552896325831611E-2</v>
      </c>
      <c r="AJ337" s="40"/>
      <c r="AK337" s="41"/>
      <c r="AL337" s="41"/>
      <c r="AM337" s="23">
        <v>1.75</v>
      </c>
      <c r="AN337" s="23">
        <v>2.5</v>
      </c>
      <c r="AO337" s="23">
        <v>0.75</v>
      </c>
      <c r="AP337" s="23">
        <v>0</v>
      </c>
      <c r="AQ337" s="23">
        <v>0.35</v>
      </c>
      <c r="AR337" s="23">
        <v>0.5</v>
      </c>
      <c r="AS337" s="23">
        <v>0.15</v>
      </c>
      <c r="AT337" s="23">
        <v>0</v>
      </c>
      <c r="AU337" s="20">
        <v>0.89</v>
      </c>
      <c r="AV337" s="20">
        <v>3.44</v>
      </c>
      <c r="AW337" s="20">
        <v>2.5499999999999998</v>
      </c>
      <c r="AX337" s="20">
        <v>2.69875</v>
      </c>
      <c r="AY337">
        <v>2.69875</v>
      </c>
      <c r="AZ337">
        <v>6.2151871187406877</v>
      </c>
      <c r="BD337">
        <v>4.0776448162915813E-2</v>
      </c>
      <c r="BH337">
        <v>8.1552896325831611E-2</v>
      </c>
      <c r="BI337">
        <v>4.0776448162915813E-2</v>
      </c>
      <c r="BJ337">
        <v>0</v>
      </c>
    </row>
    <row r="338" spans="1:62" x14ac:dyDescent="0.3">
      <c r="A338" t="s">
        <v>270</v>
      </c>
      <c r="B338" s="17" t="s">
        <v>977</v>
      </c>
      <c r="C338" s="12"/>
      <c r="F338">
        <v>3.29</v>
      </c>
      <c r="G338" t="s">
        <v>269</v>
      </c>
      <c r="H338" s="8">
        <v>-1</v>
      </c>
      <c r="I338">
        <v>-1</v>
      </c>
      <c r="K338">
        <v>1</v>
      </c>
      <c r="L338" s="20">
        <v>0</v>
      </c>
      <c r="M338">
        <v>0</v>
      </c>
      <c r="N338">
        <v>0</v>
      </c>
      <c r="O338">
        <v>3.89</v>
      </c>
      <c r="P338">
        <v>3.89</v>
      </c>
      <c r="Q338">
        <v>16.43</v>
      </c>
      <c r="R338" t="s">
        <v>519</v>
      </c>
      <c r="T338" s="20">
        <v>0</v>
      </c>
      <c r="U338" s="20"/>
      <c r="V338" s="20"/>
      <c r="W338">
        <v>0</v>
      </c>
      <c r="Z338">
        <v>0</v>
      </c>
      <c r="AD338">
        <v>38</v>
      </c>
      <c r="AE338" s="44">
        <f t="shared" si="19"/>
        <v>248.62040300000001</v>
      </c>
      <c r="AF338" s="46">
        <v>0</v>
      </c>
      <c r="AG338" s="44">
        <v>0</v>
      </c>
      <c r="AH338" s="44">
        <v>0</v>
      </c>
      <c r="AI338" s="41">
        <f t="shared" si="21"/>
        <v>0.15284344945736411</v>
      </c>
      <c r="AJ338" s="40"/>
      <c r="AK338" s="41"/>
      <c r="AL338" s="41"/>
      <c r="AM338" s="23">
        <v>1.84</v>
      </c>
      <c r="AN338" s="23">
        <v>3.04</v>
      </c>
      <c r="AO338" s="23">
        <v>0.48</v>
      </c>
      <c r="AP338" s="23">
        <v>0</v>
      </c>
      <c r="AQ338" s="23">
        <v>0.34328358208955218</v>
      </c>
      <c r="AR338" s="23">
        <v>0.56716417910447758</v>
      </c>
      <c r="AS338" s="23">
        <v>8.9552238805970144E-2</v>
      </c>
      <c r="AT338" s="23">
        <v>0</v>
      </c>
      <c r="AU338" s="20">
        <v>0.95</v>
      </c>
      <c r="AV338" s="20">
        <v>3.44</v>
      </c>
      <c r="AW338" s="20">
        <v>2.4900000000000002</v>
      </c>
      <c r="AX338" s="20">
        <v>2.9704000000000002</v>
      </c>
      <c r="AY338">
        <v>2.9704000000000002</v>
      </c>
      <c r="AZ338">
        <v>6.7075943239940399</v>
      </c>
      <c r="BD338">
        <v>7.6421724728682056E-2</v>
      </c>
      <c r="BH338">
        <v>0.15284344945736411</v>
      </c>
      <c r="BI338">
        <v>7.6421724728682056E-2</v>
      </c>
      <c r="BJ338">
        <v>0</v>
      </c>
    </row>
    <row r="339" spans="1:62" x14ac:dyDescent="0.3">
      <c r="A339" t="s">
        <v>271</v>
      </c>
      <c r="B339" s="17" t="s">
        <v>978</v>
      </c>
      <c r="C339" s="12"/>
      <c r="F339">
        <v>3.29</v>
      </c>
      <c r="G339" t="s">
        <v>269</v>
      </c>
      <c r="H339" s="8">
        <v>-1</v>
      </c>
      <c r="I339">
        <v>-1</v>
      </c>
      <c r="K339">
        <v>1</v>
      </c>
      <c r="L339" s="20">
        <v>0</v>
      </c>
      <c r="M339">
        <v>0</v>
      </c>
      <c r="N339">
        <v>0</v>
      </c>
      <c r="O339">
        <v>3.9</v>
      </c>
      <c r="P339">
        <v>3.9</v>
      </c>
      <c r="Q339">
        <v>16.54</v>
      </c>
      <c r="R339" t="s">
        <v>519</v>
      </c>
      <c r="T339" s="20">
        <v>0</v>
      </c>
      <c r="U339" s="20"/>
      <c r="V339" s="20"/>
      <c r="W339">
        <v>0</v>
      </c>
      <c r="Z339">
        <v>0</v>
      </c>
      <c r="AD339">
        <v>38</v>
      </c>
      <c r="AE339" s="44">
        <f t="shared" si="19"/>
        <v>251.57339999999996</v>
      </c>
      <c r="AF339" s="46">
        <v>0</v>
      </c>
      <c r="AG339" s="44">
        <v>0</v>
      </c>
      <c r="AH339" s="44">
        <v>0</v>
      </c>
      <c r="AI339" s="41">
        <f t="shared" si="21"/>
        <v>0.15104935577449766</v>
      </c>
      <c r="AJ339" s="40"/>
      <c r="AK339" s="41"/>
      <c r="AL339" s="41"/>
      <c r="AM339" s="23">
        <v>1.71875</v>
      </c>
      <c r="AN339" s="23">
        <v>2.53125</v>
      </c>
      <c r="AO339" s="23">
        <v>0.375</v>
      </c>
      <c r="AP339" s="23">
        <v>0</v>
      </c>
      <c r="AQ339" s="23">
        <v>0.3716216216216216</v>
      </c>
      <c r="AR339" s="23">
        <v>0.54729729729729726</v>
      </c>
      <c r="AS339" s="23">
        <v>8.1081081081081086E-2</v>
      </c>
      <c r="AT339" s="23">
        <v>0</v>
      </c>
      <c r="AU339" s="20">
        <v>0.95</v>
      </c>
      <c r="AV339" s="20">
        <v>3.44</v>
      </c>
      <c r="AW339" s="20">
        <v>2.4900000000000002</v>
      </c>
      <c r="AX339" s="20">
        <v>2.8390624999999998</v>
      </c>
      <c r="AY339">
        <v>2.8390624999999998</v>
      </c>
      <c r="AZ339">
        <v>6.7833032939095634</v>
      </c>
      <c r="BD339">
        <v>7.5524677887248828E-2</v>
      </c>
      <c r="BH339">
        <v>0.15104935577449771</v>
      </c>
      <c r="BI339">
        <v>7.5524677887248828E-2</v>
      </c>
      <c r="BJ339">
        <v>0</v>
      </c>
    </row>
    <row r="340" spans="1:62" x14ac:dyDescent="0.3">
      <c r="A340" t="s">
        <v>272</v>
      </c>
      <c r="B340" s="17" t="s">
        <v>983</v>
      </c>
      <c r="C340" s="12"/>
      <c r="F340">
        <v>3.3</v>
      </c>
      <c r="G340" t="s">
        <v>269</v>
      </c>
      <c r="H340" s="8">
        <v>-1</v>
      </c>
      <c r="I340">
        <v>-1</v>
      </c>
      <c r="K340">
        <v>1</v>
      </c>
      <c r="L340" s="20">
        <v>0</v>
      </c>
      <c r="M340">
        <v>0</v>
      </c>
      <c r="N340">
        <v>0</v>
      </c>
      <c r="O340">
        <v>3.9</v>
      </c>
      <c r="P340">
        <v>3.9</v>
      </c>
      <c r="Q340">
        <v>20.78</v>
      </c>
      <c r="R340" t="s">
        <v>519</v>
      </c>
      <c r="T340" s="20">
        <v>0</v>
      </c>
      <c r="U340" s="20"/>
      <c r="V340" s="20"/>
      <c r="W340">
        <v>0</v>
      </c>
      <c r="Z340">
        <v>0</v>
      </c>
      <c r="AD340">
        <v>38</v>
      </c>
      <c r="AE340" s="44">
        <f t="shared" si="19"/>
        <v>316.06380000000001</v>
      </c>
      <c r="AF340" s="46">
        <v>0</v>
      </c>
      <c r="AG340" s="44">
        <v>0</v>
      </c>
      <c r="AH340" s="44">
        <v>0</v>
      </c>
      <c r="AI340" s="41">
        <f t="shared" si="21"/>
        <v>0.12022889049615931</v>
      </c>
      <c r="AJ340" s="40"/>
      <c r="AK340" s="41"/>
      <c r="AL340" s="41"/>
      <c r="AM340" s="23">
        <v>1.6857142857142859</v>
      </c>
      <c r="AN340" s="23">
        <v>2.371428571428571</v>
      </c>
      <c r="AO340" s="23">
        <v>0.34285714285714292</v>
      </c>
      <c r="AP340" s="23">
        <v>0</v>
      </c>
      <c r="AQ340" s="23">
        <v>0.38311688311688308</v>
      </c>
      <c r="AR340" s="23">
        <v>0.53896103896103897</v>
      </c>
      <c r="AS340" s="23">
        <v>7.792207792207792E-2</v>
      </c>
      <c r="AT340" s="23">
        <v>0</v>
      </c>
      <c r="AU340" s="20">
        <v>0.95</v>
      </c>
      <c r="AV340" s="20">
        <v>3.44</v>
      </c>
      <c r="AW340" s="20">
        <v>2.4900000000000002</v>
      </c>
      <c r="AX340" s="20">
        <v>2.794285714285714</v>
      </c>
      <c r="AY340">
        <v>2.794285714285714</v>
      </c>
      <c r="AZ340">
        <v>6.7908553945945132</v>
      </c>
      <c r="BD340">
        <v>6.0114445248079663E-2</v>
      </c>
      <c r="BH340">
        <v>0.1202288904961593</v>
      </c>
      <c r="BI340">
        <v>6.0114445248079663E-2</v>
      </c>
      <c r="BJ340">
        <v>0</v>
      </c>
    </row>
    <row r="341" spans="1:62" x14ac:dyDescent="0.3">
      <c r="A341" t="s">
        <v>273</v>
      </c>
      <c r="B341" s="17" t="s">
        <v>982</v>
      </c>
      <c r="C341" s="12"/>
      <c r="F341">
        <v>3.31</v>
      </c>
      <c r="G341" t="s">
        <v>269</v>
      </c>
      <c r="H341" s="8">
        <v>-1</v>
      </c>
      <c r="I341">
        <v>-1</v>
      </c>
      <c r="K341">
        <v>1</v>
      </c>
      <c r="L341" s="20">
        <v>0</v>
      </c>
      <c r="M341">
        <v>0</v>
      </c>
      <c r="N341">
        <v>0</v>
      </c>
      <c r="O341">
        <v>3.89</v>
      </c>
      <c r="P341">
        <v>3.89</v>
      </c>
      <c r="Q341">
        <v>22.41</v>
      </c>
      <c r="R341" t="s">
        <v>519</v>
      </c>
      <c r="T341" s="20">
        <v>0</v>
      </c>
      <c r="U341" s="20"/>
      <c r="V341" s="20"/>
      <c r="W341">
        <v>0</v>
      </c>
      <c r="Z341">
        <v>0</v>
      </c>
      <c r="AD341">
        <v>38</v>
      </c>
      <c r="AE341" s="44">
        <f t="shared" si="19"/>
        <v>339.11036100000001</v>
      </c>
      <c r="AF341" s="46">
        <v>0</v>
      </c>
      <c r="AG341" s="44">
        <v>0</v>
      </c>
      <c r="AH341" s="44">
        <v>0</v>
      </c>
      <c r="AI341" s="41">
        <f t="shared" si="21"/>
        <v>0.11205791497476539</v>
      </c>
      <c r="AJ341" s="40"/>
      <c r="AK341" s="41"/>
      <c r="AL341" s="41"/>
      <c r="AM341" s="23">
        <v>1.6578947368421051</v>
      </c>
      <c r="AN341" s="23">
        <v>2.236842105263158</v>
      </c>
      <c r="AO341" s="23">
        <v>0.31578947368421051</v>
      </c>
      <c r="AP341" s="23">
        <v>0</v>
      </c>
      <c r="AQ341" s="23">
        <v>0.39374999999999999</v>
      </c>
      <c r="AR341" s="23">
        <v>0.53125</v>
      </c>
      <c r="AS341" s="23">
        <v>7.4999999999999997E-2</v>
      </c>
      <c r="AT341" s="23">
        <v>0</v>
      </c>
      <c r="AU341" s="20">
        <v>0.95</v>
      </c>
      <c r="AV341" s="20">
        <v>3.44</v>
      </c>
      <c r="AW341" s="20">
        <v>2.4900000000000002</v>
      </c>
      <c r="AX341" s="20">
        <v>2.7565789473684208</v>
      </c>
      <c r="AY341">
        <v>2.7565789473684208</v>
      </c>
      <c r="AZ341">
        <v>6.7972150583292086</v>
      </c>
      <c r="BD341">
        <v>5.6028957487382687E-2</v>
      </c>
      <c r="BH341">
        <v>0.1120579149747654</v>
      </c>
      <c r="BI341">
        <v>5.6028957487382687E-2</v>
      </c>
      <c r="BJ341">
        <v>0</v>
      </c>
    </row>
    <row r="342" spans="1:62" x14ac:dyDescent="0.3">
      <c r="A342" t="s">
        <v>274</v>
      </c>
      <c r="B342" s="17" t="s">
        <v>981</v>
      </c>
      <c r="C342" s="12"/>
      <c r="F342">
        <v>3.32</v>
      </c>
      <c r="G342" t="s">
        <v>269</v>
      </c>
      <c r="H342" s="8">
        <v>-1</v>
      </c>
      <c r="I342">
        <v>-1</v>
      </c>
      <c r="K342">
        <v>1</v>
      </c>
      <c r="L342" s="20">
        <v>0</v>
      </c>
      <c r="M342">
        <v>0</v>
      </c>
      <c r="N342">
        <v>0</v>
      </c>
      <c r="O342">
        <v>3.9</v>
      </c>
      <c r="P342">
        <v>3.9</v>
      </c>
      <c r="Q342">
        <v>25.55</v>
      </c>
      <c r="R342" t="s">
        <v>519</v>
      </c>
      <c r="T342" s="20">
        <v>0</v>
      </c>
      <c r="U342" s="20"/>
      <c r="V342" s="20"/>
      <c r="W342">
        <v>0</v>
      </c>
      <c r="Z342">
        <v>0</v>
      </c>
      <c r="AD342">
        <v>38</v>
      </c>
      <c r="AE342" s="44">
        <f t="shared" si="19"/>
        <v>388.6155</v>
      </c>
      <c r="AF342" s="46">
        <v>0</v>
      </c>
      <c r="AG342" s="44">
        <v>0</v>
      </c>
      <c r="AH342" s="44">
        <v>0</v>
      </c>
      <c r="AI342" s="41">
        <f t="shared" si="21"/>
        <v>9.7783027182394941E-2</v>
      </c>
      <c r="AJ342" s="40"/>
      <c r="AK342" s="41"/>
      <c r="AL342" s="41"/>
      <c r="AM342" s="23">
        <v>1.634146341463415</v>
      </c>
      <c r="AN342" s="23">
        <v>2.1219512195121948</v>
      </c>
      <c r="AO342" s="23">
        <v>0.29268292682926828</v>
      </c>
      <c r="AP342" s="23">
        <v>0</v>
      </c>
      <c r="AQ342" s="23">
        <v>0.40361445783132532</v>
      </c>
      <c r="AR342" s="23">
        <v>0.52409638554216864</v>
      </c>
      <c r="AS342" s="23">
        <v>7.2289156626506021E-2</v>
      </c>
      <c r="AT342" s="23">
        <v>0</v>
      </c>
      <c r="AU342" s="20">
        <v>0.95</v>
      </c>
      <c r="AV342" s="20">
        <v>3.44</v>
      </c>
      <c r="AW342" s="20">
        <v>2.4900000000000002</v>
      </c>
      <c r="AX342" s="20">
        <v>2.7243902439024388</v>
      </c>
      <c r="AY342">
        <v>2.7243902439024388</v>
      </c>
      <c r="AZ342">
        <v>6.8026440395661458</v>
      </c>
      <c r="BD342">
        <v>4.889151359119747E-2</v>
      </c>
      <c r="BH342">
        <v>9.7783027182394941E-2</v>
      </c>
      <c r="BI342">
        <v>4.889151359119747E-2</v>
      </c>
      <c r="BJ342">
        <v>0</v>
      </c>
    </row>
    <row r="343" spans="1:62" x14ac:dyDescent="0.3">
      <c r="A343" t="s">
        <v>275</v>
      </c>
      <c r="B343" s="17" t="s">
        <v>980</v>
      </c>
      <c r="C343" s="12"/>
      <c r="F343">
        <v>3.32</v>
      </c>
      <c r="G343" t="s">
        <v>269</v>
      </c>
      <c r="H343" s="8">
        <v>-1</v>
      </c>
      <c r="I343">
        <v>-1</v>
      </c>
      <c r="K343">
        <v>1</v>
      </c>
      <c r="L343" s="20">
        <v>0</v>
      </c>
      <c r="M343">
        <v>0</v>
      </c>
      <c r="N343">
        <v>0</v>
      </c>
      <c r="O343">
        <v>3.93</v>
      </c>
      <c r="P343">
        <v>3.93</v>
      </c>
      <c r="Q343">
        <v>29.52</v>
      </c>
      <c r="R343" t="s">
        <v>519</v>
      </c>
      <c r="T343" s="20">
        <v>0</v>
      </c>
      <c r="U343" s="20"/>
      <c r="V343" s="20"/>
      <c r="W343">
        <v>0</v>
      </c>
      <c r="Z343">
        <v>0</v>
      </c>
      <c r="AD343">
        <v>38</v>
      </c>
      <c r="AE343" s="44">
        <f t="shared" si="19"/>
        <v>455.933448</v>
      </c>
      <c r="AF343" s="46">
        <v>0</v>
      </c>
      <c r="AG343" s="44">
        <v>0</v>
      </c>
      <c r="AH343" s="44">
        <v>0</v>
      </c>
      <c r="AI343" s="41">
        <f t="shared" si="21"/>
        <v>8.3345497389347059E-2</v>
      </c>
      <c r="AJ343" s="40"/>
      <c r="AK343" s="41"/>
      <c r="AL343" s="41"/>
      <c r="AM343" s="23">
        <v>1.595744680851064</v>
      </c>
      <c r="AN343" s="23">
        <v>1.936170212765957</v>
      </c>
      <c r="AO343" s="23">
        <v>0.25531914893617019</v>
      </c>
      <c r="AP343" s="23">
        <v>0</v>
      </c>
      <c r="AQ343" s="23">
        <v>0.42134831460674149</v>
      </c>
      <c r="AR343" s="23">
        <v>0.5112359550561798</v>
      </c>
      <c r="AS343" s="23">
        <v>6.741573033707865E-2</v>
      </c>
      <c r="AT343" s="23">
        <v>0</v>
      </c>
      <c r="AU343" s="20">
        <v>0.95</v>
      </c>
      <c r="AV343" s="20">
        <v>3.44</v>
      </c>
      <c r="AW343" s="20">
        <v>2.4900000000000002</v>
      </c>
      <c r="AX343" s="20">
        <v>2.6723404255319152</v>
      </c>
      <c r="AY343">
        <v>2.6723404255319152</v>
      </c>
      <c r="AZ343">
        <v>6.8114228177365099</v>
      </c>
      <c r="BD343">
        <v>4.167274869467353E-2</v>
      </c>
      <c r="BH343">
        <v>8.3345497389347059E-2</v>
      </c>
      <c r="BI343">
        <v>4.167274869467353E-2</v>
      </c>
      <c r="BJ343">
        <v>0</v>
      </c>
    </row>
    <row r="344" spans="1:62" x14ac:dyDescent="0.3">
      <c r="A344" t="s">
        <v>276</v>
      </c>
      <c r="B344" s="17" t="s">
        <v>979</v>
      </c>
      <c r="C344" s="12"/>
      <c r="F344">
        <v>3.32</v>
      </c>
      <c r="G344" t="s">
        <v>269</v>
      </c>
      <c r="H344" s="8">
        <v>-1</v>
      </c>
      <c r="I344">
        <v>-1</v>
      </c>
      <c r="K344">
        <v>1</v>
      </c>
      <c r="L344" s="20">
        <v>0</v>
      </c>
      <c r="M344">
        <v>0</v>
      </c>
      <c r="N344">
        <v>0</v>
      </c>
      <c r="O344">
        <v>3.9</v>
      </c>
      <c r="P344">
        <v>3.9</v>
      </c>
      <c r="Q344">
        <v>33.729999999999997</v>
      </c>
      <c r="R344" t="s">
        <v>519</v>
      </c>
      <c r="T344" s="20">
        <v>0</v>
      </c>
      <c r="U344" s="20"/>
      <c r="V344" s="20"/>
      <c r="W344">
        <v>0</v>
      </c>
      <c r="Z344">
        <v>0</v>
      </c>
      <c r="AD344">
        <v>38</v>
      </c>
      <c r="AE344" s="44">
        <f t="shared" si="19"/>
        <v>513.03329999999994</v>
      </c>
      <c r="AF344" s="46">
        <v>0</v>
      </c>
      <c r="AG344" s="44">
        <v>0</v>
      </c>
      <c r="AH344" s="44">
        <v>0</v>
      </c>
      <c r="AI344" s="41">
        <f t="shared" si="21"/>
        <v>7.4069266069083636E-2</v>
      </c>
      <c r="AJ344" s="40"/>
      <c r="AK344" s="41"/>
      <c r="AL344" s="41"/>
      <c r="AM344" s="23">
        <v>1.5660377358490569</v>
      </c>
      <c r="AN344" s="23">
        <v>1.7924528301886791</v>
      </c>
      <c r="AO344" s="23">
        <v>0.22641509433962259</v>
      </c>
      <c r="AP344" s="23">
        <v>0</v>
      </c>
      <c r="AQ344" s="23">
        <v>0.43684210526315792</v>
      </c>
      <c r="AR344" s="23">
        <v>0.5</v>
      </c>
      <c r="AS344" s="23">
        <v>6.3157894736842107E-2</v>
      </c>
      <c r="AT344" s="23">
        <v>0</v>
      </c>
      <c r="AU344" s="20">
        <v>0.95</v>
      </c>
      <c r="AV344" s="20">
        <v>3.44</v>
      </c>
      <c r="AW344" s="20">
        <v>2.4900000000000002</v>
      </c>
      <c r="AX344" s="20">
        <v>2.6320754716981138</v>
      </c>
      <c r="AY344">
        <v>2.632075471698113</v>
      </c>
      <c r="AZ344">
        <v>6.8182139480192454</v>
      </c>
      <c r="BD344">
        <v>3.7034633034541818E-2</v>
      </c>
      <c r="BH344">
        <v>7.4069266069083636E-2</v>
      </c>
      <c r="BI344">
        <v>3.7034633034541818E-2</v>
      </c>
      <c r="BJ344">
        <v>0</v>
      </c>
    </row>
    <row r="345" spans="1:62" x14ac:dyDescent="0.3">
      <c r="A345" t="s">
        <v>277</v>
      </c>
      <c r="B345" s="17" t="s">
        <v>976</v>
      </c>
      <c r="C345" s="12"/>
      <c r="F345">
        <v>3.22</v>
      </c>
      <c r="G345" t="s">
        <v>269</v>
      </c>
      <c r="H345" s="8">
        <v>-1</v>
      </c>
      <c r="I345">
        <v>-1</v>
      </c>
      <c r="K345">
        <v>2</v>
      </c>
      <c r="L345" s="20">
        <v>0</v>
      </c>
      <c r="M345">
        <v>0</v>
      </c>
      <c r="N345">
        <v>0</v>
      </c>
      <c r="O345">
        <v>3.9</v>
      </c>
      <c r="P345">
        <v>3.9</v>
      </c>
      <c r="Q345">
        <v>31.44</v>
      </c>
      <c r="R345" t="s">
        <v>519</v>
      </c>
      <c r="T345" s="20">
        <v>0</v>
      </c>
      <c r="U345" s="20"/>
      <c r="V345" s="20"/>
      <c r="W345">
        <v>0</v>
      </c>
      <c r="Z345">
        <v>0</v>
      </c>
      <c r="AD345">
        <v>40</v>
      </c>
      <c r="AE345" s="44">
        <f t="shared" si="19"/>
        <v>478.20240000000001</v>
      </c>
      <c r="AF345" s="46">
        <v>0</v>
      </c>
      <c r="AG345" s="44">
        <v>0</v>
      </c>
      <c r="AH345" s="44">
        <v>0</v>
      </c>
      <c r="AI345" s="41">
        <f t="shared" si="21"/>
        <v>0.16729317962435988</v>
      </c>
      <c r="AJ345" s="40"/>
      <c r="AK345" s="41"/>
      <c r="AL345" s="41"/>
      <c r="AM345" s="23">
        <v>1.75</v>
      </c>
      <c r="AN345" s="23">
        <v>2.65625</v>
      </c>
      <c r="AO345" s="23">
        <v>0.375</v>
      </c>
      <c r="AP345" s="23">
        <v>0</v>
      </c>
      <c r="AQ345" s="23">
        <v>0.36601307189542481</v>
      </c>
      <c r="AR345" s="23">
        <v>0.55555555555555558</v>
      </c>
      <c r="AS345" s="23">
        <v>7.8431372549019607E-2</v>
      </c>
      <c r="AT345" s="23">
        <v>0</v>
      </c>
      <c r="AU345" s="20">
        <v>0.95</v>
      </c>
      <c r="AV345" s="20">
        <v>3.44</v>
      </c>
      <c r="AW345" s="20">
        <v>2.4900000000000002</v>
      </c>
      <c r="AX345" s="20">
        <v>2.8778125000000001</v>
      </c>
      <c r="AY345">
        <v>2.8778125000000001</v>
      </c>
      <c r="AZ345">
        <v>6.7946490392267176</v>
      </c>
      <c r="BD345">
        <v>8.3646589812179942E-2</v>
      </c>
      <c r="BH345">
        <v>0.16729317962435991</v>
      </c>
      <c r="BI345">
        <v>8.3646589812179942E-2</v>
      </c>
      <c r="BJ345">
        <v>0</v>
      </c>
    </row>
    <row r="346" spans="1:62" x14ac:dyDescent="0.3">
      <c r="A346" t="s">
        <v>278</v>
      </c>
      <c r="B346" s="17" t="s">
        <v>984</v>
      </c>
      <c r="C346" s="12"/>
      <c r="F346">
        <v>3.25</v>
      </c>
      <c r="G346" t="s">
        <v>269</v>
      </c>
      <c r="H346" s="8">
        <v>-1</v>
      </c>
      <c r="I346">
        <v>-1</v>
      </c>
      <c r="K346">
        <v>1</v>
      </c>
      <c r="L346" s="20">
        <v>0</v>
      </c>
      <c r="M346">
        <v>0</v>
      </c>
      <c r="N346">
        <v>0</v>
      </c>
      <c r="O346">
        <v>3.91</v>
      </c>
      <c r="P346">
        <v>3.91</v>
      </c>
      <c r="Q346">
        <v>18.2</v>
      </c>
      <c r="R346" t="s">
        <v>519</v>
      </c>
      <c r="T346" s="20">
        <v>0</v>
      </c>
      <c r="U346" s="20"/>
      <c r="V346" s="20"/>
      <c r="W346">
        <v>0</v>
      </c>
      <c r="Z346">
        <v>0</v>
      </c>
      <c r="AD346">
        <v>40</v>
      </c>
      <c r="AE346" s="44">
        <f t="shared" si="19"/>
        <v>278.24342000000001</v>
      </c>
      <c r="AF346" s="46">
        <v>0</v>
      </c>
      <c r="AG346" s="44">
        <v>0</v>
      </c>
      <c r="AH346" s="44">
        <v>0</v>
      </c>
      <c r="AI346" s="41">
        <f t="shared" si="21"/>
        <v>0.14375901503798363</v>
      </c>
      <c r="AJ346" s="40"/>
      <c r="AK346" s="41"/>
      <c r="AL346" s="41"/>
      <c r="AM346" s="23">
        <v>1.714285714285714</v>
      </c>
      <c r="AN346" s="23">
        <v>2.4857142857142862</v>
      </c>
      <c r="AO346" s="23">
        <v>0.34285714285714292</v>
      </c>
      <c r="AP346" s="23">
        <v>0</v>
      </c>
      <c r="AQ346" s="23">
        <v>0.37735849056603771</v>
      </c>
      <c r="AR346" s="23">
        <v>0.54716981132075471</v>
      </c>
      <c r="AS346" s="23">
        <v>7.5471698113207544E-2</v>
      </c>
      <c r="AT346" s="23">
        <v>0</v>
      </c>
      <c r="AU346" s="20">
        <v>0.95</v>
      </c>
      <c r="AV346" s="20">
        <v>3.44</v>
      </c>
      <c r="AW346" s="20">
        <v>2.4900000000000002</v>
      </c>
      <c r="AX346" s="20">
        <v>2.8297142857142861</v>
      </c>
      <c r="AY346">
        <v>2.8297142857142861</v>
      </c>
      <c r="AZ346">
        <v>6.8012286474559138</v>
      </c>
      <c r="BD346">
        <v>7.1879507518991817E-2</v>
      </c>
      <c r="BH346">
        <v>0.14375901503798361</v>
      </c>
      <c r="BI346">
        <v>7.1879507518991817E-2</v>
      </c>
      <c r="BJ346">
        <v>0</v>
      </c>
    </row>
    <row r="347" spans="1:62" x14ac:dyDescent="0.3">
      <c r="A347" t="s">
        <v>279</v>
      </c>
      <c r="B347" s="17" t="s">
        <v>985</v>
      </c>
      <c r="C347" s="12"/>
      <c r="F347">
        <v>3.27</v>
      </c>
      <c r="G347" t="s">
        <v>269</v>
      </c>
      <c r="H347" s="8">
        <v>-1</v>
      </c>
      <c r="I347">
        <v>-1</v>
      </c>
      <c r="K347">
        <v>1</v>
      </c>
      <c r="L347" s="20">
        <v>0</v>
      </c>
      <c r="M347">
        <v>0</v>
      </c>
      <c r="N347">
        <v>0</v>
      </c>
      <c r="O347">
        <v>3.9</v>
      </c>
      <c r="P347">
        <v>3.9</v>
      </c>
      <c r="Q347">
        <v>20.25</v>
      </c>
      <c r="R347" t="s">
        <v>519</v>
      </c>
      <c r="T347" s="20">
        <v>0</v>
      </c>
      <c r="U347" s="20"/>
      <c r="V347" s="20"/>
      <c r="W347">
        <v>0</v>
      </c>
      <c r="Z347">
        <v>0</v>
      </c>
      <c r="AD347">
        <v>40</v>
      </c>
      <c r="AE347" s="44">
        <f t="shared" si="19"/>
        <v>308.0025</v>
      </c>
      <c r="AF347" s="46">
        <v>0</v>
      </c>
      <c r="AG347" s="44">
        <v>0</v>
      </c>
      <c r="AH347" s="44">
        <v>0</v>
      </c>
      <c r="AI347" s="41">
        <f t="shared" si="21"/>
        <v>0.12986907573802162</v>
      </c>
      <c r="AJ347" s="40"/>
      <c r="AK347" s="41"/>
      <c r="AL347" s="41"/>
      <c r="AM347" s="23">
        <v>1.6842105263157889</v>
      </c>
      <c r="AN347" s="23">
        <v>2.3421052631578951</v>
      </c>
      <c r="AO347" s="23">
        <v>0.31578947368421051</v>
      </c>
      <c r="AP347" s="23">
        <v>0</v>
      </c>
      <c r="AQ347" s="23">
        <v>0.38787878787878788</v>
      </c>
      <c r="AR347" s="23">
        <v>0.53939393939393943</v>
      </c>
      <c r="AS347" s="23">
        <v>7.2727272727272724E-2</v>
      </c>
      <c r="AT347" s="23">
        <v>0</v>
      </c>
      <c r="AU347" s="20">
        <v>0.95</v>
      </c>
      <c r="AV347" s="20">
        <v>3.44</v>
      </c>
      <c r="AW347" s="20">
        <v>2.4900000000000002</v>
      </c>
      <c r="AX347" s="20">
        <v>2.7892105263157898</v>
      </c>
      <c r="AY347">
        <v>2.7892105263157889</v>
      </c>
      <c r="AZ347">
        <v>6.8067693701752354</v>
      </c>
      <c r="BD347">
        <v>6.4934537869010808E-2</v>
      </c>
      <c r="BH347">
        <v>0.12986907573802159</v>
      </c>
      <c r="BI347">
        <v>6.4934537869010808E-2</v>
      </c>
      <c r="BJ347">
        <v>0</v>
      </c>
    </row>
    <row r="348" spans="1:62" x14ac:dyDescent="0.3">
      <c r="A348" t="s">
        <v>280</v>
      </c>
      <c r="B348" s="17" t="s">
        <v>986</v>
      </c>
      <c r="C348" s="12"/>
      <c r="F348">
        <v>3.3</v>
      </c>
      <c r="G348" t="s">
        <v>269</v>
      </c>
      <c r="H348" s="8">
        <v>-1</v>
      </c>
      <c r="I348">
        <v>-1</v>
      </c>
      <c r="K348">
        <v>1</v>
      </c>
      <c r="L348" s="20">
        <v>0</v>
      </c>
      <c r="M348">
        <v>0</v>
      </c>
      <c r="N348">
        <v>0</v>
      </c>
      <c r="O348">
        <v>3.9</v>
      </c>
      <c r="P348">
        <v>3.9</v>
      </c>
      <c r="Q348">
        <v>22.01</v>
      </c>
      <c r="R348" t="s">
        <v>519</v>
      </c>
      <c r="T348" s="20">
        <v>0</v>
      </c>
      <c r="U348" s="20"/>
      <c r="V348" s="20"/>
      <c r="W348">
        <v>0</v>
      </c>
      <c r="Z348">
        <v>0</v>
      </c>
      <c r="AD348">
        <v>40</v>
      </c>
      <c r="AE348" s="44">
        <f t="shared" si="19"/>
        <v>334.77210000000002</v>
      </c>
      <c r="AF348" s="46">
        <v>0</v>
      </c>
      <c r="AG348" s="44">
        <v>0</v>
      </c>
      <c r="AH348" s="44">
        <v>0</v>
      </c>
      <c r="AI348" s="41">
        <f t="shared" si="21"/>
        <v>0.11948427004520387</v>
      </c>
      <c r="AJ348" s="40"/>
      <c r="AK348" s="41"/>
      <c r="AL348" s="41"/>
      <c r="AM348" s="23">
        <v>1.658536585365854</v>
      </c>
      <c r="AN348" s="23">
        <v>2.219512195121951</v>
      </c>
      <c r="AO348" s="23">
        <v>0.29268292682926828</v>
      </c>
      <c r="AP348" s="23">
        <v>0</v>
      </c>
      <c r="AQ348" s="23">
        <v>0.39766081871345033</v>
      </c>
      <c r="AR348" s="23">
        <v>0.53216374269005851</v>
      </c>
      <c r="AS348" s="23">
        <v>7.0175438596491224E-2</v>
      </c>
      <c r="AT348" s="23">
        <v>0</v>
      </c>
      <c r="AU348" s="20">
        <v>0.95</v>
      </c>
      <c r="AV348" s="20">
        <v>3.44</v>
      </c>
      <c r="AW348" s="20">
        <v>2.4900000000000002</v>
      </c>
      <c r="AX348" s="20">
        <v>2.7546341463414641</v>
      </c>
      <c r="AY348">
        <v>2.7546341463414632</v>
      </c>
      <c r="AZ348">
        <v>6.8114992554234393</v>
      </c>
      <c r="BD348">
        <v>5.9742135022601943E-2</v>
      </c>
      <c r="BH348">
        <v>0.1194842700452039</v>
      </c>
      <c r="BI348">
        <v>5.9742135022601943E-2</v>
      </c>
      <c r="BJ348">
        <v>0</v>
      </c>
    </row>
    <row r="349" spans="1:62" x14ac:dyDescent="0.3">
      <c r="A349" t="s">
        <v>281</v>
      </c>
      <c r="B349" s="17" t="s">
        <v>987</v>
      </c>
      <c r="C349" s="12"/>
      <c r="F349">
        <v>3.3</v>
      </c>
      <c r="G349" t="s">
        <v>269</v>
      </c>
      <c r="H349" s="8">
        <v>-1</v>
      </c>
      <c r="I349">
        <v>-1</v>
      </c>
      <c r="K349">
        <v>1</v>
      </c>
      <c r="L349" s="20">
        <v>0</v>
      </c>
      <c r="M349">
        <v>0</v>
      </c>
      <c r="N349">
        <v>0</v>
      </c>
      <c r="O349">
        <v>3.9</v>
      </c>
      <c r="P349">
        <v>3.9</v>
      </c>
      <c r="Q349">
        <v>25.65</v>
      </c>
      <c r="R349" t="s">
        <v>519</v>
      </c>
      <c r="T349" s="20">
        <v>0</v>
      </c>
      <c r="U349" s="20"/>
      <c r="V349" s="20"/>
      <c r="W349">
        <v>0</v>
      </c>
      <c r="Z349">
        <v>0</v>
      </c>
      <c r="AD349">
        <v>40</v>
      </c>
      <c r="AE349" s="44">
        <f t="shared" si="19"/>
        <v>390.13649999999996</v>
      </c>
      <c r="AF349" s="46">
        <v>0</v>
      </c>
      <c r="AG349" s="44">
        <v>0</v>
      </c>
      <c r="AH349" s="44">
        <v>0</v>
      </c>
      <c r="AI349" s="41">
        <f t="shared" si="21"/>
        <v>0.1025282176879118</v>
      </c>
      <c r="AJ349" s="40"/>
      <c r="AK349" s="41"/>
      <c r="AL349" s="41"/>
      <c r="AM349" s="23">
        <v>1.617021276595745</v>
      </c>
      <c r="AN349" s="23">
        <v>2.021276595744681</v>
      </c>
      <c r="AO349" s="23">
        <v>0.25531914893617019</v>
      </c>
      <c r="AP349" s="23">
        <v>0</v>
      </c>
      <c r="AQ349" s="23">
        <v>0.41530054644808739</v>
      </c>
      <c r="AR349" s="23">
        <v>0.51912568306010931</v>
      </c>
      <c r="AS349" s="23">
        <v>6.5573770491803268E-2</v>
      </c>
      <c r="AT349" s="23">
        <v>0</v>
      </c>
      <c r="AU349" s="20">
        <v>0.95</v>
      </c>
      <c r="AV349" s="20">
        <v>3.44</v>
      </c>
      <c r="AW349" s="20">
        <v>2.4900000000000002</v>
      </c>
      <c r="AX349" s="20">
        <v>2.6987234042553192</v>
      </c>
      <c r="AY349">
        <v>2.6987234042553192</v>
      </c>
      <c r="AZ349">
        <v>6.8191475805056392</v>
      </c>
      <c r="BD349">
        <v>5.1264108843955901E-2</v>
      </c>
      <c r="BH349">
        <v>0.1025282176879118</v>
      </c>
      <c r="BI349">
        <v>5.1264108843955901E-2</v>
      </c>
      <c r="BJ349">
        <v>0</v>
      </c>
    </row>
    <row r="350" spans="1:62" x14ac:dyDescent="0.3">
      <c r="A350" t="s">
        <v>276</v>
      </c>
      <c r="B350" s="17" t="s">
        <v>988</v>
      </c>
      <c r="C350" s="12"/>
      <c r="F350">
        <v>3.34</v>
      </c>
      <c r="G350" t="s">
        <v>269</v>
      </c>
      <c r="H350" s="8">
        <v>-1</v>
      </c>
      <c r="I350">
        <v>-1</v>
      </c>
      <c r="K350">
        <v>1</v>
      </c>
      <c r="L350" s="20">
        <v>0</v>
      </c>
      <c r="M350">
        <v>0</v>
      </c>
      <c r="N350">
        <v>0</v>
      </c>
      <c r="O350">
        <v>3.89</v>
      </c>
      <c r="P350">
        <v>3.89</v>
      </c>
      <c r="Q350">
        <v>33.799999999999997</v>
      </c>
      <c r="R350" t="s">
        <v>519</v>
      </c>
      <c r="T350" s="20">
        <v>0</v>
      </c>
      <c r="U350" s="20"/>
      <c r="V350" s="20"/>
      <c r="W350">
        <v>0</v>
      </c>
      <c r="Z350">
        <v>0</v>
      </c>
      <c r="AD350">
        <v>40</v>
      </c>
      <c r="AE350" s="44">
        <f t="shared" si="19"/>
        <v>511.46498000000003</v>
      </c>
      <c r="AF350" s="46">
        <v>0</v>
      </c>
      <c r="AG350" s="44">
        <v>0</v>
      </c>
      <c r="AH350" s="44">
        <v>0</v>
      </c>
      <c r="AI350" s="41">
        <f t="shared" si="21"/>
        <v>7.8206722970554116E-2</v>
      </c>
      <c r="AJ350" s="40"/>
      <c r="AK350" s="41"/>
      <c r="AL350" s="41"/>
      <c r="AM350" s="23">
        <v>1.584905660377359</v>
      </c>
      <c r="AN350" s="23">
        <v>1.867924528301887</v>
      </c>
      <c r="AO350" s="23">
        <v>0.22641509433962259</v>
      </c>
      <c r="AP350" s="23">
        <v>0</v>
      </c>
      <c r="AQ350" s="23">
        <v>0.43076923076923079</v>
      </c>
      <c r="AR350" s="23">
        <v>0.50769230769230778</v>
      </c>
      <c r="AS350" s="23">
        <v>6.1538461538461542E-2</v>
      </c>
      <c r="AT350" s="23">
        <v>0</v>
      </c>
      <c r="AU350" s="20">
        <v>0.95</v>
      </c>
      <c r="AV350" s="20">
        <v>3.44</v>
      </c>
      <c r="AW350" s="20">
        <v>2.4900000000000002</v>
      </c>
      <c r="AX350" s="20">
        <v>2.655471698113208</v>
      </c>
      <c r="AY350">
        <v>2.655471698113208</v>
      </c>
      <c r="AZ350">
        <v>6.8250642093428109</v>
      </c>
      <c r="BD350">
        <v>3.9103361485277058E-2</v>
      </c>
      <c r="BH350">
        <v>7.8206722970554116E-2</v>
      </c>
      <c r="BI350">
        <v>3.9103361485277058E-2</v>
      </c>
      <c r="BJ350">
        <v>0</v>
      </c>
    </row>
    <row r="351" spans="1:62" x14ac:dyDescent="0.3">
      <c r="A351" t="s">
        <v>282</v>
      </c>
      <c r="B351" s="12" t="s">
        <v>821</v>
      </c>
      <c r="C351" s="12"/>
      <c r="F351">
        <v>3.5</v>
      </c>
      <c r="G351" t="s">
        <v>283</v>
      </c>
      <c r="H351" s="8" t="s">
        <v>597</v>
      </c>
      <c r="I351">
        <v>-1</v>
      </c>
      <c r="L351" s="20">
        <v>1</v>
      </c>
      <c r="M351">
        <v>0</v>
      </c>
      <c r="N351">
        <v>0</v>
      </c>
      <c r="T351" s="20">
        <v>13.656835900000001</v>
      </c>
      <c r="U351" s="20">
        <v>13.656835900000001</v>
      </c>
      <c r="V351" s="20">
        <v>13.656835900000001</v>
      </c>
      <c r="W351">
        <v>0</v>
      </c>
      <c r="Z351">
        <v>0</v>
      </c>
      <c r="AD351">
        <v>20</v>
      </c>
      <c r="AE351" s="44">
        <f t="shared" si="19"/>
        <v>0</v>
      </c>
      <c r="AF351" s="46">
        <v>201.0880346354428</v>
      </c>
      <c r="AG351" s="44">
        <v>0</v>
      </c>
      <c r="AH351" s="44">
        <v>0</v>
      </c>
      <c r="AI351" s="41"/>
      <c r="AJ351" s="40">
        <v>9.9458926217357829E-2</v>
      </c>
      <c r="AK351" s="41"/>
      <c r="AL351" s="41"/>
      <c r="AM351" s="23">
        <v>1.882352941176471</v>
      </c>
      <c r="AN351" s="23">
        <v>2.3529411764705879</v>
      </c>
      <c r="AO351" s="23">
        <v>0.47058823529411759</v>
      </c>
      <c r="AP351" s="23">
        <v>0</v>
      </c>
      <c r="AQ351" s="23">
        <v>0.4</v>
      </c>
      <c r="AR351" s="23">
        <v>0.5</v>
      </c>
      <c r="AS351" s="23">
        <v>9.9999999999999992E-2</v>
      </c>
      <c r="AT351" s="23">
        <v>0</v>
      </c>
      <c r="AU351" s="20">
        <v>0.98</v>
      </c>
      <c r="AV351" s="20">
        <v>3.44</v>
      </c>
      <c r="AW351" s="20">
        <v>2.46</v>
      </c>
      <c r="AX351" s="20">
        <v>2.54</v>
      </c>
      <c r="AY351">
        <v>2.54</v>
      </c>
      <c r="AZ351">
        <v>5.758559377411764</v>
      </c>
      <c r="BA351" s="64">
        <v>0.53996993008785332</v>
      </c>
      <c r="BE351">
        <v>4.9729463108678908E-2</v>
      </c>
      <c r="BH351">
        <v>9.9458926217357829E-2</v>
      </c>
      <c r="BI351">
        <v>4.9729463108678908E-2</v>
      </c>
      <c r="BJ351">
        <v>0.53996993008785332</v>
      </c>
    </row>
    <row r="352" spans="1:62" x14ac:dyDescent="0.3">
      <c r="A352" t="s">
        <v>284</v>
      </c>
      <c r="B352" s="12" t="s">
        <v>822</v>
      </c>
      <c r="C352" s="12"/>
      <c r="F352">
        <v>3.3</v>
      </c>
      <c r="G352" t="s">
        <v>283</v>
      </c>
      <c r="H352" s="8" t="s">
        <v>598</v>
      </c>
      <c r="I352" t="s">
        <v>670</v>
      </c>
      <c r="L352" s="20">
        <v>1</v>
      </c>
      <c r="M352">
        <v>2</v>
      </c>
      <c r="N352">
        <v>0</v>
      </c>
      <c r="T352" s="20">
        <v>14.696413339999999</v>
      </c>
      <c r="U352" s="20">
        <v>14.696413339999999</v>
      </c>
      <c r="V352" s="20">
        <v>14.696413339999999</v>
      </c>
      <c r="W352">
        <v>3.83528</v>
      </c>
      <c r="X352">
        <v>3.83528</v>
      </c>
      <c r="Y352">
        <v>28.573699999999999</v>
      </c>
      <c r="Z352">
        <v>0</v>
      </c>
      <c r="AD352">
        <v>20</v>
      </c>
      <c r="AE352" s="44">
        <f t="shared" si="19"/>
        <v>0</v>
      </c>
      <c r="AF352" s="46">
        <v>216.40687730768099</v>
      </c>
      <c r="AG352" s="44">
        <v>420.30120210079798</v>
      </c>
      <c r="AH352" s="44">
        <v>0</v>
      </c>
      <c r="AI352" s="41"/>
      <c r="AJ352" s="40">
        <v>9.2418504665009241E-2</v>
      </c>
      <c r="AK352" s="41">
        <v>9.516984438794697E-2</v>
      </c>
      <c r="AL352" s="41"/>
      <c r="AM352" s="23">
        <v>1.882352941176471</v>
      </c>
      <c r="AN352" s="23">
        <v>2.3529411764705879</v>
      </c>
      <c r="AO352" s="23">
        <v>0.47058823529411759</v>
      </c>
      <c r="AP352" s="23">
        <v>0</v>
      </c>
      <c r="AQ352" s="23">
        <v>0.4</v>
      </c>
      <c r="AR352" s="23">
        <v>0.5</v>
      </c>
      <c r="AS352" s="23">
        <v>9.9999999999999992E-2</v>
      </c>
      <c r="AT352" s="23">
        <v>0</v>
      </c>
      <c r="AU352" s="20">
        <v>0.93</v>
      </c>
      <c r="AV352" s="20">
        <v>3.44</v>
      </c>
      <c r="AW352" s="20">
        <v>2.5099999999999998</v>
      </c>
      <c r="AX352" s="20">
        <v>2.534117647058824</v>
      </c>
      <c r="AY352">
        <v>2.534117647058824</v>
      </c>
      <c r="AZ352">
        <v>5.7395734358823516</v>
      </c>
      <c r="BA352" s="64">
        <v>0.5339514578906801</v>
      </c>
      <c r="BB352" s="64">
        <v>0.54984742874132453</v>
      </c>
      <c r="BE352">
        <v>4.6209252332504627E-2</v>
      </c>
      <c r="BF352">
        <v>4.7584922193973492E-2</v>
      </c>
      <c r="BH352">
        <v>9.3794174526478105E-2</v>
      </c>
      <c r="BI352">
        <v>4.689708726323906E-2</v>
      </c>
      <c r="BJ352">
        <v>0.54189944331600226</v>
      </c>
    </row>
    <row r="353" spans="1:62" x14ac:dyDescent="0.3">
      <c r="A353" t="s">
        <v>44</v>
      </c>
      <c r="B353" s="12" t="s">
        <v>720</v>
      </c>
      <c r="C353" s="12"/>
      <c r="F353">
        <v>3.2</v>
      </c>
      <c r="G353" t="s">
        <v>283</v>
      </c>
      <c r="H353" s="8" t="s">
        <v>549</v>
      </c>
      <c r="I353">
        <v>-1</v>
      </c>
      <c r="L353" s="20">
        <v>1</v>
      </c>
      <c r="M353">
        <v>0</v>
      </c>
      <c r="N353">
        <v>0</v>
      </c>
      <c r="T353" s="20">
        <v>15.28115725</v>
      </c>
      <c r="U353" s="20">
        <v>15.28115725</v>
      </c>
      <c r="V353" s="20">
        <v>15.28115725</v>
      </c>
      <c r="W353">
        <v>0</v>
      </c>
      <c r="Z353">
        <v>0</v>
      </c>
      <c r="AD353">
        <v>20</v>
      </c>
      <c r="AE353" s="44">
        <f t="shared" si="19"/>
        <v>0</v>
      </c>
      <c r="AF353" s="46">
        <v>229.90248606119221</v>
      </c>
      <c r="AG353" s="44">
        <v>0</v>
      </c>
      <c r="AH353" s="44">
        <v>0</v>
      </c>
      <c r="AI353" s="41"/>
      <c r="AJ353" s="40">
        <v>8.6993404650164072E-2</v>
      </c>
      <c r="AK353" s="41"/>
      <c r="AL353" s="41"/>
      <c r="AM353" s="23">
        <v>1.882352941176471</v>
      </c>
      <c r="AN353" s="23">
        <v>2.3529411764705879</v>
      </c>
      <c r="AO353" s="23">
        <v>0.47058823529411759</v>
      </c>
      <c r="AP353" s="23">
        <v>0</v>
      </c>
      <c r="AQ353" s="23">
        <v>0.4</v>
      </c>
      <c r="AR353" s="23">
        <v>0.5</v>
      </c>
      <c r="AS353" s="23">
        <v>9.9999999999999992E-2</v>
      </c>
      <c r="AT353" s="23">
        <v>0</v>
      </c>
      <c r="AU353" s="20">
        <v>0.82</v>
      </c>
      <c r="AV353" s="20">
        <v>3.44</v>
      </c>
      <c r="AW353" s="20">
        <v>2.62</v>
      </c>
      <c r="AX353" s="20">
        <v>2.5211764705882351</v>
      </c>
      <c r="AY353">
        <v>2.521176470588236</v>
      </c>
      <c r="AZ353">
        <v>5.6898745917647062</v>
      </c>
      <c r="BA353" s="64">
        <v>0.57369840599679445</v>
      </c>
      <c r="BE353">
        <v>4.3496702325082043E-2</v>
      </c>
      <c r="BH353">
        <v>8.6993404650164072E-2</v>
      </c>
      <c r="BI353">
        <v>4.3496702325082043E-2</v>
      </c>
      <c r="BJ353">
        <v>0.57369840599679445</v>
      </c>
    </row>
    <row r="354" spans="1:62" x14ac:dyDescent="0.3">
      <c r="A354" s="4" t="s">
        <v>285</v>
      </c>
      <c r="B354" s="29" t="s">
        <v>823</v>
      </c>
      <c r="C354" s="29"/>
      <c r="D354" s="4"/>
      <c r="E354" s="4"/>
      <c r="F354" s="4">
        <v>3.6</v>
      </c>
      <c r="G354" s="4" t="s">
        <v>283</v>
      </c>
      <c r="H354" s="30">
        <v>-2</v>
      </c>
      <c r="I354" s="4">
        <v>-1</v>
      </c>
      <c r="J354" s="4"/>
      <c r="K354" s="4"/>
      <c r="L354" s="31">
        <v>0</v>
      </c>
      <c r="M354">
        <v>0</v>
      </c>
      <c r="N354">
        <v>0</v>
      </c>
      <c r="O354" s="4">
        <v>-1</v>
      </c>
      <c r="P354" s="4"/>
      <c r="Q354" s="4"/>
      <c r="R354" s="4"/>
      <c r="S354" s="4"/>
      <c r="T354" s="31">
        <v>0</v>
      </c>
      <c r="U354" s="31"/>
      <c r="V354" s="31"/>
      <c r="W354">
        <v>0</v>
      </c>
      <c r="Z354">
        <v>0</v>
      </c>
      <c r="AC354" s="4"/>
      <c r="AD354" s="4">
        <v>20</v>
      </c>
      <c r="AE354" s="44">
        <f t="shared" si="19"/>
        <v>0</v>
      </c>
      <c r="AF354" s="46">
        <v>0</v>
      </c>
      <c r="AG354" s="44">
        <v>0</v>
      </c>
      <c r="AH354" s="44">
        <v>0</v>
      </c>
      <c r="AI354" s="41"/>
      <c r="AJ354" s="40"/>
      <c r="AK354" s="41"/>
      <c r="AL354" s="41"/>
      <c r="AM354" s="4">
        <v>1.882352941176471</v>
      </c>
      <c r="AN354" s="4">
        <v>2.3529411764705879</v>
      </c>
      <c r="AO354" s="4">
        <v>0.35294117647058831</v>
      </c>
      <c r="AP354" s="4">
        <v>0.47058823529411759</v>
      </c>
      <c r="AQ354" s="4">
        <v>0.37209302325581389</v>
      </c>
      <c r="AR354" s="4">
        <v>0.46511627906976749</v>
      </c>
      <c r="AS354" s="4">
        <v>6.9767441860465129E-2</v>
      </c>
      <c r="AT354" s="4">
        <v>9.3023255813953487E-2</v>
      </c>
      <c r="AU354" s="31">
        <v>0.98</v>
      </c>
      <c r="AV354" s="31">
        <v>3.44</v>
      </c>
      <c r="AW354" s="31">
        <v>2.46</v>
      </c>
      <c r="AX354" s="31">
        <v>2.5447058823529409</v>
      </c>
      <c r="AY354" s="4">
        <v>2.5447058823529409</v>
      </c>
      <c r="AZ354" s="4">
        <v>5.7284445009411762</v>
      </c>
      <c r="BH354">
        <v>0</v>
      </c>
      <c r="BI354">
        <v>0</v>
      </c>
      <c r="BJ354">
        <v>0</v>
      </c>
    </row>
    <row r="355" spans="1:62" x14ac:dyDescent="0.3">
      <c r="A355" t="s">
        <v>286</v>
      </c>
      <c r="B355" s="12" t="s">
        <v>824</v>
      </c>
      <c r="C355" s="12"/>
      <c r="F355">
        <v>3.4</v>
      </c>
      <c r="G355" t="s">
        <v>283</v>
      </c>
      <c r="H355" s="8" t="s">
        <v>599</v>
      </c>
      <c r="I355">
        <v>-1</v>
      </c>
      <c r="L355" s="20">
        <v>1</v>
      </c>
      <c r="M355">
        <v>0</v>
      </c>
      <c r="N355">
        <v>0</v>
      </c>
      <c r="T355" s="20">
        <v>14.64115209</v>
      </c>
      <c r="U355" s="20">
        <v>14.64115209</v>
      </c>
      <c r="V355" s="20">
        <v>14.64115209</v>
      </c>
      <c r="W355">
        <v>0</v>
      </c>
      <c r="Z355">
        <v>0</v>
      </c>
      <c r="AD355">
        <v>20</v>
      </c>
      <c r="AE355" s="44">
        <f t="shared" si="19"/>
        <v>0</v>
      </c>
      <c r="AF355" s="46">
        <v>213.3423200442661</v>
      </c>
      <c r="AG355" s="44">
        <v>0</v>
      </c>
      <c r="AH355" s="44">
        <v>0</v>
      </c>
      <c r="AI355" s="41"/>
      <c r="AJ355" s="40">
        <v>9.374605092815258E-2</v>
      </c>
      <c r="AK355" s="41"/>
      <c r="AL355" s="41"/>
      <c r="AM355" s="23">
        <v>1.882352941176471</v>
      </c>
      <c r="AN355" s="23">
        <v>2.3529411764705879</v>
      </c>
      <c r="AO355" s="23">
        <v>0.35294117647058831</v>
      </c>
      <c r="AP355" s="23">
        <v>0.47058823529411759</v>
      </c>
      <c r="AQ355" s="23">
        <v>0.37209302325581389</v>
      </c>
      <c r="AR355" s="23">
        <v>0.46511627906976749</v>
      </c>
      <c r="AS355" s="23">
        <v>6.9767441860465129E-2</v>
      </c>
      <c r="AT355" s="23">
        <v>9.3023255813953487E-2</v>
      </c>
      <c r="AU355" s="20">
        <v>0.93</v>
      </c>
      <c r="AV355" s="20">
        <v>3.44</v>
      </c>
      <c r="AW355" s="20">
        <v>2.5099999999999998</v>
      </c>
      <c r="AX355" s="20">
        <v>2.538823529411764</v>
      </c>
      <c r="AY355">
        <v>2.5388235294117649</v>
      </c>
      <c r="AZ355">
        <v>5.7094585594117646</v>
      </c>
      <c r="BA355" s="64">
        <v>0.53401936473899148</v>
      </c>
      <c r="BE355">
        <v>4.6873025464076297E-2</v>
      </c>
      <c r="BH355">
        <v>9.374605092815258E-2</v>
      </c>
      <c r="BI355">
        <v>4.6873025464076297E-2</v>
      </c>
      <c r="BJ355">
        <v>0.53401936473899148</v>
      </c>
    </row>
    <row r="356" spans="1:62" x14ac:dyDescent="0.3">
      <c r="A356" t="s">
        <v>287</v>
      </c>
      <c r="B356" s="12" t="s">
        <v>825</v>
      </c>
      <c r="C356" s="12"/>
      <c r="F356">
        <v>3.3</v>
      </c>
      <c r="G356" t="s">
        <v>283</v>
      </c>
      <c r="H356" s="8" t="s">
        <v>600</v>
      </c>
      <c r="I356" t="s">
        <v>671</v>
      </c>
      <c r="L356" s="20">
        <v>1</v>
      </c>
      <c r="M356">
        <v>2</v>
      </c>
      <c r="N356">
        <v>0</v>
      </c>
      <c r="T356" s="20">
        <v>15.19820412</v>
      </c>
      <c r="U356" s="20">
        <v>15.194836840000001</v>
      </c>
      <c r="V356" s="20">
        <v>3.9043439100000001</v>
      </c>
      <c r="W356">
        <v>3.8588</v>
      </c>
      <c r="X356">
        <v>3.8588</v>
      </c>
      <c r="Y356">
        <v>29.656099999999999</v>
      </c>
      <c r="Z356">
        <v>0</v>
      </c>
      <c r="AD356">
        <v>20</v>
      </c>
      <c r="AE356" s="44">
        <f t="shared" si="19"/>
        <v>0</v>
      </c>
      <c r="AF356" s="46">
        <v>227.79419475650769</v>
      </c>
      <c r="AG356" s="44">
        <v>441.58933615438389</v>
      </c>
      <c r="AH356" s="44">
        <v>0</v>
      </c>
      <c r="AI356" s="41"/>
      <c r="AJ356" s="40">
        <v>8.7798550008608742E-2</v>
      </c>
      <c r="AK356" s="41">
        <v>9.0581897534807332E-2</v>
      </c>
      <c r="AL356" s="41"/>
      <c r="AM356" s="23">
        <v>1.882352941176471</v>
      </c>
      <c r="AN356" s="23">
        <v>2.3529411764705879</v>
      </c>
      <c r="AO356" s="23">
        <v>0.35294117647058831</v>
      </c>
      <c r="AP356" s="23">
        <v>0.47058823529411759</v>
      </c>
      <c r="AQ356" s="23">
        <v>0.37209302325581389</v>
      </c>
      <c r="AR356" s="23">
        <v>0.46511627906976749</v>
      </c>
      <c r="AS356" s="23">
        <v>6.9767441860465129E-2</v>
      </c>
      <c r="AT356" s="23">
        <v>9.3023255813953487E-2</v>
      </c>
      <c r="AU356" s="20">
        <v>0.82</v>
      </c>
      <c r="AV356" s="20">
        <v>3.44</v>
      </c>
      <c r="AW356" s="20">
        <v>2.62</v>
      </c>
      <c r="AX356" s="20">
        <v>2.525882352941176</v>
      </c>
      <c r="AY356">
        <v>2.525882352941176</v>
      </c>
      <c r="AZ356">
        <v>5.6597597152941184</v>
      </c>
      <c r="BA356" s="64">
        <v>0.57188837719605823</v>
      </c>
      <c r="BB356" s="64">
        <v>0</v>
      </c>
      <c r="BE356">
        <v>4.3899275004304371E-2</v>
      </c>
      <c r="BF356">
        <v>4.5290948767403673E-2</v>
      </c>
      <c r="BH356">
        <v>8.9190223771708044E-2</v>
      </c>
      <c r="BI356">
        <v>4.4595111885854022E-2</v>
      </c>
      <c r="BJ356">
        <v>0.28594418859802911</v>
      </c>
    </row>
    <row r="357" spans="1:62" x14ac:dyDescent="0.3">
      <c r="A357" t="s">
        <v>4</v>
      </c>
      <c r="B357" s="12" t="s">
        <v>689</v>
      </c>
      <c r="C357" s="12"/>
      <c r="F357">
        <v>3.26</v>
      </c>
      <c r="G357" t="s">
        <v>290</v>
      </c>
      <c r="H357" s="8" t="s">
        <v>527</v>
      </c>
      <c r="I357" t="s">
        <v>609</v>
      </c>
      <c r="L357" s="20">
        <v>4</v>
      </c>
      <c r="M357">
        <v>4</v>
      </c>
      <c r="N357">
        <v>0</v>
      </c>
      <c r="T357" s="20">
        <v>7.8084429999999996</v>
      </c>
      <c r="U357" s="20">
        <v>7.8548809999999998</v>
      </c>
      <c r="V357" s="20">
        <v>15.19056011</v>
      </c>
      <c r="W357">
        <v>3.8801999999999999</v>
      </c>
      <c r="X357">
        <v>29.507999999999999</v>
      </c>
      <c r="Y357">
        <v>7.7140000000000004</v>
      </c>
      <c r="Z357">
        <v>0</v>
      </c>
      <c r="AD357">
        <v>20</v>
      </c>
      <c r="AE357" s="44">
        <f t="shared" si="19"/>
        <v>0</v>
      </c>
      <c r="AF357" s="46">
        <v>924.74694800021894</v>
      </c>
      <c r="AG357" s="44">
        <v>883.22940750240002</v>
      </c>
      <c r="AH357" s="44">
        <v>0</v>
      </c>
      <c r="AI357" s="41"/>
      <c r="AJ357" s="40">
        <v>8.6510153045653584E-2</v>
      </c>
      <c r="AK357" s="41">
        <v>9.0576694254581439E-2</v>
      </c>
      <c r="AL357" s="41"/>
      <c r="AM357" s="23">
        <v>1.75</v>
      </c>
      <c r="AN357" s="23">
        <v>2.5</v>
      </c>
      <c r="AO357" s="23">
        <v>0.75</v>
      </c>
      <c r="AP357" s="23">
        <v>0</v>
      </c>
      <c r="AQ357" s="23">
        <v>0.35</v>
      </c>
      <c r="AR357" s="23">
        <v>0.5</v>
      </c>
      <c r="AS357" s="23">
        <v>0.15</v>
      </c>
      <c r="AT357" s="23">
        <v>0</v>
      </c>
      <c r="AU357" s="20">
        <v>0.82</v>
      </c>
      <c r="AV357" s="20">
        <v>3.44</v>
      </c>
      <c r="AW357" s="20">
        <v>2.62</v>
      </c>
      <c r="AX357" s="20">
        <v>2.6262500000000002</v>
      </c>
      <c r="AY357">
        <v>2.6262500000000002</v>
      </c>
      <c r="AZ357">
        <v>5.96680968125</v>
      </c>
      <c r="BA357" s="64">
        <v>0.50555206026575039</v>
      </c>
      <c r="BB357" s="64">
        <v>0</v>
      </c>
      <c r="BE357">
        <v>4.3255076522826792E-2</v>
      </c>
      <c r="BF357">
        <v>4.5288347127290719E-2</v>
      </c>
      <c r="BH357">
        <v>8.8543423650117511E-2</v>
      </c>
      <c r="BI357">
        <v>4.4271711825058763E-2</v>
      </c>
      <c r="BJ357">
        <v>0.2527760301328752</v>
      </c>
    </row>
    <row r="358" spans="1:62" x14ac:dyDescent="0.3">
      <c r="A358" s="1" t="s">
        <v>288</v>
      </c>
      <c r="B358" s="12" t="s">
        <v>689</v>
      </c>
      <c r="C358" s="14"/>
      <c r="D358" s="1" t="s">
        <v>676</v>
      </c>
      <c r="E358" s="1" t="s">
        <v>1067</v>
      </c>
      <c r="F358" s="1">
        <v>2.4700000000000002</v>
      </c>
      <c r="G358" s="1" t="s">
        <v>290</v>
      </c>
      <c r="H358" s="8" t="s">
        <v>527</v>
      </c>
      <c r="I358" t="s">
        <v>609</v>
      </c>
      <c r="K358" s="1"/>
      <c r="L358" s="20">
        <v>4</v>
      </c>
      <c r="M358">
        <v>4</v>
      </c>
      <c r="N358">
        <v>0</v>
      </c>
      <c r="O358" s="1"/>
      <c r="P358" s="1"/>
      <c r="Q358" s="1"/>
      <c r="R358" s="1"/>
      <c r="S358" s="1"/>
      <c r="T358" s="20">
        <v>7.8084429999999996</v>
      </c>
      <c r="U358" s="20">
        <v>7.8548809999999998</v>
      </c>
      <c r="V358" s="20">
        <v>15.19056011</v>
      </c>
      <c r="W358">
        <v>3.8801999999999999</v>
      </c>
      <c r="X358">
        <v>29.507999999999999</v>
      </c>
      <c r="Y358">
        <v>7.7140000000000004</v>
      </c>
      <c r="Z358">
        <v>0</v>
      </c>
      <c r="AC358" s="1"/>
      <c r="AD358">
        <v>20</v>
      </c>
      <c r="AE358" s="44">
        <f t="shared" si="19"/>
        <v>0</v>
      </c>
      <c r="AF358" s="46">
        <v>924.74694800021894</v>
      </c>
      <c r="AG358" s="44">
        <v>883.22940750240002</v>
      </c>
      <c r="AH358" s="44">
        <v>0</v>
      </c>
      <c r="AI358" s="41"/>
      <c r="AJ358" s="40">
        <v>8.6510153045653584E-2</v>
      </c>
      <c r="AK358" s="41">
        <v>9.0576694254581439E-2</v>
      </c>
      <c r="AL358" s="41"/>
      <c r="AM358" s="23">
        <v>1.75</v>
      </c>
      <c r="AN358" s="23">
        <v>2.5</v>
      </c>
      <c r="AO358" s="23">
        <v>0.75</v>
      </c>
      <c r="AP358" s="23">
        <v>0</v>
      </c>
      <c r="AQ358" s="23">
        <v>0.35</v>
      </c>
      <c r="AR358" s="23">
        <v>0.5</v>
      </c>
      <c r="AS358" s="23">
        <v>0.15</v>
      </c>
      <c r="AT358" s="23">
        <v>0</v>
      </c>
      <c r="AU358" s="20">
        <v>0.82</v>
      </c>
      <c r="AV358" s="20">
        <v>3.44</v>
      </c>
      <c r="AW358" s="20">
        <v>2.62</v>
      </c>
      <c r="AX358" s="20">
        <v>2.6262500000000002</v>
      </c>
      <c r="AY358">
        <v>2.6262500000000002</v>
      </c>
      <c r="AZ358">
        <v>5.96680968125</v>
      </c>
      <c r="BA358" s="64">
        <v>0.50555206026575039</v>
      </c>
      <c r="BB358" s="64">
        <v>0</v>
      </c>
      <c r="BE358">
        <v>4.3255076522826792E-2</v>
      </c>
      <c r="BF358">
        <v>4.5288347127290719E-2</v>
      </c>
      <c r="BH358">
        <v>8.8543423650117511E-2</v>
      </c>
      <c r="BI358">
        <v>4.4271711825058763E-2</v>
      </c>
      <c r="BJ358">
        <v>0.2527760301328752</v>
      </c>
    </row>
    <row r="359" spans="1:62" x14ac:dyDescent="0.3">
      <c r="A359" s="1" t="s">
        <v>289</v>
      </c>
      <c r="B359" s="12" t="s">
        <v>689</v>
      </c>
      <c r="C359" s="14"/>
      <c r="D359" s="1" t="s">
        <v>946</v>
      </c>
      <c r="E359" s="1" t="s">
        <v>1067</v>
      </c>
      <c r="F359" s="1">
        <v>2.4700000000000002</v>
      </c>
      <c r="G359" s="1" t="s">
        <v>290</v>
      </c>
      <c r="H359" s="8" t="s">
        <v>527</v>
      </c>
      <c r="I359" t="s">
        <v>609</v>
      </c>
      <c r="K359" s="1"/>
      <c r="L359" s="20">
        <v>4</v>
      </c>
      <c r="M359">
        <v>4</v>
      </c>
      <c r="N359">
        <v>0</v>
      </c>
      <c r="O359" s="1"/>
      <c r="P359" s="1"/>
      <c r="Q359" s="1"/>
      <c r="R359" s="1"/>
      <c r="S359" s="1"/>
      <c r="T359" s="20">
        <v>7.8084429999999996</v>
      </c>
      <c r="U359" s="20">
        <v>7.8548809999999998</v>
      </c>
      <c r="V359" s="20">
        <v>15.19056011</v>
      </c>
      <c r="W359">
        <v>3.8801999999999999</v>
      </c>
      <c r="X359">
        <v>29.507999999999999</v>
      </c>
      <c r="Y359">
        <v>7.7140000000000004</v>
      </c>
      <c r="Z359">
        <v>0</v>
      </c>
      <c r="AC359" s="1"/>
      <c r="AD359">
        <v>20</v>
      </c>
      <c r="AE359" s="44">
        <f t="shared" si="19"/>
        <v>0</v>
      </c>
      <c r="AF359" s="46">
        <v>924.74694800021894</v>
      </c>
      <c r="AG359" s="44">
        <v>883.22940750240002</v>
      </c>
      <c r="AH359" s="44">
        <v>0</v>
      </c>
      <c r="AI359" s="41"/>
      <c r="AJ359" s="40">
        <v>8.6510153045653584E-2</v>
      </c>
      <c r="AK359" s="41">
        <v>9.0576694254581439E-2</v>
      </c>
      <c r="AL359" s="41"/>
      <c r="AM359" s="23">
        <v>1.75</v>
      </c>
      <c r="AN359" s="23">
        <v>2.5</v>
      </c>
      <c r="AO359" s="23">
        <v>0.75</v>
      </c>
      <c r="AP359" s="23">
        <v>0</v>
      </c>
      <c r="AQ359" s="23">
        <v>0.35</v>
      </c>
      <c r="AR359" s="23">
        <v>0.5</v>
      </c>
      <c r="AS359" s="23">
        <v>0.15</v>
      </c>
      <c r="AT359" s="23">
        <v>0</v>
      </c>
      <c r="AU359" s="20">
        <v>0.82</v>
      </c>
      <c r="AV359" s="20">
        <v>3.44</v>
      </c>
      <c r="AW359" s="20">
        <v>2.62</v>
      </c>
      <c r="AX359" s="20">
        <v>2.6262500000000002</v>
      </c>
      <c r="AY359">
        <v>2.6262500000000002</v>
      </c>
      <c r="AZ359">
        <v>5.96680968125</v>
      </c>
      <c r="BA359" s="64">
        <v>0.50555206026575039</v>
      </c>
      <c r="BB359" s="64">
        <v>0</v>
      </c>
      <c r="BE359">
        <v>4.3255076522826792E-2</v>
      </c>
      <c r="BF359">
        <v>4.5288347127290719E-2</v>
      </c>
      <c r="BH359">
        <v>8.8543423650117511E-2</v>
      </c>
      <c r="BI359">
        <v>4.4271711825058763E-2</v>
      </c>
      <c r="BJ359">
        <v>0.2527760301328752</v>
      </c>
    </row>
    <row r="360" spans="1:62" x14ac:dyDescent="0.3">
      <c r="A360" t="s">
        <v>10</v>
      </c>
      <c r="B360" s="12" t="s">
        <v>695</v>
      </c>
      <c r="C360" s="12"/>
      <c r="F360">
        <v>4.26</v>
      </c>
      <c r="G360" t="s">
        <v>291</v>
      </c>
      <c r="H360" s="8" t="s">
        <v>531</v>
      </c>
      <c r="I360">
        <v>-1</v>
      </c>
      <c r="L360" s="20">
        <v>1</v>
      </c>
      <c r="M360">
        <v>0</v>
      </c>
      <c r="N360">
        <v>0</v>
      </c>
      <c r="T360" s="20">
        <v>3.9103940000000001</v>
      </c>
      <c r="U360" s="20">
        <v>3.9103940000000001</v>
      </c>
      <c r="V360" s="20">
        <v>11.314458</v>
      </c>
      <c r="W360">
        <v>0</v>
      </c>
      <c r="Z360">
        <v>0</v>
      </c>
      <c r="AD360">
        <v>14</v>
      </c>
      <c r="AE360" s="44">
        <f t="shared" si="19"/>
        <v>0</v>
      </c>
      <c r="AF360" s="46">
        <v>173.0114278564659</v>
      </c>
      <c r="AG360" s="44">
        <v>0</v>
      </c>
      <c r="AH360" s="44">
        <v>0</v>
      </c>
      <c r="AI360" s="41"/>
      <c r="AJ360" s="40">
        <v>8.0919510193365449E-2</v>
      </c>
      <c r="AK360" s="41"/>
      <c r="AL360" s="41"/>
      <c r="AM360" s="23">
        <v>1.9090909090909089</v>
      </c>
      <c r="AN360" s="23">
        <v>2.545454545454545</v>
      </c>
      <c r="AO360" s="23">
        <v>0.63636363636363635</v>
      </c>
      <c r="AP360" s="23">
        <v>2.545454545454545</v>
      </c>
      <c r="AQ360" s="23">
        <v>0.25</v>
      </c>
      <c r="AR360" s="23">
        <v>0.33333333333333331</v>
      </c>
      <c r="AS360" s="23">
        <v>8.3333333333333329E-2</v>
      </c>
      <c r="AT360" s="23">
        <v>0.33333333333333331</v>
      </c>
      <c r="AU360" s="20">
        <v>0.82</v>
      </c>
      <c r="AV360" s="20">
        <v>3.44</v>
      </c>
      <c r="AW360" s="20">
        <v>2.62</v>
      </c>
      <c r="AX360" s="20">
        <v>2.6363636363636358</v>
      </c>
      <c r="AY360">
        <v>2.6363636363636371</v>
      </c>
      <c r="AZ360">
        <v>6.0044088459090901</v>
      </c>
      <c r="BA360" s="64">
        <v>0.5117218936152963</v>
      </c>
      <c r="BE360">
        <v>4.0459755096682717E-2</v>
      </c>
      <c r="BH360">
        <v>8.0919510193365449E-2</v>
      </c>
      <c r="BI360">
        <v>4.0459755096682717E-2</v>
      </c>
      <c r="BJ360">
        <v>0.5117218936152963</v>
      </c>
    </row>
    <row r="361" spans="1:62" x14ac:dyDescent="0.3">
      <c r="A361" t="s">
        <v>10</v>
      </c>
      <c r="B361" s="12" t="s">
        <v>695</v>
      </c>
      <c r="C361" s="12"/>
      <c r="D361" t="s">
        <v>676</v>
      </c>
      <c r="E361">
        <v>0.3</v>
      </c>
      <c r="F361">
        <v>2.16</v>
      </c>
      <c r="G361" t="s">
        <v>291</v>
      </c>
      <c r="H361" s="8" t="s">
        <v>531</v>
      </c>
      <c r="I361">
        <v>-1</v>
      </c>
      <c r="L361" s="20">
        <v>1</v>
      </c>
      <c r="M361">
        <v>0</v>
      </c>
      <c r="N361">
        <v>0</v>
      </c>
      <c r="T361" s="20">
        <v>3.9103940000000001</v>
      </c>
      <c r="U361" s="20">
        <v>3.9103940000000001</v>
      </c>
      <c r="V361" s="20">
        <v>11.314458</v>
      </c>
      <c r="W361">
        <v>0</v>
      </c>
      <c r="Z361">
        <v>0</v>
      </c>
      <c r="AD361">
        <v>14</v>
      </c>
      <c r="AE361" s="44">
        <f t="shared" si="19"/>
        <v>0</v>
      </c>
      <c r="AF361" s="46">
        <v>173.0114278564659</v>
      </c>
      <c r="AG361" s="44">
        <v>0</v>
      </c>
      <c r="AH361" s="44">
        <v>0</v>
      </c>
      <c r="AI361" s="41"/>
      <c r="AJ361" s="40">
        <v>8.0919510193365449E-2</v>
      </c>
      <c r="AK361" s="41"/>
      <c r="AL361" s="41"/>
      <c r="AM361" s="23">
        <v>1.9090909090909089</v>
      </c>
      <c r="AN361" s="23">
        <v>2.545454545454545</v>
      </c>
      <c r="AO361" s="23">
        <v>0.63636363636363635</v>
      </c>
      <c r="AP361" s="23">
        <v>2.545454545454545</v>
      </c>
      <c r="AQ361" s="23">
        <v>0.25</v>
      </c>
      <c r="AR361" s="23">
        <v>0.33333333333333331</v>
      </c>
      <c r="AS361" s="23">
        <v>8.3333333333333329E-2</v>
      </c>
      <c r="AT361" s="23">
        <v>0.33333333333333331</v>
      </c>
      <c r="AU361" s="20">
        <v>0.82</v>
      </c>
      <c r="AV361" s="20">
        <v>3.44</v>
      </c>
      <c r="AW361" s="20">
        <v>2.62</v>
      </c>
      <c r="AX361" s="20">
        <v>2.6363636363636358</v>
      </c>
      <c r="AY361">
        <v>2.6363636363636371</v>
      </c>
      <c r="AZ361">
        <v>6.0044088459090901</v>
      </c>
      <c r="BA361" s="64">
        <v>0.5117218936152963</v>
      </c>
      <c r="BE361">
        <v>4.0459755096682717E-2</v>
      </c>
      <c r="BH361">
        <v>8.0919510193365449E-2</v>
      </c>
      <c r="BI361">
        <v>4.0459755096682717E-2</v>
      </c>
      <c r="BJ361">
        <v>0.5117218936152963</v>
      </c>
    </row>
    <row r="362" spans="1:62" x14ac:dyDescent="0.3">
      <c r="A362" t="s">
        <v>4</v>
      </c>
      <c r="B362" s="12" t="s">
        <v>689</v>
      </c>
      <c r="C362" s="12"/>
      <c r="F362">
        <v>3.22</v>
      </c>
      <c r="G362" t="s">
        <v>292</v>
      </c>
      <c r="H362" s="59" t="s">
        <v>527</v>
      </c>
      <c r="I362">
        <v>-1</v>
      </c>
      <c r="K362">
        <v>4</v>
      </c>
      <c r="L362" s="20">
        <v>4</v>
      </c>
      <c r="M362">
        <v>0</v>
      </c>
      <c r="N362">
        <v>0</v>
      </c>
      <c r="O362">
        <v>-1</v>
      </c>
      <c r="T362" s="20">
        <v>7.8084429999999996</v>
      </c>
      <c r="U362" s="20">
        <v>7.8548809999999998</v>
      </c>
      <c r="V362" s="20">
        <v>15.19056011</v>
      </c>
      <c r="W362">
        <v>0</v>
      </c>
      <c r="Z362">
        <v>0</v>
      </c>
      <c r="AD362">
        <v>20</v>
      </c>
      <c r="AE362" s="44">
        <v>850</v>
      </c>
      <c r="AF362" s="46">
        <v>924.74694795000005</v>
      </c>
      <c r="AG362" s="44">
        <v>0</v>
      </c>
      <c r="AH362" s="44">
        <v>0</v>
      </c>
      <c r="AI362" s="41">
        <f t="shared" ref="AI362:AI373" si="22">K362*AD362/AE362</f>
        <v>9.4117647058823528E-2</v>
      </c>
      <c r="AJ362" s="40">
        <f>L362*AD362/AF362</f>
        <v>8.6510153050351563E-2</v>
      </c>
      <c r="AK362" s="41"/>
      <c r="AL362" s="41"/>
      <c r="AM362" s="23">
        <v>1.75</v>
      </c>
      <c r="AN362" s="23">
        <v>2.5</v>
      </c>
      <c r="AO362" s="23">
        <v>0.75</v>
      </c>
      <c r="AP362" s="23">
        <v>0</v>
      </c>
      <c r="AQ362" s="23">
        <v>0.35</v>
      </c>
      <c r="AR362" s="23">
        <v>0.5</v>
      </c>
      <c r="AS362" s="23">
        <v>0.15</v>
      </c>
      <c r="AT362" s="23">
        <v>0</v>
      </c>
      <c r="AU362" s="20">
        <v>0.82</v>
      </c>
      <c r="AV362" s="20">
        <v>3.44</v>
      </c>
      <c r="AW362" s="20">
        <v>2.62</v>
      </c>
      <c r="AX362" s="20">
        <v>2.6262500000000002</v>
      </c>
      <c r="AY362">
        <v>2.6262500000000002</v>
      </c>
      <c r="AZ362">
        <v>5.96680968125</v>
      </c>
      <c r="BA362" s="64">
        <v>0.50555206026575039</v>
      </c>
      <c r="BD362">
        <v>4.7058823529411757E-2</v>
      </c>
      <c r="BE362">
        <v>4.3255076525175781E-2</v>
      </c>
      <c r="BH362">
        <v>9.0313900054587545E-2</v>
      </c>
      <c r="BI362">
        <v>4.5156950027293773E-2</v>
      </c>
      <c r="BJ362">
        <v>0.50555206026575039</v>
      </c>
    </row>
    <row r="363" spans="1:62" x14ac:dyDescent="0.3">
      <c r="A363" s="32" t="s">
        <v>991</v>
      </c>
      <c r="B363" s="17" t="s">
        <v>693</v>
      </c>
      <c r="C363" s="12"/>
      <c r="F363">
        <v>3.1</v>
      </c>
      <c r="G363" t="s">
        <v>292</v>
      </c>
      <c r="H363" s="8">
        <v>-1</v>
      </c>
      <c r="I363">
        <v>-1</v>
      </c>
      <c r="K363">
        <v>4</v>
      </c>
      <c r="L363" s="20">
        <v>0</v>
      </c>
      <c r="M363">
        <v>0</v>
      </c>
      <c r="N363">
        <v>0</v>
      </c>
      <c r="O363">
        <v>3.8759999999999999</v>
      </c>
      <c r="P363">
        <v>3.8849999999999998</v>
      </c>
      <c r="Q363">
        <v>37.359000000000002</v>
      </c>
      <c r="R363" t="s">
        <v>1175</v>
      </c>
      <c r="T363" s="20">
        <v>0</v>
      </c>
      <c r="U363" s="20"/>
      <c r="V363" s="20"/>
      <c r="W363">
        <v>0</v>
      </c>
      <c r="Z363">
        <v>0</v>
      </c>
      <c r="AD363">
        <v>26</v>
      </c>
      <c r="AE363" s="44">
        <v>1100</v>
      </c>
      <c r="AF363" s="46">
        <v>0</v>
      </c>
      <c r="AG363" s="44">
        <v>0</v>
      </c>
      <c r="AH363" s="44">
        <v>0</v>
      </c>
      <c r="AI363" s="41">
        <f t="shared" si="22"/>
        <v>9.4545454545454544E-2</v>
      </c>
      <c r="AJ363" s="40"/>
      <c r="AK363" s="41"/>
      <c r="AL363" s="41"/>
      <c r="AM363" s="23">
        <v>1.714285714285714</v>
      </c>
      <c r="AN363" s="23">
        <v>2.4761904761904758</v>
      </c>
      <c r="AO363" s="23">
        <v>0.76190476190476186</v>
      </c>
      <c r="AP363" s="23">
        <v>0</v>
      </c>
      <c r="AQ363" s="23">
        <v>0.34615384615384609</v>
      </c>
      <c r="AR363" s="23">
        <v>0.5</v>
      </c>
      <c r="AS363" s="23">
        <v>0.1538461538461538</v>
      </c>
      <c r="AT363" s="23">
        <v>0</v>
      </c>
      <c r="AU363" s="20">
        <v>0.82</v>
      </c>
      <c r="AV363" s="20">
        <v>3.44</v>
      </c>
      <c r="AW363" s="20">
        <v>2.62</v>
      </c>
      <c r="AX363" s="20">
        <v>2.612857142857143</v>
      </c>
      <c r="AY363">
        <v>2.612857142857143</v>
      </c>
      <c r="AZ363">
        <v>5.9413964502380949</v>
      </c>
      <c r="BD363">
        <v>4.7272727272727272E-2</v>
      </c>
      <c r="BH363">
        <v>9.4545454545454544E-2</v>
      </c>
      <c r="BI363">
        <v>4.7272727272727272E-2</v>
      </c>
      <c r="BJ363">
        <v>0</v>
      </c>
    </row>
    <row r="364" spans="1:62" x14ac:dyDescent="0.3">
      <c r="A364" s="4" t="s">
        <v>992</v>
      </c>
      <c r="B364" s="33" t="s">
        <v>989</v>
      </c>
      <c r="C364" s="29"/>
      <c r="D364" s="4"/>
      <c r="E364" s="4"/>
      <c r="F364" s="4">
        <v>3.08</v>
      </c>
      <c r="G364" s="4" t="s">
        <v>292</v>
      </c>
      <c r="H364" s="30">
        <v>-2</v>
      </c>
      <c r="I364" s="4">
        <v>-1</v>
      </c>
      <c r="J364" s="4"/>
      <c r="K364" s="4">
        <v>4</v>
      </c>
      <c r="L364" s="31">
        <v>0</v>
      </c>
      <c r="M364">
        <v>0</v>
      </c>
      <c r="N364">
        <v>0</v>
      </c>
      <c r="O364" s="4">
        <v>-1</v>
      </c>
      <c r="P364" s="4"/>
      <c r="Q364" s="4"/>
      <c r="R364" s="4"/>
      <c r="S364" s="4"/>
      <c r="T364" s="31">
        <v>0</v>
      </c>
      <c r="U364" s="31"/>
      <c r="V364" s="31"/>
      <c r="W364">
        <v>0</v>
      </c>
      <c r="Z364">
        <v>0</v>
      </c>
      <c r="AC364" s="4"/>
      <c r="AD364" s="4">
        <v>32</v>
      </c>
      <c r="AE364" s="44">
        <v>1350</v>
      </c>
      <c r="AF364" s="46">
        <v>0</v>
      </c>
      <c r="AG364" s="44">
        <v>0</v>
      </c>
      <c r="AH364" s="44">
        <v>0</v>
      </c>
      <c r="AI364" s="41">
        <f t="shared" si="22"/>
        <v>9.481481481481481E-2</v>
      </c>
      <c r="AJ364" s="40"/>
      <c r="AK364" s="41"/>
      <c r="AL364" s="41"/>
      <c r="AM364" s="4">
        <v>1.6923076923076921</v>
      </c>
      <c r="AN364" s="4">
        <v>2.4615384615384621</v>
      </c>
      <c r="AO364" s="4">
        <v>0.76923076923076927</v>
      </c>
      <c r="AP364" s="4">
        <v>0</v>
      </c>
      <c r="AQ364" s="4">
        <v>0.34375</v>
      </c>
      <c r="AR364" s="4">
        <v>0.5</v>
      </c>
      <c r="AS364" s="4">
        <v>0.15625</v>
      </c>
      <c r="AT364" s="4">
        <v>0</v>
      </c>
      <c r="AU364" s="31">
        <v>0.82</v>
      </c>
      <c r="AV364" s="31">
        <v>3.44</v>
      </c>
      <c r="AW364" s="31">
        <v>2.62</v>
      </c>
      <c r="AX364" s="31">
        <v>2.6046153846153852</v>
      </c>
      <c r="AY364" s="4">
        <v>2.6046153846153852</v>
      </c>
      <c r="AZ364" s="4">
        <v>5.9257575388461543</v>
      </c>
      <c r="BD364">
        <v>4.7407407407407412E-2</v>
      </c>
      <c r="BH364">
        <v>9.481481481481481E-2</v>
      </c>
      <c r="BI364">
        <v>4.7407407407407412E-2</v>
      </c>
      <c r="BJ364">
        <v>0</v>
      </c>
    </row>
    <row r="365" spans="1:62" x14ac:dyDescent="0.3">
      <c r="A365" s="4" t="s">
        <v>993</v>
      </c>
      <c r="B365" s="33" t="s">
        <v>990</v>
      </c>
      <c r="C365" s="29"/>
      <c r="D365" s="4"/>
      <c r="E365" s="4"/>
      <c r="F365" s="4">
        <v>3.06</v>
      </c>
      <c r="G365" s="4" t="s">
        <v>292</v>
      </c>
      <c r="H365" s="30">
        <v>-2</v>
      </c>
      <c r="I365" s="4">
        <v>-1</v>
      </c>
      <c r="J365" s="4"/>
      <c r="K365" s="4">
        <v>4</v>
      </c>
      <c r="L365" s="31">
        <v>0</v>
      </c>
      <c r="M365">
        <v>0</v>
      </c>
      <c r="N365">
        <v>0</v>
      </c>
      <c r="O365" s="4">
        <v>-1</v>
      </c>
      <c r="P365" s="4"/>
      <c r="Q365" s="4"/>
      <c r="R365" s="4"/>
      <c r="S365" s="4"/>
      <c r="T365" s="31">
        <v>0</v>
      </c>
      <c r="U365" s="31"/>
      <c r="V365" s="31"/>
      <c r="W365">
        <v>0</v>
      </c>
      <c r="Z365">
        <v>0</v>
      </c>
      <c r="AC365" s="4"/>
      <c r="AD365" s="4">
        <v>38</v>
      </c>
      <c r="AE365" s="44">
        <v>1600</v>
      </c>
      <c r="AF365" s="46">
        <v>0</v>
      </c>
      <c r="AG365" s="44">
        <v>0</v>
      </c>
      <c r="AH365" s="44">
        <v>0</v>
      </c>
      <c r="AI365" s="41">
        <f t="shared" si="22"/>
        <v>9.5000000000000001E-2</v>
      </c>
      <c r="AJ365" s="40"/>
      <c r="AK365" s="41"/>
      <c r="AL365" s="41"/>
      <c r="AM365" s="4">
        <v>1.67741935483871</v>
      </c>
      <c r="AN365" s="4">
        <v>2.4516129032258061</v>
      </c>
      <c r="AO365" s="4">
        <v>0.77419354838709675</v>
      </c>
      <c r="AP365" s="4">
        <v>0</v>
      </c>
      <c r="AQ365" s="4">
        <v>0.34210526315789469</v>
      </c>
      <c r="AR365" s="4">
        <v>0.5</v>
      </c>
      <c r="AS365" s="4">
        <v>0.15789473684210531</v>
      </c>
      <c r="AT365" s="4">
        <v>0</v>
      </c>
      <c r="AU365" s="31">
        <v>0.82</v>
      </c>
      <c r="AV365" s="31">
        <v>3.44</v>
      </c>
      <c r="AW365" s="31">
        <v>2.62</v>
      </c>
      <c r="AX365" s="31">
        <v>2.5990322580645162</v>
      </c>
      <c r="AY365" s="4">
        <v>2.5990322580645162</v>
      </c>
      <c r="AZ365" s="4">
        <v>5.9151634375806452</v>
      </c>
      <c r="BD365">
        <v>4.7500000000000001E-2</v>
      </c>
      <c r="BH365">
        <v>9.5000000000000001E-2</v>
      </c>
      <c r="BI365">
        <v>4.7500000000000001E-2</v>
      </c>
      <c r="BJ365">
        <v>0</v>
      </c>
    </row>
    <row r="366" spans="1:62" x14ac:dyDescent="0.3">
      <c r="A366" s="34" t="s">
        <v>63</v>
      </c>
      <c r="B366" s="12" t="s">
        <v>773</v>
      </c>
      <c r="C366" s="12"/>
      <c r="F366">
        <v>3.59</v>
      </c>
      <c r="G366" t="s">
        <v>295</v>
      </c>
      <c r="H366" s="8">
        <v>-1</v>
      </c>
      <c r="I366">
        <v>-1</v>
      </c>
      <c r="J366" t="s">
        <v>1179</v>
      </c>
      <c r="K366">
        <v>1</v>
      </c>
      <c r="L366" s="20">
        <v>1</v>
      </c>
      <c r="M366">
        <v>0</v>
      </c>
      <c r="N366">
        <v>1</v>
      </c>
      <c r="O366" s="20">
        <v>3.86</v>
      </c>
      <c r="P366" s="20">
        <v>3.86</v>
      </c>
      <c r="Q366">
        <v>14.995541551467477</v>
      </c>
      <c r="T366" s="20">
        <v>3.86</v>
      </c>
      <c r="U366" s="20">
        <v>3.86</v>
      </c>
      <c r="V366" s="20">
        <v>14.97</v>
      </c>
      <c r="W366">
        <v>3.8504999999999998</v>
      </c>
      <c r="X366">
        <v>3.8504999999999998</v>
      </c>
      <c r="Y366">
        <v>14.379</v>
      </c>
      <c r="AD366">
        <v>20</v>
      </c>
      <c r="AE366" s="44">
        <f t="shared" si="19"/>
        <v>223.4275709002448</v>
      </c>
      <c r="AF366" s="46">
        <v>0</v>
      </c>
      <c r="AG366" s="44"/>
      <c r="AH366" s="44">
        <v>213.2</v>
      </c>
      <c r="AI366" s="41">
        <f t="shared" si="22"/>
        <v>8.9514467348031701E-2</v>
      </c>
      <c r="AJ366" s="40"/>
      <c r="AK366" s="41"/>
      <c r="AL366" s="56">
        <f>N366*AD366/AH366</f>
        <v>9.3808630393996256E-2</v>
      </c>
      <c r="AM366" s="23">
        <v>1.75</v>
      </c>
      <c r="AN366" s="23">
        <v>2.5</v>
      </c>
      <c r="AO366" s="23">
        <v>0.75</v>
      </c>
      <c r="AP366" s="23">
        <v>0</v>
      </c>
      <c r="AQ366" s="23">
        <v>0.35</v>
      </c>
      <c r="AR366" s="23">
        <v>0.5</v>
      </c>
      <c r="AS366" s="23">
        <v>0.15</v>
      </c>
      <c r="AT366" s="23">
        <v>0</v>
      </c>
      <c r="AU366" s="20">
        <v>1</v>
      </c>
      <c r="AV366" s="20">
        <v>3.44</v>
      </c>
      <c r="AW366" s="20">
        <v>2.44</v>
      </c>
      <c r="AX366" s="20">
        <v>2.7124999999999999</v>
      </c>
      <c r="AY366">
        <v>2.7124999999999999</v>
      </c>
      <c r="AZ366">
        <v>6.264025610615688</v>
      </c>
      <c r="BC366" s="64">
        <v>0</v>
      </c>
      <c r="BD366">
        <v>4.4757233674015851E-2</v>
      </c>
      <c r="BE366" t="s">
        <v>459</v>
      </c>
      <c r="BG366">
        <v>4.6904315196998128E-2</v>
      </c>
      <c r="BH366">
        <v>9.1661548871013979E-2</v>
      </c>
      <c r="BI366" t="s">
        <v>459</v>
      </c>
      <c r="BJ366">
        <v>0</v>
      </c>
    </row>
    <row r="367" spans="1:62" x14ac:dyDescent="0.3">
      <c r="A367" t="s">
        <v>296</v>
      </c>
      <c r="B367" s="16" t="s">
        <v>947</v>
      </c>
      <c r="C367" s="12"/>
      <c r="F367">
        <v>3.55</v>
      </c>
      <c r="G367" t="s">
        <v>295</v>
      </c>
      <c r="H367" s="8">
        <v>-1</v>
      </c>
      <c r="I367">
        <v>-1</v>
      </c>
      <c r="K367">
        <v>1</v>
      </c>
      <c r="L367" s="20">
        <v>1</v>
      </c>
      <c r="M367">
        <v>0</v>
      </c>
      <c r="N367">
        <v>0</v>
      </c>
      <c r="O367" s="20">
        <v>3.86</v>
      </c>
      <c r="P367" s="20">
        <v>3.86</v>
      </c>
      <c r="Q367">
        <v>15.615511227317649</v>
      </c>
      <c r="T367" s="20">
        <v>3.86</v>
      </c>
      <c r="U367" s="20">
        <v>3.86</v>
      </c>
      <c r="V367" s="20">
        <f>(V366+V368)/2</f>
        <v>15.342750000000001</v>
      </c>
      <c r="W367">
        <v>0</v>
      </c>
      <c r="AD367">
        <v>20</v>
      </c>
      <c r="AE367" s="44">
        <f t="shared" si="19"/>
        <v>232.66487108254202</v>
      </c>
      <c r="AF367" s="46">
        <v>0</v>
      </c>
      <c r="AG367" s="44"/>
      <c r="AH367" s="44"/>
      <c r="AI367" s="41">
        <f t="shared" si="22"/>
        <v>8.5960548779642126E-2</v>
      </c>
      <c r="AJ367" s="40"/>
      <c r="AK367" s="41"/>
      <c r="AL367" s="41"/>
      <c r="AM367" s="23">
        <v>1.75</v>
      </c>
      <c r="AN367" s="23">
        <v>2.5</v>
      </c>
      <c r="AO367" s="23">
        <v>0.75</v>
      </c>
      <c r="AP367" s="23">
        <v>0</v>
      </c>
      <c r="AQ367" s="23">
        <v>0.35</v>
      </c>
      <c r="AR367" s="23">
        <v>0.5</v>
      </c>
      <c r="AS367" s="23">
        <v>0.15</v>
      </c>
      <c r="AT367" s="23">
        <v>0</v>
      </c>
      <c r="AU367" s="20">
        <v>0.95</v>
      </c>
      <c r="AV367" s="20">
        <v>3.44</v>
      </c>
      <c r="AW367" s="20">
        <v>2.4900000000000002</v>
      </c>
      <c r="AX367" s="20">
        <v>2.7109375</v>
      </c>
      <c r="AY367">
        <v>2.7109375</v>
      </c>
      <c r="AZ367">
        <v>6.2579197821781882</v>
      </c>
      <c r="BD367">
        <v>4.2980274389821063E-2</v>
      </c>
      <c r="BE367" t="s">
        <v>459</v>
      </c>
      <c r="BH367">
        <v>8.5960548779642126E-2</v>
      </c>
      <c r="BI367" t="s">
        <v>459</v>
      </c>
      <c r="BJ367">
        <v>0</v>
      </c>
    </row>
    <row r="368" spans="1:62" x14ac:dyDescent="0.3">
      <c r="A368" t="s">
        <v>297</v>
      </c>
      <c r="B368" s="12" t="s">
        <v>827</v>
      </c>
      <c r="C368" s="12"/>
      <c r="F368">
        <v>3.5</v>
      </c>
      <c r="G368" t="s">
        <v>295</v>
      </c>
      <c r="H368" s="8">
        <v>-1</v>
      </c>
      <c r="I368">
        <v>-1</v>
      </c>
      <c r="K368">
        <v>1</v>
      </c>
      <c r="L368" s="20">
        <v>1</v>
      </c>
      <c r="M368">
        <v>0</v>
      </c>
      <c r="N368">
        <v>0</v>
      </c>
      <c r="O368" s="20">
        <v>3.86</v>
      </c>
      <c r="P368" s="20">
        <v>3.86</v>
      </c>
      <c r="Q368">
        <v>15.994210692250023</v>
      </c>
      <c r="T368" s="20">
        <v>3.86</v>
      </c>
      <c r="U368" s="20">
        <v>3.86</v>
      </c>
      <c r="V368" s="20">
        <v>15.7155</v>
      </c>
      <c r="W368">
        <v>0</v>
      </c>
      <c r="Z368">
        <v>0</v>
      </c>
      <c r="AD368">
        <v>20</v>
      </c>
      <c r="AE368" s="44">
        <f t="shared" si="19"/>
        <v>238.30734163024843</v>
      </c>
      <c r="AF368" s="46">
        <v>0</v>
      </c>
      <c r="AG368" s="44"/>
      <c r="AH368" s="44">
        <v>0</v>
      </c>
      <c r="AI368" s="41">
        <f t="shared" si="22"/>
        <v>8.3925236474801893E-2</v>
      </c>
      <c r="AJ368" s="40"/>
      <c r="AK368" s="41"/>
      <c r="AL368" s="41"/>
      <c r="AM368" s="23">
        <v>1.75</v>
      </c>
      <c r="AN368" s="23">
        <v>2.5</v>
      </c>
      <c r="AO368" s="23">
        <v>0.75</v>
      </c>
      <c r="AP368" s="23">
        <v>0</v>
      </c>
      <c r="AQ368" s="23">
        <v>0.35</v>
      </c>
      <c r="AR368" s="23">
        <v>0.5</v>
      </c>
      <c r="AS368" s="23">
        <v>0.15</v>
      </c>
      <c r="AT368" s="23">
        <v>0</v>
      </c>
      <c r="AU368" s="20">
        <v>0.95</v>
      </c>
      <c r="AV368" s="20">
        <v>3.44</v>
      </c>
      <c r="AW368" s="20">
        <v>2.4900000000000002</v>
      </c>
      <c r="AX368" s="20">
        <v>2.7093750000000001</v>
      </c>
      <c r="AY368">
        <v>2.7093750000000001</v>
      </c>
      <c r="AZ368">
        <v>6.2518139537406876</v>
      </c>
      <c r="BD368">
        <v>4.1962618237400953E-2</v>
      </c>
      <c r="BE368" t="s">
        <v>459</v>
      </c>
      <c r="BH368">
        <v>8.3925236474801893E-2</v>
      </c>
      <c r="BI368" t="s">
        <v>459</v>
      </c>
      <c r="BJ368">
        <v>0</v>
      </c>
    </row>
    <row r="369" spans="1:62" x14ac:dyDescent="0.3">
      <c r="A369" t="s">
        <v>298</v>
      </c>
      <c r="B369" s="16" t="s">
        <v>948</v>
      </c>
      <c r="C369" s="12"/>
      <c r="F369">
        <v>3.45</v>
      </c>
      <c r="G369" t="s">
        <v>295</v>
      </c>
      <c r="H369" s="8">
        <v>-1</v>
      </c>
      <c r="I369">
        <v>-1</v>
      </c>
      <c r="K369">
        <v>1</v>
      </c>
      <c r="L369" s="20">
        <v>1</v>
      </c>
      <c r="M369">
        <v>0</v>
      </c>
      <c r="N369">
        <v>0</v>
      </c>
      <c r="O369" s="20">
        <v>3.86</v>
      </c>
      <c r="P369" s="20">
        <v>3.86</v>
      </c>
      <c r="Q369">
        <v>16.28902613653251</v>
      </c>
      <c r="T369" s="20">
        <v>3.86</v>
      </c>
      <c r="U369" s="20">
        <v>3.86</v>
      </c>
      <c r="V369" s="20">
        <v>16.312000000000001</v>
      </c>
      <c r="W369">
        <v>0</v>
      </c>
      <c r="Z369">
        <v>0</v>
      </c>
      <c r="AD369">
        <v>20</v>
      </c>
      <c r="AE369" s="44">
        <f t="shared" si="19"/>
        <v>242.69997382387976</v>
      </c>
      <c r="AF369" s="46">
        <v>0</v>
      </c>
      <c r="AG369" s="44"/>
      <c r="AH369" s="44">
        <v>0</v>
      </c>
      <c r="AI369" s="41">
        <f t="shared" si="22"/>
        <v>8.2406271763809144E-2</v>
      </c>
      <c r="AJ369" s="40"/>
      <c r="AK369" s="41"/>
      <c r="AL369" s="41"/>
      <c r="AM369" s="23">
        <v>1.75</v>
      </c>
      <c r="AN369" s="23">
        <v>2.5</v>
      </c>
      <c r="AO369" s="23">
        <v>0.75</v>
      </c>
      <c r="AP369" s="23">
        <v>0</v>
      </c>
      <c r="AQ369" s="23">
        <v>0.35</v>
      </c>
      <c r="AR369" s="23">
        <v>0.5</v>
      </c>
      <c r="AS369" s="23">
        <v>0.15</v>
      </c>
      <c r="AT369" s="23">
        <v>0</v>
      </c>
      <c r="AU369" s="20">
        <v>0.95</v>
      </c>
      <c r="AV369" s="20">
        <v>3.44</v>
      </c>
      <c r="AW369" s="20">
        <v>2.4900000000000002</v>
      </c>
      <c r="AX369" s="20">
        <v>2.7078125000000002</v>
      </c>
      <c r="AY369">
        <v>2.7078125000000002</v>
      </c>
      <c r="AZ369">
        <v>6.245708125303187</v>
      </c>
      <c r="BD369">
        <v>4.1203135881904572E-2</v>
      </c>
      <c r="BE369" t="s">
        <v>459</v>
      </c>
      <c r="BH369">
        <v>8.2406271763809144E-2</v>
      </c>
      <c r="BI369" t="s">
        <v>459</v>
      </c>
      <c r="BJ369">
        <v>0</v>
      </c>
    </row>
    <row r="370" spans="1:62" x14ac:dyDescent="0.3">
      <c r="A370" t="s">
        <v>151</v>
      </c>
      <c r="B370" s="12" t="s">
        <v>774</v>
      </c>
      <c r="C370" s="12"/>
      <c r="F370">
        <v>3.4</v>
      </c>
      <c r="G370" t="s">
        <v>295</v>
      </c>
      <c r="H370" s="8">
        <v>-1</v>
      </c>
      <c r="I370">
        <v>-1</v>
      </c>
      <c r="K370">
        <v>1</v>
      </c>
      <c r="L370" s="20">
        <v>1</v>
      </c>
      <c r="M370">
        <v>0</v>
      </c>
      <c r="N370">
        <v>0</v>
      </c>
      <c r="O370" s="20">
        <v>3.86</v>
      </c>
      <c r="P370" s="20">
        <v>3.86</v>
      </c>
      <c r="Q370">
        <v>17.505628149549622</v>
      </c>
      <c r="T370" s="20">
        <v>3.86</v>
      </c>
      <c r="U370" s="20">
        <v>3.86</v>
      </c>
      <c r="V370" s="20">
        <v>17.599</v>
      </c>
      <c r="W370">
        <v>0</v>
      </c>
      <c r="Z370">
        <v>0</v>
      </c>
      <c r="AD370">
        <v>20</v>
      </c>
      <c r="AE370" s="44">
        <f t="shared" si="19"/>
        <v>260.82685717702952</v>
      </c>
      <c r="AF370" s="46">
        <v>0</v>
      </c>
      <c r="AG370" s="44"/>
      <c r="AH370" s="44">
        <v>0</v>
      </c>
      <c r="AI370" s="41">
        <f t="shared" si="22"/>
        <v>7.667922014037655E-2</v>
      </c>
      <c r="AJ370" s="40"/>
      <c r="AK370" s="41"/>
      <c r="AL370" s="41"/>
      <c r="AM370" s="23">
        <v>1.75</v>
      </c>
      <c r="AN370" s="23">
        <v>2.5</v>
      </c>
      <c r="AO370" s="23">
        <v>0.75</v>
      </c>
      <c r="AP370" s="23">
        <v>0</v>
      </c>
      <c r="AQ370" s="23">
        <v>0.35</v>
      </c>
      <c r="AR370" s="23">
        <v>0.5</v>
      </c>
      <c r="AS370" s="23">
        <v>0.15</v>
      </c>
      <c r="AT370" s="23">
        <v>0</v>
      </c>
      <c r="AU370" s="20">
        <v>0.95</v>
      </c>
      <c r="AV370" s="20">
        <v>3.44</v>
      </c>
      <c r="AW370" s="20">
        <v>2.4900000000000002</v>
      </c>
      <c r="AX370" s="20">
        <v>2.7062499999999998</v>
      </c>
      <c r="AY370">
        <v>2.7062499999999998</v>
      </c>
      <c r="AZ370">
        <v>6.2396022968656872</v>
      </c>
      <c r="BD370">
        <v>3.8339610070188268E-2</v>
      </c>
      <c r="BE370" t="s">
        <v>459</v>
      </c>
      <c r="BH370">
        <v>7.667922014037655E-2</v>
      </c>
      <c r="BI370" t="s">
        <v>459</v>
      </c>
      <c r="BJ370">
        <v>0</v>
      </c>
    </row>
    <row r="371" spans="1:62" x14ac:dyDescent="0.3">
      <c r="A371" t="s">
        <v>299</v>
      </c>
      <c r="B371" s="16" t="s">
        <v>949</v>
      </c>
      <c r="C371" s="12"/>
      <c r="F371">
        <v>3.65</v>
      </c>
      <c r="G371" t="s">
        <v>295</v>
      </c>
      <c r="H371" s="8">
        <v>-1</v>
      </c>
      <c r="I371">
        <v>-1</v>
      </c>
      <c r="K371">
        <v>1</v>
      </c>
      <c r="L371" s="20">
        <v>1</v>
      </c>
      <c r="M371">
        <v>0</v>
      </c>
      <c r="N371">
        <v>0</v>
      </c>
      <c r="O371" s="20">
        <v>3.86</v>
      </c>
      <c r="P371" s="20">
        <v>3.86</v>
      </c>
      <c r="Q371">
        <v>14.582394405034421</v>
      </c>
      <c r="T371" s="20">
        <v>3.86</v>
      </c>
      <c r="U371" s="20">
        <v>3.86</v>
      </c>
      <c r="V371" s="20">
        <v>14.85</v>
      </c>
      <c r="W371">
        <v>0</v>
      </c>
      <c r="Z371">
        <v>0</v>
      </c>
      <c r="AD371">
        <v>20</v>
      </c>
      <c r="AE371" s="44">
        <f t="shared" si="19"/>
        <v>217.27184367725084</v>
      </c>
      <c r="AF371" s="46">
        <v>0</v>
      </c>
      <c r="AG371" s="44"/>
      <c r="AH371" s="44">
        <v>0</v>
      </c>
      <c r="AI371" s="41">
        <f t="shared" si="22"/>
        <v>9.2050583552414869E-2</v>
      </c>
      <c r="AJ371" s="40"/>
      <c r="AK371" s="41"/>
      <c r="AL371" s="41"/>
      <c r="AM371" s="23">
        <v>1.76875</v>
      </c>
      <c r="AN371" s="23">
        <v>2.5</v>
      </c>
      <c r="AO371" s="23">
        <v>0.73125000000000007</v>
      </c>
      <c r="AP371" s="23">
        <v>0.26250000000000001</v>
      </c>
      <c r="AQ371" s="23">
        <v>0.33610451306413303</v>
      </c>
      <c r="AR371" s="23">
        <v>0.47505938242280282</v>
      </c>
      <c r="AS371" s="23">
        <v>0.13895486935866991</v>
      </c>
      <c r="AT371" s="23">
        <v>4.9881235154394299E-2</v>
      </c>
      <c r="AU371" s="20">
        <v>1</v>
      </c>
      <c r="AV371" s="20">
        <v>3.44</v>
      </c>
      <c r="AW371" s="20">
        <v>2.44</v>
      </c>
      <c r="AX371" s="20">
        <v>2.7106249999999998</v>
      </c>
      <c r="AY371">
        <v>2.7106249999999998</v>
      </c>
      <c r="AZ371">
        <v>6.2658671793656886</v>
      </c>
      <c r="BD371">
        <v>4.6025291776207428E-2</v>
      </c>
      <c r="BE371" t="s">
        <v>459</v>
      </c>
      <c r="BH371">
        <v>9.2050583552414869E-2</v>
      </c>
      <c r="BI371" t="s">
        <v>459</v>
      </c>
      <c r="BJ371">
        <v>0</v>
      </c>
    </row>
    <row r="372" spans="1:62" x14ac:dyDescent="0.3">
      <c r="A372" t="s">
        <v>300</v>
      </c>
      <c r="B372" s="12" t="s">
        <v>809</v>
      </c>
      <c r="C372" s="12"/>
      <c r="F372">
        <v>3.26</v>
      </c>
      <c r="G372" t="s">
        <v>295</v>
      </c>
      <c r="H372" s="8">
        <v>-1</v>
      </c>
      <c r="I372">
        <v>-1</v>
      </c>
      <c r="K372">
        <v>1</v>
      </c>
      <c r="L372" s="20">
        <v>1</v>
      </c>
      <c r="M372">
        <v>0</v>
      </c>
      <c r="N372">
        <v>0</v>
      </c>
      <c r="O372" s="20">
        <v>3.86</v>
      </c>
      <c r="P372" s="20">
        <v>3.86</v>
      </c>
      <c r="Q372">
        <v>14.909538142748223</v>
      </c>
      <c r="T372" s="20">
        <v>3.86</v>
      </c>
      <c r="U372" s="20">
        <v>3.86</v>
      </c>
      <c r="V372" s="20">
        <v>15.022</v>
      </c>
      <c r="W372">
        <v>0</v>
      </c>
      <c r="Z372">
        <v>0</v>
      </c>
      <c r="AD372">
        <v>20</v>
      </c>
      <c r="AE372" s="44">
        <f t="shared" si="19"/>
        <v>222.14615451169144</v>
      </c>
      <c r="AF372" s="46">
        <v>0</v>
      </c>
      <c r="AG372" s="44"/>
      <c r="AH372" s="44">
        <v>0</v>
      </c>
      <c r="AI372" s="41">
        <f t="shared" si="22"/>
        <v>9.0030817971901517E-2</v>
      </c>
      <c r="AJ372" s="40"/>
      <c r="AK372" s="41"/>
      <c r="AL372" s="41"/>
      <c r="AM372" s="23">
        <v>1.8125</v>
      </c>
      <c r="AN372" s="23">
        <v>2.5</v>
      </c>
      <c r="AO372" s="23">
        <v>0.6875</v>
      </c>
      <c r="AP372" s="23">
        <v>0.875</v>
      </c>
      <c r="AQ372" s="23">
        <v>0.30851063829787229</v>
      </c>
      <c r="AR372" s="23">
        <v>0.42553191489361702</v>
      </c>
      <c r="AS372" s="23">
        <v>0.1170212765957447</v>
      </c>
      <c r="AT372" s="23">
        <v>0.14893617021276601</v>
      </c>
      <c r="AU372" s="20">
        <v>1</v>
      </c>
      <c r="AV372" s="20">
        <v>3.44</v>
      </c>
      <c r="AW372" s="20">
        <v>2.44</v>
      </c>
      <c r="AX372" s="20">
        <v>2.7062499999999998</v>
      </c>
      <c r="AY372">
        <v>2.7062499999999998</v>
      </c>
      <c r="AZ372">
        <v>6.2701641731156874</v>
      </c>
      <c r="BD372">
        <v>4.5015408985950758E-2</v>
      </c>
      <c r="BE372" t="s">
        <v>459</v>
      </c>
      <c r="BH372">
        <v>9.0030817971901517E-2</v>
      </c>
      <c r="BI372" t="s">
        <v>459</v>
      </c>
      <c r="BJ372">
        <v>0</v>
      </c>
    </row>
    <row r="373" spans="1:62" x14ac:dyDescent="0.3">
      <c r="A373" t="s">
        <v>301</v>
      </c>
      <c r="B373" s="16" t="s">
        <v>950</v>
      </c>
      <c r="C373" s="12"/>
      <c r="F373">
        <v>3.2</v>
      </c>
      <c r="G373" t="s">
        <v>295</v>
      </c>
      <c r="H373" s="8">
        <v>-1</v>
      </c>
      <c r="I373">
        <v>-1</v>
      </c>
      <c r="K373">
        <v>1</v>
      </c>
      <c r="L373" s="20">
        <v>1</v>
      </c>
      <c r="M373">
        <v>0</v>
      </c>
      <c r="N373">
        <v>0</v>
      </c>
      <c r="O373" s="20">
        <v>3.86</v>
      </c>
      <c r="P373" s="20">
        <v>3.86</v>
      </c>
      <c r="Q373">
        <v>15.013371612679299</v>
      </c>
      <c r="T373" s="20">
        <v>3.86</v>
      </c>
      <c r="U373" s="20">
        <v>3.86</v>
      </c>
      <c r="V373" s="35">
        <v>15.380100000000001</v>
      </c>
      <c r="W373">
        <v>0</v>
      </c>
      <c r="Z373">
        <v>0</v>
      </c>
      <c r="AD373">
        <v>20</v>
      </c>
      <c r="AE373" s="44">
        <f t="shared" si="19"/>
        <v>223.69323168027648</v>
      </c>
      <c r="AF373" s="46">
        <v>0</v>
      </c>
      <c r="AG373" s="44"/>
      <c r="AH373" s="44">
        <v>0</v>
      </c>
      <c r="AI373" s="41">
        <f t="shared" si="22"/>
        <v>8.9408158886925521E-2</v>
      </c>
      <c r="AJ373" s="40"/>
      <c r="AK373" s="41"/>
      <c r="AL373" s="41"/>
      <c r="AM373" s="23">
        <v>1.84375</v>
      </c>
      <c r="AN373" s="23">
        <v>2.5</v>
      </c>
      <c r="AO373" s="23">
        <v>0.65625</v>
      </c>
      <c r="AP373" s="23">
        <v>1.3125</v>
      </c>
      <c r="AQ373" s="23">
        <v>0.29207920792079212</v>
      </c>
      <c r="AR373" s="23">
        <v>0.39603960396039611</v>
      </c>
      <c r="AS373" s="23">
        <v>0.103960396039604</v>
      </c>
      <c r="AT373" s="23">
        <v>0.20792079207920791</v>
      </c>
      <c r="AU373" s="20">
        <v>1</v>
      </c>
      <c r="AV373" s="20">
        <v>3.44</v>
      </c>
      <c r="AW373" s="20">
        <v>2.44</v>
      </c>
      <c r="AX373" s="20">
        <v>2.703125</v>
      </c>
      <c r="AY373">
        <v>2.703125</v>
      </c>
      <c r="AZ373">
        <v>6.2732334543656876</v>
      </c>
      <c r="BD373">
        <v>4.470407944346276E-2</v>
      </c>
      <c r="BE373" t="s">
        <v>459</v>
      </c>
      <c r="BH373">
        <v>8.9408158886925521E-2</v>
      </c>
      <c r="BI373" t="s">
        <v>459</v>
      </c>
      <c r="BJ373">
        <v>0</v>
      </c>
    </row>
    <row r="374" spans="1:62" x14ac:dyDescent="0.3">
      <c r="A374" t="s">
        <v>4</v>
      </c>
      <c r="B374" s="12" t="s">
        <v>689</v>
      </c>
      <c r="C374" s="12"/>
      <c r="F374">
        <v>3.5</v>
      </c>
      <c r="G374" t="s">
        <v>302</v>
      </c>
      <c r="H374" s="8" t="s">
        <v>527</v>
      </c>
      <c r="I374" t="s">
        <v>609</v>
      </c>
      <c r="L374" s="20">
        <v>4</v>
      </c>
      <c r="M374">
        <v>4</v>
      </c>
      <c r="N374">
        <v>0</v>
      </c>
      <c r="T374" s="20">
        <v>3.86</v>
      </c>
      <c r="U374" s="20">
        <v>3.86</v>
      </c>
      <c r="V374" s="20">
        <v>15.19056011</v>
      </c>
      <c r="W374">
        <v>3.8801999999999999</v>
      </c>
      <c r="X374">
        <v>29.507999999999999</v>
      </c>
      <c r="Y374">
        <v>7.7140000000000004</v>
      </c>
      <c r="Z374">
        <v>0</v>
      </c>
      <c r="AD374">
        <v>20</v>
      </c>
      <c r="AE374" s="44">
        <f t="shared" si="19"/>
        <v>0</v>
      </c>
      <c r="AF374" s="46">
        <v>924.74694800021894</v>
      </c>
      <c r="AG374" s="44">
        <v>883.22940750240002</v>
      </c>
      <c r="AH374" s="44">
        <v>0</v>
      </c>
      <c r="AI374" s="41"/>
      <c r="AJ374" s="40">
        <v>8.6510153045653584E-2</v>
      </c>
      <c r="AK374" s="41">
        <v>9.0576694254581439E-2</v>
      </c>
      <c r="AL374" s="41"/>
      <c r="AM374" s="23">
        <v>1.75</v>
      </c>
      <c r="AN374" s="23">
        <v>2.5</v>
      </c>
      <c r="AO374" s="23">
        <v>0.75</v>
      </c>
      <c r="AP374" s="23">
        <v>0</v>
      </c>
      <c r="AQ374" s="23">
        <v>0.35</v>
      </c>
      <c r="AR374" s="23">
        <v>0.5</v>
      </c>
      <c r="AS374" s="23">
        <v>0.15</v>
      </c>
      <c r="AT374" s="23">
        <v>0</v>
      </c>
      <c r="AU374" s="20">
        <v>0.82</v>
      </c>
      <c r="AV374" s="20">
        <v>3.44</v>
      </c>
      <c r="AW374" s="20">
        <v>2.62</v>
      </c>
      <c r="AX374" s="20">
        <v>2.6262500000000002</v>
      </c>
      <c r="AY374">
        <v>2.6262500000000002</v>
      </c>
      <c r="AZ374">
        <v>5.96680968125</v>
      </c>
      <c r="BA374" s="64">
        <v>0.50555206026575039</v>
      </c>
      <c r="BB374" s="64">
        <v>0</v>
      </c>
      <c r="BE374">
        <v>4.3255076522826792E-2</v>
      </c>
      <c r="BF374">
        <v>4.5288347127290719E-2</v>
      </c>
      <c r="BH374">
        <v>8.8543423650117511E-2</v>
      </c>
      <c r="BI374">
        <v>4.4271711825058763E-2</v>
      </c>
      <c r="BJ374">
        <v>0.2527760301328752</v>
      </c>
    </row>
    <row r="375" spans="1:62" x14ac:dyDescent="0.3">
      <c r="A375" t="s">
        <v>303</v>
      </c>
      <c r="B375" s="12" t="s">
        <v>828</v>
      </c>
      <c r="C375" s="12"/>
      <c r="F375">
        <v>3.4</v>
      </c>
      <c r="G375" t="s">
        <v>302</v>
      </c>
      <c r="H375" s="25" t="s">
        <v>527</v>
      </c>
      <c r="I375" s="1" t="s">
        <v>609</v>
      </c>
      <c r="L375" s="20">
        <v>0</v>
      </c>
      <c r="M375">
        <v>4</v>
      </c>
      <c r="N375">
        <v>0</v>
      </c>
      <c r="O375">
        <v>-1</v>
      </c>
      <c r="T375" s="26">
        <v>3.86</v>
      </c>
      <c r="U375" s="26">
        <v>3.86</v>
      </c>
      <c r="V375" s="26">
        <v>15.19056011</v>
      </c>
      <c r="W375">
        <v>3.8801999999999999</v>
      </c>
      <c r="X375">
        <v>29.507999999999999</v>
      </c>
      <c r="Y375">
        <v>7.7140000000000004</v>
      </c>
      <c r="Z375">
        <v>0</v>
      </c>
      <c r="AD375">
        <v>20</v>
      </c>
      <c r="AE375" s="44">
        <f t="shared" si="19"/>
        <v>0</v>
      </c>
      <c r="AF375" s="46">
        <v>0</v>
      </c>
      <c r="AG375" s="44">
        <v>883.22940750240002</v>
      </c>
      <c r="AH375" s="44">
        <v>0</v>
      </c>
      <c r="AI375" s="41"/>
      <c r="AJ375" s="40"/>
      <c r="AK375" s="41">
        <v>9.0576694254581439E-2</v>
      </c>
      <c r="AL375" s="41"/>
      <c r="AM375" s="23">
        <v>1.75</v>
      </c>
      <c r="AN375" s="23">
        <v>2.5</v>
      </c>
      <c r="AO375" s="23">
        <v>0.75</v>
      </c>
      <c r="AP375" s="23">
        <v>0</v>
      </c>
      <c r="AQ375" s="23">
        <v>0.35</v>
      </c>
      <c r="AR375" s="23">
        <v>0.5</v>
      </c>
      <c r="AS375" s="23">
        <v>0.15</v>
      </c>
      <c r="AT375" s="23">
        <v>0</v>
      </c>
      <c r="AU375" s="20">
        <v>0.82</v>
      </c>
      <c r="AV375" s="20">
        <v>3.44</v>
      </c>
      <c r="AW375" s="20">
        <v>2.62</v>
      </c>
      <c r="AX375" s="20">
        <v>2.6231249999999999</v>
      </c>
      <c r="AY375">
        <v>2.6231249999999999</v>
      </c>
      <c r="AZ375">
        <v>5.9545980243750014</v>
      </c>
      <c r="BA375" s="64">
        <v>0.50555206026575039</v>
      </c>
      <c r="BB375" s="64">
        <v>0</v>
      </c>
      <c r="BF375">
        <v>4.5288347127290719E-2</v>
      </c>
      <c r="BH375">
        <v>9.0576694254581439E-2</v>
      </c>
      <c r="BI375">
        <v>4.5288347127290719E-2</v>
      </c>
      <c r="BJ375">
        <v>0.2527760301328752</v>
      </c>
    </row>
    <row r="376" spans="1:62" x14ac:dyDescent="0.3">
      <c r="A376" t="s">
        <v>7</v>
      </c>
      <c r="B376" s="12" t="s">
        <v>692</v>
      </c>
      <c r="C376" s="12"/>
      <c r="F376">
        <v>3.3</v>
      </c>
      <c r="G376" t="s">
        <v>302</v>
      </c>
      <c r="H376" s="25" t="s">
        <v>527</v>
      </c>
      <c r="I376" s="1" t="s">
        <v>609</v>
      </c>
      <c r="L376" s="20">
        <v>0</v>
      </c>
      <c r="M376">
        <v>4</v>
      </c>
      <c r="N376">
        <v>0</v>
      </c>
      <c r="O376">
        <v>-1</v>
      </c>
      <c r="T376" s="26">
        <v>3.86</v>
      </c>
      <c r="U376" s="26">
        <v>3.86</v>
      </c>
      <c r="V376" s="26">
        <v>15.19056011</v>
      </c>
      <c r="W376">
        <v>3.8801999999999999</v>
      </c>
      <c r="X376">
        <v>29.507999999999999</v>
      </c>
      <c r="Y376">
        <v>7.7140000000000004</v>
      </c>
      <c r="Z376">
        <v>0</v>
      </c>
      <c r="AD376">
        <v>20</v>
      </c>
      <c r="AE376" s="44">
        <f t="shared" si="19"/>
        <v>0</v>
      </c>
      <c r="AF376" s="46">
        <v>0</v>
      </c>
      <c r="AG376" s="44">
        <v>883.22940750240002</v>
      </c>
      <c r="AH376" s="44">
        <v>0</v>
      </c>
      <c r="AI376" s="41"/>
      <c r="AJ376" s="40"/>
      <c r="AK376" s="41">
        <v>9.0576694254581439E-2</v>
      </c>
      <c r="AL376" s="41"/>
      <c r="AM376" s="23">
        <v>1.75</v>
      </c>
      <c r="AN376" s="23">
        <v>2.5</v>
      </c>
      <c r="AO376" s="23">
        <v>0.75</v>
      </c>
      <c r="AP376" s="23">
        <v>0</v>
      </c>
      <c r="AQ376" s="23">
        <v>0.35</v>
      </c>
      <c r="AR376" s="23">
        <v>0.5</v>
      </c>
      <c r="AS376" s="23">
        <v>0.15</v>
      </c>
      <c r="AT376" s="23">
        <v>0</v>
      </c>
      <c r="AU376" s="20">
        <v>0.82</v>
      </c>
      <c r="AV376" s="20">
        <v>3.44</v>
      </c>
      <c r="AW376" s="20">
        <v>2.62</v>
      </c>
      <c r="AX376" s="20">
        <v>2.62</v>
      </c>
      <c r="AY376">
        <v>2.62</v>
      </c>
      <c r="AZ376">
        <v>5.9423863675000002</v>
      </c>
      <c r="BA376" s="64">
        <v>0.50555206026575039</v>
      </c>
      <c r="BB376" s="64">
        <v>0</v>
      </c>
      <c r="BF376">
        <v>4.5288347127290719E-2</v>
      </c>
      <c r="BH376">
        <v>9.0576694254581439E-2</v>
      </c>
      <c r="BI376">
        <v>4.5288347127290719E-2</v>
      </c>
      <c r="BJ376">
        <v>0.2527760301328752</v>
      </c>
    </row>
    <row r="377" spans="1:62" x14ac:dyDescent="0.3">
      <c r="A377" t="s">
        <v>63</v>
      </c>
      <c r="B377" s="12" t="s">
        <v>773</v>
      </c>
      <c r="C377" s="12"/>
      <c r="F377">
        <v>3.5</v>
      </c>
      <c r="G377" t="s">
        <v>305</v>
      </c>
      <c r="H377" s="8">
        <v>-1</v>
      </c>
      <c r="I377">
        <v>-1</v>
      </c>
      <c r="J377" t="s">
        <v>1179</v>
      </c>
      <c r="K377">
        <v>1</v>
      </c>
      <c r="L377" s="20">
        <v>0</v>
      </c>
      <c r="M377">
        <v>0</v>
      </c>
      <c r="N377">
        <v>1</v>
      </c>
      <c r="O377">
        <v>-1</v>
      </c>
      <c r="T377" s="20">
        <v>3.84</v>
      </c>
      <c r="U377" s="20">
        <v>3.84</v>
      </c>
      <c r="V377" s="20">
        <v>13.97</v>
      </c>
      <c r="W377">
        <v>3.8504999999999998</v>
      </c>
      <c r="X377">
        <v>3.8504999999999998</v>
      </c>
      <c r="Y377">
        <v>14.379</v>
      </c>
      <c r="AD377">
        <v>20</v>
      </c>
      <c r="AE377" s="44">
        <f t="shared" si="19"/>
        <v>0</v>
      </c>
      <c r="AF377" s="46">
        <v>0</v>
      </c>
      <c r="AG377" s="44">
        <v>0</v>
      </c>
      <c r="AH377" s="44">
        <v>213.2</v>
      </c>
      <c r="AI377" s="41"/>
      <c r="AJ377" s="40"/>
      <c r="AK377" s="41"/>
      <c r="AL377" s="56">
        <f>N377*AD377/AH377</f>
        <v>9.3808630393996256E-2</v>
      </c>
      <c r="AM377" s="23">
        <v>1.75</v>
      </c>
      <c r="AN377" s="23">
        <v>2.5</v>
      </c>
      <c r="AO377" s="23">
        <v>0.75</v>
      </c>
      <c r="AP377" s="23">
        <v>0</v>
      </c>
      <c r="AQ377" s="23">
        <v>0.35</v>
      </c>
      <c r="AR377" s="23">
        <v>0.5</v>
      </c>
      <c r="AS377" s="23">
        <v>0.15</v>
      </c>
      <c r="AT377" s="23">
        <v>0</v>
      </c>
      <c r="AU377" s="20">
        <v>1</v>
      </c>
      <c r="AV377" s="20">
        <v>3.44</v>
      </c>
      <c r="AW377" s="20">
        <v>2.44</v>
      </c>
      <c r="AX377" s="20">
        <v>2.7124999999999999</v>
      </c>
      <c r="AY377">
        <v>2.7124999999999999</v>
      </c>
      <c r="AZ377">
        <v>6.264025610615688</v>
      </c>
      <c r="BC377" s="64">
        <v>0</v>
      </c>
      <c r="BD377" t="s">
        <v>459</v>
      </c>
      <c r="BG377">
        <v>4.6904315196998128E-2</v>
      </c>
      <c r="BH377">
        <v>9.3808630393996256E-2</v>
      </c>
      <c r="BI377" t="s">
        <v>459</v>
      </c>
      <c r="BJ377">
        <v>0</v>
      </c>
    </row>
    <row r="378" spans="1:62" x14ac:dyDescent="0.3">
      <c r="A378" t="s">
        <v>304</v>
      </c>
      <c r="B378" s="12" t="s">
        <v>829</v>
      </c>
      <c r="C378" s="12"/>
      <c r="F378">
        <v>3.33</v>
      </c>
      <c r="G378" t="s">
        <v>305</v>
      </c>
      <c r="H378" s="8">
        <v>-1</v>
      </c>
      <c r="I378">
        <v>-1</v>
      </c>
      <c r="K378">
        <v>4</v>
      </c>
      <c r="L378" s="20">
        <v>0</v>
      </c>
      <c r="M378">
        <v>0</v>
      </c>
      <c r="N378">
        <v>0</v>
      </c>
      <c r="O378">
        <v>6.47</v>
      </c>
      <c r="P378">
        <v>6.47</v>
      </c>
      <c r="Q378">
        <v>30.69</v>
      </c>
      <c r="T378" s="20">
        <v>0</v>
      </c>
      <c r="U378" s="20"/>
      <c r="V378" s="20"/>
      <c r="W378">
        <v>0</v>
      </c>
      <c r="Z378">
        <v>0</v>
      </c>
      <c r="AD378">
        <v>34</v>
      </c>
      <c r="AE378" s="44">
        <f t="shared" si="19"/>
        <v>1284.7110209999998</v>
      </c>
      <c r="AF378" s="46">
        <v>0</v>
      </c>
      <c r="AG378" s="44">
        <v>0</v>
      </c>
      <c r="AH378" s="44">
        <v>0</v>
      </c>
      <c r="AI378" s="41">
        <f t="shared" ref="AI378:AI380" si="23">K378*AD378/AE378</f>
        <v>0.1058603824338174</v>
      </c>
      <c r="AJ378" s="40"/>
      <c r="AK378" s="41"/>
      <c r="AL378" s="41"/>
      <c r="AM378">
        <v>1.62962962962963</v>
      </c>
      <c r="AN378">
        <v>2.518518518518519</v>
      </c>
      <c r="AO378">
        <v>0.88888888888888884</v>
      </c>
      <c r="AP378">
        <v>0</v>
      </c>
      <c r="AQ378">
        <v>0.32352941176470579</v>
      </c>
      <c r="AR378">
        <v>0.5</v>
      </c>
      <c r="AS378">
        <v>0.1764705882352941</v>
      </c>
      <c r="AT378">
        <v>0</v>
      </c>
      <c r="AU378" s="20">
        <v>1.6</v>
      </c>
      <c r="AV378" s="20">
        <v>3.44</v>
      </c>
      <c r="AW378" s="20">
        <v>1.84</v>
      </c>
      <c r="AX378" s="20">
        <v>2.8474074074074069</v>
      </c>
      <c r="AY378">
        <v>2.8474074074074069</v>
      </c>
      <c r="AZ378">
        <v>6.6632481018297778</v>
      </c>
      <c r="BD378">
        <v>5.2930191216908701E-2</v>
      </c>
      <c r="BH378">
        <v>0.1058603824338174</v>
      </c>
      <c r="BI378">
        <v>5.2930191216908701E-2</v>
      </c>
      <c r="BJ378">
        <v>0</v>
      </c>
    </row>
    <row r="379" spans="1:62" x14ac:dyDescent="0.3">
      <c r="A379" t="s">
        <v>299</v>
      </c>
      <c r="B379" s="16" t="s">
        <v>949</v>
      </c>
      <c r="C379" s="12"/>
      <c r="F379">
        <v>3.65</v>
      </c>
      <c r="G379" t="s">
        <v>306</v>
      </c>
      <c r="H379" s="8">
        <v>-1</v>
      </c>
      <c r="I379">
        <v>-1</v>
      </c>
      <c r="K379">
        <v>1</v>
      </c>
      <c r="L379" s="20">
        <v>0</v>
      </c>
      <c r="M379">
        <v>0</v>
      </c>
      <c r="N379">
        <v>0</v>
      </c>
      <c r="O379">
        <v>3.8531</v>
      </c>
      <c r="P379">
        <v>3.8531</v>
      </c>
      <c r="Q379">
        <v>16.2151</v>
      </c>
      <c r="T379" s="20">
        <v>0</v>
      </c>
      <c r="U379" s="20"/>
      <c r="V379" s="20"/>
      <c r="W379">
        <v>0</v>
      </c>
      <c r="Z379">
        <v>0</v>
      </c>
      <c r="AD379">
        <v>20</v>
      </c>
      <c r="AE379" s="44">
        <f t="shared" si="19"/>
        <v>240.73553001411099</v>
      </c>
      <c r="AF379" s="46">
        <v>0</v>
      </c>
      <c r="AG379" s="44">
        <v>0</v>
      </c>
      <c r="AH379" s="44">
        <v>0</v>
      </c>
      <c r="AI379" s="41">
        <f t="shared" si="23"/>
        <v>8.3078721279022161E-2</v>
      </c>
      <c r="AJ379" s="40"/>
      <c r="AK379" s="41"/>
      <c r="AL379" s="41"/>
      <c r="AM379">
        <v>1.76875</v>
      </c>
      <c r="AN379">
        <v>2.5</v>
      </c>
      <c r="AO379">
        <v>0.73125000000000007</v>
      </c>
      <c r="AP379">
        <v>0.26250000000000001</v>
      </c>
      <c r="AQ379">
        <v>0.33610451306413303</v>
      </c>
      <c r="AR379">
        <v>0.47505938242280282</v>
      </c>
      <c r="AS379">
        <v>0.13895486935866991</v>
      </c>
      <c r="AT379">
        <v>4.9881235154394299E-2</v>
      </c>
      <c r="AU379" s="20">
        <v>1</v>
      </c>
      <c r="AV379" s="20">
        <v>3.44</v>
      </c>
      <c r="AW379" s="20">
        <v>2.44</v>
      </c>
      <c r="AX379" s="20">
        <v>2.7106249999999998</v>
      </c>
      <c r="AY379">
        <v>2.7106249999999998</v>
      </c>
      <c r="AZ379">
        <v>6.2658671793656886</v>
      </c>
      <c r="BD379">
        <v>4.153936063951108E-2</v>
      </c>
      <c r="BH379">
        <v>8.3078721279022161E-2</v>
      </c>
      <c r="BI379">
        <v>4.153936063951108E-2</v>
      </c>
      <c r="BJ379">
        <v>0</v>
      </c>
    </row>
    <row r="380" spans="1:62" x14ac:dyDescent="0.3">
      <c r="A380" t="s">
        <v>301</v>
      </c>
      <c r="B380" s="16" t="s">
        <v>950</v>
      </c>
      <c r="C380" s="12"/>
      <c r="F380">
        <v>3.8</v>
      </c>
      <c r="G380" t="s">
        <v>306</v>
      </c>
      <c r="H380" s="8">
        <v>-1</v>
      </c>
      <c r="I380">
        <v>-1</v>
      </c>
      <c r="K380">
        <v>1</v>
      </c>
      <c r="L380" s="20">
        <v>0</v>
      </c>
      <c r="M380">
        <v>0</v>
      </c>
      <c r="N380">
        <v>0</v>
      </c>
      <c r="O380">
        <v>3.8531</v>
      </c>
      <c r="P380">
        <v>3.8531</v>
      </c>
      <c r="Q380">
        <v>16.2151</v>
      </c>
      <c r="T380" s="20">
        <v>0</v>
      </c>
      <c r="U380" s="20"/>
      <c r="V380" s="20"/>
      <c r="W380">
        <v>0</v>
      </c>
      <c r="Z380">
        <v>0</v>
      </c>
      <c r="AD380">
        <v>20</v>
      </c>
      <c r="AE380" s="44">
        <f t="shared" si="19"/>
        <v>240.73553001411099</v>
      </c>
      <c r="AF380" s="46">
        <v>0</v>
      </c>
      <c r="AG380" s="44">
        <v>0</v>
      </c>
      <c r="AH380" s="44">
        <v>0</v>
      </c>
      <c r="AI380" s="41">
        <f t="shared" si="23"/>
        <v>8.3078721279022161E-2</v>
      </c>
      <c r="AJ380" s="40"/>
      <c r="AK380" s="41"/>
      <c r="AL380" s="41"/>
      <c r="AM380">
        <v>1.84375</v>
      </c>
      <c r="AN380">
        <v>2.5</v>
      </c>
      <c r="AO380">
        <v>0.65625</v>
      </c>
      <c r="AP380">
        <v>1.3125</v>
      </c>
      <c r="AQ380">
        <v>0.29207920792079212</v>
      </c>
      <c r="AR380">
        <v>0.39603960396039611</v>
      </c>
      <c r="AS380">
        <v>0.103960396039604</v>
      </c>
      <c r="AT380">
        <v>0.20792079207920791</v>
      </c>
      <c r="AU380" s="20">
        <v>1</v>
      </c>
      <c r="AV380" s="20">
        <v>3.44</v>
      </c>
      <c r="AW380" s="20">
        <v>2.44</v>
      </c>
      <c r="AX380" s="20">
        <v>2.703125</v>
      </c>
      <c r="AY380">
        <v>2.703125</v>
      </c>
      <c r="AZ380">
        <v>6.2732334543656876</v>
      </c>
      <c r="BD380">
        <v>4.153936063951108E-2</v>
      </c>
      <c r="BH380">
        <v>8.3078721279022161E-2</v>
      </c>
      <c r="BI380">
        <v>4.153936063951108E-2</v>
      </c>
      <c r="BJ380">
        <v>0</v>
      </c>
    </row>
    <row r="381" spans="1:62" x14ac:dyDescent="0.3">
      <c r="A381" t="s">
        <v>46</v>
      </c>
      <c r="B381" s="12" t="s">
        <v>722</v>
      </c>
      <c r="C381" s="12"/>
      <c r="F381">
        <v>3.34</v>
      </c>
      <c r="G381" t="s">
        <v>307</v>
      </c>
      <c r="H381" s="8" t="s">
        <v>551</v>
      </c>
      <c r="I381" t="s">
        <v>629</v>
      </c>
      <c r="L381" s="20">
        <v>2</v>
      </c>
      <c r="M381">
        <v>4</v>
      </c>
      <c r="N381">
        <v>0</v>
      </c>
      <c r="T381" s="20">
        <v>7.41544296</v>
      </c>
      <c r="U381" s="20">
        <v>7.4154429599999991</v>
      </c>
      <c r="V381" s="20">
        <v>7.41544296</v>
      </c>
      <c r="W381">
        <v>7.8</v>
      </c>
      <c r="X381">
        <v>13.010999999999999</v>
      </c>
      <c r="Y381">
        <v>5.5460000000000003</v>
      </c>
      <c r="Z381">
        <v>0</v>
      </c>
      <c r="AD381" t="s">
        <v>1241</v>
      </c>
      <c r="AE381" s="44">
        <f t="shared" si="19"/>
        <v>0</v>
      </c>
      <c r="AF381" s="46">
        <v>288.33429290182369</v>
      </c>
      <c r="AG381" s="44">
        <v>556.51188553357167</v>
      </c>
      <c r="AH381" s="44">
        <v>0</v>
      </c>
      <c r="AI381" s="41"/>
      <c r="AJ381" s="40">
        <v>9.7109503410799117E-2</v>
      </c>
      <c r="AK381" s="41">
        <v>0.10062678166578309</v>
      </c>
      <c r="AL381" s="41"/>
      <c r="AM381">
        <v>2</v>
      </c>
      <c r="AN381">
        <v>2.545454545454545</v>
      </c>
      <c r="AO381">
        <v>0.54545454545454541</v>
      </c>
      <c r="AP381">
        <v>0</v>
      </c>
      <c r="AQ381">
        <v>0.39285714285714279</v>
      </c>
      <c r="AR381">
        <v>0.5</v>
      </c>
      <c r="AS381">
        <v>0.1071428571428571</v>
      </c>
      <c r="AT381">
        <v>0</v>
      </c>
      <c r="AU381" s="20">
        <v>1.1000000000000001</v>
      </c>
      <c r="AV381" s="20">
        <v>3.44</v>
      </c>
      <c r="AW381" s="20">
        <v>2.34</v>
      </c>
      <c r="AX381" s="20">
        <v>2.669090909090909</v>
      </c>
      <c r="AY381">
        <v>2.669090909090909</v>
      </c>
      <c r="AZ381">
        <v>5.9831974772727277</v>
      </c>
      <c r="BA381" s="64">
        <v>0.52442413903612473</v>
      </c>
      <c r="BB381" s="64">
        <v>0.54341863036636606</v>
      </c>
      <c r="BE381">
        <v>4.8554751705399558E-2</v>
      </c>
      <c r="BF381">
        <v>5.0313390832891547E-2</v>
      </c>
      <c r="BH381">
        <v>9.8868142538291098E-2</v>
      </c>
      <c r="BI381">
        <v>4.9434071269145549E-2</v>
      </c>
      <c r="BJ381">
        <v>0.53392138470124539</v>
      </c>
    </row>
    <row r="382" spans="1:62" x14ac:dyDescent="0.3">
      <c r="A382" t="s">
        <v>891</v>
      </c>
      <c r="B382" s="12" t="s">
        <v>722</v>
      </c>
      <c r="C382" s="12"/>
      <c r="D382" t="s">
        <v>676</v>
      </c>
      <c r="E382">
        <v>0.22</v>
      </c>
      <c r="F382">
        <v>3.17</v>
      </c>
      <c r="G382" t="s">
        <v>307</v>
      </c>
      <c r="H382" s="8" t="s">
        <v>551</v>
      </c>
      <c r="I382" t="s">
        <v>629</v>
      </c>
      <c r="L382" s="20">
        <v>2</v>
      </c>
      <c r="M382">
        <v>4</v>
      </c>
      <c r="N382">
        <v>0</v>
      </c>
      <c r="T382" s="20">
        <v>7.41544296</v>
      </c>
      <c r="U382" s="20">
        <v>7.4154429599999991</v>
      </c>
      <c r="V382" s="20">
        <v>7.41544296</v>
      </c>
      <c r="W382">
        <v>7.8</v>
      </c>
      <c r="X382">
        <v>13.010999999999999</v>
      </c>
      <c r="Y382">
        <v>5.5460000000000003</v>
      </c>
      <c r="Z382">
        <v>0</v>
      </c>
      <c r="AD382">
        <v>14</v>
      </c>
      <c r="AE382" s="44">
        <f t="shared" si="19"/>
        <v>0</v>
      </c>
      <c r="AF382" s="46">
        <v>288.33429290182369</v>
      </c>
      <c r="AG382" s="44">
        <v>556.51188553357167</v>
      </c>
      <c r="AH382" s="44">
        <v>0</v>
      </c>
      <c r="AI382" s="41"/>
      <c r="AJ382" s="40">
        <v>9.7109503410799117E-2</v>
      </c>
      <c r="AK382" s="41">
        <v>0.10062678166578309</v>
      </c>
      <c r="AL382" s="41"/>
      <c r="AM382">
        <v>2</v>
      </c>
      <c r="AN382">
        <v>2.545454545454545</v>
      </c>
      <c r="AO382">
        <v>0.54545454545454541</v>
      </c>
      <c r="AP382">
        <v>0</v>
      </c>
      <c r="AQ382">
        <v>0.39285714285714279</v>
      </c>
      <c r="AR382">
        <v>0.5</v>
      </c>
      <c r="AS382">
        <v>0.1071428571428571</v>
      </c>
      <c r="AT382">
        <v>0</v>
      </c>
      <c r="AU382" s="20">
        <v>1.1000000000000001</v>
      </c>
      <c r="AV382" s="20">
        <v>3.44</v>
      </c>
      <c r="AW382" s="20">
        <v>2.34</v>
      </c>
      <c r="AX382" s="20">
        <v>2.669090909090909</v>
      </c>
      <c r="AY382">
        <v>2.669090909090909</v>
      </c>
      <c r="AZ382">
        <v>5.9831974772727277</v>
      </c>
      <c r="BA382" s="64">
        <v>0.52442413903612473</v>
      </c>
      <c r="BB382" s="64">
        <v>0.54341863036636606</v>
      </c>
      <c r="BE382">
        <v>4.8554751705399558E-2</v>
      </c>
      <c r="BF382">
        <v>5.0313390832891547E-2</v>
      </c>
      <c r="BH382">
        <v>9.8868142538291098E-2</v>
      </c>
      <c r="BI382">
        <v>4.9434071269145549E-2</v>
      </c>
      <c r="BJ382">
        <v>0.53392138470124539</v>
      </c>
    </row>
    <row r="383" spans="1:62" x14ac:dyDescent="0.3">
      <c r="A383" t="s">
        <v>308</v>
      </c>
      <c r="B383" s="12" t="s">
        <v>830</v>
      </c>
      <c r="C383" s="12"/>
      <c r="F383">
        <v>3.44</v>
      </c>
      <c r="G383" t="s">
        <v>309</v>
      </c>
      <c r="H383" s="8" t="s">
        <v>601</v>
      </c>
      <c r="I383" t="s">
        <v>672</v>
      </c>
      <c r="L383" s="20">
        <v>1</v>
      </c>
      <c r="M383">
        <v>2</v>
      </c>
      <c r="N383">
        <v>0</v>
      </c>
      <c r="T383" s="20">
        <v>3.9408639999999999</v>
      </c>
      <c r="U383" s="20">
        <v>3.9455239999999989</v>
      </c>
      <c r="V383" s="20">
        <v>15.25730117</v>
      </c>
      <c r="W383">
        <v>3.8656999999999999</v>
      </c>
      <c r="X383">
        <v>29.777000000000001</v>
      </c>
      <c r="Y383">
        <v>3.8519999999999999</v>
      </c>
      <c r="Z383">
        <v>0</v>
      </c>
      <c r="AD383">
        <v>20</v>
      </c>
      <c r="AE383" s="44">
        <f t="shared" si="19"/>
        <v>0</v>
      </c>
      <c r="AF383" s="46">
        <v>235.24089263777751</v>
      </c>
      <c r="AG383" s="44">
        <v>443.39967116280002</v>
      </c>
      <c r="AH383" s="44">
        <v>0</v>
      </c>
      <c r="AI383" s="41"/>
      <c r="AJ383" s="40">
        <v>8.5019231884976218E-2</v>
      </c>
      <c r="AK383" s="41">
        <v>9.0212065099420147E-2</v>
      </c>
      <c r="AL383" s="41"/>
      <c r="AM383">
        <v>1.9375</v>
      </c>
      <c r="AN383">
        <v>2.5</v>
      </c>
      <c r="AO383">
        <v>0.5625</v>
      </c>
      <c r="AP383">
        <v>2.625</v>
      </c>
      <c r="AQ383">
        <v>0.25409836065573771</v>
      </c>
      <c r="AR383">
        <v>0.32786885245901642</v>
      </c>
      <c r="AS383">
        <v>7.3770491803278687E-2</v>
      </c>
      <c r="AT383">
        <v>0.34426229508196721</v>
      </c>
      <c r="AU383" s="20">
        <v>0.82</v>
      </c>
      <c r="AV383" s="20">
        <v>3.44</v>
      </c>
      <c r="AW383" s="20">
        <v>2.62</v>
      </c>
      <c r="AX383" s="20">
        <v>2.6074999999999999</v>
      </c>
      <c r="AY383">
        <v>2.6074999999999999</v>
      </c>
      <c r="AZ383">
        <v>5.9852253687500001</v>
      </c>
      <c r="BA383" s="64">
        <v>0.49683934576995548</v>
      </c>
      <c r="BB383" s="64">
        <v>0</v>
      </c>
      <c r="BE383">
        <v>4.2509615942488109E-2</v>
      </c>
      <c r="BF383">
        <v>4.5106032549710073E-2</v>
      </c>
      <c r="BH383">
        <v>8.7615648492198189E-2</v>
      </c>
      <c r="BI383">
        <v>4.3807824246099088E-2</v>
      </c>
      <c r="BJ383">
        <v>0.24841967288497771</v>
      </c>
    </row>
    <row r="384" spans="1:62" x14ac:dyDescent="0.3">
      <c r="A384" t="s">
        <v>63</v>
      </c>
      <c r="B384" s="12" t="s">
        <v>773</v>
      </c>
      <c r="C384" s="12"/>
      <c r="F384">
        <v>3.4</v>
      </c>
      <c r="G384" t="s">
        <v>310</v>
      </c>
      <c r="H384" s="8">
        <v>-1</v>
      </c>
      <c r="I384">
        <v>-1</v>
      </c>
      <c r="K384">
        <v>1</v>
      </c>
      <c r="L384" s="20">
        <v>0</v>
      </c>
      <c r="M384">
        <v>0</v>
      </c>
      <c r="N384">
        <v>0</v>
      </c>
      <c r="O384">
        <v>3.8531</v>
      </c>
      <c r="P384">
        <v>3.8531</v>
      </c>
      <c r="Q384">
        <v>16.2151</v>
      </c>
      <c r="T384" s="20">
        <v>0</v>
      </c>
      <c r="U384" s="20"/>
      <c r="V384" s="20"/>
      <c r="W384">
        <v>0</v>
      </c>
      <c r="Z384">
        <v>0</v>
      </c>
      <c r="AD384">
        <v>20</v>
      </c>
      <c r="AE384" s="44">
        <f t="shared" si="19"/>
        <v>240.73553001411099</v>
      </c>
      <c r="AF384" s="46">
        <v>0</v>
      </c>
      <c r="AG384" s="44">
        <v>0</v>
      </c>
      <c r="AH384" s="44">
        <v>0</v>
      </c>
      <c r="AI384" s="41">
        <f t="shared" ref="AI384:AI386" si="24">K384*AD384/AE384</f>
        <v>8.3078721279022161E-2</v>
      </c>
      <c r="AJ384" s="40"/>
      <c r="AK384" s="41"/>
      <c r="AL384" s="41"/>
      <c r="AM384">
        <v>1.75</v>
      </c>
      <c r="AN384">
        <v>2.5</v>
      </c>
      <c r="AO384">
        <v>0.75</v>
      </c>
      <c r="AP384">
        <v>0</v>
      </c>
      <c r="AQ384">
        <v>0.35</v>
      </c>
      <c r="AR384">
        <v>0.5</v>
      </c>
      <c r="AS384">
        <v>0.15</v>
      </c>
      <c r="AT384">
        <v>0</v>
      </c>
      <c r="AU384" s="20">
        <v>1</v>
      </c>
      <c r="AV384" s="20">
        <v>3.44</v>
      </c>
      <c r="AW384" s="20">
        <v>2.44</v>
      </c>
      <c r="AX384" s="20">
        <v>2.7124999999999999</v>
      </c>
      <c r="AY384">
        <v>2.7124999999999999</v>
      </c>
      <c r="AZ384">
        <v>6.264025610615688</v>
      </c>
      <c r="BD384">
        <v>4.153936063951108E-2</v>
      </c>
      <c r="BH384">
        <v>8.3078721279022161E-2</v>
      </c>
      <c r="BI384">
        <v>4.153936063951108E-2</v>
      </c>
      <c r="BJ384">
        <v>0</v>
      </c>
    </row>
    <row r="385" spans="1:62" x14ac:dyDescent="0.3">
      <c r="A385" t="s">
        <v>63</v>
      </c>
      <c r="B385" s="12" t="s">
        <v>773</v>
      </c>
      <c r="C385" s="12"/>
      <c r="D385" t="s">
        <v>246</v>
      </c>
      <c r="E385">
        <v>0.7</v>
      </c>
      <c r="F385">
        <v>2.15</v>
      </c>
      <c r="G385" t="s">
        <v>310</v>
      </c>
      <c r="H385" s="8">
        <v>-1</v>
      </c>
      <c r="I385">
        <v>-1</v>
      </c>
      <c r="K385">
        <v>1</v>
      </c>
      <c r="L385" s="20">
        <v>0</v>
      </c>
      <c r="M385">
        <v>0</v>
      </c>
      <c r="N385">
        <v>0</v>
      </c>
      <c r="O385">
        <v>3.8531</v>
      </c>
      <c r="P385">
        <v>3.8531</v>
      </c>
      <c r="Q385">
        <v>16.2151</v>
      </c>
      <c r="T385" s="20">
        <v>0</v>
      </c>
      <c r="U385" s="20"/>
      <c r="V385" s="20"/>
      <c r="W385">
        <v>0</v>
      </c>
      <c r="Z385">
        <v>0</v>
      </c>
      <c r="AD385">
        <v>20</v>
      </c>
      <c r="AE385" s="44">
        <f t="shared" si="19"/>
        <v>240.73553001411099</v>
      </c>
      <c r="AF385" s="46">
        <v>0</v>
      </c>
      <c r="AG385" s="44">
        <v>0</v>
      </c>
      <c r="AH385" s="44">
        <v>0</v>
      </c>
      <c r="AI385" s="41">
        <f t="shared" si="24"/>
        <v>8.3078721279022161E-2</v>
      </c>
      <c r="AJ385" s="40"/>
      <c r="AK385" s="41"/>
      <c r="AL385" s="41"/>
      <c r="AM385">
        <v>1.75</v>
      </c>
      <c r="AN385">
        <v>2.5</v>
      </c>
      <c r="AO385">
        <v>0.75</v>
      </c>
      <c r="AP385">
        <v>0</v>
      </c>
      <c r="AQ385">
        <v>0.35</v>
      </c>
      <c r="AR385">
        <v>0.5</v>
      </c>
      <c r="AS385">
        <v>0.15</v>
      </c>
      <c r="AT385">
        <v>0</v>
      </c>
      <c r="AU385" s="20">
        <v>1</v>
      </c>
      <c r="AV385" s="20">
        <v>3.44</v>
      </c>
      <c r="AW385" s="20">
        <v>2.44</v>
      </c>
      <c r="AX385" s="20">
        <v>2.7124999999999999</v>
      </c>
      <c r="AY385">
        <v>2.7124999999999999</v>
      </c>
      <c r="AZ385">
        <v>6.264025610615688</v>
      </c>
      <c r="BD385">
        <v>4.153936063951108E-2</v>
      </c>
      <c r="BH385">
        <v>8.3078721279022161E-2</v>
      </c>
      <c r="BI385">
        <v>4.153936063951108E-2</v>
      </c>
      <c r="BJ385">
        <v>0</v>
      </c>
    </row>
    <row r="386" spans="1:62" x14ac:dyDescent="0.3">
      <c r="A386" t="s">
        <v>311</v>
      </c>
      <c r="B386" s="12" t="s">
        <v>831</v>
      </c>
      <c r="C386" s="12"/>
      <c r="F386">
        <v>3.54</v>
      </c>
      <c r="G386" t="s">
        <v>312</v>
      </c>
      <c r="H386" s="8">
        <v>-1</v>
      </c>
      <c r="I386">
        <v>-1</v>
      </c>
      <c r="K386">
        <v>1</v>
      </c>
      <c r="L386" s="20">
        <v>0</v>
      </c>
      <c r="M386">
        <v>0</v>
      </c>
      <c r="N386">
        <v>0</v>
      </c>
      <c r="O386">
        <v>3.9647999999999999</v>
      </c>
      <c r="P386">
        <v>3.9647999999999999</v>
      </c>
      <c r="Q386">
        <v>15.7392</v>
      </c>
      <c r="R386" t="s">
        <v>439</v>
      </c>
      <c r="T386" s="20">
        <v>0</v>
      </c>
      <c r="U386" s="20"/>
      <c r="V386" s="20"/>
      <c r="W386">
        <v>0</v>
      </c>
      <c r="Z386">
        <v>0</v>
      </c>
      <c r="AD386">
        <v>20</v>
      </c>
      <c r="AE386" s="44">
        <f t="shared" si="19"/>
        <v>247.41454277836797</v>
      </c>
      <c r="AF386" s="46">
        <v>0</v>
      </c>
      <c r="AG386" s="44">
        <v>0</v>
      </c>
      <c r="AH386" s="44">
        <v>0</v>
      </c>
      <c r="AI386" s="41">
        <f t="shared" si="24"/>
        <v>8.0835991997106837E-2</v>
      </c>
      <c r="AJ386" s="40"/>
      <c r="AK386" s="41"/>
      <c r="AL386" s="41"/>
      <c r="AM386" s="23">
        <v>1.9375</v>
      </c>
      <c r="AN386" s="23">
        <v>2.5</v>
      </c>
      <c r="AO386" s="23">
        <v>0.5625</v>
      </c>
      <c r="AP386" s="23">
        <v>2.625</v>
      </c>
      <c r="AQ386" s="23">
        <v>0.25409836065573771</v>
      </c>
      <c r="AR386" s="23">
        <v>0.32786885245901642</v>
      </c>
      <c r="AS386" s="23">
        <v>7.3770491803278687E-2</v>
      </c>
      <c r="AT386" s="23">
        <v>0.34426229508196721</v>
      </c>
      <c r="AU386" s="20">
        <v>0.79</v>
      </c>
      <c r="AV386" s="20">
        <v>3.44</v>
      </c>
      <c r="AW386" s="20">
        <v>2.65</v>
      </c>
      <c r="AX386" s="20">
        <v>2.5918749999999999</v>
      </c>
      <c r="AY386">
        <v>2.5918749999999999</v>
      </c>
      <c r="AZ386">
        <v>5.9214935367946877</v>
      </c>
      <c r="BD386">
        <v>4.0417995998553419E-2</v>
      </c>
      <c r="BH386">
        <v>8.0835991997106837E-2</v>
      </c>
      <c r="BI386">
        <v>4.0417995998553419E-2</v>
      </c>
      <c r="BJ386">
        <v>0</v>
      </c>
    </row>
    <row r="387" spans="1:62" x14ac:dyDescent="0.3">
      <c r="A387" t="s">
        <v>313</v>
      </c>
      <c r="B387" s="12" t="s">
        <v>720</v>
      </c>
      <c r="C387" s="12"/>
      <c r="F387">
        <v>3.5</v>
      </c>
      <c r="G387" t="s">
        <v>314</v>
      </c>
      <c r="H387" s="8" t="s">
        <v>549</v>
      </c>
      <c r="I387">
        <v>-1</v>
      </c>
      <c r="L387" s="20">
        <v>1</v>
      </c>
      <c r="M387">
        <v>0</v>
      </c>
      <c r="N387">
        <v>0</v>
      </c>
      <c r="O387">
        <v>-1</v>
      </c>
      <c r="T387" s="20">
        <v>15.28115725</v>
      </c>
      <c r="U387" s="20">
        <v>15.28115725</v>
      </c>
      <c r="V387" s="20">
        <v>15.28115725</v>
      </c>
      <c r="W387">
        <v>0</v>
      </c>
      <c r="Z387">
        <v>0</v>
      </c>
      <c r="AD387">
        <v>20</v>
      </c>
      <c r="AE387" s="44">
        <f t="shared" ref="AE387:AE450" si="25">O387*P387*Q387</f>
        <v>0</v>
      </c>
      <c r="AF387" s="46">
        <v>229.90248606119221</v>
      </c>
      <c r="AG387" s="44">
        <v>0</v>
      </c>
      <c r="AH387" s="44">
        <v>0</v>
      </c>
      <c r="AI387" s="41"/>
      <c r="AJ387" s="40">
        <v>8.6993404650164072E-2</v>
      </c>
      <c r="AK387" s="41"/>
      <c r="AL387" s="41"/>
      <c r="AM387" s="23">
        <v>1.882352941176471</v>
      </c>
      <c r="AN387" s="23">
        <v>2.3529411764705879</v>
      </c>
      <c r="AO387" s="23">
        <v>0.47058823529411759</v>
      </c>
      <c r="AP387" s="23">
        <v>0</v>
      </c>
      <c r="AQ387" s="23">
        <v>0.4</v>
      </c>
      <c r="AR387" s="23">
        <v>0.5</v>
      </c>
      <c r="AS387" s="23">
        <v>9.9999999999999992E-2</v>
      </c>
      <c r="AT387" s="23">
        <v>0</v>
      </c>
      <c r="AU387" s="20">
        <v>0.82</v>
      </c>
      <c r="AV387" s="20">
        <v>3.44</v>
      </c>
      <c r="AW387" s="20">
        <v>2.62</v>
      </c>
      <c r="AX387" s="20">
        <v>2.5211764705882351</v>
      </c>
      <c r="AY387">
        <v>2.521176470588236</v>
      </c>
      <c r="AZ387">
        <v>5.6898745917647062</v>
      </c>
      <c r="BA387" s="64">
        <v>0.57369840599679445</v>
      </c>
      <c r="BE387">
        <v>4.3496702325082043E-2</v>
      </c>
      <c r="BH387">
        <v>8.6993404650164072E-2</v>
      </c>
      <c r="BI387">
        <v>4.3496702325082043E-2</v>
      </c>
      <c r="BJ387">
        <v>0.57369840599679445</v>
      </c>
    </row>
    <row r="388" spans="1:62" x14ac:dyDescent="0.3">
      <c r="A388" t="s">
        <v>44</v>
      </c>
      <c r="B388" s="12" t="s">
        <v>720</v>
      </c>
      <c r="C388" s="12"/>
      <c r="D388" t="s">
        <v>246</v>
      </c>
      <c r="E388" t="s">
        <v>1067</v>
      </c>
      <c r="F388">
        <v>2.2599999999999998</v>
      </c>
      <c r="G388" t="s">
        <v>314</v>
      </c>
      <c r="H388" s="8" t="s">
        <v>549</v>
      </c>
      <c r="I388">
        <v>-1</v>
      </c>
      <c r="L388" s="20">
        <v>1</v>
      </c>
      <c r="M388">
        <v>0</v>
      </c>
      <c r="N388">
        <v>0</v>
      </c>
      <c r="O388">
        <v>-1</v>
      </c>
      <c r="T388" s="20">
        <v>15.28115725</v>
      </c>
      <c r="U388" s="20">
        <v>15.28115725</v>
      </c>
      <c r="V388" s="20">
        <v>15.28115725</v>
      </c>
      <c r="W388">
        <v>0</v>
      </c>
      <c r="Z388">
        <v>0</v>
      </c>
      <c r="AD388">
        <v>20</v>
      </c>
      <c r="AE388" s="44">
        <f t="shared" si="25"/>
        <v>0</v>
      </c>
      <c r="AF388" s="46">
        <v>229.90248606119221</v>
      </c>
      <c r="AG388" s="44">
        <v>0</v>
      </c>
      <c r="AH388" s="44">
        <v>0</v>
      </c>
      <c r="AI388" s="41"/>
      <c r="AJ388" s="40">
        <v>8.6993404650164072E-2</v>
      </c>
      <c r="AK388" s="41"/>
      <c r="AL388" s="41"/>
      <c r="AM388" s="23">
        <v>1.882352941176471</v>
      </c>
      <c r="AN388" s="23">
        <v>2.3529411764705879</v>
      </c>
      <c r="AO388" s="23">
        <v>0.47058823529411759</v>
      </c>
      <c r="AP388" s="23">
        <v>0</v>
      </c>
      <c r="AQ388" s="23">
        <v>0.4</v>
      </c>
      <c r="AR388" s="23">
        <v>0.5</v>
      </c>
      <c r="AS388" s="23">
        <v>9.9999999999999992E-2</v>
      </c>
      <c r="AT388" s="23">
        <v>0</v>
      </c>
      <c r="AU388" s="20">
        <v>0.82</v>
      </c>
      <c r="AV388" s="20">
        <v>3.44</v>
      </c>
      <c r="AW388" s="20">
        <v>2.62</v>
      </c>
      <c r="AX388" s="20">
        <v>2.5211764705882351</v>
      </c>
      <c r="AY388">
        <v>2.521176470588236</v>
      </c>
      <c r="AZ388">
        <v>5.6898745917647062</v>
      </c>
      <c r="BA388" s="64">
        <v>0.57369840599679445</v>
      </c>
      <c r="BE388">
        <v>4.3496702325082043E-2</v>
      </c>
      <c r="BH388">
        <v>8.6993404650164072E-2</v>
      </c>
      <c r="BI388">
        <v>4.3496702325082043E-2</v>
      </c>
      <c r="BJ388">
        <v>0.57369840599679445</v>
      </c>
    </row>
    <row r="389" spans="1:62" ht="15" x14ac:dyDescent="0.35">
      <c r="A389" t="s">
        <v>69</v>
      </c>
      <c r="B389" s="12" t="s">
        <v>738</v>
      </c>
      <c r="C389" s="12"/>
      <c r="F389">
        <v>2.82</v>
      </c>
      <c r="G389" s="7" t="s">
        <v>315</v>
      </c>
      <c r="H389" s="8" t="s">
        <v>560</v>
      </c>
      <c r="I389" t="s">
        <v>638</v>
      </c>
      <c r="K389" s="7"/>
      <c r="L389" s="20">
        <v>2</v>
      </c>
      <c r="M389">
        <v>4</v>
      </c>
      <c r="N389">
        <v>0</v>
      </c>
      <c r="O389">
        <v>-1</v>
      </c>
      <c r="T389" s="20">
        <v>8.3195821399999996</v>
      </c>
      <c r="U389" s="20">
        <v>8.3195821399999996</v>
      </c>
      <c r="V389" s="20">
        <v>8.2425581700000006</v>
      </c>
      <c r="W389">
        <v>5.5339970000000003</v>
      </c>
      <c r="X389">
        <v>5.4998300000000002</v>
      </c>
      <c r="Y389">
        <v>16.550709999999999</v>
      </c>
      <c r="Z389">
        <v>0</v>
      </c>
      <c r="AD389">
        <v>12</v>
      </c>
      <c r="AE389" s="44">
        <f t="shared" si="25"/>
        <v>0</v>
      </c>
      <c r="AF389" s="46">
        <v>248.80917443900231</v>
      </c>
      <c r="AG389" s="44">
        <v>503.73811661477208</v>
      </c>
      <c r="AH389" s="44">
        <v>0</v>
      </c>
      <c r="AI389" s="41"/>
      <c r="AJ389" s="40">
        <v>9.6459465588893734E-2</v>
      </c>
      <c r="AK389" s="41">
        <v>9.5287607621536111E-2</v>
      </c>
      <c r="AL389" s="41"/>
      <c r="AM389" s="23">
        <v>2</v>
      </c>
      <c r="AN389" s="23">
        <v>3.333333333333333</v>
      </c>
      <c r="AO389" s="23">
        <v>2.666666666666667</v>
      </c>
      <c r="AP389" s="23">
        <v>4.666666666666667</v>
      </c>
      <c r="AQ389" s="23">
        <v>0.15789473684210531</v>
      </c>
      <c r="AR389" s="23">
        <v>0.26315789473684209</v>
      </c>
      <c r="AS389" s="23">
        <v>0.2105263157894737</v>
      </c>
      <c r="AT389" s="23">
        <v>0.36842105263157898</v>
      </c>
      <c r="AU389" s="20">
        <v>2.02</v>
      </c>
      <c r="AV389" s="20">
        <v>3.44</v>
      </c>
      <c r="AW389" s="20">
        <v>1.42</v>
      </c>
      <c r="AX389" s="20">
        <v>3.0044444444444438</v>
      </c>
      <c r="AY389">
        <v>3.0044444444444438</v>
      </c>
      <c r="AZ389">
        <v>6.4228342255555546</v>
      </c>
      <c r="BA389" s="64">
        <v>0.52562348257484404</v>
      </c>
      <c r="BB389" s="64">
        <v>0.51923783589802341</v>
      </c>
      <c r="BE389">
        <v>4.8229732794446867E-2</v>
      </c>
      <c r="BF389">
        <v>4.7643803810768062E-2</v>
      </c>
      <c r="BH389">
        <v>9.5873536605214915E-2</v>
      </c>
      <c r="BI389">
        <v>4.7936768302607458E-2</v>
      </c>
      <c r="BJ389">
        <v>0.52243065923643373</v>
      </c>
    </row>
    <row r="390" spans="1:62" x14ac:dyDescent="0.3">
      <c r="A390" t="s">
        <v>316</v>
      </c>
      <c r="B390" s="16" t="s">
        <v>951</v>
      </c>
      <c r="C390" s="12"/>
      <c r="F390">
        <v>3.6</v>
      </c>
      <c r="G390" t="s">
        <v>317</v>
      </c>
      <c r="H390" s="8">
        <v>-1</v>
      </c>
      <c r="I390">
        <v>-1</v>
      </c>
      <c r="K390">
        <v>2</v>
      </c>
      <c r="L390" s="20">
        <v>0</v>
      </c>
      <c r="M390">
        <v>0</v>
      </c>
      <c r="N390">
        <v>0</v>
      </c>
      <c r="O390">
        <v>3.823</v>
      </c>
      <c r="P390">
        <v>17.215</v>
      </c>
      <c r="Q390">
        <v>2.9550000000000001</v>
      </c>
      <c r="R390" t="s">
        <v>519</v>
      </c>
      <c r="T390" s="20">
        <v>0</v>
      </c>
      <c r="U390" s="20"/>
      <c r="V390" s="20"/>
      <c r="W390">
        <v>0</v>
      </c>
      <c r="Z390">
        <v>0</v>
      </c>
      <c r="AD390">
        <v>8</v>
      </c>
      <c r="AE390" s="44">
        <f t="shared" si="25"/>
        <v>194.477252475</v>
      </c>
      <c r="AF390" s="46">
        <v>0</v>
      </c>
      <c r="AG390" s="44">
        <v>0</v>
      </c>
      <c r="AH390" s="44">
        <v>0</v>
      </c>
      <c r="AI390" s="41">
        <f t="shared" ref="AI390:AI431" si="26">K390*AD390/AE390</f>
        <v>8.2271832805005288E-2</v>
      </c>
      <c r="AJ390" s="40"/>
      <c r="AK390" s="41"/>
      <c r="AL390" s="41"/>
      <c r="AM390" s="23">
        <v>1.8969230769230769</v>
      </c>
      <c r="AN390" s="23">
        <v>2.4615384615384621</v>
      </c>
      <c r="AO390" s="23">
        <v>0.56307692307692314</v>
      </c>
      <c r="AP390" s="23">
        <v>0</v>
      </c>
      <c r="AQ390" s="23">
        <v>0.38543294779618631</v>
      </c>
      <c r="AR390" s="23">
        <v>0.50015629884338852</v>
      </c>
      <c r="AS390" s="23">
        <v>0.1144107533604251</v>
      </c>
      <c r="AT390" s="23">
        <v>0</v>
      </c>
      <c r="AU390" s="20">
        <v>0.79</v>
      </c>
      <c r="AV390" s="20">
        <v>3.44</v>
      </c>
      <c r="AW390" s="20">
        <v>2.65</v>
      </c>
      <c r="AX390" s="20">
        <v>2.6319230769230768</v>
      </c>
      <c r="AY390">
        <v>2.6319230769230768</v>
      </c>
      <c r="AZ390">
        <v>5.8365582503752389</v>
      </c>
      <c r="BD390">
        <v>4.1135916402502637E-2</v>
      </c>
      <c r="BH390">
        <v>8.2271832805005288E-2</v>
      </c>
      <c r="BI390">
        <v>4.1135916402502637E-2</v>
      </c>
      <c r="BJ390">
        <v>0</v>
      </c>
    </row>
    <row r="391" spans="1:62" x14ac:dyDescent="0.3">
      <c r="A391" t="s">
        <v>318</v>
      </c>
      <c r="B391" s="12" t="s">
        <v>832</v>
      </c>
      <c r="C391" s="12"/>
      <c r="F391">
        <v>3.45</v>
      </c>
      <c r="G391" t="s">
        <v>319</v>
      </c>
      <c r="H391" s="8">
        <v>-1</v>
      </c>
      <c r="I391">
        <v>-1</v>
      </c>
      <c r="J391" t="s">
        <v>1173</v>
      </c>
      <c r="K391">
        <v>2</v>
      </c>
      <c r="L391" s="20">
        <v>0</v>
      </c>
      <c r="M391">
        <v>0</v>
      </c>
      <c r="N391">
        <v>2</v>
      </c>
      <c r="O391" s="60">
        <v>3.71</v>
      </c>
      <c r="P391" s="60">
        <v>3.71</v>
      </c>
      <c r="Q391" s="60">
        <v>12.2</v>
      </c>
      <c r="R391" t="s">
        <v>519</v>
      </c>
      <c r="T391" s="20">
        <v>0</v>
      </c>
      <c r="U391" s="20"/>
      <c r="V391" s="20"/>
      <c r="W391">
        <v>0</v>
      </c>
      <c r="Z391">
        <v>3.72</v>
      </c>
      <c r="AA391">
        <v>3.72</v>
      </c>
      <c r="AB391">
        <v>12.3012</v>
      </c>
      <c r="AD391">
        <v>8</v>
      </c>
      <c r="AE391" s="44">
        <f t="shared" si="25"/>
        <v>167.92201999999997</v>
      </c>
      <c r="AF391" s="46">
        <v>0</v>
      </c>
      <c r="AG391" s="44">
        <v>0</v>
      </c>
      <c r="AH391" s="44">
        <v>170.2</v>
      </c>
      <c r="AI391" s="41">
        <f t="shared" si="26"/>
        <v>9.5282322115944076E-2</v>
      </c>
      <c r="AJ391" s="40"/>
      <c r="AK391" s="41"/>
      <c r="AL391" s="56">
        <f>N391*AD391/AH391</f>
        <v>9.400705052878966E-2</v>
      </c>
      <c r="AM391" s="23">
        <v>1.857142857142857</v>
      </c>
      <c r="AN391" s="23">
        <v>2.285714285714286</v>
      </c>
      <c r="AO391" s="23">
        <v>0.42857142857142849</v>
      </c>
      <c r="AP391" s="23">
        <v>0</v>
      </c>
      <c r="AQ391" s="23">
        <v>0.40625000000000011</v>
      </c>
      <c r="AR391" s="23">
        <v>0.5</v>
      </c>
      <c r="AS391" s="23">
        <v>9.375E-2</v>
      </c>
      <c r="AT391" s="23">
        <v>0</v>
      </c>
      <c r="AU391" s="20">
        <v>1.1000000000000001</v>
      </c>
      <c r="AV391" s="20">
        <v>3.44</v>
      </c>
      <c r="AW391" s="20">
        <v>2.34</v>
      </c>
      <c r="AX391" s="20">
        <v>2.657142857142857</v>
      </c>
      <c r="AY391">
        <v>2.657142857142857</v>
      </c>
      <c r="AZ391">
        <v>6.2648417856930001</v>
      </c>
      <c r="BC391" s="64">
        <v>0.51949166816826697</v>
      </c>
      <c r="BD391">
        <v>4.7641161057972038E-2</v>
      </c>
      <c r="BG391">
        <v>4.700352526439483E-2</v>
      </c>
      <c r="BH391">
        <v>9.4644686322366861E-2</v>
      </c>
      <c r="BI391">
        <v>4.7322343161183431E-2</v>
      </c>
      <c r="BJ391">
        <v>0.51949166816826697</v>
      </c>
    </row>
    <row r="392" spans="1:62" x14ac:dyDescent="0.3">
      <c r="A392" t="s">
        <v>320</v>
      </c>
      <c r="B392" s="17" t="s">
        <v>994</v>
      </c>
      <c r="C392" s="12"/>
      <c r="F392">
        <v>3.58</v>
      </c>
      <c r="G392" t="s">
        <v>319</v>
      </c>
      <c r="H392" s="8">
        <v>-1</v>
      </c>
      <c r="I392">
        <v>-1</v>
      </c>
      <c r="K392">
        <v>4</v>
      </c>
      <c r="L392" s="20">
        <v>0</v>
      </c>
      <c r="M392">
        <v>0</v>
      </c>
      <c r="N392">
        <v>0</v>
      </c>
      <c r="O392">
        <v>3.77</v>
      </c>
      <c r="P392">
        <v>3.77</v>
      </c>
      <c r="Q392">
        <v>33.299999999999997</v>
      </c>
      <c r="R392" t="s">
        <v>519</v>
      </c>
      <c r="T392" s="20">
        <v>0</v>
      </c>
      <c r="U392" s="20"/>
      <c r="V392" s="20"/>
      <c r="W392">
        <v>0</v>
      </c>
      <c r="Z392">
        <v>0</v>
      </c>
      <c r="AD392">
        <v>8</v>
      </c>
      <c r="AE392" s="44">
        <f t="shared" si="25"/>
        <v>473.28956999999991</v>
      </c>
      <c r="AF392" s="46">
        <v>0</v>
      </c>
      <c r="AG392" s="44">
        <v>0</v>
      </c>
      <c r="AH392" s="44">
        <v>0</v>
      </c>
      <c r="AI392" s="41">
        <f t="shared" si="26"/>
        <v>6.7611885045343392E-2</v>
      </c>
      <c r="AJ392" s="40"/>
      <c r="AK392" s="41"/>
      <c r="AL392" s="41"/>
      <c r="AM392" s="23">
        <v>1.571428571428571</v>
      </c>
      <c r="AN392" s="23">
        <v>1.5</v>
      </c>
      <c r="AO392" s="23">
        <v>0.2142857142857143</v>
      </c>
      <c r="AP392" s="23">
        <v>0</v>
      </c>
      <c r="AQ392" s="23">
        <v>0.47826086956521741</v>
      </c>
      <c r="AR392" s="23">
        <v>0.45652173913043481</v>
      </c>
      <c r="AS392" s="23">
        <v>6.5217391304347824E-2</v>
      </c>
      <c r="AT392" s="23">
        <v>0</v>
      </c>
      <c r="AU392" s="20">
        <v>1.1000000000000001</v>
      </c>
      <c r="AV392" s="20">
        <v>3.44</v>
      </c>
      <c r="AW392" s="20">
        <v>2.34</v>
      </c>
      <c r="AX392" s="20">
        <v>2.5135714285714279</v>
      </c>
      <c r="AY392">
        <v>2.5135714285714279</v>
      </c>
      <c r="AZ392">
        <v>6.6592671289361416</v>
      </c>
      <c r="BD392">
        <v>3.3805942522671703E-2</v>
      </c>
      <c r="BH392">
        <v>6.7611885045343392E-2</v>
      </c>
      <c r="BI392">
        <v>3.3805942522671703E-2</v>
      </c>
      <c r="BJ392">
        <v>0</v>
      </c>
    </row>
    <row r="393" spans="1:62" x14ac:dyDescent="0.3">
      <c r="A393" t="s">
        <v>321</v>
      </c>
      <c r="B393" s="17" t="s">
        <v>995</v>
      </c>
      <c r="C393" s="12"/>
      <c r="F393">
        <v>3.48</v>
      </c>
      <c r="G393" t="s">
        <v>319</v>
      </c>
      <c r="H393" s="8">
        <v>-1</v>
      </c>
      <c r="I393">
        <v>-1</v>
      </c>
      <c r="K393">
        <v>4</v>
      </c>
      <c r="L393" s="20">
        <v>0</v>
      </c>
      <c r="M393">
        <v>0</v>
      </c>
      <c r="N393">
        <v>0</v>
      </c>
      <c r="O393">
        <v>3.75</v>
      </c>
      <c r="P393">
        <v>3.75</v>
      </c>
      <c r="Q393">
        <v>37.299999999999997</v>
      </c>
      <c r="R393" t="s">
        <v>519</v>
      </c>
      <c r="T393" s="20">
        <v>0</v>
      </c>
      <c r="U393" s="20"/>
      <c r="V393" s="20"/>
      <c r="W393">
        <v>0</v>
      </c>
      <c r="Z393">
        <v>0</v>
      </c>
      <c r="AD393">
        <v>8</v>
      </c>
      <c r="AE393" s="44">
        <f t="shared" si="25"/>
        <v>524.53125</v>
      </c>
      <c r="AF393" s="46">
        <v>0</v>
      </c>
      <c r="AG393" s="44">
        <v>0</v>
      </c>
      <c r="AH393" s="44">
        <v>0</v>
      </c>
      <c r="AI393" s="41">
        <f t="shared" si="26"/>
        <v>6.1006851355376826E-2</v>
      </c>
      <c r="AJ393" s="40"/>
      <c r="AK393" s="41"/>
      <c r="AL393" s="41"/>
      <c r="AM393" s="23">
        <v>1.529411764705882</v>
      </c>
      <c r="AN393" s="23">
        <v>1.3529411764705881</v>
      </c>
      <c r="AO393" s="23">
        <v>0.1764705882352941</v>
      </c>
      <c r="AP393" s="23">
        <v>0</v>
      </c>
      <c r="AQ393" s="23">
        <v>0.5</v>
      </c>
      <c r="AR393" s="23">
        <v>0.44230769230769229</v>
      </c>
      <c r="AS393" s="23">
        <v>5.7692307692307702E-2</v>
      </c>
      <c r="AT393" s="23">
        <v>0</v>
      </c>
      <c r="AU393" s="20">
        <v>1.1000000000000001</v>
      </c>
      <c r="AV393" s="20">
        <v>3.44</v>
      </c>
      <c r="AW393" s="20">
        <v>2.34</v>
      </c>
      <c r="AX393" s="20">
        <v>2.4788235294117649</v>
      </c>
      <c r="AY393">
        <v>2.4788235294117649</v>
      </c>
      <c r="AZ393">
        <v>6.6967043065181171</v>
      </c>
      <c r="BD393">
        <v>3.050342567768841E-2</v>
      </c>
      <c r="BH393">
        <v>6.1006851355376833E-2</v>
      </c>
      <c r="BI393">
        <v>3.050342567768841E-2</v>
      </c>
      <c r="BJ393">
        <v>0</v>
      </c>
    </row>
    <row r="394" spans="1:62" x14ac:dyDescent="0.3">
      <c r="A394" t="s">
        <v>322</v>
      </c>
      <c r="B394" s="17" t="s">
        <v>996</v>
      </c>
      <c r="C394" s="12"/>
      <c r="F394">
        <v>3.5</v>
      </c>
      <c r="G394" t="s">
        <v>319</v>
      </c>
      <c r="H394" s="8">
        <v>-1</v>
      </c>
      <c r="I394">
        <v>-1</v>
      </c>
      <c r="K394">
        <v>4</v>
      </c>
      <c r="L394" s="20">
        <v>0</v>
      </c>
      <c r="M394">
        <v>0</v>
      </c>
      <c r="N394">
        <v>0</v>
      </c>
      <c r="O394">
        <v>3.76</v>
      </c>
      <c r="P394">
        <v>3.76</v>
      </c>
      <c r="Q394">
        <v>41.2</v>
      </c>
      <c r="R394" t="s">
        <v>519</v>
      </c>
      <c r="T394" s="20">
        <v>0</v>
      </c>
      <c r="U394" s="20"/>
      <c r="V394" s="20"/>
      <c r="W394">
        <v>0</v>
      </c>
      <c r="Z394">
        <v>0</v>
      </c>
      <c r="AD394">
        <v>8</v>
      </c>
      <c r="AE394" s="44">
        <f t="shared" si="25"/>
        <v>582.46911999999998</v>
      </c>
      <c r="AF394" s="46">
        <v>0</v>
      </c>
      <c r="AG394" s="44">
        <v>0</v>
      </c>
      <c r="AH394" s="44">
        <v>0</v>
      </c>
      <c r="AI394" s="41">
        <f t="shared" si="26"/>
        <v>5.4938534767302344E-2</v>
      </c>
      <c r="AJ394" s="40"/>
      <c r="AK394" s="41"/>
      <c r="AL394" s="41"/>
      <c r="AM394" s="23">
        <v>1.5</v>
      </c>
      <c r="AN394" s="23">
        <v>1.25</v>
      </c>
      <c r="AO394" s="23">
        <v>0.15</v>
      </c>
      <c r="AP394" s="23">
        <v>0</v>
      </c>
      <c r="AQ394" s="23">
        <v>0.51724137931034486</v>
      </c>
      <c r="AR394" s="23">
        <v>0.43103448275862072</v>
      </c>
      <c r="AS394" s="23">
        <v>5.1724137931034482E-2</v>
      </c>
      <c r="AT394" s="23">
        <v>0</v>
      </c>
      <c r="AU394" s="20">
        <v>1.1000000000000001</v>
      </c>
      <c r="AV394" s="20">
        <v>3.44</v>
      </c>
      <c r="AW394" s="20">
        <v>2.34</v>
      </c>
      <c r="AX394" s="20">
        <v>2.4544999999999999</v>
      </c>
      <c r="AY394">
        <v>2.4544999999999999</v>
      </c>
      <c r="AZ394">
        <v>6.7229103308255</v>
      </c>
      <c r="BD394">
        <v>2.7469267383651168E-2</v>
      </c>
      <c r="BH394">
        <v>5.4938534767302337E-2</v>
      </c>
      <c r="BI394">
        <v>2.7469267383651168E-2</v>
      </c>
      <c r="BJ394">
        <v>0</v>
      </c>
    </row>
    <row r="395" spans="1:62" x14ac:dyDescent="0.3">
      <c r="A395" t="s">
        <v>323</v>
      </c>
      <c r="B395" s="17" t="s">
        <v>997</v>
      </c>
      <c r="C395" s="12"/>
      <c r="F395">
        <v>3.61</v>
      </c>
      <c r="G395" t="s">
        <v>319</v>
      </c>
      <c r="H395" s="8">
        <v>-1</v>
      </c>
      <c r="I395">
        <v>-1</v>
      </c>
      <c r="K395">
        <v>4</v>
      </c>
      <c r="L395" s="20">
        <v>0</v>
      </c>
      <c r="M395">
        <v>0</v>
      </c>
      <c r="N395">
        <v>0</v>
      </c>
      <c r="O395">
        <v>3.76</v>
      </c>
      <c r="P395">
        <v>3.76</v>
      </c>
      <c r="Q395">
        <v>47.8</v>
      </c>
      <c r="R395" t="s">
        <v>519</v>
      </c>
      <c r="T395" s="20">
        <v>0</v>
      </c>
      <c r="U395" s="20"/>
      <c r="V395" s="20"/>
      <c r="W395">
        <v>0</v>
      </c>
      <c r="Z395">
        <v>0</v>
      </c>
      <c r="AD395">
        <v>8</v>
      </c>
      <c r="AE395" s="44">
        <f t="shared" si="25"/>
        <v>675.77727999999991</v>
      </c>
      <c r="AF395" s="46">
        <v>0</v>
      </c>
      <c r="AG395" s="44">
        <v>0</v>
      </c>
      <c r="AH395" s="44">
        <v>0</v>
      </c>
      <c r="AI395" s="41">
        <f t="shared" si="26"/>
        <v>4.7352879339181107E-2</v>
      </c>
      <c r="AJ395" s="40"/>
      <c r="AK395" s="41"/>
      <c r="AL395" s="41"/>
      <c r="AM395" s="23">
        <v>1.4782608695652171</v>
      </c>
      <c r="AN395" s="23">
        <v>1.173913043478261</v>
      </c>
      <c r="AO395" s="23">
        <v>0.13043478260869559</v>
      </c>
      <c r="AP395" s="23">
        <v>0</v>
      </c>
      <c r="AQ395" s="23">
        <v>0.53125</v>
      </c>
      <c r="AR395" s="23">
        <v>0.42187500000000011</v>
      </c>
      <c r="AS395" s="23">
        <v>4.6875E-2</v>
      </c>
      <c r="AT395" s="23">
        <v>0</v>
      </c>
      <c r="AU395" s="20">
        <v>1.1000000000000001</v>
      </c>
      <c r="AV395" s="20">
        <v>3.44</v>
      </c>
      <c r="AW395" s="20">
        <v>2.34</v>
      </c>
      <c r="AX395" s="20">
        <v>2.436521739130435</v>
      </c>
      <c r="AY395">
        <v>2.436521739130435</v>
      </c>
      <c r="AZ395">
        <v>6.7422800009657378</v>
      </c>
      <c r="BD395">
        <v>2.367643966959055E-2</v>
      </c>
      <c r="BH395">
        <v>4.7352879339181107E-2</v>
      </c>
      <c r="BI395">
        <v>2.367643966959055E-2</v>
      </c>
      <c r="BJ395">
        <v>0</v>
      </c>
    </row>
    <row r="396" spans="1:62" x14ac:dyDescent="0.3">
      <c r="A396" t="s">
        <v>324</v>
      </c>
      <c r="B396" s="17" t="s">
        <v>999</v>
      </c>
      <c r="C396" s="12"/>
      <c r="F396">
        <v>3.47</v>
      </c>
      <c r="G396" t="s">
        <v>319</v>
      </c>
      <c r="H396" s="8">
        <v>-1</v>
      </c>
      <c r="I396">
        <v>-1</v>
      </c>
      <c r="K396">
        <v>4</v>
      </c>
      <c r="L396" s="20">
        <v>0</v>
      </c>
      <c r="M396">
        <v>0</v>
      </c>
      <c r="N396">
        <v>0</v>
      </c>
      <c r="O396">
        <v>3.76</v>
      </c>
      <c r="P396">
        <v>3.76</v>
      </c>
      <c r="Q396">
        <v>54.9</v>
      </c>
      <c r="R396" t="s">
        <v>519</v>
      </c>
      <c r="T396" s="20">
        <v>0</v>
      </c>
      <c r="U396" s="20"/>
      <c r="V396" s="20"/>
      <c r="W396">
        <v>0</v>
      </c>
      <c r="Z396">
        <v>0</v>
      </c>
      <c r="AD396">
        <v>8</v>
      </c>
      <c r="AE396" s="44">
        <f t="shared" si="25"/>
        <v>776.15423999999996</v>
      </c>
      <c r="AF396" s="46">
        <v>0</v>
      </c>
      <c r="AG396" s="44">
        <v>0</v>
      </c>
      <c r="AH396" s="44">
        <v>0</v>
      </c>
      <c r="AI396" s="41">
        <f t="shared" si="26"/>
        <v>4.1228918623185E-2</v>
      </c>
      <c r="AJ396" s="40"/>
      <c r="AK396" s="41"/>
      <c r="AL396" s="41"/>
      <c r="AM396" s="23">
        <v>1.448275862068966</v>
      </c>
      <c r="AN396" s="23">
        <v>1.068965517241379</v>
      </c>
      <c r="AO396" s="23">
        <v>0.10344827586206901</v>
      </c>
      <c r="AP396" s="23">
        <v>0</v>
      </c>
      <c r="AQ396" s="23">
        <v>0.55263157894736847</v>
      </c>
      <c r="AR396" s="23">
        <v>0.40789473684210531</v>
      </c>
      <c r="AS396" s="23">
        <v>3.9473684210526307E-2</v>
      </c>
      <c r="AT396" s="23">
        <v>0</v>
      </c>
      <c r="AU396" s="20">
        <v>1.1000000000000001</v>
      </c>
      <c r="AV396" s="20">
        <v>3.44</v>
      </c>
      <c r="AW396" s="20">
        <v>2.34</v>
      </c>
      <c r="AX396" s="20">
        <v>2.411724137931035</v>
      </c>
      <c r="AY396">
        <v>2.4117241379310341</v>
      </c>
      <c r="AZ396">
        <v>6.7689967873660688</v>
      </c>
      <c r="BD396">
        <v>2.06144593115925E-2</v>
      </c>
      <c r="BH396">
        <v>4.1228918623185E-2</v>
      </c>
      <c r="BI396">
        <v>2.06144593115925E-2</v>
      </c>
      <c r="BJ396">
        <v>0</v>
      </c>
    </row>
    <row r="397" spans="1:62" x14ac:dyDescent="0.3">
      <c r="A397" t="s">
        <v>325</v>
      </c>
      <c r="B397" s="17" t="s">
        <v>998</v>
      </c>
      <c r="C397" s="12"/>
      <c r="F397">
        <v>3.49</v>
      </c>
      <c r="G397" t="s">
        <v>319</v>
      </c>
      <c r="H397" s="8">
        <v>-1</v>
      </c>
      <c r="I397">
        <v>-1</v>
      </c>
      <c r="K397">
        <v>4</v>
      </c>
      <c r="L397" s="20">
        <v>0</v>
      </c>
      <c r="M397">
        <v>0</v>
      </c>
      <c r="N397">
        <v>0</v>
      </c>
      <c r="O397">
        <v>3.78</v>
      </c>
      <c r="P397">
        <v>3.78</v>
      </c>
      <c r="Q397">
        <v>66.3</v>
      </c>
      <c r="R397" t="s">
        <v>519</v>
      </c>
      <c r="T397" s="20">
        <v>0</v>
      </c>
      <c r="U397" s="20"/>
      <c r="V397" s="20"/>
      <c r="W397">
        <v>0</v>
      </c>
      <c r="Z397">
        <v>0</v>
      </c>
      <c r="AD397">
        <v>8</v>
      </c>
      <c r="AE397" s="44">
        <f t="shared" si="25"/>
        <v>947.32091999999989</v>
      </c>
      <c r="AF397" s="46">
        <v>0</v>
      </c>
      <c r="AG397" s="44">
        <v>0</v>
      </c>
      <c r="AH397" s="44">
        <v>0</v>
      </c>
      <c r="AI397" s="41">
        <f t="shared" si="26"/>
        <v>3.3779471480477816E-2</v>
      </c>
      <c r="AJ397" s="40"/>
      <c r="AK397" s="41"/>
      <c r="AL397" s="41"/>
      <c r="AM397" s="23">
        <v>1.428571428571429</v>
      </c>
      <c r="AN397" s="23">
        <v>1</v>
      </c>
      <c r="AO397" s="23">
        <v>8.5714285714285715E-2</v>
      </c>
      <c r="AP397" s="23">
        <v>0</v>
      </c>
      <c r="AQ397" s="23">
        <v>0.56818181818181823</v>
      </c>
      <c r="AR397" s="23">
        <v>0.39772727272727282</v>
      </c>
      <c r="AS397" s="23">
        <v>3.4090909090909102E-2</v>
      </c>
      <c r="AT397" s="23">
        <v>0</v>
      </c>
      <c r="AU397" s="20">
        <v>1.1000000000000001</v>
      </c>
      <c r="AV397" s="20">
        <v>3.44</v>
      </c>
      <c r="AW397" s="20">
        <v>2.34</v>
      </c>
      <c r="AX397" s="20">
        <v>2.3954285714285719</v>
      </c>
      <c r="AY397">
        <v>2.395428571428571</v>
      </c>
      <c r="AZ397">
        <v>6.7865535327148558</v>
      </c>
      <c r="BD397">
        <v>1.6889735740238911E-2</v>
      </c>
      <c r="BH397">
        <v>3.3779471480477823E-2</v>
      </c>
      <c r="BI397">
        <v>1.6889735740238911E-2</v>
      </c>
      <c r="BJ397">
        <v>0</v>
      </c>
    </row>
    <row r="398" spans="1:62" x14ac:dyDescent="0.3">
      <c r="A398" t="s">
        <v>326</v>
      </c>
      <c r="B398" s="17" t="s">
        <v>1005</v>
      </c>
      <c r="C398" s="12"/>
      <c r="F398">
        <v>3.47</v>
      </c>
      <c r="G398" t="s">
        <v>319</v>
      </c>
      <c r="H398" s="8">
        <v>-1</v>
      </c>
      <c r="I398">
        <v>-1</v>
      </c>
      <c r="K398">
        <v>4</v>
      </c>
      <c r="L398" s="20">
        <v>0</v>
      </c>
      <c r="M398">
        <v>0</v>
      </c>
      <c r="N398">
        <v>0</v>
      </c>
      <c r="O398">
        <v>3.72</v>
      </c>
      <c r="P398">
        <v>3.72</v>
      </c>
      <c r="Q398">
        <v>32.299999999999997</v>
      </c>
      <c r="R398" t="s">
        <v>519</v>
      </c>
      <c r="T398" s="20">
        <v>0</v>
      </c>
      <c r="U398" s="20"/>
      <c r="V398" s="20"/>
      <c r="W398">
        <v>0</v>
      </c>
      <c r="Z398">
        <v>0</v>
      </c>
      <c r="AD398">
        <v>10</v>
      </c>
      <c r="AE398" s="44">
        <f t="shared" si="25"/>
        <v>446.98032000000001</v>
      </c>
      <c r="AF398" s="46">
        <v>0</v>
      </c>
      <c r="AG398" s="44">
        <v>0</v>
      </c>
      <c r="AH398" s="44">
        <v>0</v>
      </c>
      <c r="AI398" s="41">
        <f t="shared" si="26"/>
        <v>8.9489398548911497E-2</v>
      </c>
      <c r="AJ398" s="40"/>
      <c r="AK398" s="41"/>
      <c r="AL398" s="41"/>
      <c r="AM398" s="23">
        <v>1.615384615384615</v>
      </c>
      <c r="AN398" s="23">
        <v>1.6923076923076921</v>
      </c>
      <c r="AO398" s="23">
        <v>0.23076923076923081</v>
      </c>
      <c r="AP398" s="23">
        <v>0</v>
      </c>
      <c r="AQ398" s="23">
        <v>0.45652173913043481</v>
      </c>
      <c r="AR398" s="23">
        <v>0.47826086956521741</v>
      </c>
      <c r="AS398" s="23">
        <v>6.5217391304347838E-2</v>
      </c>
      <c r="AT398" s="23">
        <v>0</v>
      </c>
      <c r="AU398" s="20">
        <v>1.1000000000000001</v>
      </c>
      <c r="AV398" s="20">
        <v>3.44</v>
      </c>
      <c r="AW398" s="20">
        <v>2.34</v>
      </c>
      <c r="AX398" s="20">
        <v>2.568461538461539</v>
      </c>
      <c r="AY398">
        <v>2.568461538461539</v>
      </c>
      <c r="AZ398">
        <v>6.6431337427119228</v>
      </c>
      <c r="BD398">
        <v>4.4744699274455749E-2</v>
      </c>
      <c r="BH398">
        <v>8.9489398548911497E-2</v>
      </c>
      <c r="BI398">
        <v>4.4744699274455749E-2</v>
      </c>
      <c r="BJ398">
        <v>0</v>
      </c>
    </row>
    <row r="399" spans="1:62" x14ac:dyDescent="0.3">
      <c r="A399" t="s">
        <v>327</v>
      </c>
      <c r="B399" s="17" t="s">
        <v>1004</v>
      </c>
      <c r="C399" s="12"/>
      <c r="F399">
        <v>3.47</v>
      </c>
      <c r="G399" t="s">
        <v>319</v>
      </c>
      <c r="H399" s="8">
        <v>-1</v>
      </c>
      <c r="I399">
        <v>-1</v>
      </c>
      <c r="K399">
        <v>4</v>
      </c>
      <c r="L399" s="20">
        <v>0</v>
      </c>
      <c r="M399">
        <v>0</v>
      </c>
      <c r="N399">
        <v>0</v>
      </c>
      <c r="O399">
        <v>3.72</v>
      </c>
      <c r="P399">
        <v>3.72</v>
      </c>
      <c r="Q399">
        <v>36.6</v>
      </c>
      <c r="R399" t="s">
        <v>519</v>
      </c>
      <c r="T399" s="20">
        <v>0</v>
      </c>
      <c r="W399">
        <v>0</v>
      </c>
      <c r="Z399">
        <v>0</v>
      </c>
      <c r="AD399">
        <v>10</v>
      </c>
      <c r="AE399" s="44">
        <f t="shared" si="25"/>
        <v>506.4854400000001</v>
      </c>
      <c r="AF399" s="46">
        <v>0</v>
      </c>
      <c r="AG399" s="44">
        <v>0</v>
      </c>
      <c r="AH399" s="44">
        <v>0</v>
      </c>
      <c r="AI399" s="41">
        <f t="shared" si="26"/>
        <v>7.8975616752181454E-2</v>
      </c>
      <c r="AJ399" s="41"/>
      <c r="AK399" s="41"/>
      <c r="AL399" s="41"/>
      <c r="AM399" s="23">
        <v>1.5625</v>
      </c>
      <c r="AN399" s="23">
        <v>1.5</v>
      </c>
      <c r="AO399" s="23">
        <v>0.1875</v>
      </c>
      <c r="AP399" s="23">
        <v>0</v>
      </c>
      <c r="AQ399" s="23">
        <v>0.48076923076923078</v>
      </c>
      <c r="AR399" s="23">
        <v>0.46153846153846162</v>
      </c>
      <c r="AS399" s="23">
        <v>5.7692307692307702E-2</v>
      </c>
      <c r="AT399" s="23">
        <v>0</v>
      </c>
      <c r="AU399" s="20">
        <v>1.1000000000000001</v>
      </c>
      <c r="AV399" s="20">
        <v>3.44</v>
      </c>
      <c r="AW399" s="20">
        <v>2.34</v>
      </c>
      <c r="AX399" s="20">
        <v>2.5212500000000002</v>
      </c>
      <c r="AY399">
        <v>2.5212500000000002</v>
      </c>
      <c r="AZ399">
        <v>6.6859357538098134</v>
      </c>
      <c r="BD399">
        <v>3.9487808376090727E-2</v>
      </c>
      <c r="BH399">
        <v>7.8975616752181454E-2</v>
      </c>
      <c r="BI399">
        <v>3.9487808376090727E-2</v>
      </c>
      <c r="BJ399">
        <v>0</v>
      </c>
    </row>
    <row r="400" spans="1:62" x14ac:dyDescent="0.3">
      <c r="A400" t="s">
        <v>328</v>
      </c>
      <c r="B400" s="17" t="s">
        <v>1003</v>
      </c>
      <c r="C400" s="12"/>
      <c r="F400">
        <v>3.45</v>
      </c>
      <c r="G400" t="s">
        <v>319</v>
      </c>
      <c r="H400" s="8">
        <v>-1</v>
      </c>
      <c r="I400">
        <v>-1</v>
      </c>
      <c r="K400">
        <v>4</v>
      </c>
      <c r="L400" s="20">
        <v>0</v>
      </c>
      <c r="M400">
        <v>0</v>
      </c>
      <c r="N400">
        <v>0</v>
      </c>
      <c r="O400">
        <v>3.73</v>
      </c>
      <c r="P400">
        <v>3.73</v>
      </c>
      <c r="Q400">
        <v>41.6</v>
      </c>
      <c r="R400" t="s">
        <v>519</v>
      </c>
      <c r="T400" s="20">
        <v>0</v>
      </c>
      <c r="W400">
        <v>0</v>
      </c>
      <c r="Z400">
        <v>0</v>
      </c>
      <c r="AD400">
        <v>10</v>
      </c>
      <c r="AE400" s="44">
        <f t="shared" si="25"/>
        <v>578.77664000000004</v>
      </c>
      <c r="AF400" s="46">
        <v>0</v>
      </c>
      <c r="AG400" s="44">
        <v>0</v>
      </c>
      <c r="AH400" s="44">
        <v>0</v>
      </c>
      <c r="AI400" s="41">
        <f t="shared" si="26"/>
        <v>6.9111289633251263E-2</v>
      </c>
      <c r="AJ400" s="41"/>
      <c r="AK400" s="41"/>
      <c r="AL400" s="41"/>
      <c r="AM400" s="23">
        <v>1.5263157894736841</v>
      </c>
      <c r="AN400" s="23">
        <v>1.368421052631579</v>
      </c>
      <c r="AO400" s="23">
        <v>0.15789473684210531</v>
      </c>
      <c r="AP400" s="23">
        <v>0</v>
      </c>
      <c r="AQ400" s="23">
        <v>0.5</v>
      </c>
      <c r="AR400" s="23">
        <v>0.44827586206896552</v>
      </c>
      <c r="AS400" s="23">
        <v>5.1724137931034482E-2</v>
      </c>
      <c r="AT400" s="23">
        <v>0</v>
      </c>
      <c r="AU400" s="20">
        <v>1.1000000000000001</v>
      </c>
      <c r="AV400" s="20">
        <v>3.44</v>
      </c>
      <c r="AW400" s="20">
        <v>2.34</v>
      </c>
      <c r="AX400" s="20">
        <v>2.4889473684210528</v>
      </c>
      <c r="AY400">
        <v>2.4889473684210528</v>
      </c>
      <c r="AZ400">
        <v>6.7152213403504719</v>
      </c>
      <c r="BD400">
        <v>3.4555644816625632E-2</v>
      </c>
      <c r="BH400">
        <v>6.9111289633251263E-2</v>
      </c>
      <c r="BI400">
        <v>3.4555644816625632E-2</v>
      </c>
      <c r="BJ400">
        <v>0</v>
      </c>
    </row>
    <row r="401" spans="1:62" x14ac:dyDescent="0.3">
      <c r="A401" t="s">
        <v>329</v>
      </c>
      <c r="B401" s="17" t="s">
        <v>1002</v>
      </c>
      <c r="C401" s="12"/>
      <c r="F401">
        <v>3.45</v>
      </c>
      <c r="G401" t="s">
        <v>319</v>
      </c>
      <c r="H401" s="8">
        <v>-1</v>
      </c>
      <c r="I401">
        <v>-1</v>
      </c>
      <c r="K401">
        <v>4</v>
      </c>
      <c r="L401" s="20">
        <v>0</v>
      </c>
      <c r="M401">
        <v>0</v>
      </c>
      <c r="N401">
        <v>0</v>
      </c>
      <c r="O401">
        <v>3.73</v>
      </c>
      <c r="P401">
        <v>3.73</v>
      </c>
      <c r="Q401">
        <v>45.6</v>
      </c>
      <c r="R401" t="s">
        <v>519</v>
      </c>
      <c r="T401" s="20">
        <v>0</v>
      </c>
      <c r="W401">
        <v>0</v>
      </c>
      <c r="Z401">
        <v>0</v>
      </c>
      <c r="AD401">
        <v>10</v>
      </c>
      <c r="AE401" s="44">
        <f t="shared" si="25"/>
        <v>634.42824000000007</v>
      </c>
      <c r="AF401" s="46">
        <v>0</v>
      </c>
      <c r="AG401" s="44">
        <v>0</v>
      </c>
      <c r="AH401" s="44">
        <v>0</v>
      </c>
      <c r="AI401" s="41">
        <f t="shared" si="26"/>
        <v>6.3048895805773081E-2</v>
      </c>
      <c r="AJ401" s="41"/>
      <c r="AK401" s="41"/>
      <c r="AL401" s="41"/>
      <c r="AM401" s="23">
        <v>1.5</v>
      </c>
      <c r="AN401" s="23">
        <v>1.2727272727272729</v>
      </c>
      <c r="AO401" s="23">
        <v>0.13636363636363641</v>
      </c>
      <c r="AP401" s="23">
        <v>0</v>
      </c>
      <c r="AQ401" s="23">
        <v>0.515625</v>
      </c>
      <c r="AR401" s="23">
        <v>0.4375</v>
      </c>
      <c r="AS401" s="23">
        <v>4.6874999999999993E-2</v>
      </c>
      <c r="AT401" s="23">
        <v>0</v>
      </c>
      <c r="AU401" s="20">
        <v>1.1000000000000001</v>
      </c>
      <c r="AV401" s="20">
        <v>3.44</v>
      </c>
      <c r="AW401" s="20">
        <v>2.34</v>
      </c>
      <c r="AX401" s="20">
        <v>2.4654545454545449</v>
      </c>
      <c r="AY401">
        <v>2.4654545454545449</v>
      </c>
      <c r="AZ401">
        <v>6.7365199487436813</v>
      </c>
      <c r="BD401">
        <v>3.152444790288654E-2</v>
      </c>
      <c r="BH401">
        <v>6.3048895805773081E-2</v>
      </c>
      <c r="BI401">
        <v>3.152444790288654E-2</v>
      </c>
      <c r="BJ401">
        <v>0</v>
      </c>
    </row>
    <row r="402" spans="1:62" x14ac:dyDescent="0.3">
      <c r="A402" t="s">
        <v>330</v>
      </c>
      <c r="B402" s="17" t="s">
        <v>1001</v>
      </c>
      <c r="C402" s="12"/>
      <c r="F402">
        <v>3.46</v>
      </c>
      <c r="G402" t="s">
        <v>319</v>
      </c>
      <c r="H402" s="8">
        <v>-1</v>
      </c>
      <c r="I402">
        <v>-1</v>
      </c>
      <c r="K402">
        <v>4</v>
      </c>
      <c r="L402" s="20">
        <v>0</v>
      </c>
      <c r="M402">
        <v>0</v>
      </c>
      <c r="N402">
        <v>0</v>
      </c>
      <c r="O402">
        <v>3.74</v>
      </c>
      <c r="P402">
        <v>3.74</v>
      </c>
      <c r="Q402">
        <v>55.4</v>
      </c>
      <c r="R402" t="s">
        <v>519</v>
      </c>
      <c r="T402" s="20">
        <v>0</v>
      </c>
      <c r="W402">
        <v>0</v>
      </c>
      <c r="Z402">
        <v>0</v>
      </c>
      <c r="AD402">
        <v>10</v>
      </c>
      <c r="AE402" s="44">
        <f t="shared" si="25"/>
        <v>774.91304000000014</v>
      </c>
      <c r="AF402" s="46">
        <v>0</v>
      </c>
      <c r="AG402" s="44">
        <v>0</v>
      </c>
      <c r="AH402" s="44">
        <v>0</v>
      </c>
      <c r="AI402" s="41">
        <f t="shared" si="26"/>
        <v>5.1618695176429079E-2</v>
      </c>
      <c r="AJ402" s="41"/>
      <c r="AK402" s="41"/>
      <c r="AL402" s="41"/>
      <c r="AM402" s="23">
        <v>1.464285714285714</v>
      </c>
      <c r="AN402" s="23">
        <v>1.142857142857143</v>
      </c>
      <c r="AO402" s="23">
        <v>0.1071428571428571</v>
      </c>
      <c r="AP402" s="23">
        <v>0</v>
      </c>
      <c r="AQ402" s="23">
        <v>0.53947368421052622</v>
      </c>
      <c r="AR402" s="23">
        <v>0.42105263157894729</v>
      </c>
      <c r="AS402" s="23">
        <v>3.9473684210526307E-2</v>
      </c>
      <c r="AT402" s="23">
        <v>0</v>
      </c>
      <c r="AU402" s="20">
        <v>1.1000000000000001</v>
      </c>
      <c r="AV402" s="20">
        <v>3.44</v>
      </c>
      <c r="AW402" s="20">
        <v>2.34</v>
      </c>
      <c r="AX402" s="20">
        <v>2.4335714285714292</v>
      </c>
      <c r="AY402">
        <v>2.4335714285714292</v>
      </c>
      <c r="AZ402">
        <v>6.7654252029916062</v>
      </c>
      <c r="BD402">
        <v>2.5809347588214539E-2</v>
      </c>
      <c r="BH402">
        <v>5.1618695176429079E-2</v>
      </c>
      <c r="BI402">
        <v>2.5809347588214539E-2</v>
      </c>
      <c r="BJ402">
        <v>0</v>
      </c>
    </row>
    <row r="403" spans="1:62" x14ac:dyDescent="0.3">
      <c r="A403" t="s">
        <v>331</v>
      </c>
      <c r="B403" s="17" t="s">
        <v>1000</v>
      </c>
      <c r="C403" s="12"/>
      <c r="F403">
        <v>3.46</v>
      </c>
      <c r="G403" t="s">
        <v>319</v>
      </c>
      <c r="H403" s="8">
        <v>-1</v>
      </c>
      <c r="I403">
        <v>-1</v>
      </c>
      <c r="K403">
        <v>4</v>
      </c>
      <c r="L403" s="20">
        <v>0</v>
      </c>
      <c r="M403">
        <v>0</v>
      </c>
      <c r="N403">
        <v>0</v>
      </c>
      <c r="O403">
        <v>3.73</v>
      </c>
      <c r="P403">
        <v>3.73</v>
      </c>
      <c r="Q403">
        <v>56.8</v>
      </c>
      <c r="R403" t="s">
        <v>519</v>
      </c>
      <c r="T403" s="20">
        <v>0</v>
      </c>
      <c r="W403">
        <v>0</v>
      </c>
      <c r="Z403">
        <v>0</v>
      </c>
      <c r="AD403">
        <v>10</v>
      </c>
      <c r="AE403" s="44">
        <f t="shared" si="25"/>
        <v>790.25271999999995</v>
      </c>
      <c r="AF403" s="46">
        <v>0</v>
      </c>
      <c r="AG403" s="44">
        <v>0</v>
      </c>
      <c r="AH403" s="44">
        <v>0</v>
      </c>
      <c r="AI403" s="41">
        <f t="shared" si="26"/>
        <v>5.0616719168015016E-2</v>
      </c>
      <c r="AJ403" s="41"/>
      <c r="AK403" s="41"/>
      <c r="AL403" s="41"/>
      <c r="AM403" s="23">
        <v>1.4411764705882351</v>
      </c>
      <c r="AN403" s="23">
        <v>1.0588235294117649</v>
      </c>
      <c r="AO403" s="23">
        <v>8.8235294117647065E-2</v>
      </c>
      <c r="AP403" s="23">
        <v>0</v>
      </c>
      <c r="AQ403" s="23">
        <v>0.55681818181818177</v>
      </c>
      <c r="AR403" s="23">
        <v>0.40909090909090912</v>
      </c>
      <c r="AS403" s="23">
        <v>3.4090909090909088E-2</v>
      </c>
      <c r="AT403" s="23">
        <v>0</v>
      </c>
      <c r="AU403" s="20">
        <v>1.1000000000000001</v>
      </c>
      <c r="AV403" s="20">
        <v>3.44</v>
      </c>
      <c r="AW403" s="20">
        <v>2.34</v>
      </c>
      <c r="AX403" s="20">
        <v>2.4129411764705879</v>
      </c>
      <c r="AY403">
        <v>2.4129411764705888</v>
      </c>
      <c r="AZ403">
        <v>6.7841286027990879</v>
      </c>
      <c r="BD403">
        <v>2.5308359584007512E-2</v>
      </c>
      <c r="BH403">
        <v>5.0616719168015023E-2</v>
      </c>
      <c r="BI403">
        <v>2.5308359584007512E-2</v>
      </c>
      <c r="BJ403">
        <v>0</v>
      </c>
    </row>
    <row r="404" spans="1:62" x14ac:dyDescent="0.3">
      <c r="A404" t="s">
        <v>332</v>
      </c>
      <c r="B404" s="17" t="s">
        <v>833</v>
      </c>
      <c r="C404" s="12"/>
      <c r="F404">
        <v>3.48</v>
      </c>
      <c r="G404" t="s">
        <v>319</v>
      </c>
      <c r="H404" s="8">
        <v>-1</v>
      </c>
      <c r="I404">
        <v>-1</v>
      </c>
      <c r="K404">
        <v>2</v>
      </c>
      <c r="L404" s="20">
        <v>0</v>
      </c>
      <c r="M404">
        <v>0</v>
      </c>
      <c r="N404">
        <v>2</v>
      </c>
      <c r="O404">
        <v>3.68</v>
      </c>
      <c r="P404">
        <v>3.68</v>
      </c>
      <c r="Q404">
        <v>12.1</v>
      </c>
      <c r="R404" t="s">
        <v>519</v>
      </c>
      <c r="T404" s="20">
        <v>0</v>
      </c>
      <c r="W404">
        <v>0</v>
      </c>
      <c r="Z404">
        <v>3.6970999999999998</v>
      </c>
      <c r="AA404">
        <v>3.6970999999999998</v>
      </c>
      <c r="AB404">
        <v>12.0928</v>
      </c>
      <c r="AD404">
        <v>8</v>
      </c>
      <c r="AE404" s="44">
        <f t="shared" si="25"/>
        <v>163.86304000000001</v>
      </c>
      <c r="AF404" s="46">
        <v>0</v>
      </c>
      <c r="AG404" s="44">
        <v>0</v>
      </c>
      <c r="AH404" s="44">
        <v>165.3</v>
      </c>
      <c r="AI404" s="41">
        <f t="shared" si="26"/>
        <v>9.7642519020762694E-2</v>
      </c>
      <c r="AJ404" s="41"/>
      <c r="AK404" s="41"/>
      <c r="AL404" s="56">
        <f>N404*AD404/AH404</f>
        <v>9.6793708408953405E-2</v>
      </c>
      <c r="AM404" s="23">
        <v>1.857142857142857</v>
      </c>
      <c r="AN404" s="23">
        <v>2.285714285714286</v>
      </c>
      <c r="AO404" s="23">
        <v>0.2857142857142857</v>
      </c>
      <c r="AP404" s="23">
        <v>0.5714285714285714</v>
      </c>
      <c r="AQ404" s="23">
        <v>0.37142857142857139</v>
      </c>
      <c r="AR404" s="23">
        <v>0.45714285714285707</v>
      </c>
      <c r="AS404" s="23">
        <v>5.7142857142857141E-2</v>
      </c>
      <c r="AT404" s="23">
        <v>0.1142857142857143</v>
      </c>
      <c r="AU404" s="20">
        <v>1.1399999999999999</v>
      </c>
      <c r="AV404" s="20">
        <v>3.44</v>
      </c>
      <c r="AW404" s="20">
        <v>2.2999999999999998</v>
      </c>
      <c r="AX404" s="20">
        <v>2.6628571428571428</v>
      </c>
      <c r="AY404">
        <v>2.6628571428571428</v>
      </c>
      <c r="AZ404">
        <v>6.2282737214072856</v>
      </c>
      <c r="BD404">
        <v>4.8821259510381347E-2</v>
      </c>
      <c r="BG404">
        <v>4.8396854204476702E-2</v>
      </c>
      <c r="BH404">
        <v>9.7218113714858057E-2</v>
      </c>
      <c r="BI404">
        <v>4.8609056857429028E-2</v>
      </c>
      <c r="BJ404">
        <v>0</v>
      </c>
    </row>
    <row r="405" spans="1:62" x14ac:dyDescent="0.3">
      <c r="A405" t="s">
        <v>333</v>
      </c>
      <c r="B405" s="17" t="s">
        <v>1006</v>
      </c>
      <c r="C405" s="12"/>
      <c r="F405">
        <v>3.41</v>
      </c>
      <c r="G405" t="s">
        <v>319</v>
      </c>
      <c r="H405" s="8">
        <v>-1</v>
      </c>
      <c r="I405">
        <v>-1</v>
      </c>
      <c r="K405">
        <v>4</v>
      </c>
      <c r="L405" s="20">
        <v>0</v>
      </c>
      <c r="M405">
        <v>0</v>
      </c>
      <c r="N405">
        <v>0</v>
      </c>
      <c r="O405">
        <v>3.74</v>
      </c>
      <c r="P405">
        <v>3.74</v>
      </c>
      <c r="Q405">
        <v>33.1</v>
      </c>
      <c r="R405" t="s">
        <v>519</v>
      </c>
      <c r="T405" s="20">
        <v>0</v>
      </c>
      <c r="W405">
        <v>0</v>
      </c>
      <c r="Z405">
        <v>0</v>
      </c>
      <c r="AD405">
        <v>8</v>
      </c>
      <c r="AE405" s="44">
        <f t="shared" si="25"/>
        <v>462.9895600000001</v>
      </c>
      <c r="AF405" s="46">
        <v>0</v>
      </c>
      <c r="AG405" s="44">
        <v>0</v>
      </c>
      <c r="AH405" s="44">
        <v>0</v>
      </c>
      <c r="AI405" s="41">
        <f t="shared" si="26"/>
        <v>6.9116029311762431E-2</v>
      </c>
      <c r="AJ405" s="41"/>
      <c r="AK405" s="41"/>
      <c r="AL405" s="41"/>
      <c r="AM405" s="23">
        <v>1.571428571428571</v>
      </c>
      <c r="AN405" s="23">
        <v>1.5</v>
      </c>
      <c r="AO405" s="23">
        <v>0.14285714285714279</v>
      </c>
      <c r="AP405" s="23">
        <v>0.2857142857142857</v>
      </c>
      <c r="AQ405" s="23">
        <v>0.44897959183673469</v>
      </c>
      <c r="AR405" s="23">
        <v>0.42857142857142849</v>
      </c>
      <c r="AS405" s="23">
        <v>4.0816326530612242E-2</v>
      </c>
      <c r="AT405" s="23">
        <v>8.1632653061224483E-2</v>
      </c>
      <c r="AU405" s="20">
        <v>1.1399999999999999</v>
      </c>
      <c r="AV405" s="20">
        <v>3.44</v>
      </c>
      <c r="AW405" s="20">
        <v>2.2999999999999998</v>
      </c>
      <c r="AX405" s="20">
        <v>2.516428571428571</v>
      </c>
      <c r="AY405">
        <v>2.516428571428571</v>
      </c>
      <c r="AZ405">
        <v>6.6409830967932857</v>
      </c>
      <c r="BD405">
        <v>3.4558014655881222E-2</v>
      </c>
      <c r="BH405">
        <v>6.9116029311762431E-2</v>
      </c>
      <c r="BI405">
        <v>3.4558014655881222E-2</v>
      </c>
      <c r="BJ405">
        <v>0</v>
      </c>
    </row>
    <row r="406" spans="1:62" x14ac:dyDescent="0.3">
      <c r="A406" t="s">
        <v>334</v>
      </c>
      <c r="B406" s="17" t="s">
        <v>1007</v>
      </c>
      <c r="C406" s="12"/>
      <c r="F406">
        <v>3.5</v>
      </c>
      <c r="G406" t="s">
        <v>319</v>
      </c>
      <c r="H406" s="8">
        <v>-1</v>
      </c>
      <c r="I406">
        <v>-1</v>
      </c>
      <c r="K406">
        <v>4</v>
      </c>
      <c r="L406" s="20">
        <v>0</v>
      </c>
      <c r="M406">
        <v>0</v>
      </c>
      <c r="N406">
        <v>0</v>
      </c>
      <c r="O406">
        <v>3.74</v>
      </c>
      <c r="P406">
        <v>3.74</v>
      </c>
      <c r="Q406">
        <v>37.6</v>
      </c>
      <c r="R406" t="s">
        <v>519</v>
      </c>
      <c r="T406" s="20">
        <v>0</v>
      </c>
      <c r="W406">
        <v>0</v>
      </c>
      <c r="Z406">
        <v>0</v>
      </c>
      <c r="AD406">
        <v>8</v>
      </c>
      <c r="AE406" s="44">
        <f t="shared" si="25"/>
        <v>525.93376000000012</v>
      </c>
      <c r="AF406" s="46">
        <v>0</v>
      </c>
      <c r="AG406" s="44">
        <v>0</v>
      </c>
      <c r="AH406" s="44">
        <v>0</v>
      </c>
      <c r="AI406" s="41">
        <f t="shared" si="26"/>
        <v>6.0844164101578099E-2</v>
      </c>
      <c r="AJ406" s="41"/>
      <c r="AK406" s="41"/>
      <c r="AL406" s="41"/>
      <c r="AM406" s="23">
        <v>1.529411764705882</v>
      </c>
      <c r="AN406" s="23">
        <v>1.3529411764705881</v>
      </c>
      <c r="AO406" s="23">
        <v>0.1176470588235294</v>
      </c>
      <c r="AP406" s="23">
        <v>0.23529411764705879</v>
      </c>
      <c r="AQ406" s="23">
        <v>0.47272727272727272</v>
      </c>
      <c r="AR406" s="23">
        <v>0.41818181818181821</v>
      </c>
      <c r="AS406" s="23">
        <v>3.6363636363636362E-2</v>
      </c>
      <c r="AT406" s="23">
        <v>7.2727272727272724E-2</v>
      </c>
      <c r="AU406" s="20">
        <v>1.1399999999999999</v>
      </c>
      <c r="AV406" s="20">
        <v>3.44</v>
      </c>
      <c r="AW406" s="20">
        <v>2.2999999999999998</v>
      </c>
      <c r="AX406" s="20">
        <v>2.4811764705882351</v>
      </c>
      <c r="AY406">
        <v>2.481176470588236</v>
      </c>
      <c r="AZ406">
        <v>6.6816468682828232</v>
      </c>
      <c r="BD406">
        <v>3.042208205078905E-2</v>
      </c>
      <c r="BH406">
        <v>6.0844164101578099E-2</v>
      </c>
      <c r="BI406">
        <v>3.042208205078905E-2</v>
      </c>
      <c r="BJ406">
        <v>0</v>
      </c>
    </row>
    <row r="407" spans="1:62" x14ac:dyDescent="0.3">
      <c r="A407" t="s">
        <v>335</v>
      </c>
      <c r="B407" s="17" t="s">
        <v>1008</v>
      </c>
      <c r="C407" s="12"/>
      <c r="F407">
        <v>3.43</v>
      </c>
      <c r="G407" t="s">
        <v>319</v>
      </c>
      <c r="H407" s="8">
        <v>-1</v>
      </c>
      <c r="I407">
        <v>-1</v>
      </c>
      <c r="K407">
        <v>4</v>
      </c>
      <c r="L407" s="20">
        <v>0</v>
      </c>
      <c r="M407">
        <v>0</v>
      </c>
      <c r="N407">
        <v>0</v>
      </c>
      <c r="O407">
        <v>3.74</v>
      </c>
      <c r="P407">
        <v>3.74</v>
      </c>
      <c r="Q407">
        <v>40.4</v>
      </c>
      <c r="R407" t="s">
        <v>519</v>
      </c>
      <c r="T407" s="20">
        <v>0</v>
      </c>
      <c r="W407">
        <v>0</v>
      </c>
      <c r="Z407">
        <v>0</v>
      </c>
      <c r="AD407">
        <v>8</v>
      </c>
      <c r="AE407" s="44">
        <f t="shared" si="25"/>
        <v>565.09904000000006</v>
      </c>
      <c r="AF407" s="46">
        <v>0</v>
      </c>
      <c r="AG407" s="44">
        <v>0</v>
      </c>
      <c r="AH407" s="44">
        <v>0</v>
      </c>
      <c r="AI407" s="41">
        <f t="shared" si="26"/>
        <v>5.6627241837112298E-2</v>
      </c>
      <c r="AJ407" s="41"/>
      <c r="AK407" s="41"/>
      <c r="AL407" s="41"/>
      <c r="AM407" s="23">
        <v>1.5</v>
      </c>
      <c r="AN407" s="23">
        <v>1.25</v>
      </c>
      <c r="AO407" s="23">
        <v>0.1</v>
      </c>
      <c r="AP407" s="23">
        <v>0.2</v>
      </c>
      <c r="AQ407" s="23">
        <v>0.49180327868852458</v>
      </c>
      <c r="AR407" s="23">
        <v>0.4098360655737705</v>
      </c>
      <c r="AS407" s="23">
        <v>3.2786885245901641E-2</v>
      </c>
      <c r="AT407" s="23">
        <v>6.5573770491803282E-2</v>
      </c>
      <c r="AU407" s="20">
        <v>1.1399999999999999</v>
      </c>
      <c r="AV407" s="20">
        <v>3.44</v>
      </c>
      <c r="AW407" s="20">
        <v>2.2999999999999998</v>
      </c>
      <c r="AX407" s="20">
        <v>2.4565000000000001</v>
      </c>
      <c r="AY407">
        <v>2.4565000000000001</v>
      </c>
      <c r="AZ407">
        <v>6.7101115083254994</v>
      </c>
      <c r="BD407">
        <v>2.8313620918556149E-2</v>
      </c>
      <c r="BH407">
        <v>5.6627241837112298E-2</v>
      </c>
      <c r="BI407">
        <v>2.8313620918556149E-2</v>
      </c>
      <c r="BJ407">
        <v>0</v>
      </c>
    </row>
    <row r="408" spans="1:62" x14ac:dyDescent="0.3">
      <c r="A408" t="s">
        <v>336</v>
      </c>
      <c r="B408" s="17" t="s">
        <v>1009</v>
      </c>
      <c r="C408" s="12"/>
      <c r="F408">
        <v>3.5</v>
      </c>
      <c r="G408" t="s">
        <v>319</v>
      </c>
      <c r="H408" s="8">
        <v>-1</v>
      </c>
      <c r="I408">
        <v>-1</v>
      </c>
      <c r="K408">
        <v>4</v>
      </c>
      <c r="L408" s="20">
        <v>0</v>
      </c>
      <c r="M408">
        <v>0</v>
      </c>
      <c r="N408">
        <v>0</v>
      </c>
      <c r="O408">
        <v>3.74</v>
      </c>
      <c r="P408">
        <v>3.74</v>
      </c>
      <c r="Q408">
        <v>47.7</v>
      </c>
      <c r="R408" t="s">
        <v>519</v>
      </c>
      <c r="T408" s="20">
        <v>0</v>
      </c>
      <c r="W408">
        <v>0</v>
      </c>
      <c r="Z408">
        <v>0</v>
      </c>
      <c r="AD408">
        <v>8</v>
      </c>
      <c r="AE408" s="44">
        <f t="shared" si="25"/>
        <v>667.20852000000014</v>
      </c>
      <c r="AF408" s="46">
        <v>0</v>
      </c>
      <c r="AG408" s="44">
        <v>0</v>
      </c>
      <c r="AH408" s="44">
        <v>0</v>
      </c>
      <c r="AI408" s="41">
        <f t="shared" si="26"/>
        <v>4.796101824359196E-2</v>
      </c>
      <c r="AJ408" s="41"/>
      <c r="AK408" s="41"/>
      <c r="AL408" s="41"/>
      <c r="AM408" s="23">
        <v>1.4782608695652171</v>
      </c>
      <c r="AN408" s="23">
        <v>1.173913043478261</v>
      </c>
      <c r="AO408" s="23">
        <v>8.6956521739130432E-2</v>
      </c>
      <c r="AP408" s="23">
        <v>0.17391304347826089</v>
      </c>
      <c r="AQ408" s="23">
        <v>0.50746268656716409</v>
      </c>
      <c r="AR408" s="23">
        <v>0.40298507462686572</v>
      </c>
      <c r="AS408" s="23">
        <v>2.9850746268656719E-2</v>
      </c>
      <c r="AT408" s="23">
        <v>5.9701492537313432E-2</v>
      </c>
      <c r="AU408" s="20">
        <v>1.1399999999999999</v>
      </c>
      <c r="AV408" s="20">
        <v>3.44</v>
      </c>
      <c r="AW408" s="20">
        <v>2.2999999999999998</v>
      </c>
      <c r="AX408" s="20">
        <v>2.4382608695652168</v>
      </c>
      <c r="AY408">
        <v>2.4382608695652168</v>
      </c>
      <c r="AZ408">
        <v>6.7311505900961732</v>
      </c>
      <c r="BD408">
        <v>2.398050912179598E-2</v>
      </c>
      <c r="BH408">
        <v>4.796101824359196E-2</v>
      </c>
      <c r="BI408">
        <v>2.398050912179598E-2</v>
      </c>
      <c r="BJ408">
        <v>0</v>
      </c>
    </row>
    <row r="409" spans="1:62" x14ac:dyDescent="0.3">
      <c r="A409" t="s">
        <v>337</v>
      </c>
      <c r="B409" s="17" t="s">
        <v>1010</v>
      </c>
      <c r="C409" s="12"/>
      <c r="F409">
        <v>3.42</v>
      </c>
      <c r="G409" t="s">
        <v>319</v>
      </c>
      <c r="H409" s="8">
        <v>-1</v>
      </c>
      <c r="I409">
        <v>-1</v>
      </c>
      <c r="K409">
        <v>4</v>
      </c>
      <c r="L409" s="20">
        <v>0</v>
      </c>
      <c r="M409">
        <v>0</v>
      </c>
      <c r="N409">
        <v>0</v>
      </c>
      <c r="O409">
        <v>3.72</v>
      </c>
      <c r="P409">
        <v>3.72</v>
      </c>
      <c r="Q409">
        <v>54</v>
      </c>
      <c r="R409" t="s">
        <v>519</v>
      </c>
      <c r="T409" s="20">
        <v>0</v>
      </c>
      <c r="W409">
        <v>0</v>
      </c>
      <c r="Z409">
        <v>0</v>
      </c>
      <c r="AD409">
        <v>8</v>
      </c>
      <c r="AE409" s="44">
        <f t="shared" si="25"/>
        <v>747.2736000000001</v>
      </c>
      <c r="AF409" s="46">
        <v>0</v>
      </c>
      <c r="AG409" s="44">
        <v>0</v>
      </c>
      <c r="AH409" s="44">
        <v>0</v>
      </c>
      <c r="AI409" s="41">
        <f t="shared" si="26"/>
        <v>4.282233441673839E-2</v>
      </c>
      <c r="AJ409" s="41"/>
      <c r="AK409" s="41"/>
      <c r="AL409" s="41"/>
      <c r="AM409" s="23">
        <v>1.448275862068966</v>
      </c>
      <c r="AN409" s="23">
        <v>1.068965517241379</v>
      </c>
      <c r="AO409" s="23">
        <v>6.8965517241379309E-2</v>
      </c>
      <c r="AP409" s="23">
        <v>0.13793103448275859</v>
      </c>
      <c r="AQ409" s="23">
        <v>0.53164556962025322</v>
      </c>
      <c r="AR409" s="23">
        <v>0.39240506329113922</v>
      </c>
      <c r="AS409" s="23">
        <v>2.5316455696202531E-2</v>
      </c>
      <c r="AT409" s="23">
        <v>5.0632911392405063E-2</v>
      </c>
      <c r="AU409" s="20">
        <v>1.1399999999999999</v>
      </c>
      <c r="AV409" s="20">
        <v>3.44</v>
      </c>
      <c r="AW409" s="20">
        <v>2.2999999999999998</v>
      </c>
      <c r="AX409" s="20">
        <v>2.4131034482758622</v>
      </c>
      <c r="AY409">
        <v>2.4131034482758622</v>
      </c>
      <c r="AZ409">
        <v>6.7601700132281373</v>
      </c>
      <c r="BD409">
        <v>2.1411167208369199E-2</v>
      </c>
      <c r="BH409">
        <v>4.282233441673839E-2</v>
      </c>
      <c r="BI409">
        <v>2.1411167208369199E-2</v>
      </c>
      <c r="BJ409">
        <v>0</v>
      </c>
    </row>
    <row r="410" spans="1:62" x14ac:dyDescent="0.3">
      <c r="A410" t="s">
        <v>338</v>
      </c>
      <c r="B410" s="17" t="s">
        <v>1011</v>
      </c>
      <c r="C410" s="12"/>
      <c r="F410">
        <v>3.45</v>
      </c>
      <c r="G410" t="s">
        <v>319</v>
      </c>
      <c r="H410" s="8">
        <v>-1</v>
      </c>
      <c r="I410">
        <v>-1</v>
      </c>
      <c r="K410">
        <v>4</v>
      </c>
      <c r="L410" s="20">
        <v>0</v>
      </c>
      <c r="M410">
        <v>0</v>
      </c>
      <c r="N410">
        <v>0</v>
      </c>
      <c r="O410">
        <v>3.81</v>
      </c>
      <c r="P410">
        <v>3.81</v>
      </c>
      <c r="Q410">
        <v>65.400000000000006</v>
      </c>
      <c r="R410" t="s">
        <v>519</v>
      </c>
      <c r="T410" s="20">
        <v>0</v>
      </c>
      <c r="W410">
        <v>0</v>
      </c>
      <c r="Z410">
        <v>0</v>
      </c>
      <c r="AD410">
        <v>8</v>
      </c>
      <c r="AE410" s="44">
        <f t="shared" si="25"/>
        <v>949.3529400000001</v>
      </c>
      <c r="AF410" s="46">
        <v>0</v>
      </c>
      <c r="AG410" s="44">
        <v>0</v>
      </c>
      <c r="AH410" s="44">
        <v>0</v>
      </c>
      <c r="AI410" s="41">
        <f t="shared" si="26"/>
        <v>3.3707169011347876E-2</v>
      </c>
      <c r="AJ410" s="41"/>
      <c r="AK410" s="41"/>
      <c r="AL410" s="41"/>
      <c r="AM410" s="23">
        <v>1.428571428571429</v>
      </c>
      <c r="AN410" s="23">
        <v>1</v>
      </c>
      <c r="AO410" s="23">
        <v>5.7142857142857141E-2</v>
      </c>
      <c r="AP410" s="23">
        <v>0.1142857142857143</v>
      </c>
      <c r="AQ410" s="23">
        <v>0.5494505494505495</v>
      </c>
      <c r="AR410" s="23">
        <v>0.38461538461538458</v>
      </c>
      <c r="AS410" s="23">
        <v>2.197802197802198E-2</v>
      </c>
      <c r="AT410" s="23">
        <v>4.3956043956043953E-2</v>
      </c>
      <c r="AU410" s="20">
        <v>1.1399999999999999</v>
      </c>
      <c r="AV410" s="20">
        <v>3.44</v>
      </c>
      <c r="AW410" s="20">
        <v>2.2999999999999998</v>
      </c>
      <c r="AX410" s="20">
        <v>2.3965714285714288</v>
      </c>
      <c r="AY410">
        <v>2.3965714285714279</v>
      </c>
      <c r="AZ410">
        <v>6.7792399198577131</v>
      </c>
      <c r="BD410">
        <v>1.6853584505673942E-2</v>
      </c>
      <c r="BH410">
        <v>3.3707169011347883E-2</v>
      </c>
      <c r="BI410">
        <v>1.6853584505673942E-2</v>
      </c>
      <c r="BJ410">
        <v>0</v>
      </c>
    </row>
    <row r="411" spans="1:62" x14ac:dyDescent="0.3">
      <c r="A411" t="s">
        <v>339</v>
      </c>
      <c r="B411" s="17" t="s">
        <v>1012</v>
      </c>
      <c r="C411" s="12"/>
      <c r="F411">
        <v>3.42</v>
      </c>
      <c r="G411" t="s">
        <v>319</v>
      </c>
      <c r="H411" s="8">
        <v>-1</v>
      </c>
      <c r="I411">
        <v>-1</v>
      </c>
      <c r="K411">
        <v>4</v>
      </c>
      <c r="L411" s="20">
        <v>0</v>
      </c>
      <c r="M411">
        <v>0</v>
      </c>
      <c r="N411">
        <v>0</v>
      </c>
      <c r="O411">
        <v>3.71</v>
      </c>
      <c r="P411">
        <v>3.71</v>
      </c>
      <c r="Q411">
        <v>32</v>
      </c>
      <c r="R411" t="s">
        <v>519</v>
      </c>
      <c r="T411" s="20">
        <v>0</v>
      </c>
      <c r="W411">
        <v>0</v>
      </c>
      <c r="Z411">
        <v>0</v>
      </c>
      <c r="AD411">
        <v>10</v>
      </c>
      <c r="AE411" s="44">
        <f t="shared" si="25"/>
        <v>440.45119999999997</v>
      </c>
      <c r="AF411" s="46">
        <v>0</v>
      </c>
      <c r="AG411" s="44">
        <v>0</v>
      </c>
      <c r="AH411" s="44">
        <v>0</v>
      </c>
      <c r="AI411" s="41">
        <f t="shared" si="26"/>
        <v>9.0815963266759184E-2</v>
      </c>
      <c r="AJ411" s="41"/>
      <c r="AK411" s="41"/>
      <c r="AL411" s="41"/>
      <c r="AM411" s="23">
        <v>1.615384615384615</v>
      </c>
      <c r="AN411" s="23">
        <v>1.6923076923076921</v>
      </c>
      <c r="AO411" s="23">
        <v>0.15384615384615391</v>
      </c>
      <c r="AP411" s="23">
        <v>0.30769230769230771</v>
      </c>
      <c r="AQ411" s="23">
        <v>0.4285714285714286</v>
      </c>
      <c r="AR411" s="23">
        <v>0.44897959183673469</v>
      </c>
      <c r="AS411" s="23">
        <v>4.0816326530612249E-2</v>
      </c>
      <c r="AT411" s="23">
        <v>8.1632653061224497E-2</v>
      </c>
      <c r="AU411" s="20">
        <v>1.1399999999999999</v>
      </c>
      <c r="AV411" s="20">
        <v>3.44</v>
      </c>
      <c r="AW411" s="20">
        <v>2.2999999999999998</v>
      </c>
      <c r="AX411" s="20">
        <v>2.571538461538462</v>
      </c>
      <c r="AY411">
        <v>2.571538461538462</v>
      </c>
      <c r="AZ411">
        <v>6.623443246558077</v>
      </c>
      <c r="BD411">
        <v>4.5407981633379592E-2</v>
      </c>
      <c r="BH411">
        <v>9.0815963266759184E-2</v>
      </c>
      <c r="BI411">
        <v>4.5407981633379592E-2</v>
      </c>
      <c r="BJ411">
        <v>0</v>
      </c>
    </row>
    <row r="412" spans="1:62" x14ac:dyDescent="0.3">
      <c r="A412" t="s">
        <v>340</v>
      </c>
      <c r="B412" s="17" t="s">
        <v>1013</v>
      </c>
      <c r="C412" s="12"/>
      <c r="F412">
        <v>3.39</v>
      </c>
      <c r="G412" t="s">
        <v>319</v>
      </c>
      <c r="H412" s="8">
        <v>-1</v>
      </c>
      <c r="I412">
        <v>-1</v>
      </c>
      <c r="K412">
        <v>4</v>
      </c>
      <c r="L412" s="20">
        <v>0</v>
      </c>
      <c r="M412">
        <v>0</v>
      </c>
      <c r="N412">
        <v>0</v>
      </c>
      <c r="O412">
        <v>3.7</v>
      </c>
      <c r="P412">
        <v>3.7</v>
      </c>
      <c r="Q412">
        <v>36.4</v>
      </c>
      <c r="R412" t="s">
        <v>519</v>
      </c>
      <c r="T412" s="20">
        <v>0</v>
      </c>
      <c r="W412">
        <v>0</v>
      </c>
      <c r="Z412">
        <v>0</v>
      </c>
      <c r="AD412">
        <v>10</v>
      </c>
      <c r="AE412" s="44">
        <f t="shared" si="25"/>
        <v>498.31600000000003</v>
      </c>
      <c r="AF412" s="46">
        <v>0</v>
      </c>
      <c r="AG412" s="44">
        <v>0</v>
      </c>
      <c r="AH412" s="44">
        <v>0</v>
      </c>
      <c r="AI412" s="41">
        <f t="shared" si="26"/>
        <v>8.0270350540620802E-2</v>
      </c>
      <c r="AJ412" s="41"/>
      <c r="AK412" s="41"/>
      <c r="AL412" s="41"/>
      <c r="AM412" s="23">
        <v>1.5625</v>
      </c>
      <c r="AN412" s="23">
        <v>1.5</v>
      </c>
      <c r="AO412" s="23">
        <v>0.125</v>
      </c>
      <c r="AP412" s="23">
        <v>0.25</v>
      </c>
      <c r="AQ412" s="23">
        <v>0.45454545454545447</v>
      </c>
      <c r="AR412" s="23">
        <v>0.43636363636363629</v>
      </c>
      <c r="AS412" s="23">
        <v>3.6363636363636362E-2</v>
      </c>
      <c r="AT412" s="23">
        <v>7.2727272727272724E-2</v>
      </c>
      <c r="AU412" s="20">
        <v>1.1399999999999999</v>
      </c>
      <c r="AV412" s="20">
        <v>3.44</v>
      </c>
      <c r="AW412" s="20">
        <v>2.2999999999999998</v>
      </c>
      <c r="AX412" s="20">
        <v>2.5237500000000002</v>
      </c>
      <c r="AY412">
        <v>2.5237500000000002</v>
      </c>
      <c r="AZ412">
        <v>6.6699372256848122</v>
      </c>
      <c r="BD412">
        <v>4.0135175270310401E-2</v>
      </c>
      <c r="BH412">
        <v>8.0270350540620802E-2</v>
      </c>
      <c r="BI412">
        <v>4.0135175270310401E-2</v>
      </c>
      <c r="BJ412">
        <v>0</v>
      </c>
    </row>
    <row r="413" spans="1:62" x14ac:dyDescent="0.3">
      <c r="A413" t="s">
        <v>341</v>
      </c>
      <c r="B413" s="17" t="s">
        <v>1014</v>
      </c>
      <c r="C413" s="12"/>
      <c r="F413">
        <v>3.45</v>
      </c>
      <c r="G413" t="s">
        <v>319</v>
      </c>
      <c r="H413" s="8">
        <v>-1</v>
      </c>
      <c r="I413">
        <v>-1</v>
      </c>
      <c r="K413">
        <v>4</v>
      </c>
      <c r="L413" s="20">
        <v>0</v>
      </c>
      <c r="M413">
        <v>0</v>
      </c>
      <c r="N413">
        <v>0</v>
      </c>
      <c r="O413">
        <v>3.72</v>
      </c>
      <c r="P413">
        <v>3.72</v>
      </c>
      <c r="Q413">
        <v>41.1</v>
      </c>
      <c r="R413" t="s">
        <v>519</v>
      </c>
      <c r="T413" s="20">
        <v>0</v>
      </c>
      <c r="W413">
        <v>0</v>
      </c>
      <c r="Z413">
        <v>0</v>
      </c>
      <c r="AD413">
        <v>10</v>
      </c>
      <c r="AE413" s="44">
        <f t="shared" si="25"/>
        <v>568.75824000000011</v>
      </c>
      <c r="AF413" s="46">
        <v>0</v>
      </c>
      <c r="AG413" s="44">
        <v>0</v>
      </c>
      <c r="AH413" s="44">
        <v>0</v>
      </c>
      <c r="AI413" s="41">
        <f t="shared" si="26"/>
        <v>7.0328651414351365E-2</v>
      </c>
      <c r="AJ413" s="41"/>
      <c r="AK413" s="41"/>
      <c r="AL413" s="41"/>
      <c r="AM413" s="23">
        <v>1.5263157894736841</v>
      </c>
      <c r="AN413" s="23">
        <v>1.368421052631579</v>
      </c>
      <c r="AO413" s="23">
        <v>0.10526315789473679</v>
      </c>
      <c r="AP413" s="23">
        <v>0.2105263157894737</v>
      </c>
      <c r="AQ413" s="23">
        <v>0.47540983606557369</v>
      </c>
      <c r="AR413" s="23">
        <v>0.42622950819672129</v>
      </c>
      <c r="AS413" s="23">
        <v>3.2786885245901627E-2</v>
      </c>
      <c r="AT413" s="23">
        <v>6.5573770491803268E-2</v>
      </c>
      <c r="AU413" s="20">
        <v>1.1399999999999999</v>
      </c>
      <c r="AV413" s="20">
        <v>3.44</v>
      </c>
      <c r="AW413" s="20">
        <v>2.2999999999999998</v>
      </c>
      <c r="AX413" s="20">
        <v>2.4910526315789472</v>
      </c>
      <c r="AY413">
        <v>2.4910526315789481</v>
      </c>
      <c r="AZ413">
        <v>6.7017488956136306</v>
      </c>
      <c r="BD413">
        <v>3.5164325707175682E-2</v>
      </c>
      <c r="BH413">
        <v>7.0328651414351365E-2</v>
      </c>
      <c r="BI413">
        <v>3.5164325707175682E-2</v>
      </c>
      <c r="BJ413">
        <v>0</v>
      </c>
    </row>
    <row r="414" spans="1:62" x14ac:dyDescent="0.3">
      <c r="A414" t="s">
        <v>342</v>
      </c>
      <c r="B414" s="17" t="s">
        <v>1015</v>
      </c>
      <c r="C414" s="12"/>
      <c r="F414">
        <v>3.45</v>
      </c>
      <c r="G414" t="s">
        <v>319</v>
      </c>
      <c r="H414" s="8">
        <v>-1</v>
      </c>
      <c r="I414">
        <v>-1</v>
      </c>
      <c r="K414">
        <v>4</v>
      </c>
      <c r="L414" s="20">
        <v>0</v>
      </c>
      <c r="M414">
        <v>0</v>
      </c>
      <c r="N414">
        <v>0</v>
      </c>
      <c r="O414">
        <v>3.71</v>
      </c>
      <c r="P414">
        <v>3.71</v>
      </c>
      <c r="Q414">
        <v>44.5</v>
      </c>
      <c r="R414" t="s">
        <v>519</v>
      </c>
      <c r="T414" s="20">
        <v>0</v>
      </c>
      <c r="W414">
        <v>0</v>
      </c>
      <c r="Z414">
        <v>0</v>
      </c>
      <c r="AD414">
        <v>10</v>
      </c>
      <c r="AE414" s="44">
        <f t="shared" si="25"/>
        <v>612.50244999999995</v>
      </c>
      <c r="AF414" s="46">
        <v>0</v>
      </c>
      <c r="AG414" s="44">
        <v>0</v>
      </c>
      <c r="AH414" s="44">
        <v>0</v>
      </c>
      <c r="AI414" s="41">
        <f t="shared" si="26"/>
        <v>6.5305861225534695E-2</v>
      </c>
      <c r="AJ414" s="41"/>
      <c r="AK414" s="41"/>
      <c r="AL414" s="41"/>
      <c r="AM414" s="23">
        <v>1.5</v>
      </c>
      <c r="AN414" s="23">
        <v>1.2727272727272729</v>
      </c>
      <c r="AO414" s="23">
        <v>9.0909090909090912E-2</v>
      </c>
      <c r="AP414" s="23">
        <v>0.1818181818181818</v>
      </c>
      <c r="AQ414" s="23">
        <v>0.49253731343283591</v>
      </c>
      <c r="AR414" s="23">
        <v>0.41791044776119401</v>
      </c>
      <c r="AS414" s="23">
        <v>2.9850746268656719E-2</v>
      </c>
      <c r="AT414" s="23">
        <v>5.9701492537313439E-2</v>
      </c>
      <c r="AU414" s="20">
        <v>1.1399999999999999</v>
      </c>
      <c r="AV414" s="20">
        <v>3.44</v>
      </c>
      <c r="AW414" s="20">
        <v>2.2999999999999998</v>
      </c>
      <c r="AX414" s="20">
        <v>2.4672727272727282</v>
      </c>
      <c r="AY414">
        <v>2.4672727272727268</v>
      </c>
      <c r="AZ414">
        <v>6.7248846555618629</v>
      </c>
      <c r="BD414">
        <v>3.2652930612767347E-2</v>
      </c>
      <c r="BH414">
        <v>6.5305861225534695E-2</v>
      </c>
      <c r="BI414">
        <v>3.2652930612767347E-2</v>
      </c>
      <c r="BJ414">
        <v>0</v>
      </c>
    </row>
    <row r="415" spans="1:62" x14ac:dyDescent="0.3">
      <c r="A415" t="s">
        <v>343</v>
      </c>
      <c r="B415" s="17" t="s">
        <v>1016</v>
      </c>
      <c r="C415" s="12"/>
      <c r="F415">
        <v>3.41</v>
      </c>
      <c r="G415" t="s">
        <v>319</v>
      </c>
      <c r="H415" s="8">
        <v>-1</v>
      </c>
      <c r="I415">
        <v>-1</v>
      </c>
      <c r="K415">
        <v>4</v>
      </c>
      <c r="L415" s="20">
        <v>0</v>
      </c>
      <c r="M415">
        <v>0</v>
      </c>
      <c r="N415">
        <v>0</v>
      </c>
      <c r="O415">
        <v>3.71</v>
      </c>
      <c r="P415">
        <v>3.71</v>
      </c>
      <c r="Q415">
        <v>54.9</v>
      </c>
      <c r="R415" t="s">
        <v>519</v>
      </c>
      <c r="T415" s="20">
        <v>0</v>
      </c>
      <c r="U415" s="20"/>
      <c r="V415" s="20"/>
      <c r="W415">
        <v>0</v>
      </c>
      <c r="Z415">
        <v>0</v>
      </c>
      <c r="AD415">
        <v>10</v>
      </c>
      <c r="AE415" s="44">
        <f t="shared" si="25"/>
        <v>755.64908999999989</v>
      </c>
      <c r="AF415" s="46">
        <v>0</v>
      </c>
      <c r="AG415" s="44">
        <v>0</v>
      </c>
      <c r="AH415" s="44">
        <v>0</v>
      </c>
      <c r="AI415" s="41">
        <f t="shared" si="26"/>
        <v>5.2934623397746704E-2</v>
      </c>
      <c r="AJ415" s="40"/>
      <c r="AK415" s="41"/>
      <c r="AL415" s="41"/>
      <c r="AM415" s="23">
        <v>1.464285714285714</v>
      </c>
      <c r="AN415" s="23">
        <v>1.142857142857143</v>
      </c>
      <c r="AO415" s="23">
        <v>7.1428571428571425E-2</v>
      </c>
      <c r="AP415" s="23">
        <v>0.14285714285714279</v>
      </c>
      <c r="AQ415" s="23">
        <v>0.51898734177215178</v>
      </c>
      <c r="AR415" s="23">
        <v>0.40506329113924039</v>
      </c>
      <c r="AS415" s="23">
        <v>2.5316455696202531E-2</v>
      </c>
      <c r="AT415" s="23">
        <v>5.0632911392405063E-2</v>
      </c>
      <c r="AU415" s="20">
        <v>1.1399999999999999</v>
      </c>
      <c r="AV415" s="20">
        <v>3.44</v>
      </c>
      <c r="AW415" s="20">
        <v>2.2999999999999998</v>
      </c>
      <c r="AX415" s="20">
        <v>2.4350000000000001</v>
      </c>
      <c r="AY415">
        <v>2.4350000000000001</v>
      </c>
      <c r="AZ415">
        <v>6.7562831869201787</v>
      </c>
      <c r="BD415">
        <v>2.6467311698873348E-2</v>
      </c>
      <c r="BH415">
        <v>5.2934623397746697E-2</v>
      </c>
      <c r="BI415">
        <v>2.6467311698873348E-2</v>
      </c>
      <c r="BJ415">
        <v>0</v>
      </c>
    </row>
    <row r="416" spans="1:62" x14ac:dyDescent="0.3">
      <c r="A416" t="s">
        <v>344</v>
      </c>
      <c r="B416" s="17" t="s">
        <v>1017</v>
      </c>
      <c r="C416" s="12"/>
      <c r="F416">
        <v>3.41</v>
      </c>
      <c r="G416" t="s">
        <v>319</v>
      </c>
      <c r="H416" s="8">
        <v>-1</v>
      </c>
      <c r="I416">
        <v>-1</v>
      </c>
      <c r="K416">
        <v>4</v>
      </c>
      <c r="L416" s="20">
        <v>0</v>
      </c>
      <c r="M416">
        <v>0</v>
      </c>
      <c r="N416">
        <v>0</v>
      </c>
      <c r="O416">
        <v>3.71</v>
      </c>
      <c r="P416">
        <v>3.71</v>
      </c>
      <c r="Q416">
        <v>58</v>
      </c>
      <c r="R416" t="s">
        <v>519</v>
      </c>
      <c r="T416" s="20">
        <v>0</v>
      </c>
      <c r="U416" s="20"/>
      <c r="V416" s="20"/>
      <c r="W416">
        <v>0</v>
      </c>
      <c r="Z416">
        <v>0</v>
      </c>
      <c r="AD416">
        <v>10</v>
      </c>
      <c r="AE416" s="44">
        <f t="shared" si="25"/>
        <v>798.31779999999992</v>
      </c>
      <c r="AF416" s="46">
        <v>0</v>
      </c>
      <c r="AG416" s="44">
        <v>0</v>
      </c>
      <c r="AH416" s="44">
        <v>0</v>
      </c>
      <c r="AI416" s="41">
        <f t="shared" si="26"/>
        <v>5.010535904372921E-2</v>
      </c>
      <c r="AJ416" s="40"/>
      <c r="AK416" s="41"/>
      <c r="AL416" s="41"/>
      <c r="AM416" s="23">
        <v>1.4411764705882351</v>
      </c>
      <c r="AN416" s="23">
        <v>1.0588235294117649</v>
      </c>
      <c r="AO416" s="23">
        <v>5.8823529411764712E-2</v>
      </c>
      <c r="AP416" s="23">
        <v>0.1176470588235294</v>
      </c>
      <c r="AQ416" s="23">
        <v>0.53846153846153855</v>
      </c>
      <c r="AR416" s="23">
        <v>0.39560439560439559</v>
      </c>
      <c r="AS416" s="23">
        <v>2.197802197802198E-2</v>
      </c>
      <c r="AT416" s="23">
        <v>4.3956043956043959E-2</v>
      </c>
      <c r="AU416" s="20">
        <v>1.1399999999999999</v>
      </c>
      <c r="AV416" s="20">
        <v>3.44</v>
      </c>
      <c r="AW416" s="20">
        <v>2.2999999999999998</v>
      </c>
      <c r="AX416" s="20">
        <v>2.4141176470588239</v>
      </c>
      <c r="AY416">
        <v>2.4141176470588239</v>
      </c>
      <c r="AZ416">
        <v>6.776599883681441</v>
      </c>
      <c r="BD416">
        <v>2.5052679521864601E-2</v>
      </c>
      <c r="BH416">
        <v>5.010535904372921E-2</v>
      </c>
      <c r="BI416">
        <v>2.5052679521864601E-2</v>
      </c>
      <c r="BJ416">
        <v>0</v>
      </c>
    </row>
    <row r="417" spans="1:62" x14ac:dyDescent="0.3">
      <c r="A417" t="s">
        <v>151</v>
      </c>
      <c r="B417" s="12" t="s">
        <v>774</v>
      </c>
      <c r="C417" s="12"/>
      <c r="F417">
        <v>3.26</v>
      </c>
      <c r="G417" t="s">
        <v>345</v>
      </c>
      <c r="H417" s="8">
        <v>-1</v>
      </c>
      <c r="I417">
        <v>-1</v>
      </c>
      <c r="L417" s="20">
        <v>0</v>
      </c>
      <c r="M417">
        <v>0</v>
      </c>
      <c r="N417">
        <v>0</v>
      </c>
      <c r="O417">
        <v>3.89</v>
      </c>
      <c r="P417">
        <v>3.89</v>
      </c>
      <c r="Q417">
        <v>16.399999999999999</v>
      </c>
      <c r="T417" s="20">
        <v>0</v>
      </c>
      <c r="U417" s="20"/>
      <c r="V417" s="20"/>
      <c r="W417">
        <v>0</v>
      </c>
      <c r="Z417">
        <v>0</v>
      </c>
      <c r="AD417">
        <v>20</v>
      </c>
      <c r="AE417" s="44">
        <f t="shared" si="25"/>
        <v>248.16643999999999</v>
      </c>
      <c r="AF417" s="46">
        <v>0</v>
      </c>
      <c r="AG417" s="44">
        <v>0</v>
      </c>
      <c r="AH417" s="44">
        <v>0</v>
      </c>
      <c r="AI417" s="41"/>
      <c r="AJ417" s="40"/>
      <c r="AK417" s="41"/>
      <c r="AL417" s="41"/>
      <c r="AM417" s="23">
        <v>1.75</v>
      </c>
      <c r="AN417" s="23">
        <v>2.5</v>
      </c>
      <c r="AO417" s="23">
        <v>0.75</v>
      </c>
      <c r="AP417" s="23">
        <v>0</v>
      </c>
      <c r="AQ417" s="23">
        <v>0.35</v>
      </c>
      <c r="AR417" s="23">
        <v>0.5</v>
      </c>
      <c r="AS417" s="23">
        <v>0.15</v>
      </c>
      <c r="AT417" s="23">
        <v>0</v>
      </c>
      <c r="AU417" s="20">
        <v>0.95</v>
      </c>
      <c r="AV417" s="20">
        <v>3.44</v>
      </c>
      <c r="AW417" s="20">
        <v>2.4900000000000002</v>
      </c>
      <c r="AX417" s="20">
        <v>2.7062499999999998</v>
      </c>
      <c r="AY417">
        <v>2.7062499999999998</v>
      </c>
      <c r="AZ417">
        <v>6.2396022968656872</v>
      </c>
      <c r="BH417">
        <v>0</v>
      </c>
      <c r="BI417">
        <v>0</v>
      </c>
      <c r="BJ417">
        <v>0</v>
      </c>
    </row>
    <row r="418" spans="1:62" x14ac:dyDescent="0.3">
      <c r="A418" t="s">
        <v>63</v>
      </c>
      <c r="B418" s="12" t="s">
        <v>773</v>
      </c>
      <c r="C418" s="12"/>
      <c r="F418">
        <v>3.5</v>
      </c>
      <c r="G418" t="s">
        <v>345</v>
      </c>
      <c r="H418" s="8">
        <v>-1</v>
      </c>
      <c r="I418">
        <v>-1</v>
      </c>
      <c r="K418">
        <v>1</v>
      </c>
      <c r="L418" s="20">
        <v>0</v>
      </c>
      <c r="M418">
        <v>0</v>
      </c>
      <c r="N418">
        <v>0</v>
      </c>
      <c r="O418">
        <v>3.82</v>
      </c>
      <c r="P418">
        <v>3.82</v>
      </c>
      <c r="Q418">
        <v>16</v>
      </c>
      <c r="T418" s="20">
        <v>0</v>
      </c>
      <c r="U418" s="20"/>
      <c r="V418" s="20"/>
      <c r="W418">
        <v>0</v>
      </c>
      <c r="Z418">
        <v>0</v>
      </c>
      <c r="AD418">
        <v>20</v>
      </c>
      <c r="AE418" s="44">
        <f t="shared" si="25"/>
        <v>233.47839999999999</v>
      </c>
      <c r="AF418" s="46">
        <v>0</v>
      </c>
      <c r="AG418" s="44">
        <v>0</v>
      </c>
      <c r="AH418" s="44">
        <v>0</v>
      </c>
      <c r="AI418" s="41">
        <f t="shared" si="26"/>
        <v>8.5661029028809524E-2</v>
      </c>
      <c r="AJ418" s="40"/>
      <c r="AK418" s="41"/>
      <c r="AL418" s="41"/>
      <c r="AM418" s="23">
        <v>1.75</v>
      </c>
      <c r="AN418" s="23">
        <v>2.5</v>
      </c>
      <c r="AO418" s="23">
        <v>0.75</v>
      </c>
      <c r="AP418" s="23">
        <v>0</v>
      </c>
      <c r="AQ418" s="23">
        <v>0.35</v>
      </c>
      <c r="AR418" s="23">
        <v>0.5</v>
      </c>
      <c r="AS418" s="23">
        <v>0.15</v>
      </c>
      <c r="AT418" s="23">
        <v>0</v>
      </c>
      <c r="AU418" s="20">
        <v>1</v>
      </c>
      <c r="AV418" s="20">
        <v>3.44</v>
      </c>
      <c r="AW418" s="20">
        <v>2.44</v>
      </c>
      <c r="AX418" s="20">
        <v>2.7124999999999999</v>
      </c>
      <c r="AY418">
        <v>2.7124999999999999</v>
      </c>
      <c r="AZ418">
        <v>6.264025610615688</v>
      </c>
      <c r="BD418">
        <v>4.2830514514404762E-2</v>
      </c>
      <c r="BH418">
        <v>8.5661029028809524E-2</v>
      </c>
      <c r="BI418">
        <v>4.2830514514404762E-2</v>
      </c>
      <c r="BJ418">
        <v>0</v>
      </c>
    </row>
    <row r="419" spans="1:62" x14ac:dyDescent="0.3">
      <c r="A419" t="s">
        <v>4</v>
      </c>
      <c r="B419" s="12" t="s">
        <v>689</v>
      </c>
      <c r="C419" s="12"/>
      <c r="F419">
        <v>3.54</v>
      </c>
      <c r="G419" t="s">
        <v>352</v>
      </c>
      <c r="H419" s="8" t="s">
        <v>527</v>
      </c>
      <c r="I419" t="s">
        <v>609</v>
      </c>
      <c r="K419">
        <v>2</v>
      </c>
      <c r="L419" s="20">
        <v>4</v>
      </c>
      <c r="M419">
        <v>4</v>
      </c>
      <c r="N419">
        <v>0</v>
      </c>
      <c r="O419">
        <v>3.86</v>
      </c>
      <c r="P419">
        <v>3.86</v>
      </c>
      <c r="Q419">
        <v>29.4</v>
      </c>
      <c r="T419" s="20">
        <v>7.8084429999999996</v>
      </c>
      <c r="U419" s="20">
        <v>7.8548809999999998</v>
      </c>
      <c r="V419" s="20">
        <v>15.19056011</v>
      </c>
      <c r="W419">
        <v>3.8801999999999999</v>
      </c>
      <c r="X419">
        <v>29.507999999999999</v>
      </c>
      <c r="Y419">
        <v>7.7140000000000004</v>
      </c>
      <c r="Z419">
        <v>0</v>
      </c>
      <c r="AD419">
        <v>20</v>
      </c>
      <c r="AE419" s="44">
        <f t="shared" si="25"/>
        <v>438.04823999999996</v>
      </c>
      <c r="AF419" s="46">
        <v>924.74694800021894</v>
      </c>
      <c r="AG419" s="44">
        <v>883.22940750240002</v>
      </c>
      <c r="AH419" s="44">
        <v>0</v>
      </c>
      <c r="AI419" s="41">
        <f t="shared" si="26"/>
        <v>9.1314143848631832E-2</v>
      </c>
      <c r="AJ419" s="40">
        <v>8.6510153045653584E-2</v>
      </c>
      <c r="AK419" s="41">
        <v>9.0576694254581439E-2</v>
      </c>
      <c r="AL419" s="41"/>
      <c r="AM419" s="23">
        <v>1.75</v>
      </c>
      <c r="AN419" s="23">
        <v>2.5</v>
      </c>
      <c r="AO419" s="23">
        <v>0.75</v>
      </c>
      <c r="AP419" s="23">
        <v>0</v>
      </c>
      <c r="AQ419" s="23">
        <v>0.35</v>
      </c>
      <c r="AR419" s="23">
        <v>0.5</v>
      </c>
      <c r="AS419" s="23">
        <v>0.15</v>
      </c>
      <c r="AT419" s="23">
        <v>0</v>
      </c>
      <c r="AU419" s="20">
        <v>0.82</v>
      </c>
      <c r="AV419" s="20">
        <v>3.44</v>
      </c>
      <c r="AW419" s="20">
        <v>2.62</v>
      </c>
      <c r="AX419" s="20">
        <v>2.6262500000000002</v>
      </c>
      <c r="AY419">
        <v>2.6262500000000002</v>
      </c>
      <c r="AZ419">
        <v>5.96680968125</v>
      </c>
      <c r="BA419" s="64">
        <v>0.50555206026575039</v>
      </c>
      <c r="BB419" s="64">
        <v>0</v>
      </c>
      <c r="BD419">
        <v>4.5657071924315923E-2</v>
      </c>
      <c r="BE419">
        <v>4.3255076522826792E-2</v>
      </c>
      <c r="BF419">
        <v>4.5288347127290719E-2</v>
      </c>
      <c r="BH419">
        <v>8.9466997049622285E-2</v>
      </c>
      <c r="BI419">
        <v>4.4733498524811142E-2</v>
      </c>
      <c r="BJ419">
        <v>0.2527760301328752</v>
      </c>
    </row>
    <row r="420" spans="1:62" x14ac:dyDescent="0.3">
      <c r="A420" t="s">
        <v>63</v>
      </c>
      <c r="B420" s="12" t="s">
        <v>773</v>
      </c>
      <c r="C420" s="12"/>
      <c r="F420">
        <v>3.5</v>
      </c>
      <c r="G420" t="s">
        <v>352</v>
      </c>
      <c r="H420" s="8">
        <v>-1</v>
      </c>
      <c r="I420">
        <v>-1</v>
      </c>
      <c r="K420">
        <v>1</v>
      </c>
      <c r="L420" s="20">
        <v>0</v>
      </c>
      <c r="M420">
        <v>0</v>
      </c>
      <c r="N420">
        <v>0</v>
      </c>
      <c r="O420">
        <v>3.82</v>
      </c>
      <c r="P420">
        <v>3.82</v>
      </c>
      <c r="Q420">
        <v>16</v>
      </c>
      <c r="T420" s="20">
        <v>0</v>
      </c>
      <c r="U420" s="20"/>
      <c r="V420" s="20"/>
      <c r="W420">
        <v>0</v>
      </c>
      <c r="Z420">
        <v>0</v>
      </c>
      <c r="AD420">
        <v>20</v>
      </c>
      <c r="AE420" s="44">
        <f t="shared" si="25"/>
        <v>233.47839999999999</v>
      </c>
      <c r="AF420" s="46">
        <v>0</v>
      </c>
      <c r="AG420" s="44">
        <v>0</v>
      </c>
      <c r="AH420" s="44">
        <v>0</v>
      </c>
      <c r="AI420" s="41">
        <f t="shared" si="26"/>
        <v>8.5661029028809524E-2</v>
      </c>
      <c r="AJ420" s="40"/>
      <c r="AK420" s="41"/>
      <c r="AL420" s="41"/>
      <c r="AM420" s="23">
        <v>1.75</v>
      </c>
      <c r="AN420" s="23">
        <v>2.5</v>
      </c>
      <c r="AO420" s="23">
        <v>0.75</v>
      </c>
      <c r="AP420" s="23">
        <v>0</v>
      </c>
      <c r="AQ420" s="23">
        <v>0.35</v>
      </c>
      <c r="AR420" s="23">
        <v>0.5</v>
      </c>
      <c r="AS420" s="23">
        <v>0.15</v>
      </c>
      <c r="AT420" s="23">
        <v>0</v>
      </c>
      <c r="AU420" s="20">
        <v>1</v>
      </c>
      <c r="AV420" s="20">
        <v>3.44</v>
      </c>
      <c r="AW420" s="20">
        <v>2.44</v>
      </c>
      <c r="AX420" s="20">
        <v>2.7124999999999999</v>
      </c>
      <c r="AY420">
        <v>2.7124999999999999</v>
      </c>
      <c r="AZ420">
        <v>6.264025610615688</v>
      </c>
      <c r="BD420">
        <v>4.2830514514404762E-2</v>
      </c>
      <c r="BH420">
        <v>8.5661029028809524E-2</v>
      </c>
      <c r="BI420">
        <v>4.2830514514404762E-2</v>
      </c>
      <c r="BJ420">
        <v>0</v>
      </c>
    </row>
    <row r="421" spans="1:62" x14ac:dyDescent="0.3">
      <c r="A421" t="s">
        <v>346</v>
      </c>
      <c r="B421" s="17" t="s">
        <v>1018</v>
      </c>
      <c r="C421" s="12"/>
      <c r="F421">
        <v>3.45</v>
      </c>
      <c r="G421" t="s">
        <v>352</v>
      </c>
      <c r="H421" s="8">
        <v>-1</v>
      </c>
      <c r="I421">
        <v>-1</v>
      </c>
      <c r="K421">
        <v>1</v>
      </c>
      <c r="L421" s="20">
        <v>0</v>
      </c>
      <c r="M421">
        <v>0</v>
      </c>
      <c r="N421">
        <v>0</v>
      </c>
      <c r="O421">
        <v>3.86</v>
      </c>
      <c r="P421">
        <v>3.86</v>
      </c>
      <c r="Q421">
        <v>20.9</v>
      </c>
      <c r="T421" s="20">
        <v>0</v>
      </c>
      <c r="U421" s="20"/>
      <c r="V421" s="20"/>
      <c r="W421">
        <v>0</v>
      </c>
      <c r="Z421">
        <v>0</v>
      </c>
      <c r="AD421">
        <v>20</v>
      </c>
      <c r="AE421" s="44">
        <f t="shared" si="25"/>
        <v>311.40163999999999</v>
      </c>
      <c r="AF421" s="46">
        <v>0</v>
      </c>
      <c r="AG421" s="44">
        <v>0</v>
      </c>
      <c r="AH421" s="44">
        <v>0</v>
      </c>
      <c r="AI421" s="41">
        <f t="shared" si="26"/>
        <v>6.4225737539468322E-2</v>
      </c>
      <c r="AJ421" s="40"/>
      <c r="AK421" s="41"/>
      <c r="AL421" s="41"/>
      <c r="AM421" s="23">
        <v>1.6190476190476191</v>
      </c>
      <c r="AN421" s="23">
        <v>2</v>
      </c>
      <c r="AO421" s="23">
        <v>0.5714285714285714</v>
      </c>
      <c r="AP421" s="23">
        <v>0</v>
      </c>
      <c r="AQ421" s="23">
        <v>0.38636363636363641</v>
      </c>
      <c r="AR421" s="23">
        <v>0.47727272727272718</v>
      </c>
      <c r="AS421" s="23">
        <v>0.13636363636363641</v>
      </c>
      <c r="AT421" s="23">
        <v>0</v>
      </c>
      <c r="AU421" s="20">
        <v>1</v>
      </c>
      <c r="AV421" s="20">
        <v>3.44</v>
      </c>
      <c r="AW421" s="20">
        <v>2.44</v>
      </c>
      <c r="AX421" s="20">
        <v>2.6071428571428572</v>
      </c>
      <c r="AY421">
        <v>2.6071428571428572</v>
      </c>
      <c r="AZ421">
        <v>6.4376988464407141</v>
      </c>
      <c r="BD421">
        <v>3.2112868769734161E-2</v>
      </c>
      <c r="BH421">
        <v>6.4225737539468322E-2</v>
      </c>
      <c r="BI421">
        <v>3.2112868769734161E-2</v>
      </c>
      <c r="BJ421">
        <v>0</v>
      </c>
    </row>
    <row r="422" spans="1:62" x14ac:dyDescent="0.3">
      <c r="A422" t="s">
        <v>347</v>
      </c>
      <c r="B422" s="17" t="s">
        <v>1019</v>
      </c>
      <c r="C422" s="12"/>
      <c r="F422">
        <v>3.5</v>
      </c>
      <c r="G422" t="s">
        <v>352</v>
      </c>
      <c r="H422" s="8">
        <v>-1</v>
      </c>
      <c r="I422">
        <v>-1</v>
      </c>
      <c r="K422">
        <v>1</v>
      </c>
      <c r="L422" s="20">
        <v>0</v>
      </c>
      <c r="M422">
        <v>0</v>
      </c>
      <c r="N422">
        <v>0</v>
      </c>
      <c r="O422">
        <v>3.86</v>
      </c>
      <c r="P422">
        <v>3.86</v>
      </c>
      <c r="Q422">
        <v>17.899999999999999</v>
      </c>
      <c r="T422" s="20">
        <v>0</v>
      </c>
      <c r="U422" s="20"/>
      <c r="V422" s="20"/>
      <c r="W422">
        <v>0</v>
      </c>
      <c r="Z422">
        <v>0</v>
      </c>
      <c r="AD422">
        <v>20</v>
      </c>
      <c r="AE422" s="44">
        <f t="shared" si="25"/>
        <v>266.70283999999998</v>
      </c>
      <c r="AF422" s="46">
        <v>0</v>
      </c>
      <c r="AG422" s="44">
        <v>0</v>
      </c>
      <c r="AH422" s="44">
        <v>0</v>
      </c>
      <c r="AI422" s="41">
        <f t="shared" si="26"/>
        <v>7.4989827629882017E-2</v>
      </c>
      <c r="AJ422" s="40"/>
      <c r="AK422" s="41"/>
      <c r="AL422" s="41"/>
      <c r="AM422" s="23">
        <v>1.583333333333333</v>
      </c>
      <c r="AN422" s="23">
        <v>1.833333333333333</v>
      </c>
      <c r="AO422" s="23">
        <v>0.5</v>
      </c>
      <c r="AP422" s="23">
        <v>0</v>
      </c>
      <c r="AQ422" s="23">
        <v>0.40425531914893609</v>
      </c>
      <c r="AR422" s="23">
        <v>0.46808510638297868</v>
      </c>
      <c r="AS422" s="23">
        <v>0.1276595744680851</v>
      </c>
      <c r="AT422" s="23">
        <v>0</v>
      </c>
      <c r="AU422" s="20">
        <v>1</v>
      </c>
      <c r="AV422" s="20">
        <v>3.44</v>
      </c>
      <c r="AW422" s="20">
        <v>2.44</v>
      </c>
      <c r="AX422" s="20">
        <v>2.5708333333333329</v>
      </c>
      <c r="AY422">
        <v>2.5708333333333329</v>
      </c>
      <c r="AZ422">
        <v>6.4919128825398751</v>
      </c>
      <c r="BD422">
        <v>3.7494913814941008E-2</v>
      </c>
      <c r="BH422">
        <v>7.4989827629882017E-2</v>
      </c>
      <c r="BI422">
        <v>3.7494913814941008E-2</v>
      </c>
      <c r="BJ422">
        <v>0</v>
      </c>
    </row>
    <row r="423" spans="1:62" x14ac:dyDescent="0.3">
      <c r="A423" t="s">
        <v>348</v>
      </c>
      <c r="B423" s="17" t="s">
        <v>1020</v>
      </c>
      <c r="C423" s="12"/>
      <c r="F423">
        <v>3.53</v>
      </c>
      <c r="G423" t="s">
        <v>352</v>
      </c>
      <c r="H423" s="8">
        <v>-1</v>
      </c>
      <c r="I423">
        <v>-1</v>
      </c>
      <c r="K423">
        <v>1</v>
      </c>
      <c r="L423" s="20">
        <v>0</v>
      </c>
      <c r="M423">
        <v>0</v>
      </c>
      <c r="N423">
        <v>0</v>
      </c>
      <c r="O423">
        <v>3.86</v>
      </c>
      <c r="P423">
        <v>3.86</v>
      </c>
      <c r="Q423">
        <v>19.899999999999999</v>
      </c>
      <c r="T423" s="20">
        <v>0</v>
      </c>
      <c r="U423" s="20"/>
      <c r="V423" s="20"/>
      <c r="W423">
        <v>0</v>
      </c>
      <c r="Z423">
        <v>0</v>
      </c>
      <c r="AD423">
        <v>20</v>
      </c>
      <c r="AE423" s="44">
        <f t="shared" si="25"/>
        <v>296.50203999999997</v>
      </c>
      <c r="AF423" s="46">
        <v>0</v>
      </c>
      <c r="AG423" s="44">
        <v>0</v>
      </c>
      <c r="AH423" s="44">
        <v>0</v>
      </c>
      <c r="AI423" s="41">
        <f t="shared" si="26"/>
        <v>6.745316153642654E-2</v>
      </c>
      <c r="AJ423" s="40"/>
      <c r="AK423" s="41"/>
      <c r="AL423" s="41"/>
      <c r="AM423" s="23">
        <v>1.555555555555556</v>
      </c>
      <c r="AN423" s="23">
        <v>1.7037037037037039</v>
      </c>
      <c r="AO423" s="23">
        <v>0.44444444444444442</v>
      </c>
      <c r="AP423" s="23">
        <v>0</v>
      </c>
      <c r="AQ423" s="23">
        <v>0.42</v>
      </c>
      <c r="AR423" s="23">
        <v>0.46</v>
      </c>
      <c r="AS423" s="23">
        <v>0.12</v>
      </c>
      <c r="AT423" s="23">
        <v>0</v>
      </c>
      <c r="AU423" s="20">
        <v>1</v>
      </c>
      <c r="AV423" s="20">
        <v>3.44</v>
      </c>
      <c r="AW423" s="20">
        <v>2.44</v>
      </c>
      <c r="AX423" s="20">
        <v>2.5425925925925932</v>
      </c>
      <c r="AY423">
        <v>2.5425925925925932</v>
      </c>
      <c r="AZ423">
        <v>6.5340793550614444</v>
      </c>
      <c r="BD423">
        <v>3.372658076821327E-2</v>
      </c>
      <c r="BH423">
        <v>6.745316153642654E-2</v>
      </c>
      <c r="BI423">
        <v>3.372658076821327E-2</v>
      </c>
      <c r="BJ423">
        <v>0</v>
      </c>
    </row>
    <row r="424" spans="1:62" x14ac:dyDescent="0.3">
      <c r="A424" t="s">
        <v>349</v>
      </c>
      <c r="B424" s="17" t="s">
        <v>1021</v>
      </c>
      <c r="C424" s="12"/>
      <c r="F424">
        <v>3.5</v>
      </c>
      <c r="G424" t="s">
        <v>352</v>
      </c>
      <c r="H424" s="8">
        <v>-1</v>
      </c>
      <c r="I424">
        <v>-1</v>
      </c>
      <c r="K424">
        <v>1</v>
      </c>
      <c r="L424" s="20">
        <v>0</v>
      </c>
      <c r="M424">
        <v>0</v>
      </c>
      <c r="N424">
        <v>0</v>
      </c>
      <c r="O424">
        <v>3.87</v>
      </c>
      <c r="P424">
        <v>3.87</v>
      </c>
      <c r="Q424">
        <v>22.1</v>
      </c>
      <c r="T424" s="20">
        <v>0</v>
      </c>
      <c r="U424" s="20"/>
      <c r="V424" s="20"/>
      <c r="W424">
        <v>0</v>
      </c>
      <c r="Z424">
        <v>0</v>
      </c>
      <c r="AD424">
        <v>20</v>
      </c>
      <c r="AE424" s="44">
        <f t="shared" si="25"/>
        <v>330.98949000000005</v>
      </c>
      <c r="AF424" s="46">
        <v>0</v>
      </c>
      <c r="AG424" s="44">
        <v>0</v>
      </c>
      <c r="AH424" s="44">
        <v>0</v>
      </c>
      <c r="AI424" s="41">
        <f t="shared" si="26"/>
        <v>6.0424879351909322E-2</v>
      </c>
      <c r="AJ424" s="40"/>
      <c r="AK424" s="41"/>
      <c r="AL424" s="41"/>
      <c r="AM424" s="23">
        <v>1.533333333333333</v>
      </c>
      <c r="AN424" s="23">
        <v>1.6</v>
      </c>
      <c r="AO424" s="23">
        <v>0.4</v>
      </c>
      <c r="AP424" s="23">
        <v>0</v>
      </c>
      <c r="AQ424" s="23">
        <v>0.43396226415094352</v>
      </c>
      <c r="AR424" s="23">
        <v>0.45283018867924529</v>
      </c>
      <c r="AS424" s="23">
        <v>0.1132075471698113</v>
      </c>
      <c r="AT424" s="23">
        <v>0</v>
      </c>
      <c r="AU424" s="20">
        <v>1</v>
      </c>
      <c r="AV424" s="20">
        <v>3.44</v>
      </c>
      <c r="AW424" s="20">
        <v>2.44</v>
      </c>
      <c r="AX424" s="20">
        <v>2.52</v>
      </c>
      <c r="AY424">
        <v>2.52</v>
      </c>
      <c r="AZ424">
        <v>6.5678125330786994</v>
      </c>
      <c r="BD424">
        <v>3.0212439675954661E-2</v>
      </c>
      <c r="BH424">
        <v>6.0424879351909322E-2</v>
      </c>
      <c r="BI424">
        <v>3.0212439675954661E-2</v>
      </c>
      <c r="BJ424">
        <v>0</v>
      </c>
    </row>
    <row r="425" spans="1:62" x14ac:dyDescent="0.3">
      <c r="A425" t="s">
        <v>350</v>
      </c>
      <c r="B425" s="17" t="s">
        <v>1022</v>
      </c>
      <c r="C425" s="12"/>
      <c r="F425">
        <v>3.47</v>
      </c>
      <c r="G425" t="s">
        <v>352</v>
      </c>
      <c r="H425" s="8">
        <v>-1</v>
      </c>
      <c r="I425">
        <v>-1</v>
      </c>
      <c r="K425">
        <v>1</v>
      </c>
      <c r="L425" s="20">
        <v>0</v>
      </c>
      <c r="M425">
        <v>0</v>
      </c>
      <c r="N425">
        <v>0</v>
      </c>
      <c r="O425">
        <v>3.87</v>
      </c>
      <c r="P425">
        <v>3.87</v>
      </c>
      <c r="Q425">
        <v>26.4</v>
      </c>
      <c r="T425" s="20">
        <v>0</v>
      </c>
      <c r="U425" s="20"/>
      <c r="V425" s="20"/>
      <c r="W425">
        <v>0</v>
      </c>
      <c r="Z425">
        <v>0</v>
      </c>
      <c r="AD425">
        <v>20</v>
      </c>
      <c r="AE425" s="44">
        <f t="shared" si="25"/>
        <v>395.39015999999998</v>
      </c>
      <c r="AF425" s="46">
        <v>0</v>
      </c>
      <c r="AG425" s="44">
        <v>0</v>
      </c>
      <c r="AH425" s="44">
        <v>0</v>
      </c>
      <c r="AI425" s="41">
        <f t="shared" si="26"/>
        <v>5.0582948245348341E-2</v>
      </c>
      <c r="AJ425" s="40"/>
      <c r="AK425" s="41"/>
      <c r="AL425" s="41"/>
      <c r="AM425" s="23">
        <v>1.5</v>
      </c>
      <c r="AN425" s="23">
        <v>1.444444444444444</v>
      </c>
      <c r="AO425" s="23">
        <v>0.33333333333333331</v>
      </c>
      <c r="AP425" s="23">
        <v>0</v>
      </c>
      <c r="AQ425" s="23">
        <v>0.4576271186440678</v>
      </c>
      <c r="AR425" s="23">
        <v>0.44067796610169491</v>
      </c>
      <c r="AS425" s="23">
        <v>0.10169491525423729</v>
      </c>
      <c r="AT425" s="23">
        <v>0</v>
      </c>
      <c r="AU425" s="20">
        <v>1</v>
      </c>
      <c r="AV425" s="20">
        <v>3.44</v>
      </c>
      <c r="AW425" s="20">
        <v>2.44</v>
      </c>
      <c r="AX425" s="20">
        <v>2.4861111111111112</v>
      </c>
      <c r="AY425">
        <v>2.4861111111111112</v>
      </c>
      <c r="AZ425">
        <v>6.6184123001045831</v>
      </c>
      <c r="BD425">
        <v>2.5291474122674171E-2</v>
      </c>
      <c r="BH425">
        <v>5.0582948245348341E-2</v>
      </c>
      <c r="BI425">
        <v>2.5291474122674171E-2</v>
      </c>
      <c r="BJ425">
        <v>0</v>
      </c>
    </row>
    <row r="426" spans="1:62" x14ac:dyDescent="0.3">
      <c r="A426" t="s">
        <v>351</v>
      </c>
      <c r="B426" s="17" t="s">
        <v>1023</v>
      </c>
      <c r="C426" s="12"/>
      <c r="F426">
        <v>3.51</v>
      </c>
      <c r="G426" t="s">
        <v>352</v>
      </c>
      <c r="H426" s="8">
        <v>-1</v>
      </c>
      <c r="I426">
        <v>-1</v>
      </c>
      <c r="K426">
        <v>1</v>
      </c>
      <c r="L426" s="20">
        <v>0</v>
      </c>
      <c r="M426">
        <v>0</v>
      </c>
      <c r="N426">
        <v>0</v>
      </c>
      <c r="O426">
        <v>3.87</v>
      </c>
      <c r="P426">
        <v>3.87</v>
      </c>
      <c r="Q426">
        <v>34.799999999999997</v>
      </c>
      <c r="T426" s="20">
        <v>0</v>
      </c>
      <c r="U426" s="20"/>
      <c r="V426" s="20"/>
      <c r="W426">
        <v>0</v>
      </c>
      <c r="Z426">
        <v>0</v>
      </c>
      <c r="AD426">
        <v>20</v>
      </c>
      <c r="AE426" s="44">
        <f t="shared" si="25"/>
        <v>521.19611999999995</v>
      </c>
      <c r="AF426" s="46">
        <v>0</v>
      </c>
      <c r="AG426" s="44">
        <v>0</v>
      </c>
      <c r="AH426" s="44">
        <v>0</v>
      </c>
      <c r="AI426" s="41">
        <f t="shared" si="26"/>
        <v>3.8373271082678052E-2</v>
      </c>
      <c r="AJ426" s="40"/>
      <c r="AK426" s="41"/>
      <c r="AL426" s="41"/>
      <c r="AM426" s="23">
        <v>1.4761904761904761</v>
      </c>
      <c r="AN426" s="23">
        <v>1.333333333333333</v>
      </c>
      <c r="AO426" s="23">
        <v>0.2857142857142857</v>
      </c>
      <c r="AP426" s="23">
        <v>0</v>
      </c>
      <c r="AQ426" s="23">
        <v>0.47692307692307689</v>
      </c>
      <c r="AR426" s="23">
        <v>0.43076923076923068</v>
      </c>
      <c r="AS426" s="23">
        <v>9.2307692307692299E-2</v>
      </c>
      <c r="AT426" s="23">
        <v>0</v>
      </c>
      <c r="AU426" s="20">
        <v>1</v>
      </c>
      <c r="AV426" s="20">
        <v>3.44</v>
      </c>
      <c r="AW426" s="20">
        <v>2.44</v>
      </c>
      <c r="AX426" s="20">
        <v>2.461904761904762</v>
      </c>
      <c r="AY426">
        <v>2.461904761904762</v>
      </c>
      <c r="AZ426">
        <v>6.6545549908373571</v>
      </c>
      <c r="BD426">
        <v>1.918663554133903E-2</v>
      </c>
      <c r="BH426">
        <v>3.8373271082678052E-2</v>
      </c>
      <c r="BI426">
        <v>1.918663554133903E-2</v>
      </c>
      <c r="BJ426">
        <v>0</v>
      </c>
    </row>
    <row r="427" spans="1:62" x14ac:dyDescent="0.3">
      <c r="A427" t="s">
        <v>180</v>
      </c>
      <c r="B427" s="12" t="s">
        <v>796</v>
      </c>
      <c r="C427" s="12"/>
      <c r="F427">
        <v>3.6</v>
      </c>
      <c r="G427" t="s">
        <v>354</v>
      </c>
      <c r="H427" s="8">
        <v>-1</v>
      </c>
      <c r="I427">
        <v>-1</v>
      </c>
      <c r="K427">
        <v>2</v>
      </c>
      <c r="L427" s="20">
        <v>0</v>
      </c>
      <c r="M427">
        <v>0</v>
      </c>
      <c r="N427">
        <v>0</v>
      </c>
      <c r="O427">
        <v>3.895</v>
      </c>
      <c r="P427">
        <v>3.895</v>
      </c>
      <c r="Q427">
        <v>30.46</v>
      </c>
      <c r="R427" t="s">
        <v>440</v>
      </c>
      <c r="T427" s="20">
        <v>0</v>
      </c>
      <c r="U427" s="20"/>
      <c r="V427" s="20"/>
      <c r="W427">
        <v>0</v>
      </c>
      <c r="Z427">
        <v>0</v>
      </c>
      <c r="AD427">
        <v>20</v>
      </c>
      <c r="AE427" s="44">
        <f t="shared" si="25"/>
        <v>462.1094215</v>
      </c>
      <c r="AF427" s="46">
        <v>0</v>
      </c>
      <c r="AG427" s="44">
        <v>0</v>
      </c>
      <c r="AH427" s="44">
        <v>0</v>
      </c>
      <c r="AI427" s="41">
        <f t="shared" si="26"/>
        <v>8.655958554179792E-2</v>
      </c>
      <c r="AJ427" s="40"/>
      <c r="AK427" s="41"/>
      <c r="AL427" s="41"/>
      <c r="AM427" s="23">
        <v>1.882352941176471</v>
      </c>
      <c r="AN427" s="23">
        <v>2.3529411764705879</v>
      </c>
      <c r="AO427" s="23">
        <v>0.47058823529411759</v>
      </c>
      <c r="AP427" s="23">
        <v>0</v>
      </c>
      <c r="AQ427" s="23">
        <v>0.4</v>
      </c>
      <c r="AR427" s="23">
        <v>0.5</v>
      </c>
      <c r="AS427" s="23">
        <v>9.9999999999999992E-2</v>
      </c>
      <c r="AT427" s="23">
        <v>0</v>
      </c>
      <c r="AU427" s="20">
        <v>0.82</v>
      </c>
      <c r="AV427" s="20">
        <v>3.44</v>
      </c>
      <c r="AW427" s="20">
        <v>2.62</v>
      </c>
      <c r="AX427" s="20">
        <v>2.5211764705882351</v>
      </c>
      <c r="AY427">
        <v>2.521176470588236</v>
      </c>
      <c r="AZ427">
        <v>5.6793405594117647</v>
      </c>
      <c r="BD427">
        <v>4.327979277089896E-2</v>
      </c>
      <c r="BH427">
        <v>8.655958554179792E-2</v>
      </c>
      <c r="BI427">
        <v>4.327979277089896E-2</v>
      </c>
      <c r="BJ427">
        <v>0</v>
      </c>
    </row>
    <row r="428" spans="1:62" x14ac:dyDescent="0.3">
      <c r="A428" t="s">
        <v>952</v>
      </c>
      <c r="B428" s="16" t="s">
        <v>954</v>
      </c>
      <c r="C428" s="12"/>
      <c r="F428">
        <v>3.65</v>
      </c>
      <c r="G428" t="s">
        <v>354</v>
      </c>
      <c r="H428" s="8">
        <v>-1</v>
      </c>
      <c r="I428">
        <v>-1</v>
      </c>
      <c r="K428">
        <v>2</v>
      </c>
      <c r="L428" s="20">
        <v>0</v>
      </c>
      <c r="M428">
        <v>0</v>
      </c>
      <c r="N428">
        <v>0</v>
      </c>
      <c r="O428">
        <v>3.84</v>
      </c>
      <c r="P428">
        <v>3.84</v>
      </c>
      <c r="Q428">
        <v>32.520000000000003</v>
      </c>
      <c r="R428" t="s">
        <v>1131</v>
      </c>
      <c r="T428" s="20">
        <v>0</v>
      </c>
      <c r="U428" s="20"/>
      <c r="V428" s="20"/>
      <c r="W428">
        <v>0</v>
      </c>
      <c r="Z428">
        <v>0</v>
      </c>
      <c r="AD428">
        <v>20</v>
      </c>
      <c r="AE428" s="44">
        <f t="shared" si="25"/>
        <v>479.52691200000004</v>
      </c>
      <c r="AF428" s="46">
        <v>0</v>
      </c>
      <c r="AG428" s="44">
        <v>0</v>
      </c>
      <c r="AH428" s="44">
        <v>0</v>
      </c>
      <c r="AI428" s="41">
        <f t="shared" si="26"/>
        <v>8.3415547697143627E-2</v>
      </c>
      <c r="AJ428" s="40"/>
      <c r="AK428" s="41"/>
      <c r="AL428" s="41"/>
      <c r="AM428" s="23">
        <v>1.882352941176471</v>
      </c>
      <c r="AN428" s="23">
        <v>2.3529411764705879</v>
      </c>
      <c r="AO428" s="23">
        <v>0.47058823529411759</v>
      </c>
      <c r="AP428" s="23">
        <v>0</v>
      </c>
      <c r="AQ428" s="23">
        <v>0.4</v>
      </c>
      <c r="AR428" s="23">
        <v>0.5</v>
      </c>
      <c r="AS428" s="23">
        <v>9.9999999999999992E-2</v>
      </c>
      <c r="AT428" s="23">
        <v>0</v>
      </c>
      <c r="AU428" s="20">
        <v>0.82</v>
      </c>
      <c r="AV428" s="20">
        <v>3.44</v>
      </c>
      <c r="AW428" s="20">
        <v>2.62</v>
      </c>
      <c r="AX428" s="20">
        <v>2.6023529411764699</v>
      </c>
      <c r="AY428">
        <v>2.6023529411764712</v>
      </c>
      <c r="AZ428">
        <v>5.9643402149912346</v>
      </c>
      <c r="BD428">
        <v>4.1707773848571807E-2</v>
      </c>
      <c r="BH428">
        <v>8.3415547697143627E-2</v>
      </c>
      <c r="BI428">
        <v>4.1707773848571807E-2</v>
      </c>
      <c r="BJ428">
        <v>0</v>
      </c>
    </row>
    <row r="429" spans="1:62" x14ac:dyDescent="0.3">
      <c r="A429" t="s">
        <v>953</v>
      </c>
      <c r="B429" s="16" t="s">
        <v>955</v>
      </c>
      <c r="C429" s="12"/>
      <c r="F429">
        <v>3.58</v>
      </c>
      <c r="G429" t="s">
        <v>354</v>
      </c>
      <c r="H429" s="8">
        <v>-1</v>
      </c>
      <c r="I429">
        <v>-1</v>
      </c>
      <c r="K429">
        <v>1</v>
      </c>
      <c r="L429" s="20">
        <v>0</v>
      </c>
      <c r="M429">
        <v>0</v>
      </c>
      <c r="N429">
        <v>0</v>
      </c>
      <c r="O429">
        <v>3.82</v>
      </c>
      <c r="P429">
        <v>3.82</v>
      </c>
      <c r="Q429">
        <v>14.9</v>
      </c>
      <c r="R429" t="s">
        <v>439</v>
      </c>
      <c r="T429" s="20">
        <v>0</v>
      </c>
      <c r="U429" s="20"/>
      <c r="V429" s="20"/>
      <c r="W429">
        <v>0</v>
      </c>
      <c r="Z429">
        <v>0</v>
      </c>
      <c r="AD429">
        <v>20</v>
      </c>
      <c r="AE429" s="44">
        <f t="shared" si="25"/>
        <v>217.42676</v>
      </c>
      <c r="AF429" s="46">
        <v>0</v>
      </c>
      <c r="AG429" s="44">
        <v>0</v>
      </c>
      <c r="AH429" s="44">
        <v>0</v>
      </c>
      <c r="AI429" s="41">
        <f t="shared" si="26"/>
        <v>9.1984997614829006E-2</v>
      </c>
      <c r="AJ429" s="40"/>
      <c r="AK429" s="41"/>
      <c r="AL429" s="41"/>
      <c r="AM429" s="23">
        <v>1.882352941176471</v>
      </c>
      <c r="AN429" s="23">
        <v>2.3529411764705879</v>
      </c>
      <c r="AO429" s="23">
        <v>0.47058823529411759</v>
      </c>
      <c r="AP429" s="23">
        <v>0</v>
      </c>
      <c r="AQ429" s="23">
        <v>0.4</v>
      </c>
      <c r="AR429" s="23">
        <v>0.5</v>
      </c>
      <c r="AS429" s="23">
        <v>9.9999999999999992E-2</v>
      </c>
      <c r="AT429" s="23">
        <v>0</v>
      </c>
      <c r="AU429" s="20">
        <v>0.82</v>
      </c>
      <c r="AV429" s="20">
        <v>3.44</v>
      </c>
      <c r="AW429" s="20">
        <v>2.62</v>
      </c>
      <c r="AX429" s="20">
        <v>2.6429411764705879</v>
      </c>
      <c r="AY429">
        <v>2.6429411764705879</v>
      </c>
      <c r="AZ429">
        <v>6.1068400427809717</v>
      </c>
      <c r="BD429">
        <v>4.5992498807414503E-2</v>
      </c>
      <c r="BH429">
        <v>9.1984997614829006E-2</v>
      </c>
      <c r="BI429">
        <v>4.5992498807414503E-2</v>
      </c>
      <c r="BJ429">
        <v>0</v>
      </c>
    </row>
    <row r="430" spans="1:62" x14ac:dyDescent="0.3">
      <c r="A430" t="s">
        <v>353</v>
      </c>
      <c r="B430" s="12" t="s">
        <v>834</v>
      </c>
      <c r="C430" s="12"/>
      <c r="F430">
        <v>3.55</v>
      </c>
      <c r="G430" t="s">
        <v>354</v>
      </c>
      <c r="H430" s="8">
        <v>-1</v>
      </c>
      <c r="I430">
        <v>-1</v>
      </c>
      <c r="K430">
        <v>2</v>
      </c>
      <c r="L430" s="20">
        <v>0</v>
      </c>
      <c r="M430">
        <v>0</v>
      </c>
      <c r="N430">
        <v>0</v>
      </c>
      <c r="O430">
        <v>3.8050000000000002</v>
      </c>
      <c r="P430">
        <v>3.8050000000000002</v>
      </c>
      <c r="Q430">
        <v>27.44</v>
      </c>
      <c r="R430" t="s">
        <v>1131</v>
      </c>
      <c r="T430" s="20">
        <v>0</v>
      </c>
      <c r="U430" s="20"/>
      <c r="V430" s="20"/>
      <c r="W430">
        <v>0</v>
      </c>
      <c r="Z430">
        <v>0</v>
      </c>
      <c r="AD430">
        <v>20</v>
      </c>
      <c r="AE430" s="44">
        <f t="shared" si="25"/>
        <v>397.27700600000003</v>
      </c>
      <c r="AF430" s="46">
        <v>0</v>
      </c>
      <c r="AG430" s="44">
        <v>0</v>
      </c>
      <c r="AH430" s="44">
        <v>0</v>
      </c>
      <c r="AI430" s="41">
        <f t="shared" si="26"/>
        <v>0.10068541444857747</v>
      </c>
      <c r="AJ430" s="40"/>
      <c r="AK430" s="41"/>
      <c r="AL430" s="41"/>
      <c r="AM430" s="23">
        <v>1.882352941176471</v>
      </c>
      <c r="AN430" s="23">
        <v>2.3529411764705879</v>
      </c>
      <c r="AO430" s="23">
        <v>0.47058823529411759</v>
      </c>
      <c r="AP430" s="23">
        <v>0</v>
      </c>
      <c r="AQ430" s="23">
        <v>0.4</v>
      </c>
      <c r="AR430" s="23">
        <v>0.5</v>
      </c>
      <c r="AS430" s="23">
        <v>9.9999999999999992E-2</v>
      </c>
      <c r="AT430" s="23">
        <v>0</v>
      </c>
      <c r="AU430" s="20">
        <v>1.1000000000000001</v>
      </c>
      <c r="AV430" s="20">
        <v>3.44</v>
      </c>
      <c r="AW430" s="20">
        <v>2.34</v>
      </c>
      <c r="AX430" s="20">
        <v>2.6835294117647059</v>
      </c>
      <c r="AY430">
        <v>2.6835294117647059</v>
      </c>
      <c r="AZ430">
        <v>6.2493398705707062</v>
      </c>
      <c r="BD430">
        <v>5.0342707224288727E-2</v>
      </c>
      <c r="BH430">
        <v>0.1006854144485775</v>
      </c>
      <c r="BI430">
        <v>5.0342707224288727E-2</v>
      </c>
      <c r="BJ430">
        <v>0</v>
      </c>
    </row>
    <row r="431" spans="1:62" x14ac:dyDescent="0.3">
      <c r="A431" t="s">
        <v>142</v>
      </c>
      <c r="B431" s="12" t="s">
        <v>766</v>
      </c>
      <c r="C431" s="12"/>
      <c r="F431">
        <v>4.3600000000000003</v>
      </c>
      <c r="G431" t="s">
        <v>357</v>
      </c>
      <c r="H431" s="8">
        <v>-1</v>
      </c>
      <c r="I431">
        <v>-1</v>
      </c>
      <c r="J431" t="s">
        <v>1164</v>
      </c>
      <c r="K431">
        <v>1</v>
      </c>
      <c r="L431" s="20">
        <v>0</v>
      </c>
      <c r="M431">
        <v>0</v>
      </c>
      <c r="N431">
        <v>1</v>
      </c>
      <c r="O431">
        <v>3.89</v>
      </c>
      <c r="P431">
        <v>3.89</v>
      </c>
      <c r="Q431">
        <v>10.48</v>
      </c>
      <c r="R431" t="s">
        <v>440</v>
      </c>
      <c r="T431" s="20">
        <v>0</v>
      </c>
      <c r="W431">
        <v>0</v>
      </c>
      <c r="Z431">
        <v>3.88</v>
      </c>
      <c r="AA431">
        <v>3.88</v>
      </c>
      <c r="AB431">
        <v>10.66</v>
      </c>
      <c r="AD431">
        <v>14</v>
      </c>
      <c r="AE431" s="44">
        <f t="shared" si="25"/>
        <v>158.58440800000002</v>
      </c>
      <c r="AF431" s="46">
        <v>0</v>
      </c>
      <c r="AG431" s="44">
        <v>0</v>
      </c>
      <c r="AH431" s="44">
        <v>160.479904</v>
      </c>
      <c r="AI431" s="41">
        <f t="shared" si="26"/>
        <v>8.8281062284509063E-2</v>
      </c>
      <c r="AJ431" s="41"/>
      <c r="AK431" s="41"/>
      <c r="AL431" s="56">
        <f t="shared" ref="AL431:AL436" si="27">N431*AD431/AH431</f>
        <v>8.7238337331009372E-2</v>
      </c>
      <c r="AM431">
        <v>1.9090909090909089</v>
      </c>
      <c r="AN431">
        <v>2.545454545454545</v>
      </c>
      <c r="AO431">
        <v>0.54545454545454541</v>
      </c>
      <c r="AP431">
        <v>2.9090909090909092</v>
      </c>
      <c r="AQ431">
        <v>0.2413793103448276</v>
      </c>
      <c r="AR431">
        <v>0.32183908045977011</v>
      </c>
      <c r="AS431">
        <v>6.8965517241379309E-2</v>
      </c>
      <c r="AT431">
        <v>0.36781609195402298</v>
      </c>
      <c r="AU431" s="20">
        <v>1.1399999999999999</v>
      </c>
      <c r="AV431" s="20">
        <v>3.44</v>
      </c>
      <c r="AW431" s="20">
        <v>2.2999999999999998</v>
      </c>
      <c r="AX431" s="20">
        <v>2.7654545454545452</v>
      </c>
      <c r="AY431">
        <v>2.7654545454545461</v>
      </c>
      <c r="AZ431">
        <v>6.4215922727137267</v>
      </c>
      <c r="BC431" s="64">
        <v>0</v>
      </c>
      <c r="BD431">
        <v>4.4140531142254531E-2</v>
      </c>
      <c r="BG431">
        <v>4.3619168665504693E-2</v>
      </c>
      <c r="BH431">
        <v>8.7759699807759217E-2</v>
      </c>
      <c r="BI431">
        <v>4.3879849903879609E-2</v>
      </c>
      <c r="BJ431">
        <v>0</v>
      </c>
    </row>
    <row r="432" spans="1:62" x14ac:dyDescent="0.3">
      <c r="A432" t="s">
        <v>355</v>
      </c>
      <c r="B432" s="12" t="s">
        <v>835</v>
      </c>
      <c r="C432" s="12"/>
      <c r="F432">
        <v>4.49</v>
      </c>
      <c r="G432" t="s">
        <v>357</v>
      </c>
      <c r="H432" s="8">
        <v>-1</v>
      </c>
      <c r="I432">
        <v>-1</v>
      </c>
      <c r="J432" t="s">
        <v>1180</v>
      </c>
      <c r="L432" s="20">
        <v>0</v>
      </c>
      <c r="M432">
        <v>0</v>
      </c>
      <c r="N432">
        <v>4</v>
      </c>
      <c r="O432">
        <v>-1</v>
      </c>
      <c r="T432" s="20">
        <v>0</v>
      </c>
      <c r="W432">
        <v>0</v>
      </c>
      <c r="Z432">
        <v>5.4092000000000002</v>
      </c>
      <c r="AA432">
        <v>20.501100000000001</v>
      </c>
      <c r="AB432">
        <v>5.4427000000000003</v>
      </c>
      <c r="AD432">
        <v>14</v>
      </c>
      <c r="AE432" s="44">
        <f t="shared" si="25"/>
        <v>0</v>
      </c>
      <c r="AF432" s="46">
        <v>0</v>
      </c>
      <c r="AG432" s="44">
        <v>0</v>
      </c>
      <c r="AH432" s="44">
        <v>603.57000000000005</v>
      </c>
      <c r="AI432" s="41"/>
      <c r="AJ432" s="41"/>
      <c r="AK432" s="41"/>
      <c r="AL432" s="56">
        <f t="shared" si="27"/>
        <v>9.2781284689431212E-2</v>
      </c>
      <c r="AM432" s="23">
        <v>1.9090909090909089</v>
      </c>
      <c r="AN432" s="23">
        <v>2.545454545454545</v>
      </c>
      <c r="AO432" s="23">
        <v>0.54545454545454541</v>
      </c>
      <c r="AP432" s="23">
        <v>2.9090909090909092</v>
      </c>
      <c r="AQ432" s="23">
        <v>0.2413793103448276</v>
      </c>
      <c r="AR432" s="23">
        <v>0.32183908045977011</v>
      </c>
      <c r="AS432" s="23">
        <v>6.8965517241379309E-2</v>
      </c>
      <c r="AT432" s="23">
        <v>0.36781609195402298</v>
      </c>
      <c r="AU432" s="20">
        <v>0.98</v>
      </c>
      <c r="AV432" s="20">
        <v>3.44</v>
      </c>
      <c r="AW432" s="20">
        <v>2.46</v>
      </c>
      <c r="AX432" s="20">
        <v>2.6545454545454539</v>
      </c>
      <c r="AY432">
        <v>2.6545454545454539</v>
      </c>
      <c r="AZ432">
        <v>6.0423528007272722</v>
      </c>
      <c r="BC432" s="64">
        <v>0.47461723217425672</v>
      </c>
      <c r="BG432">
        <v>4.6390642344715613E-2</v>
      </c>
      <c r="BH432">
        <v>9.2781284689431212E-2</v>
      </c>
      <c r="BI432">
        <v>4.6390642344715613E-2</v>
      </c>
      <c r="BJ432">
        <v>0.47461723217425672</v>
      </c>
    </row>
    <row r="433" spans="1:62" x14ac:dyDescent="0.3">
      <c r="A433" t="s">
        <v>143</v>
      </c>
      <c r="B433" s="12" t="s">
        <v>767</v>
      </c>
      <c r="C433" s="12"/>
      <c r="F433">
        <v>4.38</v>
      </c>
      <c r="G433" t="s">
        <v>357</v>
      </c>
      <c r="H433" s="8">
        <v>-1</v>
      </c>
      <c r="I433">
        <v>-1</v>
      </c>
      <c r="J433" t="s">
        <v>1181</v>
      </c>
      <c r="L433" s="20">
        <v>0</v>
      </c>
      <c r="M433">
        <v>0</v>
      </c>
      <c r="N433">
        <v>4</v>
      </c>
      <c r="O433">
        <v>-1</v>
      </c>
      <c r="Q433">
        <v>21.024000000000001</v>
      </c>
      <c r="T433" s="20">
        <v>0</v>
      </c>
      <c r="W433">
        <v>0</v>
      </c>
      <c r="Z433">
        <v>5.4686000000000003</v>
      </c>
      <c r="AA433">
        <v>5.4686000000000003</v>
      </c>
      <c r="AB433">
        <v>21.134499999999999</v>
      </c>
      <c r="AD433">
        <v>14</v>
      </c>
      <c r="AE433" s="44">
        <f t="shared" si="25"/>
        <v>0</v>
      </c>
      <c r="AF433" s="46">
        <v>0</v>
      </c>
      <c r="AG433" s="44">
        <v>0</v>
      </c>
      <c r="AH433" s="44">
        <v>632</v>
      </c>
      <c r="AI433" s="41"/>
      <c r="AJ433" s="41"/>
      <c r="AK433" s="41"/>
      <c r="AL433" s="56">
        <f t="shared" si="27"/>
        <v>8.8607594936708861E-2</v>
      </c>
      <c r="AM433" s="23">
        <v>1.9090909090909089</v>
      </c>
      <c r="AN433" s="23">
        <v>2.545454545454545</v>
      </c>
      <c r="AO433" s="23">
        <v>0.54545454545454541</v>
      </c>
      <c r="AP433" s="23">
        <v>2.9090909090909092</v>
      </c>
      <c r="AQ433" s="23">
        <v>0.2413793103448276</v>
      </c>
      <c r="AR433" s="23">
        <v>0.32183908045977011</v>
      </c>
      <c r="AS433" s="23">
        <v>6.8965517241379309E-2</v>
      </c>
      <c r="AT433" s="23">
        <v>0.36781609195402298</v>
      </c>
      <c r="AU433" s="20">
        <v>0.93</v>
      </c>
      <c r="AV433" s="20">
        <v>3.44</v>
      </c>
      <c r="AW433" s="20">
        <v>2.5099999999999998</v>
      </c>
      <c r="AX433" s="20">
        <v>2.65</v>
      </c>
      <c r="AY433">
        <v>2.649999999999999</v>
      </c>
      <c r="AZ433">
        <v>6.0276818459090906</v>
      </c>
      <c r="BC433" s="64">
        <v>0.47528867242311779</v>
      </c>
      <c r="BG433">
        <v>4.4303797468354431E-2</v>
      </c>
      <c r="BH433">
        <v>8.8607594936708861E-2</v>
      </c>
      <c r="BI433">
        <v>4.4303797468354431E-2</v>
      </c>
      <c r="BJ433">
        <v>0.47528867242311779</v>
      </c>
    </row>
    <row r="434" spans="1:62" x14ac:dyDescent="0.3">
      <c r="A434" t="s">
        <v>356</v>
      </c>
      <c r="B434" s="12" t="s">
        <v>836</v>
      </c>
      <c r="C434" s="12"/>
      <c r="F434">
        <v>4.38</v>
      </c>
      <c r="G434" t="s">
        <v>357</v>
      </c>
      <c r="H434" s="8">
        <v>-1</v>
      </c>
      <c r="I434">
        <v>-1</v>
      </c>
      <c r="J434" t="s">
        <v>1182</v>
      </c>
      <c r="L434" s="20">
        <v>0</v>
      </c>
      <c r="M434">
        <v>0</v>
      </c>
      <c r="N434">
        <v>4</v>
      </c>
      <c r="O434">
        <v>-1</v>
      </c>
      <c r="T434" s="20">
        <v>0</v>
      </c>
      <c r="W434">
        <v>0</v>
      </c>
      <c r="Z434">
        <v>7.7018000000000004</v>
      </c>
      <c r="AA434">
        <v>21.768799999999999</v>
      </c>
      <c r="AB434">
        <v>3.8613</v>
      </c>
      <c r="AD434">
        <v>14</v>
      </c>
      <c r="AE434" s="44">
        <f t="shared" si="25"/>
        <v>0</v>
      </c>
      <c r="AF434" s="46">
        <v>0</v>
      </c>
      <c r="AG434" s="44">
        <v>0</v>
      </c>
      <c r="AH434" s="44">
        <v>647.38</v>
      </c>
      <c r="AI434" s="41"/>
      <c r="AJ434" s="41"/>
      <c r="AK434" s="41"/>
      <c r="AL434" s="56">
        <f t="shared" si="27"/>
        <v>8.6502517841144308E-2</v>
      </c>
      <c r="AM434" s="23">
        <v>1.9090909090909089</v>
      </c>
      <c r="AN434" s="23">
        <v>2.545454545454545</v>
      </c>
      <c r="AO434" s="23">
        <v>0.54545454545454541</v>
      </c>
      <c r="AP434" s="23">
        <v>2.9090909090909092</v>
      </c>
      <c r="AQ434" s="23">
        <v>0.2413793103448276</v>
      </c>
      <c r="AR434" s="23">
        <v>0.32183908045977011</v>
      </c>
      <c r="AS434" s="23">
        <v>6.8965517241379309E-2</v>
      </c>
      <c r="AT434" s="23">
        <v>0.36781609195402298</v>
      </c>
      <c r="AU434" s="20">
        <v>0.82</v>
      </c>
      <c r="AV434" s="20">
        <v>3.44</v>
      </c>
      <c r="AW434" s="20">
        <v>2.62</v>
      </c>
      <c r="AX434" s="20">
        <v>2.64</v>
      </c>
      <c r="AY434">
        <v>2.64</v>
      </c>
      <c r="AZ434">
        <v>5.9892781936363626</v>
      </c>
      <c r="BC434" s="64">
        <v>0.51451751424865833</v>
      </c>
      <c r="BG434">
        <v>4.3251258920572147E-2</v>
      </c>
      <c r="BH434">
        <v>8.6502517841144308E-2</v>
      </c>
      <c r="BI434">
        <v>4.3251258920572147E-2</v>
      </c>
      <c r="BJ434">
        <v>0.51451751424865833</v>
      </c>
    </row>
    <row r="435" spans="1:62" x14ac:dyDescent="0.3">
      <c r="A435" t="s">
        <v>12</v>
      </c>
      <c r="B435" s="12" t="s">
        <v>697</v>
      </c>
      <c r="C435" s="12"/>
      <c r="F435">
        <v>4.54</v>
      </c>
      <c r="G435" t="s">
        <v>357</v>
      </c>
      <c r="H435" s="8">
        <v>-1</v>
      </c>
      <c r="I435">
        <v>-1</v>
      </c>
      <c r="J435" t="s">
        <v>1145</v>
      </c>
      <c r="L435" s="20">
        <v>0</v>
      </c>
      <c r="M435">
        <v>0</v>
      </c>
      <c r="N435">
        <v>1</v>
      </c>
      <c r="O435">
        <v>-1</v>
      </c>
      <c r="T435" s="20">
        <v>0</v>
      </c>
      <c r="W435">
        <v>0</v>
      </c>
      <c r="Z435">
        <v>3.8445</v>
      </c>
      <c r="AA435">
        <v>3.8445</v>
      </c>
      <c r="AB435">
        <v>11.03</v>
      </c>
      <c r="AD435">
        <v>14</v>
      </c>
      <c r="AE435" s="44">
        <f t="shared" si="25"/>
        <v>0</v>
      </c>
      <c r="AF435" s="46">
        <v>0</v>
      </c>
      <c r="AG435" s="44">
        <v>0</v>
      </c>
      <c r="AH435" s="44">
        <v>163.0253881575</v>
      </c>
      <c r="AI435" s="41"/>
      <c r="AJ435" s="41"/>
      <c r="AK435" s="41"/>
      <c r="AL435" s="56">
        <f t="shared" si="27"/>
        <v>8.5876194856683907E-2</v>
      </c>
      <c r="AM435" s="23">
        <v>1.9090909090909089</v>
      </c>
      <c r="AN435" s="23">
        <v>2.545454545454545</v>
      </c>
      <c r="AO435" s="23">
        <v>0.54545454545454541</v>
      </c>
      <c r="AP435" s="23">
        <v>2.9090909090909092</v>
      </c>
      <c r="AQ435" s="23">
        <v>0.2413793103448276</v>
      </c>
      <c r="AR435" s="23">
        <v>0.32183908045977011</v>
      </c>
      <c r="AS435" s="23">
        <v>6.8965517241379309E-2</v>
      </c>
      <c r="AT435" s="23">
        <v>0.36781609195402298</v>
      </c>
      <c r="AU435" s="20">
        <v>0.82</v>
      </c>
      <c r="AV435" s="20">
        <v>3.44</v>
      </c>
      <c r="AW435" s="20">
        <v>2.62</v>
      </c>
      <c r="AX435" s="20">
        <v>2.64</v>
      </c>
      <c r="AY435">
        <v>2.64</v>
      </c>
      <c r="AZ435">
        <v>5.9811382595454541</v>
      </c>
      <c r="BC435" s="64">
        <v>0.53809297903977493</v>
      </c>
      <c r="BG435">
        <v>4.2938097428341947E-2</v>
      </c>
      <c r="BH435">
        <v>8.5876194856683907E-2</v>
      </c>
      <c r="BI435">
        <v>4.2938097428341947E-2</v>
      </c>
      <c r="BJ435">
        <v>0.53809297903977493</v>
      </c>
    </row>
    <row r="436" spans="1:62" x14ac:dyDescent="0.3">
      <c r="A436" t="s">
        <v>144</v>
      </c>
      <c r="B436" s="12" t="s">
        <v>768</v>
      </c>
      <c r="C436" s="12"/>
      <c r="F436">
        <v>4.4000000000000004</v>
      </c>
      <c r="G436" t="s">
        <v>357</v>
      </c>
      <c r="H436" s="8">
        <v>-1</v>
      </c>
      <c r="I436">
        <v>-1</v>
      </c>
      <c r="J436" t="s">
        <v>1183</v>
      </c>
      <c r="L436" s="20">
        <v>0</v>
      </c>
      <c r="M436">
        <v>0</v>
      </c>
      <c r="N436">
        <v>1</v>
      </c>
      <c r="O436">
        <v>-1</v>
      </c>
      <c r="T436" s="20">
        <v>0</v>
      </c>
      <c r="W436">
        <v>0</v>
      </c>
      <c r="Z436">
        <v>3.8898000000000001</v>
      </c>
      <c r="AA436">
        <v>3.8898000000000001</v>
      </c>
      <c r="AB436">
        <v>11.3665</v>
      </c>
      <c r="AD436">
        <v>14</v>
      </c>
      <c r="AE436" s="44">
        <f t="shared" si="25"/>
        <v>0</v>
      </c>
      <c r="AF436" s="46">
        <v>0</v>
      </c>
      <c r="AG436" s="44">
        <v>0</v>
      </c>
      <c r="AH436" s="44">
        <v>172</v>
      </c>
      <c r="AI436" s="41"/>
      <c r="AJ436" s="41"/>
      <c r="AK436" s="41"/>
      <c r="AL436" s="56">
        <f t="shared" si="27"/>
        <v>8.1395348837209308E-2</v>
      </c>
      <c r="AM436" s="23">
        <v>1.9090909090909089</v>
      </c>
      <c r="AN436" s="23">
        <v>2.545454545454545</v>
      </c>
      <c r="AO436" s="23">
        <v>0.54545454545454541</v>
      </c>
      <c r="AP436" s="23">
        <v>2.9090909090909092</v>
      </c>
      <c r="AQ436" s="23">
        <v>0.2413793103448276</v>
      </c>
      <c r="AR436" s="23">
        <v>0.32183908045977011</v>
      </c>
      <c r="AS436" s="23">
        <v>6.8965517241379309E-2</v>
      </c>
      <c r="AT436" s="23">
        <v>0.36781609195402298</v>
      </c>
      <c r="AU436" s="20">
        <v>0.79</v>
      </c>
      <c r="AV436" s="20">
        <v>3.44</v>
      </c>
      <c r="AW436" s="20">
        <v>2.65</v>
      </c>
      <c r="AX436" s="20">
        <v>2.6372727272727272</v>
      </c>
      <c r="AY436">
        <v>2.6372727272727272</v>
      </c>
      <c r="AZ436">
        <v>5.967615153519545</v>
      </c>
      <c r="BC436" s="64">
        <v>0.54308506712305693</v>
      </c>
      <c r="BG436">
        <v>4.0697674418604647E-2</v>
      </c>
      <c r="BH436">
        <v>8.1395348837209308E-2</v>
      </c>
      <c r="BI436">
        <v>4.0697674418604647E-2</v>
      </c>
      <c r="BJ436">
        <v>0.54308506712305693</v>
      </c>
    </row>
    <row r="437" spans="1:62" x14ac:dyDescent="0.3">
      <c r="A437" t="s">
        <v>63</v>
      </c>
      <c r="B437" s="12" t="s">
        <v>773</v>
      </c>
      <c r="C437" s="12"/>
      <c r="F437">
        <v>3.5</v>
      </c>
      <c r="G437" t="s">
        <v>361</v>
      </c>
      <c r="H437" s="8">
        <v>-1</v>
      </c>
      <c r="I437">
        <v>-1</v>
      </c>
      <c r="K437">
        <v>1</v>
      </c>
      <c r="L437" s="20">
        <v>0</v>
      </c>
      <c r="M437">
        <v>0</v>
      </c>
      <c r="N437">
        <v>0</v>
      </c>
      <c r="O437">
        <v>3.82</v>
      </c>
      <c r="P437">
        <v>3.82</v>
      </c>
      <c r="Q437">
        <v>16</v>
      </c>
      <c r="R437" t="s">
        <v>519</v>
      </c>
      <c r="S437">
        <v>16</v>
      </c>
      <c r="T437" s="20">
        <v>0</v>
      </c>
      <c r="W437">
        <v>0</v>
      </c>
      <c r="Z437">
        <v>0</v>
      </c>
      <c r="AD437">
        <v>20</v>
      </c>
      <c r="AE437" s="44">
        <f t="shared" si="25"/>
        <v>233.47839999999999</v>
      </c>
      <c r="AF437" s="46">
        <v>0</v>
      </c>
      <c r="AG437" s="44">
        <v>0</v>
      </c>
      <c r="AH437" s="44">
        <v>0</v>
      </c>
      <c r="AI437" s="41">
        <f t="shared" ref="AI437" si="28">K437*AD437/AE437</f>
        <v>8.5661029028809524E-2</v>
      </c>
      <c r="AJ437" s="41"/>
      <c r="AK437" s="41"/>
      <c r="AL437" s="41"/>
      <c r="AM437" s="23">
        <v>1.75</v>
      </c>
      <c r="AN437" s="23">
        <v>2.5</v>
      </c>
      <c r="AO437" s="23">
        <v>0.75</v>
      </c>
      <c r="AP437" s="23">
        <v>0</v>
      </c>
      <c r="AQ437" s="23">
        <v>0.35</v>
      </c>
      <c r="AR437" s="23">
        <v>0.5</v>
      </c>
      <c r="AS437" s="23">
        <v>0.15</v>
      </c>
      <c r="AT437" s="23">
        <v>0</v>
      </c>
      <c r="AU437" s="20">
        <v>1</v>
      </c>
      <c r="AV437" s="20">
        <v>3.44</v>
      </c>
      <c r="AW437" s="20">
        <v>2.44</v>
      </c>
      <c r="AX437" s="20">
        <v>2.7124999999999999</v>
      </c>
      <c r="AY437">
        <v>2.7124999999999999</v>
      </c>
      <c r="AZ437">
        <v>6.264025610615688</v>
      </c>
      <c r="BD437">
        <v>4.2830514514404762E-2</v>
      </c>
      <c r="BH437">
        <v>8.5661029028809524E-2</v>
      </c>
      <c r="BI437">
        <v>4.2830514514404762E-2</v>
      </c>
      <c r="BJ437">
        <v>0</v>
      </c>
    </row>
    <row r="438" spans="1:62" x14ac:dyDescent="0.3">
      <c r="A438" t="s">
        <v>366</v>
      </c>
      <c r="B438" s="17" t="s">
        <v>1024</v>
      </c>
      <c r="C438" s="12"/>
      <c r="F438">
        <v>3.62</v>
      </c>
      <c r="G438" t="s">
        <v>361</v>
      </c>
      <c r="H438" s="8">
        <v>-1</v>
      </c>
      <c r="I438">
        <v>-1</v>
      </c>
      <c r="K438">
        <v>1</v>
      </c>
      <c r="L438" s="20">
        <v>0</v>
      </c>
      <c r="M438">
        <v>0</v>
      </c>
      <c r="N438">
        <v>0</v>
      </c>
      <c r="O438">
        <v>3.86</v>
      </c>
      <c r="P438">
        <v>3.86</v>
      </c>
      <c r="Q438">
        <v>25.4</v>
      </c>
      <c r="R438" t="s">
        <v>519</v>
      </c>
      <c r="S438">
        <v>25.4</v>
      </c>
      <c r="T438" s="20">
        <v>0</v>
      </c>
      <c r="W438">
        <v>0</v>
      </c>
      <c r="Z438">
        <v>0</v>
      </c>
      <c r="AD438">
        <v>20</v>
      </c>
      <c r="AE438" s="44">
        <f t="shared" si="25"/>
        <v>378.44983999999999</v>
      </c>
      <c r="AF438" s="46">
        <v>0</v>
      </c>
      <c r="AG438" s="44">
        <v>0</v>
      </c>
      <c r="AH438" s="44">
        <v>0</v>
      </c>
      <c r="AI438" s="41"/>
      <c r="AJ438" s="41"/>
      <c r="AK438" s="41"/>
      <c r="AL438" s="41"/>
      <c r="AM438" s="23">
        <v>1.53125</v>
      </c>
      <c r="AN438" s="23">
        <v>1.59375</v>
      </c>
      <c r="AO438" s="23">
        <v>0.375</v>
      </c>
      <c r="AP438" s="23">
        <v>0</v>
      </c>
      <c r="AQ438" s="23">
        <v>0.4375</v>
      </c>
      <c r="AR438" s="23">
        <v>0.45535714285714279</v>
      </c>
      <c r="AS438" s="23">
        <v>0.1071428571428571</v>
      </c>
      <c r="AT438" s="23">
        <v>0</v>
      </c>
      <c r="AU438" s="20">
        <v>1</v>
      </c>
      <c r="AV438" s="20">
        <v>3.44</v>
      </c>
      <c r="AW438" s="20">
        <v>2.44</v>
      </c>
      <c r="AX438" s="20">
        <v>2.5262500000000001</v>
      </c>
      <c r="AY438">
        <v>2.5262500000000001</v>
      </c>
      <c r="AZ438">
        <v>6.6075924153816246</v>
      </c>
      <c r="BD438">
        <v>2.6423580995568661E-2</v>
      </c>
      <c r="BH438">
        <v>0</v>
      </c>
      <c r="BI438">
        <v>2.6423580995568661E-2</v>
      </c>
      <c r="BJ438">
        <v>0</v>
      </c>
    </row>
    <row r="439" spans="1:62" x14ac:dyDescent="0.3">
      <c r="A439" t="s">
        <v>347</v>
      </c>
      <c r="B439" s="17" t="s">
        <v>1025</v>
      </c>
      <c r="C439" s="12"/>
      <c r="F439">
        <v>3.5</v>
      </c>
      <c r="G439" t="s">
        <v>361</v>
      </c>
      <c r="H439" s="8">
        <v>-1</v>
      </c>
      <c r="I439">
        <v>-1</v>
      </c>
      <c r="K439">
        <v>2</v>
      </c>
      <c r="L439" s="20">
        <v>0</v>
      </c>
      <c r="M439">
        <v>0</v>
      </c>
      <c r="N439">
        <v>0</v>
      </c>
      <c r="O439">
        <v>3.86</v>
      </c>
      <c r="P439">
        <v>3.86</v>
      </c>
      <c r="Q439">
        <v>35.799999999999997</v>
      </c>
      <c r="R439" t="s">
        <v>519</v>
      </c>
      <c r="S439">
        <v>17.899999999999999</v>
      </c>
      <c r="T439" s="20">
        <v>0</v>
      </c>
      <c r="W439">
        <v>0</v>
      </c>
      <c r="Z439">
        <v>0</v>
      </c>
      <c r="AD439">
        <v>22</v>
      </c>
      <c r="AE439" s="44">
        <f t="shared" si="25"/>
        <v>533.40567999999996</v>
      </c>
      <c r="AF439" s="46">
        <v>0</v>
      </c>
      <c r="AG439" s="44">
        <v>0</v>
      </c>
      <c r="AH439" s="44">
        <v>0</v>
      </c>
      <c r="AI439" s="41"/>
      <c r="AJ439" s="41"/>
      <c r="AK439" s="41"/>
      <c r="AL439" s="41"/>
      <c r="AM439" s="23">
        <v>1.6</v>
      </c>
      <c r="AN439" s="23">
        <v>1.92</v>
      </c>
      <c r="AO439" s="23">
        <v>0.48</v>
      </c>
      <c r="AP439" s="23">
        <v>0</v>
      </c>
      <c r="AQ439" s="23">
        <v>0.4</v>
      </c>
      <c r="AR439" s="23">
        <v>0.48</v>
      </c>
      <c r="AS439" s="23">
        <v>0.12</v>
      </c>
      <c r="AT439" s="23">
        <v>0</v>
      </c>
      <c r="AU439" s="20">
        <v>1</v>
      </c>
      <c r="AV439" s="20">
        <v>3.44</v>
      </c>
      <c r="AW439" s="20">
        <v>2.44</v>
      </c>
      <c r="AX439" s="20">
        <v>2.6055999999999999</v>
      </c>
      <c r="AY439">
        <v>2.6055999999999999</v>
      </c>
      <c r="AZ439">
        <v>6.5338195732382802</v>
      </c>
      <c r="BD439">
        <v>4.1244405196435109E-2</v>
      </c>
      <c r="BH439">
        <v>0</v>
      </c>
      <c r="BI439">
        <v>4.1244405196435109E-2</v>
      </c>
      <c r="BJ439">
        <v>0</v>
      </c>
    </row>
    <row r="440" spans="1:62" x14ac:dyDescent="0.3">
      <c r="A440" t="s">
        <v>353</v>
      </c>
      <c r="B440" s="12" t="s">
        <v>837</v>
      </c>
      <c r="C440" s="12"/>
      <c r="F440">
        <v>3.44</v>
      </c>
      <c r="G440" t="s">
        <v>361</v>
      </c>
      <c r="H440" s="8">
        <v>-1</v>
      </c>
      <c r="I440">
        <v>-1</v>
      </c>
      <c r="J440" t="s">
        <v>1242</v>
      </c>
      <c r="K440">
        <v>2</v>
      </c>
      <c r="L440" s="20">
        <v>0</v>
      </c>
      <c r="M440">
        <v>0</v>
      </c>
      <c r="N440">
        <v>0</v>
      </c>
      <c r="O440">
        <v>3.79</v>
      </c>
      <c r="P440">
        <v>3.79</v>
      </c>
      <c r="Q440">
        <v>27.2</v>
      </c>
      <c r="R440" t="s">
        <v>519</v>
      </c>
      <c r="S440">
        <v>13.6</v>
      </c>
      <c r="T440" s="20">
        <v>0</v>
      </c>
      <c r="W440">
        <v>0</v>
      </c>
      <c r="Z440">
        <v>3.8113999999999999</v>
      </c>
      <c r="AA440">
        <v>3.8113999999999999</v>
      </c>
      <c r="AB440">
        <v>27.478000000000002</v>
      </c>
      <c r="AD440">
        <v>20</v>
      </c>
      <c r="AE440" s="44">
        <f t="shared" si="25"/>
        <v>390.70352000000003</v>
      </c>
      <c r="AF440" s="46">
        <v>0</v>
      </c>
      <c r="AG440" s="44">
        <v>0</v>
      </c>
      <c r="AH440" s="44">
        <v>399.2</v>
      </c>
      <c r="AI440" s="41">
        <f t="shared" ref="AI440:AI484" si="29">K440*AD440/AE440</f>
        <v>0.10237942058981193</v>
      </c>
      <c r="AJ440" s="41"/>
      <c r="AK440" s="41"/>
      <c r="AL440" s="41"/>
      <c r="AM440" s="23">
        <v>1.9375</v>
      </c>
      <c r="AN440" s="23">
        <v>2.5</v>
      </c>
      <c r="AO440" s="23">
        <v>0.5</v>
      </c>
      <c r="AP440" s="23">
        <v>0</v>
      </c>
      <c r="AQ440" s="23">
        <v>0.39240506329113922</v>
      </c>
      <c r="AR440" s="23">
        <v>0.50632911392405067</v>
      </c>
      <c r="AS440" s="23">
        <v>0.1012658227848101</v>
      </c>
      <c r="AT440" s="23">
        <v>0</v>
      </c>
      <c r="AU440" s="20">
        <v>1.1000000000000001</v>
      </c>
      <c r="AV440" s="20">
        <v>3.44</v>
      </c>
      <c r="AW440" s="20">
        <v>2.34</v>
      </c>
      <c r="AX440" s="20">
        <v>2.7137500000000001</v>
      </c>
      <c r="AY440">
        <v>2.7137500000000001</v>
      </c>
      <c r="AZ440">
        <v>6.1913913437406878</v>
      </c>
      <c r="BC440" s="64">
        <v>0</v>
      </c>
      <c r="BD440">
        <v>5.1189710294905967E-2</v>
      </c>
      <c r="BG440">
        <v>0</v>
      </c>
      <c r="BH440">
        <v>0.10237942058981191</v>
      </c>
      <c r="BI440">
        <v>2.559485514745298E-2</v>
      </c>
      <c r="BJ440">
        <v>0</v>
      </c>
    </row>
    <row r="441" spans="1:62" x14ac:dyDescent="0.3">
      <c r="A441" t="s">
        <v>370</v>
      </c>
      <c r="B441" s="17" t="s">
        <v>1026</v>
      </c>
      <c r="C441" s="12"/>
      <c r="F441">
        <v>3.39</v>
      </c>
      <c r="G441" t="s">
        <v>361</v>
      </c>
      <c r="H441" s="8">
        <v>-1</v>
      </c>
      <c r="I441">
        <v>-1</v>
      </c>
      <c r="K441">
        <v>1</v>
      </c>
      <c r="L441" s="20">
        <v>0</v>
      </c>
      <c r="M441">
        <v>0</v>
      </c>
      <c r="N441">
        <v>0</v>
      </c>
      <c r="O441">
        <v>3.82</v>
      </c>
      <c r="P441">
        <v>3.82</v>
      </c>
      <c r="Q441">
        <v>20.2</v>
      </c>
      <c r="R441" t="s">
        <v>519</v>
      </c>
      <c r="S441">
        <v>20.2</v>
      </c>
      <c r="T441" s="20">
        <v>0</v>
      </c>
      <c r="W441">
        <v>0</v>
      </c>
      <c r="Z441">
        <v>0</v>
      </c>
      <c r="AD441">
        <v>20</v>
      </c>
      <c r="AE441" s="44">
        <f t="shared" si="25"/>
        <v>294.76648</v>
      </c>
      <c r="AF441" s="46">
        <v>0</v>
      </c>
      <c r="AG441" s="44">
        <v>0</v>
      </c>
      <c r="AH441" s="44">
        <v>0</v>
      </c>
      <c r="AI441" s="41">
        <f t="shared" si="29"/>
        <v>6.7850320022819419E-2</v>
      </c>
      <c r="AJ441" s="41"/>
      <c r="AK441" s="41"/>
      <c r="AL441" s="41"/>
      <c r="AM441" s="23">
        <v>1.6923076923076921</v>
      </c>
      <c r="AN441" s="23">
        <v>1.8076923076923079</v>
      </c>
      <c r="AO441" s="23">
        <v>0.30769230769230771</v>
      </c>
      <c r="AP441" s="23">
        <v>0</v>
      </c>
      <c r="AQ441" s="23">
        <v>0.44444444444444448</v>
      </c>
      <c r="AR441" s="23">
        <v>0.47474747474747481</v>
      </c>
      <c r="AS441" s="23">
        <v>8.0808080808080815E-2</v>
      </c>
      <c r="AT441" s="23">
        <v>0</v>
      </c>
      <c r="AU441" s="20">
        <v>1.1000000000000001</v>
      </c>
      <c r="AV441" s="20">
        <v>3.44</v>
      </c>
      <c r="AW441" s="20">
        <v>2.34</v>
      </c>
      <c r="AX441" s="20">
        <v>2.5753846153846158</v>
      </c>
      <c r="AY441">
        <v>2.5753846153846149</v>
      </c>
      <c r="AZ441">
        <v>6.5020131619541548</v>
      </c>
      <c r="BD441">
        <v>3.3925160011409709E-2</v>
      </c>
      <c r="BH441">
        <v>6.7850320022819419E-2</v>
      </c>
      <c r="BI441">
        <v>3.3925160011409709E-2</v>
      </c>
      <c r="BJ441">
        <v>0</v>
      </c>
    </row>
    <row r="442" spans="1:62" x14ac:dyDescent="0.3">
      <c r="A442" t="s">
        <v>376</v>
      </c>
      <c r="B442" s="17" t="s">
        <v>1027</v>
      </c>
      <c r="C442" s="12"/>
      <c r="F442">
        <v>3.41</v>
      </c>
      <c r="G442" t="s">
        <v>361</v>
      </c>
      <c r="H442" s="8">
        <v>-1</v>
      </c>
      <c r="I442">
        <v>-1</v>
      </c>
      <c r="K442">
        <v>2</v>
      </c>
      <c r="L442" s="20">
        <v>0</v>
      </c>
      <c r="M442">
        <v>0</v>
      </c>
      <c r="N442">
        <v>0</v>
      </c>
      <c r="O442">
        <v>3.83</v>
      </c>
      <c r="P442">
        <v>3.83</v>
      </c>
      <c r="Q442">
        <v>39.5</v>
      </c>
      <c r="R442" t="s">
        <v>519</v>
      </c>
      <c r="S442">
        <v>19.8</v>
      </c>
      <c r="T442" s="20">
        <v>0</v>
      </c>
      <c r="W442">
        <v>0</v>
      </c>
      <c r="Z442">
        <v>0</v>
      </c>
      <c r="AD442">
        <v>20</v>
      </c>
      <c r="AE442" s="44">
        <f t="shared" si="25"/>
        <v>579.42155000000002</v>
      </c>
      <c r="AF442" s="46">
        <v>0</v>
      </c>
      <c r="AG442" s="44">
        <v>0</v>
      </c>
      <c r="AH442" s="44">
        <v>0</v>
      </c>
      <c r="AI442" s="41">
        <f t="shared" si="29"/>
        <v>6.9034367120104523E-2</v>
      </c>
      <c r="AJ442" s="41"/>
      <c r="AK442" s="41"/>
      <c r="AL442" s="41"/>
      <c r="AM442" s="23">
        <v>1.72</v>
      </c>
      <c r="AN442" s="23">
        <v>1.92</v>
      </c>
      <c r="AO442" s="23">
        <v>0.32</v>
      </c>
      <c r="AP442" s="23">
        <v>0</v>
      </c>
      <c r="AQ442" s="23">
        <v>0.43434343434343442</v>
      </c>
      <c r="AR442" s="23">
        <v>0.48484848484848492</v>
      </c>
      <c r="AS442" s="23">
        <v>8.0808080808080815E-2</v>
      </c>
      <c r="AT442" s="23">
        <v>0</v>
      </c>
      <c r="AU442" s="20">
        <v>1.1000000000000001</v>
      </c>
      <c r="AV442" s="20">
        <v>3.44</v>
      </c>
      <c r="AW442" s="20">
        <v>2.34</v>
      </c>
      <c r="AX442" s="20">
        <v>2.6063999999999998</v>
      </c>
      <c r="AY442">
        <v>2.6063999999999998</v>
      </c>
      <c r="AZ442">
        <v>6.4873336424382799</v>
      </c>
      <c r="BD442">
        <v>3.7968901916057493E-2</v>
      </c>
      <c r="BH442">
        <v>6.9034367120104523E-2</v>
      </c>
      <c r="BI442">
        <v>3.7968901916057493E-2</v>
      </c>
      <c r="BJ442">
        <v>0</v>
      </c>
    </row>
    <row r="443" spans="1:62" x14ac:dyDescent="0.3">
      <c r="A443" t="s">
        <v>63</v>
      </c>
      <c r="B443" s="12" t="s">
        <v>773</v>
      </c>
      <c r="C443" s="12"/>
      <c r="F443">
        <v>3.49</v>
      </c>
      <c r="G443" t="s">
        <v>362</v>
      </c>
      <c r="H443" s="8">
        <v>-1</v>
      </c>
      <c r="I443">
        <v>-1</v>
      </c>
      <c r="K443">
        <v>1</v>
      </c>
      <c r="L443" s="20">
        <v>0</v>
      </c>
      <c r="M443">
        <v>0</v>
      </c>
      <c r="N443">
        <v>0</v>
      </c>
      <c r="O443">
        <v>3.8531</v>
      </c>
      <c r="P443">
        <v>3.8531</v>
      </c>
      <c r="Q443">
        <v>16.2151</v>
      </c>
      <c r="R443" t="s">
        <v>519</v>
      </c>
      <c r="S443" s="4"/>
      <c r="T443" s="31">
        <v>0</v>
      </c>
      <c r="U443" s="4"/>
      <c r="V443" s="4"/>
      <c r="W443">
        <v>0</v>
      </c>
      <c r="Z443">
        <v>0</v>
      </c>
      <c r="AC443" s="4"/>
      <c r="AD443" s="4">
        <v>20</v>
      </c>
      <c r="AE443" s="44">
        <f t="shared" si="25"/>
        <v>240.73553001411099</v>
      </c>
      <c r="AF443" s="46">
        <v>0</v>
      </c>
      <c r="AG443" s="44">
        <v>0</v>
      </c>
      <c r="AH443" s="44">
        <v>0</v>
      </c>
      <c r="AI443" s="41">
        <f t="shared" si="29"/>
        <v>8.3078721279022161E-2</v>
      </c>
      <c r="AJ443" s="41"/>
      <c r="AK443" s="41"/>
      <c r="AL443" s="41"/>
      <c r="AM443" s="4">
        <v>1.75</v>
      </c>
      <c r="AN443" s="4">
        <v>2.5</v>
      </c>
      <c r="AO443" s="4">
        <v>0.75</v>
      </c>
      <c r="AP443" s="4">
        <v>0</v>
      </c>
      <c r="AQ443" s="4">
        <v>0.35</v>
      </c>
      <c r="AR443" s="4">
        <v>0.5</v>
      </c>
      <c r="AS443" s="4">
        <v>0.15</v>
      </c>
      <c r="AT443" s="4">
        <v>0</v>
      </c>
      <c r="AU443" s="31">
        <v>1</v>
      </c>
      <c r="AV443" s="31">
        <v>3.44</v>
      </c>
      <c r="AW443" s="31">
        <v>2.44</v>
      </c>
      <c r="AX443" s="31">
        <v>2.7124999999999999</v>
      </c>
      <c r="AY443" s="4">
        <v>2.7124999999999999</v>
      </c>
      <c r="AZ443" s="4">
        <v>6.264025610615688</v>
      </c>
      <c r="BD443">
        <v>4.153936063951108E-2</v>
      </c>
      <c r="BH443">
        <v>8.3078721279022161E-2</v>
      </c>
      <c r="BI443">
        <v>4.153936063951108E-2</v>
      </c>
      <c r="BJ443">
        <v>0</v>
      </c>
    </row>
    <row r="444" spans="1:62" x14ac:dyDescent="0.3">
      <c r="A444" t="s">
        <v>363</v>
      </c>
      <c r="B444" s="17" t="s">
        <v>1028</v>
      </c>
      <c r="C444" s="12"/>
      <c r="F444">
        <v>3.56</v>
      </c>
      <c r="G444" t="s">
        <v>362</v>
      </c>
      <c r="H444" s="8">
        <v>-1</v>
      </c>
      <c r="I444">
        <v>-1</v>
      </c>
      <c r="K444">
        <v>1</v>
      </c>
      <c r="L444" s="20">
        <v>0</v>
      </c>
      <c r="M444">
        <v>0</v>
      </c>
      <c r="N444">
        <v>0</v>
      </c>
      <c r="O444">
        <v>3.86</v>
      </c>
      <c r="P444">
        <v>3.86</v>
      </c>
      <c r="Q444">
        <v>16.079999999999998</v>
      </c>
      <c r="R444" t="s">
        <v>519</v>
      </c>
      <c r="S444" s="4"/>
      <c r="T444" s="31">
        <v>0</v>
      </c>
      <c r="U444" s="4"/>
      <c r="V444" s="4"/>
      <c r="W444">
        <v>0</v>
      </c>
      <c r="Z444">
        <v>0</v>
      </c>
      <c r="AC444" s="4"/>
      <c r="AD444" s="4">
        <v>20</v>
      </c>
      <c r="AE444" s="44">
        <f t="shared" si="25"/>
        <v>239.58556799999997</v>
      </c>
      <c r="AF444" s="46">
        <v>0</v>
      </c>
      <c r="AG444" s="44">
        <v>0</v>
      </c>
      <c r="AH444" s="44">
        <v>0</v>
      </c>
      <c r="AI444" s="41">
        <f t="shared" si="29"/>
        <v>8.34774822496821E-2</v>
      </c>
      <c r="AJ444" s="41"/>
      <c r="AK444" s="41"/>
      <c r="AL444" s="41"/>
      <c r="AM444" s="4">
        <v>1.5909090909090911</v>
      </c>
      <c r="AN444" s="4">
        <v>1.9090909090909089</v>
      </c>
      <c r="AO444" s="4">
        <v>0.54545454545454541</v>
      </c>
      <c r="AP444" s="4">
        <v>0</v>
      </c>
      <c r="AQ444" s="4">
        <v>0.3932584269662921</v>
      </c>
      <c r="AR444" s="4">
        <v>0.47191011235955049</v>
      </c>
      <c r="AS444" s="4">
        <v>0.1348314606741573</v>
      </c>
      <c r="AT444" s="4">
        <v>0</v>
      </c>
      <c r="AU444" s="31">
        <v>1</v>
      </c>
      <c r="AV444" s="31">
        <v>3.44</v>
      </c>
      <c r="AW444" s="31">
        <v>2.44</v>
      </c>
      <c r="AX444" s="31">
        <v>2.5886363636363638</v>
      </c>
      <c r="AY444" s="4">
        <v>2.588636363636363</v>
      </c>
      <c r="AZ444" s="4">
        <v>6.4712814579593632</v>
      </c>
      <c r="BD444">
        <v>4.173874112484105E-2</v>
      </c>
      <c r="BH444">
        <v>8.34774822496821E-2</v>
      </c>
      <c r="BI444">
        <v>4.173874112484105E-2</v>
      </c>
      <c r="BJ444">
        <v>0</v>
      </c>
    </row>
    <row r="445" spans="1:62" x14ac:dyDescent="0.3">
      <c r="A445" t="s">
        <v>364</v>
      </c>
      <c r="B445" s="17" t="s">
        <v>1029</v>
      </c>
      <c r="C445" s="12"/>
      <c r="F445">
        <v>3.6</v>
      </c>
      <c r="G445" t="s">
        <v>362</v>
      </c>
      <c r="H445" s="8">
        <v>-1</v>
      </c>
      <c r="I445">
        <v>-1</v>
      </c>
      <c r="K445">
        <v>1</v>
      </c>
      <c r="L445" s="20">
        <v>0</v>
      </c>
      <c r="M445">
        <v>0</v>
      </c>
      <c r="N445">
        <v>0</v>
      </c>
      <c r="O445">
        <v>3.87</v>
      </c>
      <c r="P445">
        <v>3.87</v>
      </c>
      <c r="Q445">
        <v>20.49</v>
      </c>
      <c r="R445" t="s">
        <v>519</v>
      </c>
      <c r="S445" s="4"/>
      <c r="T445" s="31">
        <v>0</v>
      </c>
      <c r="U445" s="4"/>
      <c r="V445" s="4"/>
      <c r="W445">
        <v>0</v>
      </c>
      <c r="Z445">
        <v>0</v>
      </c>
      <c r="AC445" s="4"/>
      <c r="AD445" s="4">
        <v>20</v>
      </c>
      <c r="AE445" s="44">
        <f t="shared" si="25"/>
        <v>306.87668099999996</v>
      </c>
      <c r="AF445" s="46">
        <v>0</v>
      </c>
      <c r="AG445" s="44">
        <v>0</v>
      </c>
      <c r="AH445" s="44">
        <v>0</v>
      </c>
      <c r="AI445" s="41">
        <f t="shared" si="29"/>
        <v>6.517275908624677E-2</v>
      </c>
      <c r="AJ445" s="41"/>
      <c r="AK445" s="41"/>
      <c r="AL445" s="41"/>
      <c r="AM445" s="4">
        <v>1.56</v>
      </c>
      <c r="AN445" s="4">
        <v>1.76</v>
      </c>
      <c r="AO445" s="4">
        <v>0.48</v>
      </c>
      <c r="AP445" s="4">
        <v>0</v>
      </c>
      <c r="AQ445" s="4">
        <v>0.41052631578947368</v>
      </c>
      <c r="AR445" s="4">
        <v>0.4631578947368421</v>
      </c>
      <c r="AS445" s="4">
        <v>0.12631578947368419</v>
      </c>
      <c r="AT445" s="4">
        <v>0</v>
      </c>
      <c r="AU445" s="31">
        <v>1</v>
      </c>
      <c r="AV445" s="31">
        <v>3.44</v>
      </c>
      <c r="AW445" s="31">
        <v>2.44</v>
      </c>
      <c r="AX445" s="31">
        <v>2.556</v>
      </c>
      <c r="AY445" s="4">
        <v>2.556</v>
      </c>
      <c r="AZ445" s="4">
        <v>6.5192970192323214</v>
      </c>
      <c r="BD445">
        <v>3.2586379543123392E-2</v>
      </c>
      <c r="BH445">
        <v>6.517275908624677E-2</v>
      </c>
      <c r="BI445">
        <v>3.2586379543123392E-2</v>
      </c>
      <c r="BJ445">
        <v>0</v>
      </c>
    </row>
    <row r="446" spans="1:62" x14ac:dyDescent="0.3">
      <c r="A446" t="s">
        <v>365</v>
      </c>
      <c r="B446" s="17" t="s">
        <v>1030</v>
      </c>
      <c r="C446" s="12"/>
      <c r="F446">
        <v>3.55</v>
      </c>
      <c r="G446" t="s">
        <v>362</v>
      </c>
      <c r="H446" s="8">
        <v>-1</v>
      </c>
      <c r="I446">
        <v>-1</v>
      </c>
      <c r="K446">
        <v>1</v>
      </c>
      <c r="L446" s="20">
        <v>0</v>
      </c>
      <c r="M446">
        <v>0</v>
      </c>
      <c r="N446">
        <v>0</v>
      </c>
      <c r="O446">
        <v>3.87</v>
      </c>
      <c r="P446">
        <v>3.87</v>
      </c>
      <c r="Q446">
        <v>22.22</v>
      </c>
      <c r="R446" t="s">
        <v>519</v>
      </c>
      <c r="S446" s="4"/>
      <c r="T446" s="31">
        <v>0</v>
      </c>
      <c r="U446" s="4"/>
      <c r="V446" s="4"/>
      <c r="W446">
        <v>0</v>
      </c>
      <c r="Z446">
        <v>0</v>
      </c>
      <c r="AC446" s="4"/>
      <c r="AD446" s="4">
        <v>20</v>
      </c>
      <c r="AE446" s="44">
        <f t="shared" si="25"/>
        <v>332.78671800000001</v>
      </c>
      <c r="AF446" s="46">
        <v>0</v>
      </c>
      <c r="AG446" s="44">
        <v>0</v>
      </c>
      <c r="AH446" s="44">
        <v>0</v>
      </c>
      <c r="AI446" s="41">
        <f t="shared" si="29"/>
        <v>6.0098552370710899E-2</v>
      </c>
      <c r="AJ446" s="41"/>
      <c r="AK446" s="41"/>
      <c r="AL446" s="41"/>
      <c r="AM446" s="4">
        <v>1.535714285714286</v>
      </c>
      <c r="AN446" s="4">
        <v>1.642857142857143</v>
      </c>
      <c r="AO446" s="4">
        <v>0.42857142857142849</v>
      </c>
      <c r="AP446" s="4">
        <v>0</v>
      </c>
      <c r="AQ446" s="4">
        <v>0.42574257425742579</v>
      </c>
      <c r="AR446" s="4">
        <v>0.45544554455445541</v>
      </c>
      <c r="AS446" s="4">
        <v>0.11881188118811881</v>
      </c>
      <c r="AT446" s="4">
        <v>0</v>
      </c>
      <c r="AU446" s="31">
        <v>1</v>
      </c>
      <c r="AV446" s="31">
        <v>3.44</v>
      </c>
      <c r="AW446" s="31">
        <v>2.44</v>
      </c>
      <c r="AX446" s="31">
        <v>2.530357142857143</v>
      </c>
      <c r="AY446" s="4">
        <v>2.530357142857143</v>
      </c>
      <c r="AZ446" s="4">
        <v>6.5570235316610717</v>
      </c>
      <c r="BD446">
        <v>3.004927618535545E-2</v>
      </c>
      <c r="BH446">
        <v>6.0098552370710899E-2</v>
      </c>
      <c r="BI446">
        <v>3.004927618535545E-2</v>
      </c>
      <c r="BJ446">
        <v>0</v>
      </c>
    </row>
    <row r="447" spans="1:62" x14ac:dyDescent="0.3">
      <c r="A447" t="s">
        <v>366</v>
      </c>
      <c r="B447" s="17" t="s">
        <v>1031</v>
      </c>
      <c r="C447" s="12"/>
      <c r="F447">
        <v>3.62</v>
      </c>
      <c r="G447" t="s">
        <v>362</v>
      </c>
      <c r="H447" s="8">
        <v>-1</v>
      </c>
      <c r="I447">
        <v>-1</v>
      </c>
      <c r="K447">
        <v>1</v>
      </c>
      <c r="L447" s="20">
        <v>0</v>
      </c>
      <c r="M447">
        <v>0</v>
      </c>
      <c r="N447">
        <v>0</v>
      </c>
      <c r="O447">
        <v>3.86</v>
      </c>
      <c r="P447">
        <v>3.86</v>
      </c>
      <c r="Q447">
        <v>25.35</v>
      </c>
      <c r="R447" t="s">
        <v>519</v>
      </c>
      <c r="S447" s="4"/>
      <c r="T447" s="31">
        <v>0</v>
      </c>
      <c r="U447" s="4"/>
      <c r="V447" s="4"/>
      <c r="W447">
        <v>0</v>
      </c>
      <c r="Z447">
        <v>0</v>
      </c>
      <c r="AC447" s="4"/>
      <c r="AD447" s="4">
        <v>20</v>
      </c>
      <c r="AE447" s="44">
        <f t="shared" si="25"/>
        <v>377.70486</v>
      </c>
      <c r="AF447" s="46">
        <v>0</v>
      </c>
      <c r="AG447" s="44">
        <v>0</v>
      </c>
      <c r="AH447" s="44">
        <v>0</v>
      </c>
      <c r="AI447" s="41">
        <f t="shared" si="29"/>
        <v>5.2951397024650411E-2</v>
      </c>
      <c r="AJ447" s="41"/>
      <c r="AK447" s="41"/>
      <c r="AL447" s="41"/>
      <c r="AM447" s="4">
        <v>1.5161290322580649</v>
      </c>
      <c r="AN447" s="4">
        <v>1.5483870967741939</v>
      </c>
      <c r="AO447" s="4">
        <v>0.38709677419354838</v>
      </c>
      <c r="AP447" s="4">
        <v>0</v>
      </c>
      <c r="AQ447" s="4">
        <v>0.43925233644859812</v>
      </c>
      <c r="AR447" s="4">
        <v>0.44859813084112149</v>
      </c>
      <c r="AS447" s="4">
        <v>0.1121495327102804</v>
      </c>
      <c r="AT447" s="4">
        <v>0</v>
      </c>
      <c r="AU447" s="31">
        <v>1</v>
      </c>
      <c r="AV447" s="31">
        <v>3.44</v>
      </c>
      <c r="AW447" s="31">
        <v>2.44</v>
      </c>
      <c r="AX447" s="31">
        <v>2.5096774193548388</v>
      </c>
      <c r="AY447" s="4">
        <v>2.5096774193548388</v>
      </c>
      <c r="AZ447" s="4">
        <v>6.587448138458452</v>
      </c>
      <c r="BD447">
        <v>2.6475698512325209E-2</v>
      </c>
      <c r="BH447">
        <v>5.2951397024650411E-2</v>
      </c>
      <c r="BI447">
        <v>2.6475698512325209E-2</v>
      </c>
      <c r="BJ447">
        <v>0</v>
      </c>
    </row>
    <row r="448" spans="1:62" x14ac:dyDescent="0.3">
      <c r="A448" t="s">
        <v>367</v>
      </c>
      <c r="B448" s="17" t="s">
        <v>1032</v>
      </c>
      <c r="C448" s="12"/>
      <c r="F448">
        <v>3.55</v>
      </c>
      <c r="G448" t="s">
        <v>362</v>
      </c>
      <c r="H448" s="8">
        <v>-1</v>
      </c>
      <c r="I448">
        <v>-1</v>
      </c>
      <c r="K448">
        <v>1</v>
      </c>
      <c r="L448" s="20">
        <v>0</v>
      </c>
      <c r="M448">
        <v>0</v>
      </c>
      <c r="N448">
        <v>0</v>
      </c>
      <c r="O448">
        <v>3.86</v>
      </c>
      <c r="P448">
        <v>3.86</v>
      </c>
      <c r="Q448">
        <v>29.53</v>
      </c>
      <c r="R448" t="s">
        <v>519</v>
      </c>
      <c r="S448" s="4"/>
      <c r="T448" s="31">
        <v>0</v>
      </c>
      <c r="U448" s="4"/>
      <c r="V448" s="4"/>
      <c r="W448">
        <v>0</v>
      </c>
      <c r="Z448">
        <v>0</v>
      </c>
      <c r="AC448" s="4"/>
      <c r="AD448" s="4">
        <v>20</v>
      </c>
      <c r="AE448" s="44">
        <f t="shared" si="25"/>
        <v>439.98518799999999</v>
      </c>
      <c r="AF448" s="46">
        <v>0</v>
      </c>
      <c r="AG448" s="44">
        <v>0</v>
      </c>
      <c r="AH448" s="44">
        <v>0</v>
      </c>
      <c r="AI448" s="41">
        <f t="shared" si="29"/>
        <v>4.5456075671347372E-2</v>
      </c>
      <c r="AJ448" s="41"/>
      <c r="AK448" s="41"/>
      <c r="AL448" s="41"/>
      <c r="AM448" s="4">
        <v>1.486486486486486</v>
      </c>
      <c r="AN448" s="4">
        <v>1.405405405405405</v>
      </c>
      <c r="AO448" s="4">
        <v>0.32432432432432429</v>
      </c>
      <c r="AP448" s="4">
        <v>0</v>
      </c>
      <c r="AQ448" s="4">
        <v>0.4621848739495798</v>
      </c>
      <c r="AR448" s="4">
        <v>0.43697478991596639</v>
      </c>
      <c r="AS448" s="4">
        <v>0.1008403361344538</v>
      </c>
      <c r="AT448" s="4">
        <v>0</v>
      </c>
      <c r="AU448" s="31">
        <v>1</v>
      </c>
      <c r="AV448" s="31">
        <v>3.44</v>
      </c>
      <c r="AW448" s="31">
        <v>2.44</v>
      </c>
      <c r="AX448" s="31">
        <v>2.4783783783783782</v>
      </c>
      <c r="AY448" s="4">
        <v>2.478378378378379</v>
      </c>
      <c r="AZ448" s="4">
        <v>6.6334961919896216</v>
      </c>
      <c r="BD448">
        <v>2.272803783567369E-2</v>
      </c>
      <c r="BH448">
        <v>4.5456075671347372E-2</v>
      </c>
      <c r="BI448">
        <v>2.272803783567369E-2</v>
      </c>
      <c r="BJ448">
        <v>0</v>
      </c>
    </row>
    <row r="449" spans="1:62" x14ac:dyDescent="0.3">
      <c r="A449" t="s">
        <v>368</v>
      </c>
      <c r="B449" s="17" t="s">
        <v>1033</v>
      </c>
      <c r="C449" s="12"/>
      <c r="F449">
        <v>2.6</v>
      </c>
      <c r="G449" t="s">
        <v>362</v>
      </c>
      <c r="H449" s="8">
        <v>-1</v>
      </c>
      <c r="I449">
        <v>-1</v>
      </c>
      <c r="K449">
        <v>1</v>
      </c>
      <c r="L449" s="20">
        <v>0</v>
      </c>
      <c r="M449">
        <v>0</v>
      </c>
      <c r="N449">
        <v>0</v>
      </c>
      <c r="O449">
        <v>3.86</v>
      </c>
      <c r="P449">
        <v>3.86</v>
      </c>
      <c r="Q449">
        <v>33.53</v>
      </c>
      <c r="R449" t="s">
        <v>519</v>
      </c>
      <c r="S449" s="4"/>
      <c r="T449" s="31">
        <v>0</v>
      </c>
      <c r="U449" s="4"/>
      <c r="V449" s="4"/>
      <c r="W449">
        <v>0</v>
      </c>
      <c r="Z449">
        <v>0</v>
      </c>
      <c r="AC449" s="4"/>
      <c r="AD449" s="4">
        <v>20</v>
      </c>
      <c r="AE449" s="44">
        <f t="shared" si="25"/>
        <v>499.58358800000002</v>
      </c>
      <c r="AF449" s="46">
        <v>0</v>
      </c>
      <c r="AG449" s="44">
        <v>0</v>
      </c>
      <c r="AH449" s="44">
        <v>0</v>
      </c>
      <c r="AI449" s="41">
        <f t="shared" si="29"/>
        <v>4.0033340726957585E-2</v>
      </c>
      <c r="AJ449" s="41"/>
      <c r="AK449" s="41"/>
      <c r="AL449" s="41"/>
      <c r="AM449" s="4">
        <v>1.4651162790697669</v>
      </c>
      <c r="AN449" s="4">
        <v>1.3023255813953489</v>
      </c>
      <c r="AO449" s="4">
        <v>0.27906976744186052</v>
      </c>
      <c r="AP449" s="4">
        <v>0</v>
      </c>
      <c r="AQ449" s="4">
        <v>0.48091603053435111</v>
      </c>
      <c r="AR449" s="4">
        <v>0.4274809160305344</v>
      </c>
      <c r="AS449" s="4">
        <v>9.1603053435114504E-2</v>
      </c>
      <c r="AT449" s="4">
        <v>0</v>
      </c>
      <c r="AU449" s="31">
        <v>1</v>
      </c>
      <c r="AV449" s="31">
        <v>3.44</v>
      </c>
      <c r="AW449" s="31">
        <v>2.44</v>
      </c>
      <c r="AX449" s="31">
        <v>2.4558139534883718</v>
      </c>
      <c r="AY449" s="4">
        <v>2.4558139534883718</v>
      </c>
      <c r="AZ449" s="4">
        <v>6.6666936259306979</v>
      </c>
      <c r="BD449">
        <v>2.0016670363478789E-2</v>
      </c>
      <c r="BH449">
        <v>4.0033340726957578E-2</v>
      </c>
      <c r="BI449">
        <v>2.0016670363478789E-2</v>
      </c>
      <c r="BJ449">
        <v>0</v>
      </c>
    </row>
    <row r="450" spans="1:62" x14ac:dyDescent="0.3">
      <c r="A450" t="s">
        <v>353</v>
      </c>
      <c r="B450" s="12" t="s">
        <v>834</v>
      </c>
      <c r="C450" s="12"/>
      <c r="F450">
        <v>3.44</v>
      </c>
      <c r="G450" t="s">
        <v>380</v>
      </c>
      <c r="H450" s="8">
        <v>-1</v>
      </c>
      <c r="I450">
        <v>-1</v>
      </c>
      <c r="K450">
        <v>2</v>
      </c>
      <c r="L450" s="20">
        <v>0</v>
      </c>
      <c r="M450">
        <v>0</v>
      </c>
      <c r="N450">
        <v>0</v>
      </c>
      <c r="O450">
        <v>3.79</v>
      </c>
      <c r="P450">
        <v>3.79</v>
      </c>
      <c r="Q450">
        <v>27.2</v>
      </c>
      <c r="R450" t="s">
        <v>519</v>
      </c>
      <c r="S450">
        <v>13.6</v>
      </c>
      <c r="T450" s="20">
        <v>0</v>
      </c>
      <c r="W450">
        <v>0</v>
      </c>
      <c r="Z450">
        <v>0</v>
      </c>
      <c r="AD450">
        <v>20</v>
      </c>
      <c r="AE450" s="44">
        <f t="shared" si="25"/>
        <v>390.70352000000003</v>
      </c>
      <c r="AF450" s="46">
        <v>0</v>
      </c>
      <c r="AG450" s="44">
        <v>0</v>
      </c>
      <c r="AH450" s="44">
        <v>0</v>
      </c>
      <c r="AI450" s="41">
        <f t="shared" si="29"/>
        <v>0.10237942058981193</v>
      </c>
      <c r="AJ450" s="41"/>
      <c r="AK450" s="41"/>
      <c r="AL450" s="41"/>
      <c r="AM450" s="23">
        <v>1.882352941176471</v>
      </c>
      <c r="AN450" s="23">
        <v>2.3529411764705879</v>
      </c>
      <c r="AO450" s="23">
        <v>0.47058823529411759</v>
      </c>
      <c r="AP450" s="23">
        <v>0</v>
      </c>
      <c r="AQ450" s="23">
        <v>0.4</v>
      </c>
      <c r="AR450" s="23">
        <v>0.5</v>
      </c>
      <c r="AS450" s="23">
        <v>9.9999999999999992E-2</v>
      </c>
      <c r="AT450" s="23">
        <v>0</v>
      </c>
      <c r="AU450" s="20">
        <v>1.1000000000000001</v>
      </c>
      <c r="AV450" s="20">
        <v>3.44</v>
      </c>
      <c r="AW450" s="20">
        <v>2.34</v>
      </c>
      <c r="AX450" s="20">
        <v>2.6835294117647059</v>
      </c>
      <c r="AY450">
        <v>2.6835294117647059</v>
      </c>
      <c r="AZ450">
        <v>6.2493398705707062</v>
      </c>
      <c r="BD450">
        <v>5.1189710294905967E-2</v>
      </c>
      <c r="BH450">
        <v>0.10237942058981191</v>
      </c>
      <c r="BI450">
        <v>5.1189710294905967E-2</v>
      </c>
      <c r="BJ450">
        <v>0</v>
      </c>
    </row>
    <row r="451" spans="1:62" x14ac:dyDescent="0.3">
      <c r="A451" t="s">
        <v>369</v>
      </c>
      <c r="B451" s="17" t="s">
        <v>1034</v>
      </c>
      <c r="C451" s="12"/>
      <c r="F451">
        <v>3.34</v>
      </c>
      <c r="G451" t="s">
        <v>380</v>
      </c>
      <c r="H451" s="8">
        <v>-1</v>
      </c>
      <c r="I451">
        <v>-1</v>
      </c>
      <c r="K451">
        <v>2</v>
      </c>
      <c r="L451" s="20">
        <v>0</v>
      </c>
      <c r="M451">
        <v>0</v>
      </c>
      <c r="N451">
        <v>0</v>
      </c>
      <c r="O451">
        <v>3.83</v>
      </c>
      <c r="P451">
        <v>3.83</v>
      </c>
      <c r="Q451">
        <v>36.700000000000003</v>
      </c>
      <c r="R451" t="s">
        <v>519</v>
      </c>
      <c r="S451">
        <v>18.399999999999999</v>
      </c>
      <c r="T451" s="20">
        <v>0</v>
      </c>
      <c r="W451">
        <v>0</v>
      </c>
      <c r="Z451">
        <v>0</v>
      </c>
      <c r="AD451">
        <v>20</v>
      </c>
      <c r="AE451" s="44">
        <f t="shared" ref="AE451:AE514" si="30">O451*P451*Q451</f>
        <v>538.34863000000007</v>
      </c>
      <c r="AF451" s="46">
        <v>0</v>
      </c>
      <c r="AG451" s="44">
        <v>0</v>
      </c>
      <c r="AH451" s="44">
        <v>0</v>
      </c>
      <c r="AI451" s="41">
        <f t="shared" si="29"/>
        <v>7.4301294311829108E-2</v>
      </c>
      <c r="AJ451" s="41"/>
      <c r="AK451" s="41"/>
      <c r="AL451" s="41"/>
      <c r="AM451" s="23">
        <v>1.7391304347826091</v>
      </c>
      <c r="AN451" s="23">
        <v>1.956521739130435</v>
      </c>
      <c r="AO451" s="23">
        <v>0.34782608695652167</v>
      </c>
      <c r="AP451" s="23">
        <v>0</v>
      </c>
      <c r="AQ451" s="23">
        <v>0.43010752688172038</v>
      </c>
      <c r="AR451" s="23">
        <v>0.48387096774193539</v>
      </c>
      <c r="AS451" s="23">
        <v>8.6021505376344079E-2</v>
      </c>
      <c r="AT451" s="23">
        <v>0</v>
      </c>
      <c r="AU451" s="20">
        <v>1.1000000000000001</v>
      </c>
      <c r="AV451" s="20">
        <v>3.44</v>
      </c>
      <c r="AW451" s="20">
        <v>2.34</v>
      </c>
      <c r="AX451" s="20">
        <v>2.609130434782609</v>
      </c>
      <c r="AY451">
        <v>2.609130434782609</v>
      </c>
      <c r="AZ451">
        <v>6.4538308176133041</v>
      </c>
      <c r="BD451">
        <v>3.7150647155914547E-2</v>
      </c>
      <c r="BH451">
        <v>7.4301294311829108E-2</v>
      </c>
      <c r="BI451">
        <v>3.7150647155914547E-2</v>
      </c>
      <c r="BJ451">
        <v>0</v>
      </c>
    </row>
    <row r="452" spans="1:62" x14ac:dyDescent="0.3">
      <c r="A452" t="s">
        <v>370</v>
      </c>
      <c r="B452" s="17" t="s">
        <v>1026</v>
      </c>
      <c r="C452" s="12"/>
      <c r="F452">
        <v>3.39</v>
      </c>
      <c r="G452" t="s">
        <v>380</v>
      </c>
      <c r="H452" s="8">
        <v>-1</v>
      </c>
      <c r="I452">
        <v>-1</v>
      </c>
      <c r="K452">
        <v>1</v>
      </c>
      <c r="L452" s="20">
        <v>0</v>
      </c>
      <c r="M452">
        <v>0</v>
      </c>
      <c r="N452">
        <v>0</v>
      </c>
      <c r="O452">
        <v>3.82</v>
      </c>
      <c r="P452">
        <v>3.82</v>
      </c>
      <c r="Q452">
        <v>20.2</v>
      </c>
      <c r="R452" t="s">
        <v>519</v>
      </c>
      <c r="S452">
        <v>20.2</v>
      </c>
      <c r="T452" s="20">
        <v>0</v>
      </c>
      <c r="W452">
        <v>0</v>
      </c>
      <c r="Z452">
        <v>0</v>
      </c>
      <c r="AD452">
        <v>20</v>
      </c>
      <c r="AE452" s="44">
        <f t="shared" si="30"/>
        <v>294.76648</v>
      </c>
      <c r="AF452" s="46">
        <v>0</v>
      </c>
      <c r="AG452" s="44">
        <v>0</v>
      </c>
      <c r="AH452" s="44">
        <v>0</v>
      </c>
      <c r="AI452" s="41">
        <f t="shared" si="29"/>
        <v>6.7850320022819419E-2</v>
      </c>
      <c r="AJ452" s="41"/>
      <c r="AK452" s="41"/>
      <c r="AL452" s="41"/>
      <c r="AM452" s="23">
        <v>1.6923076923076921</v>
      </c>
      <c r="AN452" s="23">
        <v>1.8076923076923079</v>
      </c>
      <c r="AO452" s="23">
        <v>0.30769230769230771</v>
      </c>
      <c r="AP452" s="23">
        <v>0</v>
      </c>
      <c r="AQ452" s="23">
        <v>0.44444444444444448</v>
      </c>
      <c r="AR452" s="23">
        <v>0.47474747474747481</v>
      </c>
      <c r="AS452" s="23">
        <v>8.0808080808080815E-2</v>
      </c>
      <c r="AT452" s="23">
        <v>0</v>
      </c>
      <c r="AU452" s="20">
        <v>1.1000000000000001</v>
      </c>
      <c r="AV452" s="20">
        <v>3.44</v>
      </c>
      <c r="AW452" s="20">
        <v>2.34</v>
      </c>
      <c r="AX452" s="20">
        <v>2.5753846153846158</v>
      </c>
      <c r="AY452">
        <v>2.5753846153846149</v>
      </c>
      <c r="AZ452">
        <v>6.5020131619541548</v>
      </c>
      <c r="BD452">
        <v>3.3925160011409709E-2</v>
      </c>
      <c r="BH452">
        <v>6.7850320022819419E-2</v>
      </c>
      <c r="BI452">
        <v>3.3925160011409709E-2</v>
      </c>
      <c r="BJ452">
        <v>0</v>
      </c>
    </row>
    <row r="453" spans="1:62" x14ac:dyDescent="0.3">
      <c r="A453" t="s">
        <v>371</v>
      </c>
      <c r="B453" s="17" t="s">
        <v>1035</v>
      </c>
      <c r="C453" s="12"/>
      <c r="F453">
        <v>3.4</v>
      </c>
      <c r="G453" t="s">
        <v>380</v>
      </c>
      <c r="H453" s="8">
        <v>-1</v>
      </c>
      <c r="I453">
        <v>-1</v>
      </c>
      <c r="K453">
        <v>1</v>
      </c>
      <c r="L453" s="20">
        <v>0</v>
      </c>
      <c r="M453">
        <v>0</v>
      </c>
      <c r="N453">
        <v>0</v>
      </c>
      <c r="O453">
        <v>3.82</v>
      </c>
      <c r="P453">
        <v>3.82</v>
      </c>
      <c r="Q453">
        <v>21.7</v>
      </c>
      <c r="R453" t="s">
        <v>519</v>
      </c>
      <c r="S453">
        <v>21.7</v>
      </c>
      <c r="T453" s="20">
        <v>0</v>
      </c>
      <c r="W453">
        <v>0</v>
      </c>
      <c r="Z453">
        <v>0</v>
      </c>
      <c r="AD453">
        <v>20</v>
      </c>
      <c r="AE453" s="44">
        <f t="shared" si="30"/>
        <v>316.65508</v>
      </c>
      <c r="AF453" s="46">
        <v>0</v>
      </c>
      <c r="AG453" s="44">
        <v>0</v>
      </c>
      <c r="AH453" s="44">
        <v>0</v>
      </c>
      <c r="AI453" s="41">
        <f t="shared" si="29"/>
        <v>6.3160205735527761E-2</v>
      </c>
      <c r="AJ453" s="41"/>
      <c r="AK453" s="41"/>
      <c r="AL453" s="41"/>
      <c r="AM453" s="23">
        <v>1.655172413793103</v>
      </c>
      <c r="AN453" s="23">
        <v>1.6896551724137929</v>
      </c>
      <c r="AO453" s="23">
        <v>0.27586206896551718</v>
      </c>
      <c r="AP453" s="23">
        <v>0</v>
      </c>
      <c r="AQ453" s="23">
        <v>0.45714285714285707</v>
      </c>
      <c r="AR453" s="23">
        <v>0.46666666666666667</v>
      </c>
      <c r="AS453" s="23">
        <v>7.6190476190476197E-2</v>
      </c>
      <c r="AT453" s="23">
        <v>0</v>
      </c>
      <c r="AU453" s="20">
        <v>1.1000000000000001</v>
      </c>
      <c r="AV453" s="20">
        <v>3.44</v>
      </c>
      <c r="AW453" s="20">
        <v>2.34</v>
      </c>
      <c r="AX453" s="20">
        <v>2.5486206896551722</v>
      </c>
      <c r="AY453">
        <v>2.5486206896551722</v>
      </c>
      <c r="AZ453">
        <v>6.5402267453968976</v>
      </c>
      <c r="BD453">
        <v>3.158010286776388E-2</v>
      </c>
      <c r="BH453">
        <v>6.3160205735527761E-2</v>
      </c>
      <c r="BI453">
        <v>3.158010286776388E-2</v>
      </c>
      <c r="BJ453">
        <v>0</v>
      </c>
    </row>
    <row r="454" spans="1:62" x14ac:dyDescent="0.3">
      <c r="A454" t="s">
        <v>372</v>
      </c>
      <c r="B454" s="17" t="s">
        <v>1036</v>
      </c>
      <c r="C454" s="12"/>
      <c r="F454">
        <v>3.42</v>
      </c>
      <c r="G454" t="s">
        <v>380</v>
      </c>
      <c r="H454" s="8">
        <v>-1</v>
      </c>
      <c r="I454">
        <v>-1</v>
      </c>
      <c r="K454">
        <v>1</v>
      </c>
      <c r="L454" s="20">
        <v>0</v>
      </c>
      <c r="M454">
        <v>0</v>
      </c>
      <c r="N454">
        <v>0</v>
      </c>
      <c r="O454">
        <v>3.81</v>
      </c>
      <c r="P454">
        <v>3.81</v>
      </c>
      <c r="Q454">
        <v>24.7</v>
      </c>
      <c r="R454" t="s">
        <v>519</v>
      </c>
      <c r="S454">
        <v>24.7</v>
      </c>
      <c r="T454" s="20">
        <v>0</v>
      </c>
      <c r="W454">
        <v>0</v>
      </c>
      <c r="Z454">
        <v>0</v>
      </c>
      <c r="AD454">
        <v>20</v>
      </c>
      <c r="AE454" s="44">
        <f t="shared" si="30"/>
        <v>358.54766999999998</v>
      </c>
      <c r="AF454" s="46">
        <v>0</v>
      </c>
      <c r="AG454" s="44">
        <v>0</v>
      </c>
      <c r="AH454" s="44">
        <v>0</v>
      </c>
      <c r="AI454" s="41">
        <f t="shared" si="29"/>
        <v>5.5780588394285201E-2</v>
      </c>
      <c r="AJ454" s="41"/>
      <c r="AK454" s="41"/>
      <c r="AL454" s="41"/>
      <c r="AM454" s="23">
        <v>1.625</v>
      </c>
      <c r="AN454" s="23">
        <v>1.59375</v>
      </c>
      <c r="AO454" s="23">
        <v>0.25</v>
      </c>
      <c r="AP454" s="23">
        <v>0</v>
      </c>
      <c r="AQ454" s="23">
        <v>0.46846846846846851</v>
      </c>
      <c r="AR454" s="23">
        <v>0.45945945945945948</v>
      </c>
      <c r="AS454" s="23">
        <v>7.2072072072072071E-2</v>
      </c>
      <c r="AT454" s="23">
        <v>0</v>
      </c>
      <c r="AU454" s="20">
        <v>1.1000000000000001</v>
      </c>
      <c r="AV454" s="20">
        <v>3.44</v>
      </c>
      <c r="AW454" s="20">
        <v>2.34</v>
      </c>
      <c r="AX454" s="20">
        <v>2.526875</v>
      </c>
      <c r="AY454">
        <v>2.526875</v>
      </c>
      <c r="AZ454">
        <v>6.5712752819441249</v>
      </c>
      <c r="BD454">
        <v>2.78902941971426E-2</v>
      </c>
      <c r="BH454">
        <v>5.5780588394285201E-2</v>
      </c>
      <c r="BI454">
        <v>2.78902941971426E-2</v>
      </c>
      <c r="BJ454">
        <v>0</v>
      </c>
    </row>
    <row r="455" spans="1:62" x14ac:dyDescent="0.3">
      <c r="A455" t="s">
        <v>373</v>
      </c>
      <c r="B455" s="17" t="s">
        <v>1037</v>
      </c>
      <c r="C455" s="12"/>
      <c r="F455">
        <v>3.41</v>
      </c>
      <c r="G455" t="s">
        <v>380</v>
      </c>
      <c r="H455" s="8">
        <v>-1</v>
      </c>
      <c r="I455">
        <v>-1</v>
      </c>
      <c r="K455">
        <v>1</v>
      </c>
      <c r="L455" s="20">
        <v>0</v>
      </c>
      <c r="M455">
        <v>0</v>
      </c>
      <c r="N455">
        <v>0</v>
      </c>
      <c r="O455">
        <v>3.87</v>
      </c>
      <c r="P455">
        <v>3.87</v>
      </c>
      <c r="Q455">
        <v>29.4</v>
      </c>
      <c r="R455" t="s">
        <v>519</v>
      </c>
      <c r="S455">
        <v>29.4</v>
      </c>
      <c r="T455" s="20">
        <v>0</v>
      </c>
      <c r="W455">
        <v>0</v>
      </c>
      <c r="Z455">
        <v>0</v>
      </c>
      <c r="AD455">
        <v>20</v>
      </c>
      <c r="AE455" s="44">
        <f t="shared" si="30"/>
        <v>440.32085999999998</v>
      </c>
      <c r="AF455" s="46">
        <v>0</v>
      </c>
      <c r="AG455" s="44">
        <v>0</v>
      </c>
      <c r="AH455" s="44">
        <v>0</v>
      </c>
      <c r="AI455" s="41">
        <f t="shared" si="29"/>
        <v>4.5421422914190351E-2</v>
      </c>
      <c r="AJ455" s="41"/>
      <c r="AK455" s="41"/>
      <c r="AL455" s="41"/>
      <c r="AM455" s="23">
        <v>1.5789473684210531</v>
      </c>
      <c r="AN455" s="23">
        <v>1.4473684210526321</v>
      </c>
      <c r="AO455" s="23">
        <v>0.2105263157894737</v>
      </c>
      <c r="AP455" s="23">
        <v>0</v>
      </c>
      <c r="AQ455" s="23">
        <v>0.48780487804878048</v>
      </c>
      <c r="AR455" s="23">
        <v>0.44715447154471538</v>
      </c>
      <c r="AS455" s="23">
        <v>6.5040650406504058E-2</v>
      </c>
      <c r="AT455" s="23">
        <v>0</v>
      </c>
      <c r="AU455" s="20">
        <v>1.1000000000000001</v>
      </c>
      <c r="AV455" s="20">
        <v>3.44</v>
      </c>
      <c r="AW455" s="20">
        <v>2.34</v>
      </c>
      <c r="AX455" s="20">
        <v>2.4936842105263159</v>
      </c>
      <c r="AY455">
        <v>2.4936842105263159</v>
      </c>
      <c r="AZ455">
        <v>6.6186651535162104</v>
      </c>
      <c r="BD455">
        <v>2.2710711457095179E-2</v>
      </c>
      <c r="BH455">
        <v>4.5421422914190351E-2</v>
      </c>
      <c r="BI455">
        <v>2.2710711457095179E-2</v>
      </c>
      <c r="BJ455">
        <v>0</v>
      </c>
    </row>
    <row r="456" spans="1:62" x14ac:dyDescent="0.3">
      <c r="A456" t="s">
        <v>374</v>
      </c>
      <c r="B456" s="17" t="s">
        <v>1038</v>
      </c>
      <c r="C456" s="12"/>
      <c r="F456">
        <v>3.4</v>
      </c>
      <c r="G456" t="s">
        <v>380</v>
      </c>
      <c r="H456" s="8">
        <v>-1</v>
      </c>
      <c r="I456">
        <v>-1</v>
      </c>
      <c r="K456">
        <v>1</v>
      </c>
      <c r="L456" s="20">
        <v>0</v>
      </c>
      <c r="M456">
        <v>0</v>
      </c>
      <c r="N456">
        <v>0</v>
      </c>
      <c r="O456">
        <v>3.85</v>
      </c>
      <c r="P456">
        <v>3.85</v>
      </c>
      <c r="Q456">
        <v>34.200000000000003</v>
      </c>
      <c r="R456" t="s">
        <v>519</v>
      </c>
      <c r="S456">
        <v>34.200000000000003</v>
      </c>
      <c r="T456" s="20">
        <v>0</v>
      </c>
      <c r="W456">
        <v>0</v>
      </c>
      <c r="Z456">
        <v>0</v>
      </c>
      <c r="AD456">
        <v>20</v>
      </c>
      <c r="AE456" s="44">
        <f t="shared" si="30"/>
        <v>506.92950000000008</v>
      </c>
      <c r="AF456" s="46">
        <v>0</v>
      </c>
      <c r="AG456" s="44">
        <v>0</v>
      </c>
      <c r="AH456" s="44">
        <v>0</v>
      </c>
      <c r="AI456" s="41">
        <f t="shared" si="29"/>
        <v>3.9453217853764669E-2</v>
      </c>
      <c r="AJ456" s="41"/>
      <c r="AK456" s="41"/>
      <c r="AL456" s="41"/>
      <c r="AM456" s="23">
        <v>1.545454545454545</v>
      </c>
      <c r="AN456" s="23">
        <v>1.3409090909090911</v>
      </c>
      <c r="AO456" s="23">
        <v>0.1818181818181818</v>
      </c>
      <c r="AP456" s="23">
        <v>0</v>
      </c>
      <c r="AQ456" s="23">
        <v>0.50370370370370365</v>
      </c>
      <c r="AR456" s="23">
        <v>0.437037037037037</v>
      </c>
      <c r="AS456" s="23">
        <v>5.9259259259259248E-2</v>
      </c>
      <c r="AT456" s="23">
        <v>0</v>
      </c>
      <c r="AU456" s="20">
        <v>1.1000000000000001</v>
      </c>
      <c r="AV456" s="20">
        <v>3.44</v>
      </c>
      <c r="AW456" s="20">
        <v>2.34</v>
      </c>
      <c r="AX456" s="20">
        <v>2.4695454545454552</v>
      </c>
      <c r="AY456">
        <v>2.4695454545454538</v>
      </c>
      <c r="AZ456">
        <v>6.6531305146595452</v>
      </c>
      <c r="BD456">
        <v>1.9726608926882331E-2</v>
      </c>
      <c r="BH456">
        <v>3.9453217853764669E-2</v>
      </c>
      <c r="BI456">
        <v>1.9726608926882331E-2</v>
      </c>
      <c r="BJ456">
        <v>0</v>
      </c>
    </row>
    <row r="457" spans="1:62" x14ac:dyDescent="0.3">
      <c r="A457" t="s">
        <v>375</v>
      </c>
      <c r="B457" s="17" t="s">
        <v>1039</v>
      </c>
      <c r="C457" s="12"/>
      <c r="F457">
        <v>3.33</v>
      </c>
      <c r="G457" t="s">
        <v>380</v>
      </c>
      <c r="H457" s="8">
        <v>-1</v>
      </c>
      <c r="I457">
        <v>-1</v>
      </c>
      <c r="K457">
        <v>2</v>
      </c>
      <c r="L457" s="20">
        <v>0</v>
      </c>
      <c r="M457">
        <v>0</v>
      </c>
      <c r="N457">
        <v>0</v>
      </c>
      <c r="O457">
        <v>3.81</v>
      </c>
      <c r="P457">
        <v>3.81</v>
      </c>
      <c r="Q457">
        <v>35.1</v>
      </c>
      <c r="R457" t="s">
        <v>519</v>
      </c>
      <c r="S457">
        <v>17.600000000000001</v>
      </c>
      <c r="T457" s="20">
        <v>0</v>
      </c>
      <c r="W457">
        <v>0</v>
      </c>
      <c r="Z457">
        <v>0</v>
      </c>
      <c r="AD457">
        <v>20</v>
      </c>
      <c r="AE457" s="44">
        <f t="shared" si="30"/>
        <v>509.51510999999999</v>
      </c>
      <c r="AF457" s="46">
        <v>0</v>
      </c>
      <c r="AG457" s="44">
        <v>0</v>
      </c>
      <c r="AH457" s="44">
        <v>0</v>
      </c>
      <c r="AI457" s="41">
        <f t="shared" si="29"/>
        <v>7.8506013295660648E-2</v>
      </c>
      <c r="AJ457" s="41"/>
      <c r="AK457" s="41"/>
      <c r="AL457" s="41"/>
      <c r="AM457" s="23">
        <v>1.7727272727272729</v>
      </c>
      <c r="AN457" s="23">
        <v>2.0909090909090908</v>
      </c>
      <c r="AO457" s="23">
        <v>0.36363636363636359</v>
      </c>
      <c r="AP457" s="23">
        <v>0</v>
      </c>
      <c r="AQ457" s="23">
        <v>0.41935483870967738</v>
      </c>
      <c r="AR457" s="23">
        <v>0.49462365591397839</v>
      </c>
      <c r="AS457" s="23">
        <v>8.6021505376344079E-2</v>
      </c>
      <c r="AT457" s="23">
        <v>0</v>
      </c>
      <c r="AU457" s="20">
        <v>1.1000000000000001</v>
      </c>
      <c r="AV457" s="20">
        <v>3.44</v>
      </c>
      <c r="AW457" s="20">
        <v>2.34</v>
      </c>
      <c r="AX457" s="20">
        <v>2.645909090909091</v>
      </c>
      <c r="AY457">
        <v>2.645909090909091</v>
      </c>
      <c r="AZ457">
        <v>6.4349594388752269</v>
      </c>
      <c r="BD457">
        <v>4.3178307312613358E-2</v>
      </c>
      <c r="BH457">
        <v>7.8506013295660648E-2</v>
      </c>
      <c r="BI457">
        <v>4.3178307312613358E-2</v>
      </c>
      <c r="BJ457">
        <v>0</v>
      </c>
    </row>
    <row r="458" spans="1:62" x14ac:dyDescent="0.3">
      <c r="A458" t="s">
        <v>376</v>
      </c>
      <c r="B458" s="17" t="s">
        <v>1027</v>
      </c>
      <c r="C458" s="12"/>
      <c r="F458">
        <v>3.41</v>
      </c>
      <c r="G458" t="s">
        <v>380</v>
      </c>
      <c r="H458" s="8">
        <v>-1</v>
      </c>
      <c r="I458">
        <v>-1</v>
      </c>
      <c r="K458">
        <v>2</v>
      </c>
      <c r="L458" s="20">
        <v>0</v>
      </c>
      <c r="M458">
        <v>0</v>
      </c>
      <c r="N458">
        <v>0</v>
      </c>
      <c r="O458">
        <v>3.83</v>
      </c>
      <c r="P458">
        <v>3.83</v>
      </c>
      <c r="Q458">
        <v>39.5</v>
      </c>
      <c r="R458" t="s">
        <v>519</v>
      </c>
      <c r="S458">
        <v>19.8</v>
      </c>
      <c r="T458" s="20">
        <v>0</v>
      </c>
      <c r="W458">
        <v>0</v>
      </c>
      <c r="Z458">
        <v>0</v>
      </c>
      <c r="AD458">
        <v>20</v>
      </c>
      <c r="AE458" s="44">
        <f t="shared" si="30"/>
        <v>579.42155000000002</v>
      </c>
      <c r="AF458" s="46">
        <v>0</v>
      </c>
      <c r="AG458" s="44">
        <v>0</v>
      </c>
      <c r="AH458" s="44">
        <v>0</v>
      </c>
      <c r="AI458" s="41">
        <f t="shared" si="29"/>
        <v>6.9034367120104523E-2</v>
      </c>
      <c r="AJ458" s="41"/>
      <c r="AK458" s="41"/>
      <c r="AL458" s="41"/>
      <c r="AM458" s="23">
        <v>1.72</v>
      </c>
      <c r="AN458" s="23">
        <v>1.92</v>
      </c>
      <c r="AO458" s="23">
        <v>0.32</v>
      </c>
      <c r="AP458" s="23">
        <v>0</v>
      </c>
      <c r="AQ458" s="23">
        <v>0.43434343434343442</v>
      </c>
      <c r="AR458" s="23">
        <v>0.48484848484848492</v>
      </c>
      <c r="AS458" s="23">
        <v>8.0808080808080815E-2</v>
      </c>
      <c r="AT458" s="23">
        <v>0</v>
      </c>
      <c r="AU458" s="20">
        <v>1.1000000000000001</v>
      </c>
      <c r="AV458" s="20">
        <v>3.44</v>
      </c>
      <c r="AW458" s="20">
        <v>2.34</v>
      </c>
      <c r="AX458" s="20">
        <v>2.6063999999999998</v>
      </c>
      <c r="AY458">
        <v>2.6063999999999998</v>
      </c>
      <c r="AZ458">
        <v>6.4873336424382799</v>
      </c>
      <c r="BD458">
        <v>3.7968901916057493E-2</v>
      </c>
      <c r="BH458">
        <v>6.9034367120104523E-2</v>
      </c>
      <c r="BI458">
        <v>3.7968901916057493E-2</v>
      </c>
      <c r="BJ458">
        <v>0</v>
      </c>
    </row>
    <row r="459" spans="1:62" x14ac:dyDescent="0.3">
      <c r="A459" t="s">
        <v>377</v>
      </c>
      <c r="B459" s="17" t="s">
        <v>1040</v>
      </c>
      <c r="C459" s="12"/>
      <c r="F459">
        <v>3.38</v>
      </c>
      <c r="G459" t="s">
        <v>380</v>
      </c>
      <c r="H459" s="8">
        <v>-1</v>
      </c>
      <c r="I459">
        <v>-1</v>
      </c>
      <c r="K459">
        <v>2</v>
      </c>
      <c r="L459" s="20">
        <v>0</v>
      </c>
      <c r="M459">
        <v>0</v>
      </c>
      <c r="N459">
        <v>0</v>
      </c>
      <c r="O459">
        <v>3.83</v>
      </c>
      <c r="P459">
        <v>3.83</v>
      </c>
      <c r="Q459">
        <v>44.2</v>
      </c>
      <c r="R459" t="s">
        <v>519</v>
      </c>
      <c r="S459">
        <v>22.1</v>
      </c>
      <c r="T459" s="20">
        <v>0</v>
      </c>
      <c r="W459">
        <v>0</v>
      </c>
      <c r="Z459">
        <v>0</v>
      </c>
      <c r="AD459">
        <v>20</v>
      </c>
      <c r="AE459" s="44">
        <f t="shared" si="30"/>
        <v>648.36538000000007</v>
      </c>
      <c r="AF459" s="46">
        <v>0</v>
      </c>
      <c r="AG459" s="44">
        <v>0</v>
      </c>
      <c r="AH459" s="44">
        <v>0</v>
      </c>
      <c r="AI459" s="41">
        <f t="shared" si="29"/>
        <v>6.1693608625432772E-2</v>
      </c>
      <c r="AJ459" s="41"/>
      <c r="AK459" s="41"/>
      <c r="AL459" s="41"/>
      <c r="AM459" s="23">
        <v>1.678571428571429</v>
      </c>
      <c r="AN459" s="23">
        <v>1.785714285714286</v>
      </c>
      <c r="AO459" s="23">
        <v>0.2857142857142857</v>
      </c>
      <c r="AP459" s="23">
        <v>0</v>
      </c>
      <c r="AQ459" s="23">
        <v>0.44761904761904758</v>
      </c>
      <c r="AR459" s="23">
        <v>0.47619047619047622</v>
      </c>
      <c r="AS459" s="23">
        <v>7.6190476190476183E-2</v>
      </c>
      <c r="AT459" s="23">
        <v>0</v>
      </c>
      <c r="AU459" s="20">
        <v>1.1000000000000001</v>
      </c>
      <c r="AV459" s="20">
        <v>3.44</v>
      </c>
      <c r="AW459" s="20">
        <v>2.34</v>
      </c>
      <c r="AX459" s="20">
        <v>2.5753571428571429</v>
      </c>
      <c r="AY459">
        <v>2.5753571428571429</v>
      </c>
      <c r="AZ459">
        <v>6.5284848023806781</v>
      </c>
      <c r="BD459">
        <v>3.3931484743988022E-2</v>
      </c>
      <c r="BH459">
        <v>6.1693608625432772E-2</v>
      </c>
      <c r="BI459">
        <v>3.3931484743988022E-2</v>
      </c>
      <c r="BJ459">
        <v>0</v>
      </c>
    </row>
    <row r="460" spans="1:62" x14ac:dyDescent="0.3">
      <c r="A460" t="s">
        <v>378</v>
      </c>
      <c r="B460" s="17" t="s">
        <v>1041</v>
      </c>
      <c r="C460" s="12"/>
      <c r="F460">
        <v>3.4</v>
      </c>
      <c r="G460" t="s">
        <v>380</v>
      </c>
      <c r="H460" s="8">
        <v>-1</v>
      </c>
      <c r="I460">
        <v>-1</v>
      </c>
      <c r="K460">
        <v>2</v>
      </c>
      <c r="L460" s="20">
        <v>0</v>
      </c>
      <c r="M460">
        <v>0</v>
      </c>
      <c r="N460">
        <v>0</v>
      </c>
      <c r="O460">
        <v>3.82</v>
      </c>
      <c r="P460">
        <v>3.82</v>
      </c>
      <c r="Q460">
        <v>48.5</v>
      </c>
      <c r="R460" t="s">
        <v>519</v>
      </c>
      <c r="S460">
        <v>24.3</v>
      </c>
      <c r="T460" s="20">
        <v>0</v>
      </c>
      <c r="W460">
        <v>0</v>
      </c>
      <c r="Z460">
        <v>0</v>
      </c>
      <c r="AD460">
        <v>20</v>
      </c>
      <c r="AE460" s="44">
        <f t="shared" si="30"/>
        <v>707.73140000000001</v>
      </c>
      <c r="AF460" s="46">
        <v>0</v>
      </c>
      <c r="AG460" s="44">
        <v>0</v>
      </c>
      <c r="AH460" s="44">
        <v>0</v>
      </c>
      <c r="AI460" s="41">
        <f t="shared" si="29"/>
        <v>5.6518617091173291E-2</v>
      </c>
      <c r="AJ460" s="41"/>
      <c r="AK460" s="41"/>
      <c r="AL460" s="41"/>
      <c r="AM460" s="23">
        <v>1.645161290322581</v>
      </c>
      <c r="AN460" s="23">
        <v>1.67741935483871</v>
      </c>
      <c r="AO460" s="23">
        <v>0.25806451612903231</v>
      </c>
      <c r="AP460" s="23">
        <v>0</v>
      </c>
      <c r="AQ460" s="23">
        <v>0.45945945945945948</v>
      </c>
      <c r="AR460" s="23">
        <v>0.46846846846846851</v>
      </c>
      <c r="AS460" s="23">
        <v>7.2072072072072071E-2</v>
      </c>
      <c r="AT460" s="23">
        <v>0</v>
      </c>
      <c r="AU460" s="20">
        <v>1.1000000000000001</v>
      </c>
      <c r="AV460" s="20">
        <v>3.44</v>
      </c>
      <c r="AW460" s="20">
        <v>2.34</v>
      </c>
      <c r="AX460" s="20">
        <v>2.5503225806451608</v>
      </c>
      <c r="AY460">
        <v>2.5503225806451608</v>
      </c>
      <c r="AZ460">
        <v>6.5616712216890649</v>
      </c>
      <c r="BD460">
        <v>3.108523940014531E-2</v>
      </c>
      <c r="BH460">
        <v>5.6518617091173291E-2</v>
      </c>
      <c r="BI460">
        <v>3.108523940014531E-2</v>
      </c>
      <c r="BJ460">
        <v>0</v>
      </c>
    </row>
    <row r="461" spans="1:62" x14ac:dyDescent="0.3">
      <c r="A461" t="s">
        <v>379</v>
      </c>
      <c r="B461" s="17" t="s">
        <v>1042</v>
      </c>
      <c r="C461" s="12"/>
      <c r="F461">
        <v>3.4</v>
      </c>
      <c r="G461" t="s">
        <v>380</v>
      </c>
      <c r="H461" s="8">
        <v>-1</v>
      </c>
      <c r="I461">
        <v>-1</v>
      </c>
      <c r="K461">
        <v>1</v>
      </c>
      <c r="L461" s="20">
        <v>0</v>
      </c>
      <c r="M461">
        <v>0</v>
      </c>
      <c r="N461">
        <v>0</v>
      </c>
      <c r="O461">
        <v>3.82</v>
      </c>
      <c r="P461">
        <v>3.82</v>
      </c>
      <c r="Q461">
        <v>29.2</v>
      </c>
      <c r="R461" t="s">
        <v>519</v>
      </c>
      <c r="S461">
        <v>29.2</v>
      </c>
      <c r="T461" s="20">
        <v>0</v>
      </c>
      <c r="W461">
        <v>0</v>
      </c>
      <c r="Z461">
        <v>0</v>
      </c>
      <c r="AD461">
        <v>20</v>
      </c>
      <c r="AE461" s="44">
        <f t="shared" si="30"/>
        <v>426.09807999999998</v>
      </c>
      <c r="AF461" s="46">
        <v>0</v>
      </c>
      <c r="AG461" s="44">
        <v>0</v>
      </c>
      <c r="AH461" s="44">
        <v>0</v>
      </c>
      <c r="AI461" s="41">
        <f t="shared" si="29"/>
        <v>4.6937550152772338E-2</v>
      </c>
      <c r="AJ461" s="41"/>
      <c r="AK461" s="41"/>
      <c r="AL461" s="41"/>
      <c r="AM461" s="23">
        <v>1.594594594594595</v>
      </c>
      <c r="AN461" s="23">
        <v>1.513513513513514</v>
      </c>
      <c r="AO461" s="23">
        <v>0.2162162162162162</v>
      </c>
      <c r="AP461" s="23">
        <v>0</v>
      </c>
      <c r="AQ461" s="23">
        <v>0.47967479674796748</v>
      </c>
      <c r="AR461" s="23">
        <v>0.45528455284552849</v>
      </c>
      <c r="AS461" s="23">
        <v>6.5040650406504072E-2</v>
      </c>
      <c r="AT461" s="23">
        <v>0</v>
      </c>
      <c r="AU461" s="20">
        <v>1.1000000000000001</v>
      </c>
      <c r="AV461" s="20">
        <v>3.44</v>
      </c>
      <c r="AW461" s="20">
        <v>2.34</v>
      </c>
      <c r="AX461" s="20">
        <v>2.512432432432433</v>
      </c>
      <c r="AY461">
        <v>2.512432432432433</v>
      </c>
      <c r="AZ461">
        <v>6.6118993157774328</v>
      </c>
      <c r="BD461">
        <v>2.5815652584024788E-2</v>
      </c>
      <c r="BH461">
        <v>4.6937550152772338E-2</v>
      </c>
      <c r="BI461">
        <v>2.5815652584024788E-2</v>
      </c>
      <c r="BJ461">
        <v>0</v>
      </c>
    </row>
    <row r="462" spans="1:62" x14ac:dyDescent="0.3">
      <c r="A462" t="s">
        <v>1134</v>
      </c>
      <c r="B462" s="17" t="s">
        <v>1043</v>
      </c>
      <c r="C462" s="12"/>
      <c r="F462">
        <v>3.38</v>
      </c>
      <c r="G462" t="s">
        <v>380</v>
      </c>
      <c r="H462" s="8">
        <v>-1</v>
      </c>
      <c r="I462">
        <v>-1</v>
      </c>
      <c r="K462">
        <v>1</v>
      </c>
      <c r="L462" s="20">
        <v>0</v>
      </c>
      <c r="M462">
        <v>0</v>
      </c>
      <c r="N462">
        <v>0</v>
      </c>
      <c r="O462">
        <v>3.82</v>
      </c>
      <c r="P462">
        <v>3.82</v>
      </c>
      <c r="Q462">
        <v>31.3</v>
      </c>
      <c r="R462" t="s">
        <v>519</v>
      </c>
      <c r="S462">
        <v>31.3</v>
      </c>
      <c r="T462" s="20">
        <v>0</v>
      </c>
      <c r="W462">
        <v>0</v>
      </c>
      <c r="Z462">
        <v>0</v>
      </c>
      <c r="AD462">
        <v>20</v>
      </c>
      <c r="AE462" s="44">
        <f t="shared" si="30"/>
        <v>456.74212</v>
      </c>
      <c r="AF462" s="46">
        <v>0</v>
      </c>
      <c r="AG462" s="44">
        <v>0</v>
      </c>
      <c r="AH462" s="44">
        <v>0</v>
      </c>
      <c r="AI462" s="41">
        <f t="shared" si="29"/>
        <v>4.3788385446036811E-2</v>
      </c>
      <c r="AJ462" s="41"/>
      <c r="AK462" s="41"/>
      <c r="AL462" s="41"/>
      <c r="AM462" s="23">
        <v>1.558139534883721</v>
      </c>
      <c r="AN462" s="23">
        <v>1.3953488372093019</v>
      </c>
      <c r="AO462" s="23">
        <v>0.186046511627907</v>
      </c>
      <c r="AP462" s="23">
        <v>0</v>
      </c>
      <c r="AQ462" s="23">
        <v>0.49629629629629629</v>
      </c>
      <c r="AR462" s="23">
        <v>0.44444444444444448</v>
      </c>
      <c r="AS462" s="23">
        <v>5.9259259259259262E-2</v>
      </c>
      <c r="AT462" s="23">
        <v>0</v>
      </c>
      <c r="AU462" s="20">
        <v>1.1000000000000001</v>
      </c>
      <c r="AV462" s="20">
        <v>3.44</v>
      </c>
      <c r="AW462" s="20">
        <v>2.34</v>
      </c>
      <c r="AX462" s="20">
        <v>2.4851162790697678</v>
      </c>
      <c r="AY462">
        <v>2.485116279069767</v>
      </c>
      <c r="AZ462">
        <v>6.6481102673295114</v>
      </c>
      <c r="BD462">
        <v>2.4083611995320251E-2</v>
      </c>
      <c r="BH462">
        <v>4.3788385446036811E-2</v>
      </c>
      <c r="BI462">
        <v>2.4083611995320251E-2</v>
      </c>
      <c r="BJ462">
        <v>0</v>
      </c>
    </row>
    <row r="463" spans="1:62" x14ac:dyDescent="0.3">
      <c r="A463" t="s">
        <v>381</v>
      </c>
      <c r="B463" s="12" t="s">
        <v>838</v>
      </c>
      <c r="C463" s="12"/>
      <c r="F463">
        <v>3.47</v>
      </c>
      <c r="G463" t="s">
        <v>380</v>
      </c>
      <c r="H463" s="8">
        <v>-1</v>
      </c>
      <c r="I463">
        <v>-1</v>
      </c>
      <c r="K463">
        <v>2</v>
      </c>
      <c r="L463" s="20">
        <v>0</v>
      </c>
      <c r="M463">
        <v>0</v>
      </c>
      <c r="N463">
        <v>0</v>
      </c>
      <c r="O463">
        <v>3.78</v>
      </c>
      <c r="P463">
        <v>3.78</v>
      </c>
      <c r="Q463">
        <v>27.2</v>
      </c>
      <c r="R463" t="s">
        <v>519</v>
      </c>
      <c r="S463">
        <v>13.6</v>
      </c>
      <c r="T463" s="20">
        <v>0</v>
      </c>
      <c r="W463">
        <v>0</v>
      </c>
      <c r="Z463">
        <v>0</v>
      </c>
      <c r="AD463">
        <v>20</v>
      </c>
      <c r="AE463" s="44">
        <f t="shared" si="30"/>
        <v>388.64447999999999</v>
      </c>
      <c r="AF463" s="46">
        <v>0</v>
      </c>
      <c r="AG463" s="44">
        <v>0</v>
      </c>
      <c r="AH463" s="44">
        <v>0</v>
      </c>
      <c r="AI463" s="41">
        <f t="shared" si="29"/>
        <v>0.10292182716708083</v>
      </c>
      <c r="AJ463" s="41"/>
      <c r="AK463" s="41"/>
      <c r="AL463" s="41"/>
      <c r="AM463" s="23">
        <v>1.882352941176471</v>
      </c>
      <c r="AN463" s="23">
        <v>2.3529411764705879</v>
      </c>
      <c r="AO463" s="23">
        <v>0.35294117647058831</v>
      </c>
      <c r="AP463" s="23">
        <v>0.47058823529411759</v>
      </c>
      <c r="AQ463" s="23">
        <v>0.37209302325581389</v>
      </c>
      <c r="AR463" s="23">
        <v>0.46511627906976749</v>
      </c>
      <c r="AS463" s="23">
        <v>6.9767441860465129E-2</v>
      </c>
      <c r="AT463" s="23">
        <v>9.3023255813953487E-2</v>
      </c>
      <c r="AU463" s="20">
        <v>1.1399999999999999</v>
      </c>
      <c r="AV463" s="20">
        <v>3.44</v>
      </c>
      <c r="AW463" s="20">
        <v>2.2999999999999998</v>
      </c>
      <c r="AX463" s="20">
        <v>2.6882352941176468</v>
      </c>
      <c r="AY463">
        <v>2.6882352941176468</v>
      </c>
      <c r="AZ463">
        <v>6.2192249941001183</v>
      </c>
      <c r="BD463">
        <v>5.1460913583540407E-2</v>
      </c>
      <c r="BH463">
        <v>0.1029218271670808</v>
      </c>
      <c r="BI463">
        <v>5.1460913583540407E-2</v>
      </c>
      <c r="BJ463">
        <v>0</v>
      </c>
    </row>
    <row r="464" spans="1:62" x14ac:dyDescent="0.3">
      <c r="A464" t="s">
        <v>382</v>
      </c>
      <c r="B464" s="17" t="s">
        <v>1044</v>
      </c>
      <c r="C464" s="12"/>
      <c r="F464">
        <v>3.4</v>
      </c>
      <c r="G464" t="s">
        <v>380</v>
      </c>
      <c r="H464" s="8">
        <v>-1</v>
      </c>
      <c r="I464">
        <v>-1</v>
      </c>
      <c r="K464">
        <v>2</v>
      </c>
      <c r="L464" s="20">
        <v>0</v>
      </c>
      <c r="M464">
        <v>0</v>
      </c>
      <c r="N464">
        <v>0</v>
      </c>
      <c r="O464">
        <v>3.81</v>
      </c>
      <c r="P464">
        <v>3.81</v>
      </c>
      <c r="Q464">
        <v>35.4</v>
      </c>
      <c r="R464" t="s">
        <v>519</v>
      </c>
      <c r="S464">
        <v>17.7</v>
      </c>
      <c r="T464" s="20">
        <v>0</v>
      </c>
      <c r="W464">
        <v>0</v>
      </c>
      <c r="Z464">
        <v>0</v>
      </c>
      <c r="AD464">
        <v>20</v>
      </c>
      <c r="AE464" s="44">
        <f t="shared" si="30"/>
        <v>513.86993999999993</v>
      </c>
      <c r="AF464" s="46">
        <v>0</v>
      </c>
      <c r="AG464" s="44">
        <v>0</v>
      </c>
      <c r="AH464" s="44">
        <v>0</v>
      </c>
      <c r="AI464" s="41">
        <f t="shared" si="29"/>
        <v>7.7840708098239814E-2</v>
      </c>
      <c r="AJ464" s="41"/>
      <c r="AK464" s="41"/>
      <c r="AL464" s="41"/>
      <c r="AM464" s="23">
        <v>1.695652173913043</v>
      </c>
      <c r="AN464" s="23">
        <v>1.826086956521739</v>
      </c>
      <c r="AO464" s="23">
        <v>0.2608695652173913</v>
      </c>
      <c r="AP464" s="23">
        <v>0.34782608695652167</v>
      </c>
      <c r="AQ464" s="23">
        <v>0.41052631578947368</v>
      </c>
      <c r="AR464" s="23">
        <v>0.44210526315789472</v>
      </c>
      <c r="AS464" s="23">
        <v>6.3157894736842107E-2</v>
      </c>
      <c r="AT464" s="23">
        <v>8.4210526315789472E-2</v>
      </c>
      <c r="AU464" s="20">
        <v>1.1399999999999999</v>
      </c>
      <c r="AV464" s="20">
        <v>3.44</v>
      </c>
      <c r="AW464" s="20">
        <v>2.2999999999999998</v>
      </c>
      <c r="AX464" s="20">
        <v>2.5760869565217388</v>
      </c>
      <c r="AY464">
        <v>2.5760869565217388</v>
      </c>
      <c r="AZ464">
        <v>6.4291568349981301</v>
      </c>
      <c r="BD464">
        <v>3.8920354049119907E-2</v>
      </c>
      <c r="BH464">
        <v>7.7840708098239814E-2</v>
      </c>
      <c r="BI464">
        <v>3.8920354049119907E-2</v>
      </c>
      <c r="BJ464">
        <v>0</v>
      </c>
    </row>
    <row r="465" spans="1:62" x14ac:dyDescent="0.3">
      <c r="A465" t="s">
        <v>383</v>
      </c>
      <c r="B465" s="17" t="s">
        <v>1045</v>
      </c>
      <c r="C465" s="12"/>
      <c r="F465">
        <v>3.32</v>
      </c>
      <c r="G465" t="s">
        <v>380</v>
      </c>
      <c r="H465" s="8">
        <v>-1</v>
      </c>
      <c r="I465">
        <v>-1</v>
      </c>
      <c r="K465">
        <v>1</v>
      </c>
      <c r="L465" s="20">
        <v>0</v>
      </c>
      <c r="M465">
        <v>0</v>
      </c>
      <c r="N465">
        <v>0</v>
      </c>
      <c r="O465">
        <v>3.8</v>
      </c>
      <c r="P465">
        <v>3.8</v>
      </c>
      <c r="Q465">
        <v>19.899999999999999</v>
      </c>
      <c r="R465" t="s">
        <v>519</v>
      </c>
      <c r="S465">
        <v>19.899999999999999</v>
      </c>
      <c r="T465" s="20">
        <v>0</v>
      </c>
      <c r="W465">
        <v>0</v>
      </c>
      <c r="Z465">
        <v>0</v>
      </c>
      <c r="AD465">
        <v>20</v>
      </c>
      <c r="AE465" s="44">
        <f t="shared" si="30"/>
        <v>287.35599999999999</v>
      </c>
      <c r="AF465" s="46">
        <v>0</v>
      </c>
      <c r="AG465" s="44">
        <v>0</v>
      </c>
      <c r="AH465" s="44">
        <v>0</v>
      </c>
      <c r="AI465" s="41">
        <f t="shared" si="29"/>
        <v>6.9600077952087308E-2</v>
      </c>
      <c r="AJ465" s="41"/>
      <c r="AK465" s="41"/>
      <c r="AL465" s="41"/>
      <c r="AM465" s="23">
        <v>1.653846153846154</v>
      </c>
      <c r="AN465" s="23">
        <v>1.6923076923076921</v>
      </c>
      <c r="AO465" s="23">
        <v>0.23076923076923081</v>
      </c>
      <c r="AP465" s="23">
        <v>0.30769230769230771</v>
      </c>
      <c r="AQ465" s="23">
        <v>0.42574257425742568</v>
      </c>
      <c r="AR465" s="23">
        <v>0.43564356435643559</v>
      </c>
      <c r="AS465" s="23">
        <v>5.940594059405941E-2</v>
      </c>
      <c r="AT465" s="23">
        <v>7.9207920792079209E-2</v>
      </c>
      <c r="AU465" s="20">
        <v>1.1399999999999999</v>
      </c>
      <c r="AV465" s="20">
        <v>3.44</v>
      </c>
      <c r="AW465" s="20">
        <v>2.2999999999999998</v>
      </c>
      <c r="AX465" s="20">
        <v>2.546153846153846</v>
      </c>
      <c r="AY465">
        <v>2.546153846153846</v>
      </c>
      <c r="AZ465">
        <v>6.4801861773330387</v>
      </c>
      <c r="BD465">
        <v>3.4800038976043647E-2</v>
      </c>
      <c r="BH465">
        <v>6.9600077952087308E-2</v>
      </c>
      <c r="BI465">
        <v>3.4800038976043647E-2</v>
      </c>
      <c r="BJ465">
        <v>0</v>
      </c>
    </row>
    <row r="466" spans="1:62" x14ac:dyDescent="0.3">
      <c r="A466" t="s">
        <v>384</v>
      </c>
      <c r="B466" s="17" t="s">
        <v>1046</v>
      </c>
      <c r="C466" s="12"/>
      <c r="F466">
        <v>3.33</v>
      </c>
      <c r="G466" t="s">
        <v>380</v>
      </c>
      <c r="H466" s="8">
        <v>-1</v>
      </c>
      <c r="I466">
        <v>-1</v>
      </c>
      <c r="K466">
        <v>1</v>
      </c>
      <c r="L466" s="20">
        <v>0</v>
      </c>
      <c r="M466">
        <v>0</v>
      </c>
      <c r="N466">
        <v>0</v>
      </c>
      <c r="O466">
        <v>3.78</v>
      </c>
      <c r="P466">
        <v>3.78</v>
      </c>
      <c r="Q466">
        <v>21.5</v>
      </c>
      <c r="R466" t="s">
        <v>519</v>
      </c>
      <c r="S466">
        <v>21.5</v>
      </c>
      <c r="T466" s="20">
        <v>0</v>
      </c>
      <c r="W466">
        <v>0</v>
      </c>
      <c r="Z466">
        <v>0</v>
      </c>
      <c r="AD466">
        <v>20</v>
      </c>
      <c r="AE466" s="44">
        <f t="shared" si="30"/>
        <v>307.20060000000001</v>
      </c>
      <c r="AF466" s="46">
        <v>0</v>
      </c>
      <c r="AG466" s="44">
        <v>0</v>
      </c>
      <c r="AH466" s="44">
        <v>0</v>
      </c>
      <c r="AI466" s="41">
        <f t="shared" si="29"/>
        <v>6.5104039510339495E-2</v>
      </c>
      <c r="AJ466" s="41"/>
      <c r="AK466" s="41"/>
      <c r="AL466" s="41"/>
      <c r="AM466" s="23">
        <v>1.6206896551724139</v>
      </c>
      <c r="AN466" s="23">
        <v>1.586206896551724</v>
      </c>
      <c r="AO466" s="23">
        <v>0.2068965517241379</v>
      </c>
      <c r="AP466" s="23">
        <v>0.27586206896551718</v>
      </c>
      <c r="AQ466" s="23">
        <v>0.43925233644859812</v>
      </c>
      <c r="AR466" s="23">
        <v>0.42990654205607481</v>
      </c>
      <c r="AS466" s="23">
        <v>5.6074766355140193E-2</v>
      </c>
      <c r="AT466" s="23">
        <v>7.476635514018691E-2</v>
      </c>
      <c r="AU466" s="20">
        <v>1.1399999999999999</v>
      </c>
      <c r="AV466" s="20">
        <v>3.44</v>
      </c>
      <c r="AW466" s="20">
        <v>2.2999999999999998</v>
      </c>
      <c r="AX466" s="20">
        <v>2.522413793103448</v>
      </c>
      <c r="AY466">
        <v>2.522413793103448</v>
      </c>
      <c r="AZ466">
        <v>6.5206577247021036</v>
      </c>
      <c r="BD466">
        <v>3.2552019755169748E-2</v>
      </c>
      <c r="BH466">
        <v>6.5104039510339495E-2</v>
      </c>
      <c r="BI466">
        <v>3.2552019755169748E-2</v>
      </c>
      <c r="BJ466">
        <v>0</v>
      </c>
    </row>
    <row r="467" spans="1:62" x14ac:dyDescent="0.3">
      <c r="A467" t="s">
        <v>385</v>
      </c>
      <c r="B467" s="17" t="s">
        <v>1047</v>
      </c>
      <c r="C467" s="12"/>
      <c r="F467">
        <v>3.33</v>
      </c>
      <c r="G467" t="s">
        <v>380</v>
      </c>
      <c r="H467" s="8">
        <v>-1</v>
      </c>
      <c r="I467">
        <v>-1</v>
      </c>
      <c r="K467">
        <v>1</v>
      </c>
      <c r="L467" s="20">
        <v>0</v>
      </c>
      <c r="M467">
        <v>0</v>
      </c>
      <c r="N467">
        <v>0</v>
      </c>
      <c r="O467">
        <v>3.78</v>
      </c>
      <c r="P467">
        <v>3.78</v>
      </c>
      <c r="Q467">
        <v>24.4</v>
      </c>
      <c r="R467" t="s">
        <v>519</v>
      </c>
      <c r="S467">
        <v>24.4</v>
      </c>
      <c r="T467" s="20">
        <v>0</v>
      </c>
      <c r="W467">
        <v>0</v>
      </c>
      <c r="Z467">
        <v>0</v>
      </c>
      <c r="AD467">
        <v>20</v>
      </c>
      <c r="AE467" s="44">
        <f t="shared" si="30"/>
        <v>348.63695999999999</v>
      </c>
      <c r="AF467" s="46">
        <v>0</v>
      </c>
      <c r="AG467" s="44">
        <v>0</v>
      </c>
      <c r="AH467" s="44">
        <v>0</v>
      </c>
      <c r="AI467" s="41">
        <f t="shared" si="29"/>
        <v>5.7366264322635217E-2</v>
      </c>
      <c r="AJ467" s="41"/>
      <c r="AK467" s="41"/>
      <c r="AL467" s="41"/>
      <c r="AM467" s="23">
        <v>1.59375</v>
      </c>
      <c r="AN467" s="23">
        <v>1.5</v>
      </c>
      <c r="AO467" s="23">
        <v>0.1875</v>
      </c>
      <c r="AP467" s="23">
        <v>0.25</v>
      </c>
      <c r="AQ467" s="23">
        <v>0.45132743362831862</v>
      </c>
      <c r="AR467" s="23">
        <v>0.4247787610619469</v>
      </c>
      <c r="AS467" s="23">
        <v>5.3097345132743362E-2</v>
      </c>
      <c r="AT467" s="23">
        <v>7.0796460176991149E-2</v>
      </c>
      <c r="AU467" s="20">
        <v>1.1399999999999999</v>
      </c>
      <c r="AV467" s="20">
        <v>3.44</v>
      </c>
      <c r="AW467" s="20">
        <v>2.2999999999999998</v>
      </c>
      <c r="AX467" s="20">
        <v>2.5031249999999998</v>
      </c>
      <c r="AY467">
        <v>2.5031249999999998</v>
      </c>
      <c r="AZ467">
        <v>6.5535408569394704</v>
      </c>
      <c r="BD467">
        <v>2.8683132161317609E-2</v>
      </c>
      <c r="BH467">
        <v>5.7366264322635217E-2</v>
      </c>
      <c r="BI467">
        <v>2.8683132161317609E-2</v>
      </c>
      <c r="BJ467">
        <v>0</v>
      </c>
    </row>
    <row r="468" spans="1:62" x14ac:dyDescent="0.3">
      <c r="A468" t="s">
        <v>386</v>
      </c>
      <c r="B468" s="17" t="s">
        <v>1048</v>
      </c>
      <c r="C468" s="12"/>
      <c r="F468">
        <v>3.35</v>
      </c>
      <c r="G468" t="s">
        <v>380</v>
      </c>
      <c r="H468" s="8">
        <v>-1</v>
      </c>
      <c r="I468">
        <v>-1</v>
      </c>
      <c r="K468">
        <v>1</v>
      </c>
      <c r="L468" s="20">
        <v>0</v>
      </c>
      <c r="M468">
        <v>0</v>
      </c>
      <c r="N468">
        <v>0</v>
      </c>
      <c r="O468">
        <v>3.8</v>
      </c>
      <c r="P468">
        <v>3.8</v>
      </c>
      <c r="Q468">
        <v>29.2</v>
      </c>
      <c r="R468" t="s">
        <v>519</v>
      </c>
      <c r="S468">
        <v>29.2</v>
      </c>
      <c r="T468" s="20">
        <v>0</v>
      </c>
      <c r="W468">
        <v>0</v>
      </c>
      <c r="Z468">
        <v>0</v>
      </c>
      <c r="AD468">
        <v>20</v>
      </c>
      <c r="AE468" s="44">
        <f t="shared" si="30"/>
        <v>421.64799999999997</v>
      </c>
      <c r="AF468" s="46">
        <v>0</v>
      </c>
      <c r="AG468" s="44">
        <v>0</v>
      </c>
      <c r="AH468" s="44">
        <v>0</v>
      </c>
      <c r="AI468" s="41">
        <f t="shared" si="29"/>
        <v>4.7432929837210189E-2</v>
      </c>
      <c r="AJ468" s="41"/>
      <c r="AK468" s="41"/>
      <c r="AL468" s="41"/>
      <c r="AM468" s="23">
        <v>1.5526315789473679</v>
      </c>
      <c r="AN468" s="23">
        <v>1.368421052631579</v>
      </c>
      <c r="AO468" s="23">
        <v>0.15789473684210531</v>
      </c>
      <c r="AP468" s="23">
        <v>0.2105263157894737</v>
      </c>
      <c r="AQ468" s="23">
        <v>0.47199999999999998</v>
      </c>
      <c r="AR468" s="23">
        <v>0.41599999999999998</v>
      </c>
      <c r="AS468" s="23">
        <v>4.8000000000000001E-2</v>
      </c>
      <c r="AT468" s="23">
        <v>6.4000000000000001E-2</v>
      </c>
      <c r="AU468" s="20">
        <v>1.1399999999999999</v>
      </c>
      <c r="AV468" s="20">
        <v>3.44</v>
      </c>
      <c r="AW468" s="20">
        <v>2.2999999999999998</v>
      </c>
      <c r="AX468" s="20">
        <v>2.4736842105263159</v>
      </c>
      <c r="AY468">
        <v>2.473684210526315</v>
      </c>
      <c r="AZ468">
        <v>6.6037309008807101</v>
      </c>
      <c r="BD468">
        <v>2.3716464918605091E-2</v>
      </c>
      <c r="BH468">
        <v>4.7432929837210189E-2</v>
      </c>
      <c r="BI468">
        <v>2.3716464918605091E-2</v>
      </c>
      <c r="BJ468">
        <v>0</v>
      </c>
    </row>
    <row r="469" spans="1:62" x14ac:dyDescent="0.3">
      <c r="A469" t="s">
        <v>387</v>
      </c>
      <c r="B469" s="17" t="s">
        <v>1049</v>
      </c>
      <c r="C469" s="12"/>
      <c r="F469">
        <v>3.36</v>
      </c>
      <c r="G469" t="s">
        <v>380</v>
      </c>
      <c r="H469" s="8">
        <v>-1</v>
      </c>
      <c r="I469">
        <v>-1</v>
      </c>
      <c r="K469">
        <v>1</v>
      </c>
      <c r="L469" s="20">
        <v>0</v>
      </c>
      <c r="M469">
        <v>0</v>
      </c>
      <c r="N469">
        <v>0</v>
      </c>
      <c r="O469">
        <v>3.8</v>
      </c>
      <c r="P469">
        <v>3.8</v>
      </c>
      <c r="Q469">
        <v>33.4</v>
      </c>
      <c r="R469" t="s">
        <v>519</v>
      </c>
      <c r="S469">
        <v>33.4</v>
      </c>
      <c r="T469" s="20">
        <v>0</v>
      </c>
      <c r="W469">
        <v>0</v>
      </c>
      <c r="Z469">
        <v>0</v>
      </c>
      <c r="AD469">
        <v>20</v>
      </c>
      <c r="AE469" s="44">
        <f t="shared" si="30"/>
        <v>482.29599999999994</v>
      </c>
      <c r="AF469" s="46">
        <v>0</v>
      </c>
      <c r="AG469" s="44">
        <v>0</v>
      </c>
      <c r="AH469" s="44">
        <v>0</v>
      </c>
      <c r="AI469" s="41">
        <f t="shared" si="29"/>
        <v>4.1468309917561008E-2</v>
      </c>
      <c r="AJ469" s="41"/>
      <c r="AK469" s="41"/>
      <c r="AL469" s="41"/>
      <c r="AM469" s="23">
        <v>1.5227272727272729</v>
      </c>
      <c r="AN469" s="23">
        <v>1.2727272727272729</v>
      </c>
      <c r="AO469" s="23">
        <v>0.13636363636363641</v>
      </c>
      <c r="AP469" s="23">
        <v>0.1818181818181818</v>
      </c>
      <c r="AQ469" s="23">
        <v>0.48905109489051091</v>
      </c>
      <c r="AR469" s="23">
        <v>0.40875912408759119</v>
      </c>
      <c r="AS469" s="23">
        <v>4.3795620437956199E-2</v>
      </c>
      <c r="AT469" s="23">
        <v>5.8394160583941597E-2</v>
      </c>
      <c r="AU469" s="20">
        <v>1.1399999999999999</v>
      </c>
      <c r="AV469" s="20">
        <v>3.44</v>
      </c>
      <c r="AW469" s="20">
        <v>2.2999999999999998</v>
      </c>
      <c r="AX469" s="20">
        <v>2.452272727272728</v>
      </c>
      <c r="AY469">
        <v>2.4522727272727272</v>
      </c>
      <c r="AZ469">
        <v>6.6402327510197949</v>
      </c>
      <c r="BD469">
        <v>2.0734154958780501E-2</v>
      </c>
      <c r="BH469">
        <v>4.1468309917561008E-2</v>
      </c>
      <c r="BI469">
        <v>2.0734154958780501E-2</v>
      </c>
      <c r="BJ469">
        <v>0</v>
      </c>
    </row>
    <row r="470" spans="1:62" x14ac:dyDescent="0.3">
      <c r="A470" t="s">
        <v>388</v>
      </c>
      <c r="B470" s="17" t="s">
        <v>1050</v>
      </c>
      <c r="C470" s="12"/>
      <c r="F470">
        <v>3.33</v>
      </c>
      <c r="G470" t="s">
        <v>380</v>
      </c>
      <c r="H470" s="8">
        <v>-1</v>
      </c>
      <c r="I470">
        <v>-1</v>
      </c>
      <c r="K470">
        <v>2</v>
      </c>
      <c r="L470" s="20">
        <v>0</v>
      </c>
      <c r="M470">
        <v>0</v>
      </c>
      <c r="N470">
        <v>0</v>
      </c>
      <c r="O470">
        <v>3.76</v>
      </c>
      <c r="P470">
        <v>3.76</v>
      </c>
      <c r="Q470">
        <v>34.1</v>
      </c>
      <c r="R470" t="s">
        <v>519</v>
      </c>
      <c r="S470">
        <v>17.100000000000001</v>
      </c>
      <c r="T470" s="20">
        <v>0</v>
      </c>
      <c r="W470">
        <v>0</v>
      </c>
      <c r="Z470">
        <v>0</v>
      </c>
      <c r="AD470">
        <v>22</v>
      </c>
      <c r="AE470" s="44">
        <f t="shared" si="30"/>
        <v>482.09215999999998</v>
      </c>
      <c r="AF470" s="46">
        <v>0</v>
      </c>
      <c r="AG470" s="44">
        <v>0</v>
      </c>
      <c r="AH470" s="44">
        <v>0</v>
      </c>
      <c r="AI470" s="41">
        <f t="shared" si="29"/>
        <v>9.12688561456797E-2</v>
      </c>
      <c r="AJ470" s="41"/>
      <c r="AK470" s="41"/>
      <c r="AL470" s="41"/>
      <c r="AM470" s="23">
        <v>1.7391304347826091</v>
      </c>
      <c r="AN470" s="23">
        <v>2</v>
      </c>
      <c r="AO470" s="23">
        <v>0.2608695652173913</v>
      </c>
      <c r="AP470" s="23">
        <v>0.34782608695652167</v>
      </c>
      <c r="AQ470" s="23">
        <v>0.4</v>
      </c>
      <c r="AR470" s="23">
        <v>0.46</v>
      </c>
      <c r="AS470" s="23">
        <v>0.06</v>
      </c>
      <c r="AT470" s="23">
        <v>0.08</v>
      </c>
      <c r="AU470" s="20">
        <v>1.1399999999999999</v>
      </c>
      <c r="AV470" s="20">
        <v>3.44</v>
      </c>
      <c r="AW470" s="20">
        <v>2.2999999999999998</v>
      </c>
      <c r="AX470" s="20">
        <v>2.63</v>
      </c>
      <c r="AY470">
        <v>2.63</v>
      </c>
      <c r="AZ470">
        <v>6.444942219787217</v>
      </c>
      <c r="BD470">
        <v>4.563442807283985E-2</v>
      </c>
      <c r="BH470">
        <v>9.12688561456797E-2</v>
      </c>
      <c r="BI470">
        <v>4.563442807283985E-2</v>
      </c>
      <c r="BJ470">
        <v>0</v>
      </c>
    </row>
    <row r="471" spans="1:62" x14ac:dyDescent="0.3">
      <c r="A471" t="s">
        <v>389</v>
      </c>
      <c r="B471" s="17" t="s">
        <v>1051</v>
      </c>
      <c r="C471" s="12"/>
      <c r="F471">
        <v>3.33</v>
      </c>
      <c r="G471" t="s">
        <v>380</v>
      </c>
      <c r="H471" s="8">
        <v>-1</v>
      </c>
      <c r="I471">
        <v>-1</v>
      </c>
      <c r="K471">
        <v>2</v>
      </c>
      <c r="L471" s="20">
        <v>0</v>
      </c>
      <c r="M471">
        <v>0</v>
      </c>
      <c r="N471">
        <v>0</v>
      </c>
      <c r="O471">
        <v>3.77</v>
      </c>
      <c r="P471">
        <v>3.77</v>
      </c>
      <c r="Q471">
        <v>40.9</v>
      </c>
      <c r="R471" t="s">
        <v>519</v>
      </c>
      <c r="S471">
        <v>20.5</v>
      </c>
      <c r="T471" s="20">
        <v>0</v>
      </c>
      <c r="W471">
        <v>0</v>
      </c>
      <c r="Z471">
        <v>0</v>
      </c>
      <c r="AD471">
        <v>22</v>
      </c>
      <c r="AE471" s="44">
        <f t="shared" si="30"/>
        <v>581.30760999999995</v>
      </c>
      <c r="AF471" s="46">
        <v>0</v>
      </c>
      <c r="AG471" s="44">
        <v>0</v>
      </c>
      <c r="AH471" s="44">
        <v>0</v>
      </c>
      <c r="AI471" s="41">
        <f t="shared" si="29"/>
        <v>7.5691422653145726E-2</v>
      </c>
      <c r="AJ471" s="41"/>
      <c r="AK471" s="41"/>
      <c r="AL471" s="41"/>
      <c r="AM471" s="23">
        <v>1.6923076923076921</v>
      </c>
      <c r="AN471" s="23">
        <v>1.846153846153846</v>
      </c>
      <c r="AO471" s="23">
        <v>0.23076923076923081</v>
      </c>
      <c r="AP471" s="23">
        <v>0.30769230769230771</v>
      </c>
      <c r="AQ471" s="23">
        <v>0.41509433962264147</v>
      </c>
      <c r="AR471" s="23">
        <v>0.45283018867924529</v>
      </c>
      <c r="AS471" s="23">
        <v>5.6603773584905669E-2</v>
      </c>
      <c r="AT471" s="23">
        <v>7.5471698113207558E-2</v>
      </c>
      <c r="AU471" s="20">
        <v>1.1399999999999999</v>
      </c>
      <c r="AV471" s="20">
        <v>3.44</v>
      </c>
      <c r="AW471" s="20">
        <v>2.2999999999999998</v>
      </c>
      <c r="AX471" s="20">
        <v>2.5938461538461541</v>
      </c>
      <c r="AY471">
        <v>2.5938461538461541</v>
      </c>
      <c r="AZ471">
        <v>6.4941501715695384</v>
      </c>
      <c r="BD471">
        <v>3.7845711326572863E-2</v>
      </c>
      <c r="BH471">
        <v>7.5691422653145726E-2</v>
      </c>
      <c r="BI471">
        <v>3.7845711326572863E-2</v>
      </c>
      <c r="BJ471">
        <v>0</v>
      </c>
    </row>
    <row r="472" spans="1:62" x14ac:dyDescent="0.3">
      <c r="A472" t="s">
        <v>390</v>
      </c>
      <c r="B472" s="17" t="s">
        <v>1052</v>
      </c>
      <c r="C472" s="12"/>
      <c r="F472">
        <v>3.32</v>
      </c>
      <c r="G472" t="s">
        <v>380</v>
      </c>
      <c r="H472" s="8">
        <v>-1</v>
      </c>
      <c r="I472">
        <v>-1</v>
      </c>
      <c r="K472">
        <v>2</v>
      </c>
      <c r="L472" s="20">
        <v>0</v>
      </c>
      <c r="M472">
        <v>0</v>
      </c>
      <c r="N472">
        <v>0</v>
      </c>
      <c r="O472">
        <v>3.79</v>
      </c>
      <c r="P472">
        <v>3.79</v>
      </c>
      <c r="Q472">
        <v>43.8</v>
      </c>
      <c r="R472" t="s">
        <v>519</v>
      </c>
      <c r="S472">
        <v>21.9</v>
      </c>
      <c r="T472" s="20">
        <v>0</v>
      </c>
      <c r="W472">
        <v>0</v>
      </c>
      <c r="Z472">
        <v>0</v>
      </c>
      <c r="AD472">
        <v>22</v>
      </c>
      <c r="AE472" s="44">
        <f t="shared" si="30"/>
        <v>629.14757999999995</v>
      </c>
      <c r="AF472" s="46">
        <v>0</v>
      </c>
      <c r="AG472" s="44">
        <v>0</v>
      </c>
      <c r="AH472" s="44">
        <v>0</v>
      </c>
      <c r="AI472" s="41">
        <f t="shared" si="29"/>
        <v>6.9935896439433182E-2</v>
      </c>
      <c r="AJ472" s="41"/>
      <c r="AK472" s="41"/>
      <c r="AL472" s="41"/>
      <c r="AM472" s="23">
        <v>1.655172413793103</v>
      </c>
      <c r="AN472" s="23">
        <v>1.7241379310344831</v>
      </c>
      <c r="AO472" s="23">
        <v>0.2068965517241379</v>
      </c>
      <c r="AP472" s="23">
        <v>0.27586206896551718</v>
      </c>
      <c r="AQ472" s="23">
        <v>0.42857142857142849</v>
      </c>
      <c r="AR472" s="23">
        <v>0.4464285714285714</v>
      </c>
      <c r="AS472" s="23">
        <v>5.3571428571428568E-2</v>
      </c>
      <c r="AT472" s="23">
        <v>7.1428571428571425E-2</v>
      </c>
      <c r="AU472" s="20">
        <v>1.1399999999999999</v>
      </c>
      <c r="AV472" s="20">
        <v>3.44</v>
      </c>
      <c r="AW472" s="20">
        <v>2.2999999999999998</v>
      </c>
      <c r="AX472" s="20">
        <v>2.5651724137931029</v>
      </c>
      <c r="AY472">
        <v>2.5651724137931029</v>
      </c>
      <c r="AZ472">
        <v>6.53317716781069</v>
      </c>
      <c r="BD472">
        <v>3.4967948219716591E-2</v>
      </c>
      <c r="BH472">
        <v>6.9935896439433182E-2</v>
      </c>
      <c r="BI472">
        <v>3.4967948219716591E-2</v>
      </c>
      <c r="BJ472">
        <v>0</v>
      </c>
    </row>
    <row r="473" spans="1:62" x14ac:dyDescent="0.3">
      <c r="A473" t="s">
        <v>391</v>
      </c>
      <c r="B473" s="17" t="s">
        <v>1053</v>
      </c>
      <c r="C473" s="12"/>
      <c r="F473">
        <v>3.33</v>
      </c>
      <c r="G473" t="s">
        <v>380</v>
      </c>
      <c r="H473" s="8">
        <v>-1</v>
      </c>
      <c r="I473">
        <v>-1</v>
      </c>
      <c r="K473">
        <v>2</v>
      </c>
      <c r="L473" s="20">
        <v>0</v>
      </c>
      <c r="M473">
        <v>0</v>
      </c>
      <c r="N473">
        <v>0</v>
      </c>
      <c r="O473">
        <v>3.78</v>
      </c>
      <c r="P473">
        <v>3.78</v>
      </c>
      <c r="Q473">
        <v>47.3</v>
      </c>
      <c r="R473" t="s">
        <v>519</v>
      </c>
      <c r="S473">
        <v>23.7</v>
      </c>
      <c r="T473" s="20">
        <v>0</v>
      </c>
      <c r="W473">
        <v>0</v>
      </c>
      <c r="Z473">
        <v>0</v>
      </c>
      <c r="AD473">
        <v>22</v>
      </c>
      <c r="AE473" s="44">
        <f t="shared" si="30"/>
        <v>675.84131999999988</v>
      </c>
      <c r="AF473" s="46">
        <v>0</v>
      </c>
      <c r="AG473" s="44">
        <v>0</v>
      </c>
      <c r="AH473" s="44">
        <v>0</v>
      </c>
      <c r="AI473" s="41">
        <f t="shared" si="29"/>
        <v>6.5104039510339509E-2</v>
      </c>
      <c r="AJ473" s="41"/>
      <c r="AK473" s="41"/>
      <c r="AL473" s="41"/>
      <c r="AM473" s="23">
        <v>1.625</v>
      </c>
      <c r="AN473" s="23">
        <v>1.625</v>
      </c>
      <c r="AO473" s="23">
        <v>0.1875</v>
      </c>
      <c r="AP473" s="23">
        <v>0.25</v>
      </c>
      <c r="AQ473" s="23">
        <v>0.44067796610169491</v>
      </c>
      <c r="AR473" s="23">
        <v>0.44067796610169491</v>
      </c>
      <c r="AS473" s="23">
        <v>5.0847457627118647E-2</v>
      </c>
      <c r="AT473" s="23">
        <v>6.7796610169491525E-2</v>
      </c>
      <c r="AU473" s="20">
        <v>1.1399999999999999</v>
      </c>
      <c r="AV473" s="20">
        <v>3.44</v>
      </c>
      <c r="AW473" s="20">
        <v>2.2999999999999998</v>
      </c>
      <c r="AX473" s="20">
        <v>2.5418750000000001</v>
      </c>
      <c r="AY473">
        <v>2.5418750000000001</v>
      </c>
      <c r="AZ473">
        <v>6.5648866022566246</v>
      </c>
      <c r="BD473">
        <v>3.2552019755169748E-2</v>
      </c>
      <c r="BH473">
        <v>6.5104039510339509E-2</v>
      </c>
      <c r="BI473">
        <v>3.2552019755169748E-2</v>
      </c>
      <c r="BJ473">
        <v>0</v>
      </c>
    </row>
    <row r="474" spans="1:62" x14ac:dyDescent="0.3">
      <c r="A474" t="s">
        <v>392</v>
      </c>
      <c r="B474" s="17" t="s">
        <v>1054</v>
      </c>
      <c r="C474" s="12"/>
      <c r="F474">
        <v>3.35</v>
      </c>
      <c r="G474" t="s">
        <v>380</v>
      </c>
      <c r="H474" s="8">
        <v>-1</v>
      </c>
      <c r="I474">
        <v>-1</v>
      </c>
      <c r="K474">
        <v>1</v>
      </c>
      <c r="L474" s="20">
        <v>0</v>
      </c>
      <c r="M474">
        <v>0</v>
      </c>
      <c r="N474">
        <v>0</v>
      </c>
      <c r="O474">
        <v>3.81</v>
      </c>
      <c r="P474">
        <v>3.81</v>
      </c>
      <c r="Q474">
        <v>28.3</v>
      </c>
      <c r="R474" t="s">
        <v>519</v>
      </c>
      <c r="S474">
        <v>28.3</v>
      </c>
      <c r="T474" s="20">
        <v>0</v>
      </c>
      <c r="W474">
        <v>0</v>
      </c>
      <c r="Z474">
        <v>0</v>
      </c>
      <c r="AD474">
        <v>22</v>
      </c>
      <c r="AE474" s="44">
        <f t="shared" si="30"/>
        <v>410.80563000000001</v>
      </c>
      <c r="AF474" s="46">
        <v>0</v>
      </c>
      <c r="AG474" s="44">
        <v>0</v>
      </c>
      <c r="AH474" s="44">
        <v>0</v>
      </c>
      <c r="AI474" s="41">
        <f t="shared" si="29"/>
        <v>5.3553306949566393E-2</v>
      </c>
      <c r="AJ474" s="41"/>
      <c r="AK474" s="41"/>
      <c r="AL474" s="41"/>
      <c r="AM474" s="23">
        <v>1.5789473684210531</v>
      </c>
      <c r="AN474" s="23">
        <v>1.4736842105263159</v>
      </c>
      <c r="AO474" s="23">
        <v>0.15789473684210531</v>
      </c>
      <c r="AP474" s="23">
        <v>0.2105263157894737</v>
      </c>
      <c r="AQ474" s="23">
        <v>0.46153846153846162</v>
      </c>
      <c r="AR474" s="23">
        <v>0.43076923076923068</v>
      </c>
      <c r="AS474" s="23">
        <v>4.6153846153846149E-2</v>
      </c>
      <c r="AT474" s="23">
        <v>6.1538461538461528E-2</v>
      </c>
      <c r="AU474" s="20">
        <v>1.1399999999999999</v>
      </c>
      <c r="AV474" s="20">
        <v>3.44</v>
      </c>
      <c r="AW474" s="20">
        <v>2.2999999999999998</v>
      </c>
      <c r="AX474" s="20">
        <v>2.5063157894736841</v>
      </c>
      <c r="AY474">
        <v>2.5063157894736841</v>
      </c>
      <c r="AZ474">
        <v>6.6132852127267361</v>
      </c>
      <c r="BD474">
        <v>2.67766534747832E-2</v>
      </c>
      <c r="BH474">
        <v>5.3553306949566393E-2</v>
      </c>
      <c r="BI474">
        <v>2.67766534747832E-2</v>
      </c>
      <c r="BJ474">
        <v>0</v>
      </c>
    </row>
    <row r="475" spans="1:62" x14ac:dyDescent="0.3">
      <c r="A475" t="s">
        <v>1133</v>
      </c>
      <c r="B475" s="17" t="s">
        <v>1055</v>
      </c>
      <c r="C475" s="12"/>
      <c r="F475">
        <v>3.36</v>
      </c>
      <c r="G475" t="s">
        <v>380</v>
      </c>
      <c r="H475" s="8">
        <v>-1</v>
      </c>
      <c r="I475">
        <v>-1</v>
      </c>
      <c r="K475">
        <v>1</v>
      </c>
      <c r="L475" s="20">
        <v>0</v>
      </c>
      <c r="M475">
        <v>0</v>
      </c>
      <c r="N475">
        <v>0</v>
      </c>
      <c r="O475">
        <v>3.74</v>
      </c>
      <c r="P475">
        <v>3.74</v>
      </c>
      <c r="Q475">
        <v>30.8</v>
      </c>
      <c r="R475" t="s">
        <v>519</v>
      </c>
      <c r="S475">
        <v>30.8</v>
      </c>
      <c r="T475" s="20">
        <v>0</v>
      </c>
      <c r="W475">
        <v>0</v>
      </c>
      <c r="Z475">
        <v>0</v>
      </c>
      <c r="AD475">
        <v>22</v>
      </c>
      <c r="AE475" s="44">
        <f t="shared" si="30"/>
        <v>430.81808000000007</v>
      </c>
      <c r="AF475" s="46">
        <v>0</v>
      </c>
      <c r="AG475" s="44">
        <v>0</v>
      </c>
      <c r="AH475" s="44">
        <v>0</v>
      </c>
      <c r="AI475" s="41">
        <f t="shared" si="29"/>
        <v>5.1065637728110194E-2</v>
      </c>
      <c r="AJ475" s="41"/>
      <c r="AK475" s="41"/>
      <c r="AL475" s="41"/>
      <c r="AM475" s="23">
        <v>1.545454545454545</v>
      </c>
      <c r="AN475" s="23">
        <v>1.363636363636364</v>
      </c>
      <c r="AO475" s="23">
        <v>0.13636363636363641</v>
      </c>
      <c r="AP475" s="23">
        <v>0.1818181818181818</v>
      </c>
      <c r="AQ475" s="23">
        <v>0.47887323943661969</v>
      </c>
      <c r="AR475" s="23">
        <v>0.42253521126760563</v>
      </c>
      <c r="AS475" s="23">
        <v>4.2253521126760563E-2</v>
      </c>
      <c r="AT475" s="23">
        <v>5.6338028169014093E-2</v>
      </c>
      <c r="AU475" s="20">
        <v>1.1399999999999999</v>
      </c>
      <c r="AV475" s="20">
        <v>3.44</v>
      </c>
      <c r="AW475" s="20">
        <v>2.2999999999999998</v>
      </c>
      <c r="AX475" s="20">
        <v>2.4804545454545459</v>
      </c>
      <c r="AY475">
        <v>2.480454545454545</v>
      </c>
      <c r="AZ475">
        <v>6.6484842021595449</v>
      </c>
      <c r="BD475">
        <v>2.5532818864055101E-2</v>
      </c>
      <c r="BH475">
        <v>5.1065637728110187E-2</v>
      </c>
      <c r="BI475">
        <v>2.5532818864055101E-2</v>
      </c>
      <c r="BJ475">
        <v>0</v>
      </c>
    </row>
    <row r="476" spans="1:62" x14ac:dyDescent="0.3">
      <c r="A476" s="1" t="s">
        <v>394</v>
      </c>
      <c r="B476" s="17" t="s">
        <v>1056</v>
      </c>
      <c r="C476" s="12"/>
      <c r="F476">
        <v>3.29</v>
      </c>
      <c r="G476" t="s">
        <v>393</v>
      </c>
      <c r="H476" s="8">
        <v>-1</v>
      </c>
      <c r="I476">
        <v>-1</v>
      </c>
      <c r="J476" t="s">
        <v>1243</v>
      </c>
      <c r="K476">
        <v>1</v>
      </c>
      <c r="L476" s="20">
        <v>0</v>
      </c>
      <c r="M476">
        <v>0</v>
      </c>
      <c r="N476">
        <v>0</v>
      </c>
      <c r="O476">
        <v>3.85</v>
      </c>
      <c r="P476">
        <v>3.85</v>
      </c>
      <c r="Q476">
        <v>21.37</v>
      </c>
      <c r="R476" t="s">
        <v>1131</v>
      </c>
      <c r="T476" s="20">
        <v>0</v>
      </c>
      <c r="W476">
        <v>0</v>
      </c>
      <c r="Z476">
        <v>0</v>
      </c>
      <c r="AD476">
        <v>26</v>
      </c>
      <c r="AE476" s="44">
        <f t="shared" si="30"/>
        <v>316.75682500000005</v>
      </c>
      <c r="AF476" s="46">
        <v>0</v>
      </c>
      <c r="AG476" s="44">
        <v>0</v>
      </c>
      <c r="AH476" s="44">
        <v>0</v>
      </c>
      <c r="AI476" s="41">
        <f t="shared" si="29"/>
        <v>8.2081893578772921E-2</v>
      </c>
      <c r="AJ476" s="41"/>
      <c r="AK476" s="41"/>
      <c r="AL476" s="41"/>
      <c r="AM476" s="23">
        <v>1.791666666666667</v>
      </c>
      <c r="AN476" s="23">
        <v>2.416666666666667</v>
      </c>
      <c r="AO476" s="23">
        <v>1.166666666666667</v>
      </c>
      <c r="AP476" s="23">
        <v>1.166666666666667</v>
      </c>
      <c r="AQ476" s="23">
        <v>0.27388535031847128</v>
      </c>
      <c r="AR476" s="23">
        <v>0.36942675159235672</v>
      </c>
      <c r="AS476" s="23">
        <v>0.178343949044586</v>
      </c>
      <c r="AT476" s="23">
        <v>0.178343949044586</v>
      </c>
      <c r="AU476" s="20">
        <v>0.82</v>
      </c>
      <c r="AV476" s="20">
        <v>3.44</v>
      </c>
      <c r="AW476" s="20">
        <v>2.62</v>
      </c>
      <c r="AX476" s="20">
        <v>2.689166666666666</v>
      </c>
      <c r="AY476">
        <v>2.6891666666666669</v>
      </c>
      <c r="AZ476">
        <v>6.2990365295585002</v>
      </c>
      <c r="BC476" s="64">
        <v>0</v>
      </c>
      <c r="BD476">
        <v>4.1040946789386461E-2</v>
      </c>
      <c r="BH476">
        <v>8.2081893578772921E-2</v>
      </c>
      <c r="BI476">
        <v>4.1040946789386461E-2</v>
      </c>
      <c r="BJ476">
        <v>0</v>
      </c>
    </row>
    <row r="477" spans="1:62" x14ac:dyDescent="0.3">
      <c r="A477" s="4" t="s">
        <v>395</v>
      </c>
      <c r="B477" s="33" t="s">
        <v>1057</v>
      </c>
      <c r="C477" s="29"/>
      <c r="D477" s="4"/>
      <c r="E477" s="4"/>
      <c r="F477" s="4">
        <v>3.17</v>
      </c>
      <c r="G477" s="4" t="s">
        <v>393</v>
      </c>
      <c r="H477" s="30">
        <v>-2</v>
      </c>
      <c r="I477" s="4">
        <v>-1</v>
      </c>
      <c r="J477" s="4"/>
      <c r="K477" s="4">
        <v>1</v>
      </c>
      <c r="L477" s="31">
        <v>0</v>
      </c>
      <c r="M477">
        <v>0</v>
      </c>
      <c r="N477">
        <v>0</v>
      </c>
      <c r="O477">
        <v>3.85</v>
      </c>
      <c r="P477">
        <v>3.85</v>
      </c>
      <c r="Q477" s="4">
        <v>21.88</v>
      </c>
      <c r="R477" s="4"/>
      <c r="S477" s="4"/>
      <c r="T477" s="31">
        <v>0</v>
      </c>
      <c r="U477" s="4"/>
      <c r="V477" s="4"/>
      <c r="W477">
        <v>0</v>
      </c>
      <c r="Z477">
        <v>0</v>
      </c>
      <c r="AC477" s="4"/>
      <c r="AD477" s="4">
        <v>26</v>
      </c>
      <c r="AE477" s="44">
        <f t="shared" si="30"/>
        <v>324.31630000000001</v>
      </c>
      <c r="AF477" s="46">
        <v>0</v>
      </c>
      <c r="AG477" s="44">
        <v>0</v>
      </c>
      <c r="AH477" s="44">
        <v>0</v>
      </c>
      <c r="AI477" s="41">
        <f t="shared" si="29"/>
        <v>8.0168650172686359E-2</v>
      </c>
      <c r="AJ477" s="41"/>
      <c r="AK477" s="41"/>
      <c r="AL477" s="41"/>
      <c r="AM477" s="4">
        <v>1.7272727272727271</v>
      </c>
      <c r="AN477" s="4">
        <v>2.1818181818181821</v>
      </c>
      <c r="AO477" s="4">
        <v>1.0181818181818181</v>
      </c>
      <c r="AP477" s="4">
        <v>1.0181818181818181</v>
      </c>
      <c r="AQ477" s="4">
        <v>0.29051987767584098</v>
      </c>
      <c r="AR477" s="4">
        <v>0.36697247706422009</v>
      </c>
      <c r="AS477" s="4">
        <v>0.17125382262996941</v>
      </c>
      <c r="AT477" s="4">
        <v>0.17125382262996941</v>
      </c>
      <c r="AU477" s="31">
        <v>0.82</v>
      </c>
      <c r="AV477" s="31">
        <v>3.44</v>
      </c>
      <c r="AW477" s="31">
        <v>2.62</v>
      </c>
      <c r="AX477" s="31">
        <v>2.6647272727272728</v>
      </c>
      <c r="AY477" s="4">
        <v>2.6647272727272728</v>
      </c>
      <c r="AZ477" s="4">
        <v>6.4638943890893454</v>
      </c>
      <c r="BD477">
        <v>4.008432508634318E-2</v>
      </c>
      <c r="BH477">
        <v>8.0168650172686359E-2</v>
      </c>
      <c r="BI477">
        <v>4.008432508634318E-2</v>
      </c>
      <c r="BJ477">
        <v>0</v>
      </c>
    </row>
    <row r="478" spans="1:62" x14ac:dyDescent="0.3">
      <c r="A478" s="4" t="s">
        <v>396</v>
      </c>
      <c r="B478" s="33" t="s">
        <v>1058</v>
      </c>
      <c r="C478" s="29"/>
      <c r="D478" s="4"/>
      <c r="E478" s="4"/>
      <c r="F478" s="4">
        <v>3.19</v>
      </c>
      <c r="G478" s="4" t="s">
        <v>393</v>
      </c>
      <c r="H478" s="30">
        <v>-2</v>
      </c>
      <c r="I478" s="4">
        <v>-1</v>
      </c>
      <c r="J478" s="4"/>
      <c r="K478" s="4">
        <v>1</v>
      </c>
      <c r="L478" s="31">
        <v>0</v>
      </c>
      <c r="M478">
        <v>0</v>
      </c>
      <c r="N478">
        <v>0</v>
      </c>
      <c r="O478">
        <v>3.85</v>
      </c>
      <c r="P478">
        <v>3.85</v>
      </c>
      <c r="Q478" s="4">
        <v>23.3</v>
      </c>
      <c r="R478" s="4"/>
      <c r="S478" s="4"/>
      <c r="T478" s="31">
        <v>0</v>
      </c>
      <c r="U478" s="4"/>
      <c r="V478" s="4"/>
      <c r="W478">
        <v>0</v>
      </c>
      <c r="Z478">
        <v>0</v>
      </c>
      <c r="AC478" s="4"/>
      <c r="AD478" s="4">
        <v>26</v>
      </c>
      <c r="AE478" s="44">
        <f t="shared" si="30"/>
        <v>345.36425000000003</v>
      </c>
      <c r="AF478" s="46">
        <v>0</v>
      </c>
      <c r="AG478" s="44">
        <v>0</v>
      </c>
      <c r="AH478" s="44">
        <v>0</v>
      </c>
      <c r="AI478" s="41">
        <f t="shared" si="29"/>
        <v>7.5282835441132068E-2</v>
      </c>
      <c r="AJ478" s="41"/>
      <c r="AK478" s="41"/>
      <c r="AL478" s="41"/>
      <c r="AM478" s="4">
        <v>1.693548387096774</v>
      </c>
      <c r="AN478" s="4">
        <v>2.0483870967741939</v>
      </c>
      <c r="AO478" s="4">
        <v>1.064516129032258</v>
      </c>
      <c r="AP478" s="4">
        <v>1.129032258064516</v>
      </c>
      <c r="AQ478" s="4">
        <v>0.28532608695652167</v>
      </c>
      <c r="AR478" s="4">
        <v>0.34510869565217389</v>
      </c>
      <c r="AS478" s="4">
        <v>0.17934782608695651</v>
      </c>
      <c r="AT478" s="4">
        <v>0.19021739130434781</v>
      </c>
      <c r="AU478" s="31">
        <v>0.82</v>
      </c>
      <c r="AV478" s="31">
        <v>3.44</v>
      </c>
      <c r="AW478" s="31">
        <v>2.62</v>
      </c>
      <c r="AX478" s="31">
        <v>2.620645161290323</v>
      </c>
      <c r="AY478" s="4">
        <v>2.620645161290323</v>
      </c>
      <c r="AZ478" s="4">
        <v>6.4654289883277096</v>
      </c>
      <c r="BD478">
        <v>3.7641417720566027E-2</v>
      </c>
      <c r="BH478">
        <v>7.5282835441132068E-2</v>
      </c>
      <c r="BI478">
        <v>3.7641417720566027E-2</v>
      </c>
      <c r="BJ478">
        <v>0</v>
      </c>
    </row>
    <row r="479" spans="1:62" x14ac:dyDescent="0.3">
      <c r="A479" s="4" t="s">
        <v>397</v>
      </c>
      <c r="B479" s="33" t="s">
        <v>1059</v>
      </c>
      <c r="C479" s="29"/>
      <c r="D479" s="4"/>
      <c r="E479" s="4"/>
      <c r="F479" s="4">
        <v>3.19</v>
      </c>
      <c r="G479" s="4" t="s">
        <v>393</v>
      </c>
      <c r="H479" s="30">
        <v>-2</v>
      </c>
      <c r="I479" s="4">
        <v>-1</v>
      </c>
      <c r="J479" s="4"/>
      <c r="K479" s="4">
        <v>1</v>
      </c>
      <c r="L479" s="31">
        <v>0</v>
      </c>
      <c r="M479">
        <v>0</v>
      </c>
      <c r="N479">
        <v>0</v>
      </c>
      <c r="O479">
        <v>3.85</v>
      </c>
      <c r="P479">
        <v>3.85</v>
      </c>
      <c r="Q479" s="4">
        <v>25.26</v>
      </c>
      <c r="R479" s="4"/>
      <c r="S479" s="4"/>
      <c r="T479" s="31">
        <v>0</v>
      </c>
      <c r="U479" s="31"/>
      <c r="V479" s="31"/>
      <c r="W479">
        <v>0</v>
      </c>
      <c r="Z479">
        <v>0</v>
      </c>
      <c r="AC479" s="4"/>
      <c r="AD479" s="4">
        <v>26</v>
      </c>
      <c r="AE479" s="44">
        <f t="shared" si="30"/>
        <v>374.41635000000008</v>
      </c>
      <c r="AF479" s="46">
        <v>0</v>
      </c>
      <c r="AG479" s="44">
        <v>0</v>
      </c>
      <c r="AH479" s="44">
        <v>0</v>
      </c>
      <c r="AI479" s="41">
        <f t="shared" si="29"/>
        <v>6.9441411946887452E-2</v>
      </c>
      <c r="AJ479" s="40"/>
      <c r="AK479" s="41"/>
      <c r="AL479" s="41"/>
      <c r="AM479" s="4">
        <v>1.661764705882353</v>
      </c>
      <c r="AN479" s="4">
        <v>1.9264705882352939</v>
      </c>
      <c r="AO479" s="4">
        <v>0.97058823529411764</v>
      </c>
      <c r="AP479" s="4">
        <v>1.029411764705882</v>
      </c>
      <c r="AQ479" s="4">
        <v>0.29736842105263162</v>
      </c>
      <c r="AR479" s="4">
        <v>0.34473684210526317</v>
      </c>
      <c r="AS479" s="4">
        <v>0.1736842105263158</v>
      </c>
      <c r="AT479" s="4">
        <v>0.18421052631578949</v>
      </c>
      <c r="AU479" s="31">
        <v>0.82</v>
      </c>
      <c r="AV479" s="31">
        <v>3.44</v>
      </c>
      <c r="AW479" s="31">
        <v>2.62</v>
      </c>
      <c r="AX479" s="31">
        <v>2.5938235294117651</v>
      </c>
      <c r="AY479" s="4">
        <v>2.5938235294117651</v>
      </c>
      <c r="AZ479" s="4">
        <v>6.5012509424665001</v>
      </c>
      <c r="BD479">
        <v>3.4720705973443733E-2</v>
      </c>
      <c r="BH479">
        <v>6.9441411946887452E-2</v>
      </c>
      <c r="BI479">
        <v>3.4720705973443733E-2</v>
      </c>
      <c r="BJ479">
        <v>0</v>
      </c>
    </row>
    <row r="480" spans="1:62" x14ac:dyDescent="0.3">
      <c r="A480" s="4" t="s">
        <v>398</v>
      </c>
      <c r="B480" s="33" t="s">
        <v>1060</v>
      </c>
      <c r="C480" s="29"/>
      <c r="D480" s="4"/>
      <c r="E480" s="4"/>
      <c r="F480" s="4">
        <v>3.17</v>
      </c>
      <c r="G480" s="4" t="s">
        <v>393</v>
      </c>
      <c r="H480" s="30">
        <v>-2</v>
      </c>
      <c r="I480" s="4">
        <v>-1</v>
      </c>
      <c r="J480" s="4"/>
      <c r="K480" s="4">
        <v>1</v>
      </c>
      <c r="L480" s="31">
        <v>0</v>
      </c>
      <c r="M480">
        <v>0</v>
      </c>
      <c r="N480">
        <v>0</v>
      </c>
      <c r="O480">
        <v>3.85</v>
      </c>
      <c r="P480">
        <v>3.85</v>
      </c>
      <c r="Q480" s="4">
        <v>27.23</v>
      </c>
      <c r="R480" s="4"/>
      <c r="S480" s="4"/>
      <c r="T480" s="31">
        <v>0</v>
      </c>
      <c r="U480" s="31"/>
      <c r="V480" s="31"/>
      <c r="W480">
        <v>0</v>
      </c>
      <c r="Z480">
        <v>0</v>
      </c>
      <c r="AC480" s="4"/>
      <c r="AD480" s="4">
        <v>26</v>
      </c>
      <c r="AE480" s="44">
        <f t="shared" si="30"/>
        <v>403.61667500000004</v>
      </c>
      <c r="AF480" s="46">
        <v>0</v>
      </c>
      <c r="AG480" s="44">
        <v>0</v>
      </c>
      <c r="AH480" s="44">
        <v>0</v>
      </c>
      <c r="AI480" s="41">
        <f t="shared" si="29"/>
        <v>6.4417556583855201E-2</v>
      </c>
      <c r="AJ480" s="40"/>
      <c r="AK480" s="41"/>
      <c r="AL480" s="41"/>
      <c r="AM480" s="4">
        <v>1.6351351351351351</v>
      </c>
      <c r="AN480" s="4">
        <v>1.8243243243243239</v>
      </c>
      <c r="AO480" s="4">
        <v>0.89189189189189189</v>
      </c>
      <c r="AP480" s="4">
        <v>0.94594594594594594</v>
      </c>
      <c r="AQ480" s="4">
        <v>0.30867346938775508</v>
      </c>
      <c r="AR480" s="4">
        <v>0.34438775510204078</v>
      </c>
      <c r="AS480" s="4">
        <v>0.1683673469387755</v>
      </c>
      <c r="AT480" s="4">
        <v>0.1785714285714286</v>
      </c>
      <c r="AU480" s="31">
        <v>0.82</v>
      </c>
      <c r="AV480" s="31">
        <v>3.44</v>
      </c>
      <c r="AW480" s="31">
        <v>2.62</v>
      </c>
      <c r="AX480" s="31">
        <v>2.5713513513513511</v>
      </c>
      <c r="AY480" s="4">
        <v>2.571351351351352</v>
      </c>
      <c r="AZ480" s="4">
        <v>6.5312639310692706</v>
      </c>
      <c r="BD480">
        <v>3.2208778291927601E-2</v>
      </c>
      <c r="BH480">
        <v>6.4417556583855201E-2</v>
      </c>
      <c r="BI480">
        <v>3.2208778291927601E-2</v>
      </c>
      <c r="BJ480">
        <v>0</v>
      </c>
    </row>
    <row r="481" spans="1:62" x14ac:dyDescent="0.3">
      <c r="A481" s="4" t="s">
        <v>399</v>
      </c>
      <c r="B481" s="33" t="s">
        <v>1061</v>
      </c>
      <c r="C481" s="29"/>
      <c r="D481" s="4"/>
      <c r="E481" s="4"/>
      <c r="F481" s="4">
        <v>3.15</v>
      </c>
      <c r="G481" s="4" t="s">
        <v>393</v>
      </c>
      <c r="H481" s="30">
        <v>-2</v>
      </c>
      <c r="I481" s="4">
        <v>-1</v>
      </c>
      <c r="J481" s="4"/>
      <c r="K481" s="4">
        <v>1</v>
      </c>
      <c r="L481" s="31">
        <v>0</v>
      </c>
      <c r="M481">
        <v>0</v>
      </c>
      <c r="N481">
        <v>0</v>
      </c>
      <c r="O481">
        <v>3.85</v>
      </c>
      <c r="P481">
        <v>3.85</v>
      </c>
      <c r="Q481" s="4">
        <v>33.19</v>
      </c>
      <c r="R481" s="4"/>
      <c r="S481" s="4"/>
      <c r="T481" s="31">
        <v>0</v>
      </c>
      <c r="U481" s="31"/>
      <c r="V481" s="31"/>
      <c r="W481">
        <v>0</v>
      </c>
      <c r="Z481">
        <v>0</v>
      </c>
      <c r="AC481" s="4"/>
      <c r="AD481" s="4">
        <v>26</v>
      </c>
      <c r="AE481" s="44">
        <f t="shared" si="30"/>
        <v>491.958775</v>
      </c>
      <c r="AF481" s="46">
        <v>0</v>
      </c>
      <c r="AG481" s="44">
        <v>0</v>
      </c>
      <c r="AH481" s="44">
        <v>0</v>
      </c>
      <c r="AI481" s="41">
        <f t="shared" si="29"/>
        <v>5.2849956787537733E-2</v>
      </c>
      <c r="AJ481" s="40"/>
      <c r="AK481" s="41"/>
      <c r="AL481" s="41"/>
      <c r="AM481" s="4">
        <v>1.593023255813953</v>
      </c>
      <c r="AN481" s="4">
        <v>1.6627906976744189</v>
      </c>
      <c r="AO481" s="4">
        <v>0.76744186046511631</v>
      </c>
      <c r="AP481" s="4">
        <v>0.81395348837209303</v>
      </c>
      <c r="AQ481" s="4">
        <v>0.32932692307692307</v>
      </c>
      <c r="AR481" s="4">
        <v>0.34375000000000011</v>
      </c>
      <c r="AS481" s="4">
        <v>0.1586538461538462</v>
      </c>
      <c r="AT481" s="4">
        <v>0.16826923076923081</v>
      </c>
      <c r="AU481" s="31">
        <v>0.82</v>
      </c>
      <c r="AV481" s="31">
        <v>3.44</v>
      </c>
      <c r="AW481" s="31">
        <v>2.62</v>
      </c>
      <c r="AX481" s="31">
        <v>2.5358139534883719</v>
      </c>
      <c r="AY481" s="4">
        <v>2.5358139534883719</v>
      </c>
      <c r="AZ481" s="4">
        <v>6.5787263316503957</v>
      </c>
      <c r="BD481">
        <v>2.642497839376887E-2</v>
      </c>
      <c r="BH481">
        <v>5.2849956787537733E-2</v>
      </c>
      <c r="BI481">
        <v>2.642497839376887E-2</v>
      </c>
      <c r="BJ481">
        <v>0</v>
      </c>
    </row>
    <row r="482" spans="1:62" x14ac:dyDescent="0.3">
      <c r="A482" s="4" t="s">
        <v>400</v>
      </c>
      <c r="B482" s="33" t="s">
        <v>1062</v>
      </c>
      <c r="C482" s="29"/>
      <c r="D482" s="4"/>
      <c r="E482" s="4"/>
      <c r="F482" s="4">
        <v>3.15</v>
      </c>
      <c r="G482" s="4" t="s">
        <v>393</v>
      </c>
      <c r="H482" s="38">
        <v>-2</v>
      </c>
      <c r="I482" s="4">
        <v>-1</v>
      </c>
      <c r="J482" s="4"/>
      <c r="K482" s="4">
        <v>1</v>
      </c>
      <c r="L482" s="31">
        <v>0</v>
      </c>
      <c r="M482">
        <v>0</v>
      </c>
      <c r="N482">
        <v>0</v>
      </c>
      <c r="O482">
        <v>3.85</v>
      </c>
      <c r="P482">
        <v>3.85</v>
      </c>
      <c r="Q482" s="4">
        <v>38.67</v>
      </c>
      <c r="R482" s="4"/>
      <c r="S482" s="4"/>
      <c r="T482" s="31">
        <v>0</v>
      </c>
      <c r="U482" s="31"/>
      <c r="V482" s="31"/>
      <c r="W482">
        <v>0</v>
      </c>
      <c r="Z482">
        <v>0</v>
      </c>
      <c r="AC482" s="4"/>
      <c r="AD482" s="4">
        <v>26</v>
      </c>
      <c r="AE482" s="44">
        <f t="shared" si="30"/>
        <v>573.18607500000007</v>
      </c>
      <c r="AF482" s="46">
        <v>0</v>
      </c>
      <c r="AG482" s="44">
        <v>0</v>
      </c>
      <c r="AH482" s="44">
        <v>0</v>
      </c>
      <c r="AI482" s="41">
        <f t="shared" si="29"/>
        <v>4.5360487866004065E-2</v>
      </c>
      <c r="AJ482" s="40"/>
      <c r="AK482" s="41"/>
      <c r="AL482" s="41"/>
      <c r="AM482" s="4">
        <v>1.561224489795918</v>
      </c>
      <c r="AN482" s="4">
        <v>1.5408163265306121</v>
      </c>
      <c r="AO482" s="4">
        <v>0.67346938775510201</v>
      </c>
      <c r="AP482" s="4">
        <v>0.7142857142857143</v>
      </c>
      <c r="AQ482" s="4">
        <v>0.34772727272727277</v>
      </c>
      <c r="AR482" s="4">
        <v>0.3431818181818182</v>
      </c>
      <c r="AS482" s="4">
        <v>0.15</v>
      </c>
      <c r="AT482" s="4">
        <v>0.15909090909090909</v>
      </c>
      <c r="AU482" s="31">
        <v>0.82</v>
      </c>
      <c r="AV482" s="31">
        <v>3.44</v>
      </c>
      <c r="AW482" s="31">
        <v>2.62</v>
      </c>
      <c r="AX482" s="31">
        <v>2.5089795918367348</v>
      </c>
      <c r="AY482" s="4">
        <v>2.5089795918367348</v>
      </c>
      <c r="AZ482" s="4">
        <v>6.6145652871912439</v>
      </c>
      <c r="BD482">
        <v>2.2680243933002029E-2</v>
      </c>
      <c r="BH482">
        <v>4.5360487866004072E-2</v>
      </c>
      <c r="BI482">
        <v>2.2680243933002029E-2</v>
      </c>
      <c r="BJ482">
        <v>0</v>
      </c>
    </row>
    <row r="483" spans="1:62" x14ac:dyDescent="0.3">
      <c r="A483" t="s">
        <v>381</v>
      </c>
      <c r="B483" s="12" t="s">
        <v>838</v>
      </c>
      <c r="C483" s="12"/>
      <c r="F483">
        <v>3.46</v>
      </c>
      <c r="G483" t="s">
        <v>401</v>
      </c>
      <c r="H483" s="8">
        <v>-1</v>
      </c>
      <c r="I483">
        <v>-1</v>
      </c>
      <c r="K483">
        <v>2</v>
      </c>
      <c r="L483" s="20">
        <v>0</v>
      </c>
      <c r="M483">
        <v>0</v>
      </c>
      <c r="N483">
        <v>0</v>
      </c>
      <c r="O483">
        <v>3.7829999999999999</v>
      </c>
      <c r="P483">
        <v>3.7829999999999999</v>
      </c>
      <c r="Q483">
        <v>27.18</v>
      </c>
      <c r="R483" t="s">
        <v>1131</v>
      </c>
      <c r="T483" s="20">
        <v>0</v>
      </c>
      <c r="U483" s="20"/>
      <c r="V483" s="20"/>
      <c r="W483">
        <v>0</v>
      </c>
      <c r="Z483">
        <v>0</v>
      </c>
      <c r="AD483">
        <v>20</v>
      </c>
      <c r="AE483" s="44">
        <f t="shared" si="30"/>
        <v>388.97539902</v>
      </c>
      <c r="AF483" s="46">
        <v>0</v>
      </c>
      <c r="AG483" s="44">
        <v>0</v>
      </c>
      <c r="AH483" s="44">
        <v>0</v>
      </c>
      <c r="AI483" s="41">
        <f t="shared" si="29"/>
        <v>0.10283426689908304</v>
      </c>
      <c r="AJ483" s="40"/>
      <c r="AK483" s="41"/>
      <c r="AL483" s="41"/>
      <c r="AM483" s="23">
        <v>1.882352941176471</v>
      </c>
      <c r="AN483" s="23">
        <v>2.3529411764705879</v>
      </c>
      <c r="AO483" s="23">
        <v>0.35294117647058831</v>
      </c>
      <c r="AP483" s="23">
        <v>0.47058823529411759</v>
      </c>
      <c r="AQ483" s="23">
        <v>0.37209302325581389</v>
      </c>
      <c r="AR483" s="23">
        <v>0.46511627906976749</v>
      </c>
      <c r="AS483" s="23">
        <v>6.9767441860465129E-2</v>
      </c>
      <c r="AT483" s="23">
        <v>9.3023255813953487E-2</v>
      </c>
      <c r="AU483" s="20">
        <v>1.1399999999999999</v>
      </c>
      <c r="AV483" s="20">
        <v>3.44</v>
      </c>
      <c r="AW483" s="20">
        <v>2.2999999999999998</v>
      </c>
      <c r="AX483" s="20">
        <v>2.6882352941176468</v>
      </c>
      <c r="AY483">
        <v>2.6882352941176468</v>
      </c>
      <c r="AZ483">
        <v>6.2192249941001183</v>
      </c>
      <c r="BD483">
        <v>5.1417133449541519E-2</v>
      </c>
      <c r="BH483">
        <v>0.102834266899083</v>
      </c>
      <c r="BI483">
        <v>5.1417133449541519E-2</v>
      </c>
      <c r="BJ483">
        <v>0</v>
      </c>
    </row>
    <row r="484" spans="1:62" x14ac:dyDescent="0.3">
      <c r="A484" t="s">
        <v>385</v>
      </c>
      <c r="B484" s="17" t="s">
        <v>1063</v>
      </c>
      <c r="C484" s="12"/>
      <c r="F484">
        <v>3.58</v>
      </c>
      <c r="G484" t="s">
        <v>401</v>
      </c>
      <c r="H484" s="8">
        <v>-1</v>
      </c>
      <c r="I484">
        <v>-1</v>
      </c>
      <c r="K484">
        <v>1</v>
      </c>
      <c r="L484" s="20">
        <v>0</v>
      </c>
      <c r="M484">
        <v>0</v>
      </c>
      <c r="N484">
        <v>0</v>
      </c>
      <c r="O484">
        <v>3.802</v>
      </c>
      <c r="P484">
        <v>3.802</v>
      </c>
      <c r="Q484">
        <v>24.7</v>
      </c>
      <c r="R484" t="s">
        <v>439</v>
      </c>
      <c r="T484" s="20">
        <v>0</v>
      </c>
      <c r="U484" s="20"/>
      <c r="V484" s="20"/>
      <c r="W484">
        <v>0</v>
      </c>
      <c r="Z484">
        <v>0</v>
      </c>
      <c r="AD484">
        <v>20</v>
      </c>
      <c r="AE484" s="44">
        <f t="shared" si="30"/>
        <v>357.04353880000002</v>
      </c>
      <c r="AF484" s="46">
        <v>0</v>
      </c>
      <c r="AG484" s="44">
        <v>0</v>
      </c>
      <c r="AH484" s="44">
        <v>0</v>
      </c>
      <c r="AI484" s="41">
        <f t="shared" si="29"/>
        <v>5.6015577448113731E-2</v>
      </c>
      <c r="AJ484" s="40"/>
      <c r="AK484" s="41"/>
      <c r="AL484" s="41"/>
      <c r="AM484" s="23">
        <v>1.606060606060606</v>
      </c>
      <c r="AN484" s="23">
        <v>1.545454545454545</v>
      </c>
      <c r="AO484" s="23">
        <v>0.1818181818181818</v>
      </c>
      <c r="AP484" s="23">
        <v>0.2424242424242424</v>
      </c>
      <c r="AQ484" s="23">
        <v>0.44915254237288132</v>
      </c>
      <c r="AR484" s="23">
        <v>0.43220338983050849</v>
      </c>
      <c r="AS484" s="23">
        <v>5.0847457627118647E-2</v>
      </c>
      <c r="AT484" s="23">
        <v>6.7796610169491525E-2</v>
      </c>
      <c r="AU484" s="20">
        <v>1.1399999999999999</v>
      </c>
      <c r="AV484" s="20">
        <v>3.44</v>
      </c>
      <c r="AW484" s="20">
        <v>2.2999999999999998</v>
      </c>
      <c r="AX484" s="20">
        <v>2.51939393939394</v>
      </c>
      <c r="AY484">
        <v>2.51939393939394</v>
      </c>
      <c r="AZ484">
        <v>6.5741021946079687</v>
      </c>
      <c r="BD484">
        <v>2.8007788724056869E-2</v>
      </c>
      <c r="BH484">
        <v>5.6015577448113731E-2</v>
      </c>
      <c r="BI484">
        <v>2.8007788724056869E-2</v>
      </c>
      <c r="BJ484">
        <v>0</v>
      </c>
    </row>
    <row r="485" spans="1:62" x14ac:dyDescent="0.3">
      <c r="A485" t="s">
        <v>51</v>
      </c>
      <c r="B485" s="12" t="s">
        <v>703</v>
      </c>
      <c r="C485" s="12"/>
      <c r="F485">
        <v>5.5</v>
      </c>
      <c r="G485" t="s">
        <v>52</v>
      </c>
      <c r="H485" s="59" t="s">
        <v>536</v>
      </c>
      <c r="I485" t="s">
        <v>617</v>
      </c>
      <c r="L485" s="20">
        <v>1</v>
      </c>
      <c r="M485">
        <v>4</v>
      </c>
      <c r="N485">
        <v>0</v>
      </c>
      <c r="O485">
        <v>-1</v>
      </c>
      <c r="T485" s="20">
        <v>12.88926011</v>
      </c>
      <c r="U485" s="20">
        <v>12.88926011</v>
      </c>
      <c r="V485" s="20">
        <v>12.88926011</v>
      </c>
      <c r="W485">
        <v>5.5223699999999996</v>
      </c>
      <c r="X485">
        <v>5.5240799999999997</v>
      </c>
      <c r="Y485">
        <v>25.026399999999999</v>
      </c>
      <c r="Z485">
        <v>0</v>
      </c>
      <c r="AD485">
        <v>18</v>
      </c>
      <c r="AE485" s="44">
        <f t="shared" si="30"/>
        <v>0</v>
      </c>
      <c r="AF485" s="46">
        <v>195.03203980213701</v>
      </c>
      <c r="AG485" s="44">
        <v>763.45570050087724</v>
      </c>
      <c r="AH485" s="44">
        <v>0</v>
      </c>
      <c r="AI485" s="41"/>
      <c r="AJ485" s="40">
        <v>9.2292528029042184E-2</v>
      </c>
      <c r="AK485" s="41">
        <v>9.4308025930991482E-2</v>
      </c>
      <c r="AL485" s="41"/>
      <c r="AM485" s="23">
        <v>2</v>
      </c>
      <c r="AN485" s="23">
        <v>3</v>
      </c>
      <c r="AO485" s="23">
        <v>1.857142857142857</v>
      </c>
      <c r="AP485" s="23">
        <v>4</v>
      </c>
      <c r="AQ485" s="23">
        <v>0.18421052631578949</v>
      </c>
      <c r="AR485" s="23">
        <v>0.27631578947368418</v>
      </c>
      <c r="AS485" s="23">
        <v>0.1710526315789474</v>
      </c>
      <c r="AT485" s="23">
        <v>0.36842105263157893</v>
      </c>
      <c r="AU485" s="20">
        <v>0.95</v>
      </c>
      <c r="AV485" s="20">
        <v>3.44</v>
      </c>
      <c r="AW485" s="20">
        <v>2.4900000000000002</v>
      </c>
      <c r="AX485" s="20">
        <v>2.782142857142857</v>
      </c>
      <c r="AY485">
        <v>2.7821428571428579</v>
      </c>
      <c r="AZ485">
        <v>6.2021612289285706</v>
      </c>
      <c r="BA485" s="64">
        <v>0.52524560229640982</v>
      </c>
      <c r="BB485" s="64">
        <v>0.53671599358424449</v>
      </c>
      <c r="BE485">
        <v>4.6146264014521092E-2</v>
      </c>
      <c r="BF485">
        <v>4.7154012965495741E-2</v>
      </c>
      <c r="BH485">
        <v>9.3300276980016833E-2</v>
      </c>
      <c r="BI485">
        <v>4.6650138490008423E-2</v>
      </c>
      <c r="BJ485">
        <v>0.53098079794032715</v>
      </c>
    </row>
    <row r="486" spans="1:62" x14ac:dyDescent="0.3">
      <c r="A486" t="s">
        <v>403</v>
      </c>
      <c r="B486" s="16" t="s">
        <v>956</v>
      </c>
      <c r="C486" s="12"/>
      <c r="F486">
        <v>3.76</v>
      </c>
      <c r="G486" t="s">
        <v>402</v>
      </c>
      <c r="H486" s="8">
        <v>-1</v>
      </c>
      <c r="I486">
        <v>-1</v>
      </c>
      <c r="K486">
        <v>2</v>
      </c>
      <c r="L486" s="20">
        <v>0</v>
      </c>
      <c r="M486">
        <v>0</v>
      </c>
      <c r="N486">
        <v>0</v>
      </c>
      <c r="O486">
        <v>3.9</v>
      </c>
      <c r="P486">
        <v>3.9</v>
      </c>
      <c r="Q486">
        <f>15.91*2</f>
        <v>31.82</v>
      </c>
      <c r="T486" s="20">
        <v>0</v>
      </c>
      <c r="U486" s="20"/>
      <c r="V486" s="20"/>
      <c r="W486">
        <v>0</v>
      </c>
      <c r="Z486">
        <v>0</v>
      </c>
      <c r="AD486">
        <v>20</v>
      </c>
      <c r="AE486" s="44">
        <f t="shared" si="30"/>
        <v>483.98219999999998</v>
      </c>
      <c r="AF486" s="46">
        <v>0</v>
      </c>
      <c r="AG486" s="44">
        <v>0</v>
      </c>
      <c r="AH486" s="44">
        <v>0</v>
      </c>
      <c r="AI486" s="41">
        <f>K486*AD486/AE486</f>
        <v>8.2647667620833989E-2</v>
      </c>
      <c r="AJ486" s="40"/>
      <c r="AK486" s="41"/>
      <c r="AL486" s="41"/>
      <c r="AM486" s="23">
        <v>1.882352941176471</v>
      </c>
      <c r="AN486" s="23">
        <v>2.3529411764705879</v>
      </c>
      <c r="AO486" s="23">
        <v>0.43529411764705878</v>
      </c>
      <c r="AP486" s="23">
        <v>0.82352941176470584</v>
      </c>
      <c r="AQ486" s="23">
        <v>0.34261241970021411</v>
      </c>
      <c r="AR486" s="23">
        <v>0.42826552462526768</v>
      </c>
      <c r="AS486" s="23">
        <v>7.922912205567452E-2</v>
      </c>
      <c r="AT486" s="23">
        <v>0.1498929336188437</v>
      </c>
      <c r="AU486" s="20">
        <v>0.82</v>
      </c>
      <c r="AV486" s="20">
        <v>3.44</v>
      </c>
      <c r="AW486" s="20">
        <v>2.62</v>
      </c>
      <c r="AX486" s="20">
        <v>2.5324117647058819</v>
      </c>
      <c r="AY486">
        <v>2.532941176470588</v>
      </c>
      <c r="AZ486">
        <v>5.690008021176471</v>
      </c>
      <c r="BD486">
        <v>4.1323833810416988E-2</v>
      </c>
      <c r="BH486">
        <v>8.2647667620833989E-2</v>
      </c>
      <c r="BI486">
        <v>4.1323833810416988E-2</v>
      </c>
      <c r="BJ486">
        <v>0</v>
      </c>
    </row>
    <row r="487" spans="1:62" x14ac:dyDescent="0.3">
      <c r="A487" t="s">
        <v>404</v>
      </c>
      <c r="B487" s="16" t="s">
        <v>957</v>
      </c>
      <c r="C487" s="12"/>
      <c r="F487">
        <v>3.88</v>
      </c>
      <c r="G487" t="s">
        <v>402</v>
      </c>
      <c r="H487" s="8">
        <v>-1</v>
      </c>
      <c r="I487">
        <v>-1</v>
      </c>
      <c r="K487">
        <v>2</v>
      </c>
      <c r="L487" s="20">
        <v>0</v>
      </c>
      <c r="M487">
        <v>0</v>
      </c>
      <c r="N487">
        <v>0</v>
      </c>
      <c r="O487">
        <v>3.8050000000000002</v>
      </c>
      <c r="P487">
        <v>3.8050000000000002</v>
      </c>
      <c r="Q487">
        <v>27.44</v>
      </c>
      <c r="R487" t="s">
        <v>1131</v>
      </c>
      <c r="T487" s="20">
        <v>0</v>
      </c>
      <c r="U487" s="20"/>
      <c r="V487" s="20"/>
      <c r="W487">
        <v>0</v>
      </c>
      <c r="Z487">
        <v>0</v>
      </c>
      <c r="AD487">
        <v>20</v>
      </c>
      <c r="AE487" s="44">
        <f t="shared" si="30"/>
        <v>397.27700600000003</v>
      </c>
      <c r="AF487" s="46">
        <v>0</v>
      </c>
      <c r="AG487" s="44">
        <v>0</v>
      </c>
      <c r="AH487" s="44">
        <v>0</v>
      </c>
      <c r="AI487" s="41">
        <f>K487*AD487/AE487</f>
        <v>0.10068541444857747</v>
      </c>
      <c r="AJ487" s="40"/>
      <c r="AK487" s="41"/>
      <c r="AL487" s="41"/>
      <c r="AM487">
        <v>1.882352941176471</v>
      </c>
      <c r="AN487">
        <v>2.3529411764705879</v>
      </c>
      <c r="AO487">
        <v>0.43529411764705878</v>
      </c>
      <c r="AP487">
        <v>0.82352941176470584</v>
      </c>
      <c r="AQ487">
        <v>0.34261241970021411</v>
      </c>
      <c r="AR487">
        <v>0.42826552462526768</v>
      </c>
      <c r="AS487">
        <v>7.922912205567452E-2</v>
      </c>
      <c r="AT487">
        <v>0.1498929336188437</v>
      </c>
      <c r="AU487" s="20">
        <v>1.1850000000000001</v>
      </c>
      <c r="AV487" s="20">
        <v>3.44</v>
      </c>
      <c r="AW487" s="20">
        <v>2.2549999999999999</v>
      </c>
      <c r="AX487" s="20">
        <v>2.6947647058823532</v>
      </c>
      <c r="AY487">
        <v>2.6952941176470588</v>
      </c>
      <c r="AZ487">
        <v>6.2494732999824709</v>
      </c>
      <c r="BD487">
        <v>5.0342707224288727E-2</v>
      </c>
      <c r="BH487">
        <v>0.1006854144485775</v>
      </c>
      <c r="BI487">
        <v>5.0342707224288727E-2</v>
      </c>
      <c r="BJ487">
        <v>0</v>
      </c>
    </row>
    <row r="488" spans="1:62" x14ac:dyDescent="0.3">
      <c r="A488" t="s">
        <v>405</v>
      </c>
      <c r="B488" s="16" t="s">
        <v>958</v>
      </c>
      <c r="C488" s="12"/>
      <c r="F488">
        <v>4.51</v>
      </c>
      <c r="G488" t="s">
        <v>402</v>
      </c>
      <c r="H488" s="8">
        <v>-1</v>
      </c>
      <c r="I488">
        <v>-1</v>
      </c>
      <c r="J488" s="1" t="s">
        <v>1184</v>
      </c>
      <c r="L488" s="20">
        <v>0</v>
      </c>
      <c r="M488">
        <v>0</v>
      </c>
      <c r="N488">
        <v>0</v>
      </c>
      <c r="O488">
        <v>-1</v>
      </c>
      <c r="T488" s="20">
        <v>0</v>
      </c>
      <c r="U488" s="20"/>
      <c r="V488" s="20"/>
      <c r="W488">
        <v>0</v>
      </c>
      <c r="Z488">
        <v>0</v>
      </c>
      <c r="AD488">
        <v>14</v>
      </c>
      <c r="AE488" s="44">
        <f t="shared" si="30"/>
        <v>0</v>
      </c>
      <c r="AF488" s="46">
        <v>0</v>
      </c>
      <c r="AG488" s="44">
        <v>0</v>
      </c>
      <c r="AH488" s="44">
        <v>0</v>
      </c>
      <c r="AI488" s="41"/>
      <c r="AJ488" s="40"/>
      <c r="AK488" s="41"/>
      <c r="AL488" s="41"/>
      <c r="AM488" s="23">
        <v>1.9090909090909089</v>
      </c>
      <c r="AN488" s="23">
        <v>2.545454545454545</v>
      </c>
      <c r="AO488" s="23">
        <v>0.60909090909090913</v>
      </c>
      <c r="AP488" s="23">
        <v>2.790909090909091</v>
      </c>
      <c r="AQ488" s="23">
        <v>0.24305555555555561</v>
      </c>
      <c r="AR488" s="23">
        <v>0.32407407407407413</v>
      </c>
      <c r="AS488" s="23">
        <v>7.7546296296296308E-2</v>
      </c>
      <c r="AT488" s="23">
        <v>0.35532407407407413</v>
      </c>
      <c r="AU488" s="20">
        <v>0.82</v>
      </c>
      <c r="AV488" s="20">
        <v>3.44</v>
      </c>
      <c r="AW488" s="20">
        <v>2.62</v>
      </c>
      <c r="AX488" s="20">
        <v>2.6393636363636359</v>
      </c>
      <c r="AY488">
        <v>2.6363636363636358</v>
      </c>
      <c r="AZ488">
        <v>6.0025089159090914</v>
      </c>
      <c r="BH488">
        <v>0</v>
      </c>
      <c r="BI488">
        <v>0</v>
      </c>
      <c r="BJ488">
        <v>0</v>
      </c>
    </row>
    <row r="489" spans="1:62" x14ac:dyDescent="0.3">
      <c r="A489" t="s">
        <v>1190</v>
      </c>
      <c r="B489" s="16" t="s">
        <v>959</v>
      </c>
      <c r="C489" s="12"/>
      <c r="F489">
        <v>5.4</v>
      </c>
      <c r="G489" t="s">
        <v>402</v>
      </c>
      <c r="H489" s="8">
        <v>-1</v>
      </c>
      <c r="I489">
        <v>-1</v>
      </c>
      <c r="J489" t="s">
        <v>1164</v>
      </c>
      <c r="L489" s="20">
        <v>0</v>
      </c>
      <c r="M489">
        <v>0</v>
      </c>
      <c r="N489">
        <v>1</v>
      </c>
      <c r="O489">
        <v>3.89</v>
      </c>
      <c r="P489">
        <v>3.89</v>
      </c>
      <c r="Q489">
        <v>10.34</v>
      </c>
      <c r="R489" t="s">
        <v>440</v>
      </c>
      <c r="T489" s="20">
        <v>0</v>
      </c>
      <c r="U489" s="20"/>
      <c r="V489" s="20"/>
      <c r="W489">
        <v>0</v>
      </c>
      <c r="Z489">
        <v>3.88</v>
      </c>
      <c r="AA489">
        <v>3.88</v>
      </c>
      <c r="AB489">
        <v>10.66</v>
      </c>
      <c r="AD489">
        <v>14</v>
      </c>
      <c r="AE489" s="44">
        <f t="shared" si="30"/>
        <v>156.465914</v>
      </c>
      <c r="AF489" s="46">
        <v>0</v>
      </c>
      <c r="AG489" s="44">
        <v>0</v>
      </c>
      <c r="AH489" s="44">
        <v>160.479904</v>
      </c>
      <c r="AI489" s="41"/>
      <c r="AJ489" s="40"/>
      <c r="AK489" s="41"/>
      <c r="AL489" s="56">
        <f>N489*AD489/AH489</f>
        <v>8.7238337331009372E-2</v>
      </c>
      <c r="AM489">
        <v>2</v>
      </c>
      <c r="AN489">
        <v>2.8</v>
      </c>
      <c r="AO489">
        <v>0.67</v>
      </c>
      <c r="AP489">
        <v>3.07</v>
      </c>
      <c r="AQ489">
        <v>0.23419203747072601</v>
      </c>
      <c r="AR489">
        <v>0.32786885245901642</v>
      </c>
      <c r="AS489">
        <v>7.8454332552693226E-2</v>
      </c>
      <c r="AT489">
        <v>0.35948477751756441</v>
      </c>
      <c r="AU489" s="20">
        <v>1.1000000000000001</v>
      </c>
      <c r="AV489" s="20">
        <v>3.44</v>
      </c>
      <c r="AW489" s="20">
        <v>2.34</v>
      </c>
      <c r="AX489" s="20">
        <v>2.8212999999999999</v>
      </c>
      <c r="AY489">
        <v>2.8180000000000001</v>
      </c>
      <c r="AZ489">
        <v>6.3696075919999986</v>
      </c>
      <c r="BC489" s="64">
        <v>0</v>
      </c>
      <c r="BG489">
        <v>4.3619168665504693E-2</v>
      </c>
      <c r="BH489">
        <v>8.7238337331009372E-2</v>
      </c>
      <c r="BI489">
        <v>4.3619168665504693E-2</v>
      </c>
      <c r="BJ489">
        <v>0</v>
      </c>
    </row>
    <row r="490" spans="1:62" x14ac:dyDescent="0.3">
      <c r="A490" t="s">
        <v>406</v>
      </c>
      <c r="B490" s="16" t="s">
        <v>960</v>
      </c>
      <c r="C490" s="12"/>
      <c r="F490">
        <v>0.01</v>
      </c>
      <c r="G490" t="s">
        <v>408</v>
      </c>
      <c r="H490" s="8">
        <v>-1</v>
      </c>
      <c r="I490">
        <v>4101345</v>
      </c>
      <c r="L490" s="20">
        <v>0</v>
      </c>
      <c r="M490">
        <v>2</v>
      </c>
      <c r="N490">
        <v>2</v>
      </c>
      <c r="O490">
        <v>5.3959999999999999</v>
      </c>
      <c r="P490">
        <v>5.4489999999999998</v>
      </c>
      <c r="Q490">
        <v>20.521999999999998</v>
      </c>
      <c r="R490" t="s">
        <v>1135</v>
      </c>
      <c r="T490" s="20">
        <v>0</v>
      </c>
      <c r="U490" s="20"/>
      <c r="V490" s="20"/>
      <c r="W490">
        <v>3.9685999999999999</v>
      </c>
      <c r="X490">
        <v>3.9685999999999999</v>
      </c>
      <c r="Y490">
        <v>19.3154</v>
      </c>
      <c r="Z490">
        <v>0</v>
      </c>
      <c r="AD490">
        <v>13.84</v>
      </c>
      <c r="AE490" s="44">
        <f t="shared" si="30"/>
        <v>603.40434368799993</v>
      </c>
      <c r="AF490" s="46">
        <v>0</v>
      </c>
      <c r="AG490" s="44">
        <v>0</v>
      </c>
      <c r="AH490" s="44">
        <v>304.20999999999998</v>
      </c>
      <c r="AI490" s="41"/>
      <c r="AJ490" s="40"/>
      <c r="AK490" s="41"/>
      <c r="AL490" s="56">
        <f>N490*AD490/AH490</f>
        <v>9.0989776798921798E-2</v>
      </c>
      <c r="AM490" s="23">
        <v>2</v>
      </c>
      <c r="AN490" s="23">
        <v>2.3221476510067109</v>
      </c>
      <c r="AO490" s="23">
        <v>1.593959731543624</v>
      </c>
      <c r="AP490" s="23">
        <v>0</v>
      </c>
      <c r="AQ490" s="23">
        <v>0.33806012478729441</v>
      </c>
      <c r="AR490" s="23">
        <v>0.39251276233692572</v>
      </c>
      <c r="AS490" s="23">
        <v>0.26942711287577992</v>
      </c>
      <c r="AT490" s="23">
        <v>0</v>
      </c>
      <c r="AU490" s="20">
        <v>1.1000000000000001</v>
      </c>
      <c r="AV490" s="20">
        <v>3.44</v>
      </c>
      <c r="AW490" s="20">
        <v>2.34</v>
      </c>
      <c r="AX490" s="20">
        <v>2.5943624161073831</v>
      </c>
      <c r="AY490">
        <v>2.5943624161073831</v>
      </c>
      <c r="AZ490">
        <v>5.8869633505033558</v>
      </c>
      <c r="BB490" s="64">
        <v>0.46352185946891089</v>
      </c>
      <c r="BF490" t="s">
        <v>459</v>
      </c>
      <c r="BG490">
        <v>4.5494888399460899E-2</v>
      </c>
      <c r="BH490">
        <v>9.0989776798921798E-2</v>
      </c>
      <c r="BI490" t="s">
        <v>459</v>
      </c>
      <c r="BJ490">
        <v>0.46352185946891089</v>
      </c>
    </row>
    <row r="491" spans="1:62" x14ac:dyDescent="0.3">
      <c r="A491" t="s">
        <v>407</v>
      </c>
      <c r="B491" s="16" t="s">
        <v>961</v>
      </c>
      <c r="C491" s="12"/>
      <c r="F491">
        <v>0.15</v>
      </c>
      <c r="G491" t="s">
        <v>408</v>
      </c>
      <c r="H491" s="8">
        <v>-1</v>
      </c>
      <c r="I491" t="s">
        <v>673</v>
      </c>
      <c r="L491" s="20">
        <v>0</v>
      </c>
      <c r="M491">
        <v>2</v>
      </c>
      <c r="N491">
        <v>2</v>
      </c>
      <c r="O491">
        <v>5.484</v>
      </c>
      <c r="P491">
        <v>5.4790000000000001</v>
      </c>
      <c r="Q491">
        <v>20.064</v>
      </c>
      <c r="R491" t="s">
        <v>1135</v>
      </c>
      <c r="T491" s="20">
        <v>0</v>
      </c>
      <c r="U491" s="20"/>
      <c r="V491" s="20"/>
      <c r="W491">
        <v>3.9685999999999999</v>
      </c>
      <c r="X491">
        <v>3.9685999999999999</v>
      </c>
      <c r="Y491">
        <v>19.3154</v>
      </c>
      <c r="Z491">
        <v>0</v>
      </c>
      <c r="AD491">
        <v>12.7</v>
      </c>
      <c r="AE491" s="44">
        <f t="shared" si="30"/>
        <v>602.85971750399995</v>
      </c>
      <c r="AF491" s="46">
        <v>0</v>
      </c>
      <c r="AG491" s="44">
        <v>304.21341573178398</v>
      </c>
      <c r="AH491" s="44"/>
      <c r="AI491" s="41"/>
      <c r="AJ491" s="40"/>
      <c r="AK491" s="41">
        <v>9.098875515866349E-2</v>
      </c>
      <c r="AL491" s="41"/>
      <c r="AM491" s="23">
        <v>2</v>
      </c>
      <c r="AN491" s="23">
        <v>2.2378854625550662</v>
      </c>
      <c r="AO491" s="23">
        <v>1.6740088105726869</v>
      </c>
      <c r="AP491" s="23">
        <v>0</v>
      </c>
      <c r="AQ491" s="23">
        <v>0.33830104321907611</v>
      </c>
      <c r="AR491" s="23">
        <v>0.37853949329359171</v>
      </c>
      <c r="AS491" s="23">
        <v>0.2831594634873324</v>
      </c>
      <c r="AT491" s="23">
        <v>0</v>
      </c>
      <c r="AU491" s="20">
        <v>1.1000000000000001</v>
      </c>
      <c r="AV491" s="20">
        <v>3.44</v>
      </c>
      <c r="AW491" s="20">
        <v>2.34</v>
      </c>
      <c r="AX491" s="20">
        <v>2.5518942731277532</v>
      </c>
      <c r="AY491">
        <v>2.5518942731277532</v>
      </c>
      <c r="AZ491">
        <v>5.8039684980176212</v>
      </c>
      <c r="BB491" s="64">
        <v>0.46352185946891089</v>
      </c>
      <c r="BF491">
        <v>4.1747008327855002E-2</v>
      </c>
      <c r="BH491">
        <v>9.098875515866349E-2</v>
      </c>
      <c r="BI491">
        <v>4.1747008327855002E-2</v>
      </c>
      <c r="BJ491">
        <v>0.46352185946891089</v>
      </c>
    </row>
    <row r="492" spans="1:62" x14ac:dyDescent="0.3">
      <c r="A492" t="s">
        <v>409</v>
      </c>
      <c r="B492" s="16" t="s">
        <v>962</v>
      </c>
      <c r="C492" s="12"/>
      <c r="F492">
        <v>3.22</v>
      </c>
      <c r="G492" t="s">
        <v>411</v>
      </c>
      <c r="H492" s="8">
        <v>-1</v>
      </c>
      <c r="I492">
        <v>-1</v>
      </c>
      <c r="L492" s="20">
        <v>0</v>
      </c>
      <c r="M492">
        <v>2</v>
      </c>
      <c r="N492">
        <v>0</v>
      </c>
      <c r="O492">
        <v>7.8239999999999998</v>
      </c>
      <c r="P492">
        <v>7.8432000000000004</v>
      </c>
      <c r="Q492">
        <v>7.9165000000000001</v>
      </c>
      <c r="R492" t="s">
        <v>1136</v>
      </c>
      <c r="T492" s="20">
        <v>0</v>
      </c>
      <c r="U492" s="20"/>
      <c r="V492" s="20"/>
      <c r="W492">
        <v>3.9685999999999999</v>
      </c>
      <c r="X492">
        <v>3.9685999999999999</v>
      </c>
      <c r="Y492">
        <v>19.3154</v>
      </c>
      <c r="Z492">
        <v>0</v>
      </c>
      <c r="AD492">
        <v>6</v>
      </c>
      <c r="AE492" s="44">
        <f t="shared" si="30"/>
        <v>485.79758046720002</v>
      </c>
      <c r="AF492" s="46">
        <v>0</v>
      </c>
      <c r="AG492" s="44">
        <v>304.21341573178398</v>
      </c>
      <c r="AH492" s="44">
        <v>0</v>
      </c>
      <c r="AI492" s="41"/>
      <c r="AJ492" s="40"/>
      <c r="AK492" s="41">
        <v>8.3494016655709991E-2</v>
      </c>
      <c r="AL492" s="41"/>
      <c r="AM492" s="23">
        <v>1.7690531177829101</v>
      </c>
      <c r="AN492" s="23">
        <v>2.7713625866050808</v>
      </c>
      <c r="AO492" s="23">
        <v>1</v>
      </c>
      <c r="AP492" s="23">
        <v>0</v>
      </c>
      <c r="AQ492" s="23">
        <v>0.31929970821175491</v>
      </c>
      <c r="AR492" s="23">
        <v>0.50020842017507294</v>
      </c>
      <c r="AS492" s="23">
        <v>0.18049187161317221</v>
      </c>
      <c r="AT492" s="23">
        <v>0</v>
      </c>
      <c r="AU492" s="20">
        <v>1.1000000000000001</v>
      </c>
      <c r="AV492" s="20">
        <v>3.44</v>
      </c>
      <c r="AW492" s="20">
        <v>2.34</v>
      </c>
      <c r="AX492" s="20">
        <v>2.8367205542725169</v>
      </c>
      <c r="AY492">
        <v>2.8367205542725169</v>
      </c>
      <c r="AZ492">
        <v>6.3438920491916866</v>
      </c>
      <c r="BF492">
        <v>1.9722996060403931E-2</v>
      </c>
      <c r="BH492">
        <v>8.3494016655709991E-2</v>
      </c>
      <c r="BI492">
        <v>1.9722996060403931E-2</v>
      </c>
      <c r="BJ492">
        <v>0</v>
      </c>
    </row>
    <row r="493" spans="1:62" x14ac:dyDescent="0.3">
      <c r="A493" t="s">
        <v>90</v>
      </c>
      <c r="B493" s="16" t="s">
        <v>963</v>
      </c>
      <c r="C493" s="12"/>
      <c r="F493">
        <v>3.87</v>
      </c>
      <c r="G493" t="s">
        <v>411</v>
      </c>
      <c r="H493" s="8">
        <v>-1</v>
      </c>
      <c r="I493">
        <v>-1</v>
      </c>
      <c r="L493" s="20">
        <v>0</v>
      </c>
      <c r="M493">
        <v>0</v>
      </c>
      <c r="N493">
        <v>0</v>
      </c>
      <c r="O493">
        <v>3.9186000000000001</v>
      </c>
      <c r="P493">
        <v>3.9186000000000001</v>
      </c>
      <c r="Q493">
        <v>7.9149000000000003</v>
      </c>
      <c r="R493" t="s">
        <v>439</v>
      </c>
      <c r="T493" s="20">
        <v>0</v>
      </c>
      <c r="U493" s="20"/>
      <c r="V493" s="20"/>
      <c r="W493">
        <v>0</v>
      </c>
      <c r="Z493">
        <v>0</v>
      </c>
      <c r="AD493">
        <v>6</v>
      </c>
      <c r="AE493" s="44">
        <f t="shared" si="30"/>
        <v>121.536660930804</v>
      </c>
      <c r="AF493" s="46">
        <v>0</v>
      </c>
      <c r="AG493" s="44">
        <v>0</v>
      </c>
      <c r="AH493" s="44">
        <v>0</v>
      </c>
      <c r="AI493" s="41"/>
      <c r="AJ493" s="40"/>
      <c r="AK493" s="41"/>
      <c r="AL493" s="41"/>
      <c r="AM493" s="23">
        <v>2</v>
      </c>
      <c r="AN493" s="23">
        <v>2.7713625866050808</v>
      </c>
      <c r="AO493" s="23">
        <v>0.76905311778290997</v>
      </c>
      <c r="AP493" s="23">
        <v>3.2332563510392611</v>
      </c>
      <c r="AQ493" s="23">
        <v>0.2279547249276126</v>
      </c>
      <c r="AR493" s="23">
        <v>0.31587259805211898</v>
      </c>
      <c r="AS493" s="23">
        <v>8.765464595946304E-2</v>
      </c>
      <c r="AT493" s="23">
        <v>0.36851803106080561</v>
      </c>
      <c r="AU493" s="20">
        <v>1.1000000000000001</v>
      </c>
      <c r="AV493" s="20">
        <v>3.44</v>
      </c>
      <c r="AW493" s="20">
        <v>2.34</v>
      </c>
      <c r="AX493" s="20">
        <v>2.813625866050808</v>
      </c>
      <c r="AY493">
        <v>2.8136258660508089</v>
      </c>
      <c r="AZ493">
        <v>6.3665749591224019</v>
      </c>
      <c r="BH493">
        <v>0</v>
      </c>
      <c r="BI493">
        <v>0</v>
      </c>
      <c r="BJ493">
        <v>0</v>
      </c>
    </row>
    <row r="494" spans="1:62" x14ac:dyDescent="0.3">
      <c r="A494" t="s">
        <v>410</v>
      </c>
      <c r="B494" s="12" t="s">
        <v>839</v>
      </c>
      <c r="C494" s="12"/>
      <c r="F494">
        <v>3.56</v>
      </c>
      <c r="G494" t="s">
        <v>411</v>
      </c>
      <c r="H494" s="8" t="s">
        <v>602</v>
      </c>
      <c r="I494" t="s">
        <v>674</v>
      </c>
      <c r="L494" s="20">
        <v>2</v>
      </c>
      <c r="M494">
        <v>0</v>
      </c>
      <c r="N494">
        <v>0</v>
      </c>
      <c r="O494">
        <v>-1</v>
      </c>
      <c r="T494" s="20">
        <v>5.44114334</v>
      </c>
      <c r="U494" s="20">
        <v>5.44114334</v>
      </c>
      <c r="V494" s="20">
        <v>5.44114334</v>
      </c>
      <c r="W494">
        <v>0</v>
      </c>
      <c r="Z494">
        <v>0</v>
      </c>
      <c r="AD494">
        <v>6</v>
      </c>
      <c r="AE494" s="44">
        <f t="shared" si="30"/>
        <v>0</v>
      </c>
      <c r="AF494" s="46">
        <v>112.4131248985337</v>
      </c>
      <c r="AG494" s="44">
        <v>0</v>
      </c>
      <c r="AH494" s="44">
        <v>0</v>
      </c>
      <c r="AI494" s="41"/>
      <c r="AJ494" s="40">
        <v>0.106749100790779</v>
      </c>
      <c r="AK494" s="41"/>
      <c r="AL494" s="41"/>
      <c r="AM494" s="23">
        <v>2</v>
      </c>
      <c r="AN494" s="23">
        <v>2.4</v>
      </c>
      <c r="AO494" s="23">
        <v>0.4</v>
      </c>
      <c r="AP494" s="23">
        <v>0</v>
      </c>
      <c r="AQ494" s="23">
        <v>0.41666666666666669</v>
      </c>
      <c r="AR494" s="23">
        <v>0.5</v>
      </c>
      <c r="AS494" s="23">
        <v>8.3333333333333343E-2</v>
      </c>
      <c r="AT494" s="23">
        <v>0</v>
      </c>
      <c r="AU494" s="20">
        <v>1</v>
      </c>
      <c r="AV494" s="20">
        <v>3.44</v>
      </c>
      <c r="AW494" s="20">
        <v>2.44</v>
      </c>
      <c r="AX494" s="20">
        <v>2.5720000000000001</v>
      </c>
      <c r="AY494">
        <v>2.5720000000000001</v>
      </c>
      <c r="AZ494">
        <v>5.8278852370000003</v>
      </c>
      <c r="BA494" s="64">
        <v>0.58846120068676144</v>
      </c>
      <c r="BB494" s="64">
        <v>0.59176212397517092</v>
      </c>
      <c r="BE494">
        <v>5.3374550395389492E-2</v>
      </c>
      <c r="BH494">
        <v>0.106749100790779</v>
      </c>
      <c r="BI494">
        <v>5.3374550395389492E-2</v>
      </c>
      <c r="BJ494">
        <v>0.59011166233096612</v>
      </c>
    </row>
    <row r="495" spans="1:62" x14ac:dyDescent="0.3">
      <c r="A495" t="s">
        <v>413</v>
      </c>
      <c r="B495" s="12" t="s">
        <v>840</v>
      </c>
      <c r="C495" s="12"/>
      <c r="F495">
        <v>2.86</v>
      </c>
      <c r="G495" t="s">
        <v>412</v>
      </c>
      <c r="H495" s="8">
        <v>-1</v>
      </c>
      <c r="I495">
        <v>-1</v>
      </c>
      <c r="J495" s="58" t="s">
        <v>1244</v>
      </c>
      <c r="K495">
        <v>1</v>
      </c>
      <c r="L495" s="20">
        <v>0</v>
      </c>
      <c r="M495">
        <v>4</v>
      </c>
      <c r="N495">
        <v>0</v>
      </c>
      <c r="O495">
        <v>3.91</v>
      </c>
      <c r="P495">
        <v>3.91</v>
      </c>
      <c r="Q495">
        <v>18.495999999999999</v>
      </c>
      <c r="R495" t="s">
        <v>439</v>
      </c>
      <c r="T495" s="20">
        <v>0</v>
      </c>
      <c r="U495" s="20"/>
      <c r="V495" s="20"/>
      <c r="W495">
        <v>5.38</v>
      </c>
      <c r="X495">
        <v>5.44</v>
      </c>
      <c r="Y495">
        <v>7.6390000000000002</v>
      </c>
      <c r="Z495">
        <v>0</v>
      </c>
      <c r="AD495">
        <v>22</v>
      </c>
      <c r="AE495" s="44">
        <f t="shared" si="30"/>
        <v>282.7686976</v>
      </c>
      <c r="AF495" s="46">
        <v>0</v>
      </c>
      <c r="AG495" s="44">
        <v>223.5721408</v>
      </c>
      <c r="AH495" s="44">
        <v>0</v>
      </c>
      <c r="AI495" s="41"/>
      <c r="AJ495" s="40"/>
      <c r="AK495" s="41">
        <v>0.1073479008347001</v>
      </c>
      <c r="AL495" s="41"/>
      <c r="AM495" s="23">
        <v>2</v>
      </c>
      <c r="AN495" s="23">
        <v>3.052631578947369</v>
      </c>
      <c r="AO495" s="23">
        <v>1.8947368421052631</v>
      </c>
      <c r="AP495" s="23">
        <v>3.6842105263157889</v>
      </c>
      <c r="AQ495" s="23">
        <v>0.18811881188118809</v>
      </c>
      <c r="AR495" s="23">
        <v>0.28712871287128722</v>
      </c>
      <c r="AS495" s="23">
        <v>0.17821782178217821</v>
      </c>
      <c r="AT495" s="23">
        <v>0.34653465346534651</v>
      </c>
      <c r="AU495" s="20">
        <v>0.95</v>
      </c>
      <c r="AV495" s="20">
        <v>3.44</v>
      </c>
      <c r="AW495" s="20">
        <v>2.4900000000000002</v>
      </c>
      <c r="AX495" s="20">
        <v>2.7347368421052631</v>
      </c>
      <c r="AY495">
        <v>2.7347368421052631</v>
      </c>
      <c r="AZ495">
        <v>6.1677369702631566</v>
      </c>
      <c r="BC495" s="64">
        <v>0</v>
      </c>
      <c r="BD495">
        <v>3.8901052674367873E-2</v>
      </c>
      <c r="BF495">
        <v>0.19680448486361679</v>
      </c>
      <c r="BH495">
        <v>0.1073479008347001</v>
      </c>
      <c r="BI495">
        <v>0.1178527687689923</v>
      </c>
      <c r="BJ495">
        <v>0</v>
      </c>
    </row>
    <row r="496" spans="1:62" x14ac:dyDescent="0.3">
      <c r="A496" t="s">
        <v>414</v>
      </c>
      <c r="B496" s="12" t="s">
        <v>841</v>
      </c>
      <c r="C496" s="12"/>
      <c r="F496">
        <v>2.58</v>
      </c>
      <c r="G496" t="s">
        <v>412</v>
      </c>
      <c r="H496" s="8">
        <v>-1</v>
      </c>
      <c r="I496">
        <v>-1</v>
      </c>
      <c r="J496" s="58" t="s">
        <v>1244</v>
      </c>
      <c r="K496">
        <v>1</v>
      </c>
      <c r="L496" s="20">
        <v>0</v>
      </c>
      <c r="M496">
        <v>0</v>
      </c>
      <c r="N496">
        <v>0</v>
      </c>
      <c r="O496">
        <v>3.9119999999999999</v>
      </c>
      <c r="P496">
        <v>3.9119999999999999</v>
      </c>
      <c r="Q496">
        <v>18.582000000000001</v>
      </c>
      <c r="R496" t="s">
        <v>439</v>
      </c>
      <c r="T496" s="20">
        <v>0</v>
      </c>
      <c r="U496" s="20"/>
      <c r="V496" s="20"/>
      <c r="W496">
        <v>0</v>
      </c>
      <c r="Z496">
        <v>0</v>
      </c>
      <c r="AD496">
        <v>22</v>
      </c>
      <c r="AE496" s="44">
        <f t="shared" si="30"/>
        <v>284.37417100800002</v>
      </c>
      <c r="AF496" s="46">
        <v>0</v>
      </c>
      <c r="AG496" s="44">
        <v>0</v>
      </c>
      <c r="AH496" s="44">
        <v>0</v>
      </c>
      <c r="AI496" s="41">
        <f>K496*AD496/AE496</f>
        <v>7.7362862885958422E-2</v>
      </c>
      <c r="AJ496" s="40"/>
      <c r="AK496" s="41"/>
      <c r="AL496" s="41"/>
      <c r="AM496" s="23">
        <v>2</v>
      </c>
      <c r="AN496" s="23">
        <v>3.1578947368421049</v>
      </c>
      <c r="AO496" s="23">
        <v>2.4210526315789469</v>
      </c>
      <c r="AP496" s="23">
        <v>4.4210526315789478</v>
      </c>
      <c r="AQ496" s="23">
        <v>0.16666666666666671</v>
      </c>
      <c r="AR496" s="23">
        <v>0.26315789473684209</v>
      </c>
      <c r="AS496" s="23">
        <v>0.2017543859649123</v>
      </c>
      <c r="AT496" s="23">
        <v>0.36842105263157898</v>
      </c>
      <c r="AU496" s="20">
        <v>0.95</v>
      </c>
      <c r="AV496" s="20">
        <v>3.44</v>
      </c>
      <c r="AW496" s="20">
        <v>2.4900000000000002</v>
      </c>
      <c r="AX496" s="20">
        <v>2.8073684210526308</v>
      </c>
      <c r="AY496">
        <v>2.8073684210526308</v>
      </c>
      <c r="AZ496">
        <v>6.2210650663157896</v>
      </c>
      <c r="BC496" s="64">
        <v>0</v>
      </c>
      <c r="BD496">
        <v>3.8681431442979211E-2</v>
      </c>
      <c r="BH496">
        <v>7.7362862885958422E-2</v>
      </c>
      <c r="BI496">
        <v>3.8681431442979211E-2</v>
      </c>
      <c r="BJ496">
        <v>0</v>
      </c>
    </row>
    <row r="497" spans="1:62" x14ac:dyDescent="0.3">
      <c r="A497" t="s">
        <v>415</v>
      </c>
      <c r="B497" s="12" t="s">
        <v>842</v>
      </c>
      <c r="C497" s="12"/>
      <c r="F497">
        <v>2.57</v>
      </c>
      <c r="G497" t="s">
        <v>412</v>
      </c>
      <c r="H497" s="8">
        <v>-1</v>
      </c>
      <c r="I497">
        <v>-1</v>
      </c>
      <c r="J497" s="58" t="s">
        <v>1244</v>
      </c>
      <c r="K497">
        <v>1</v>
      </c>
      <c r="L497" s="20">
        <v>0</v>
      </c>
      <c r="M497">
        <v>0</v>
      </c>
      <c r="N497">
        <v>0</v>
      </c>
      <c r="O497">
        <v>3.9607600000000001</v>
      </c>
      <c r="P497">
        <v>3.9607600000000001</v>
      </c>
      <c r="Q497">
        <v>18.789100000000001</v>
      </c>
      <c r="R497" t="s">
        <v>439</v>
      </c>
      <c r="T497" s="20">
        <v>0</v>
      </c>
      <c r="U497" s="20"/>
      <c r="V497" s="20"/>
      <c r="W497">
        <v>0</v>
      </c>
      <c r="Z497">
        <v>0</v>
      </c>
      <c r="AD497">
        <v>22</v>
      </c>
      <c r="AE497" s="44">
        <f t="shared" si="30"/>
        <v>294.75625676330418</v>
      </c>
      <c r="AF497" s="46">
        <v>0</v>
      </c>
      <c r="AG497" s="44">
        <v>0</v>
      </c>
      <c r="AH497" s="44">
        <v>0</v>
      </c>
      <c r="AI497" s="41">
        <f>K497*AD497/AE497</f>
        <v>7.4637940655035831E-2</v>
      </c>
      <c r="AJ497" s="40"/>
      <c r="AK497" s="41"/>
      <c r="AL497" s="41"/>
      <c r="AM497" s="23">
        <v>2</v>
      </c>
      <c r="AN497" s="23">
        <v>3.052631578947369</v>
      </c>
      <c r="AO497" s="23">
        <v>1.8947368421052631</v>
      </c>
      <c r="AP497" s="23">
        <v>3.6842105263157889</v>
      </c>
      <c r="AQ497" s="23">
        <v>0.18811881188118809</v>
      </c>
      <c r="AR497" s="23">
        <v>0.28712871287128722</v>
      </c>
      <c r="AS497" s="23">
        <v>0.17821782178217821</v>
      </c>
      <c r="AT497" s="23">
        <v>0.34653465346534651</v>
      </c>
      <c r="AU497" s="20">
        <v>0.89</v>
      </c>
      <c r="AV497" s="20">
        <v>3.44</v>
      </c>
      <c r="AW497" s="20">
        <v>2.5499999999999998</v>
      </c>
      <c r="AX497" s="20">
        <v>2.7284210526315791</v>
      </c>
      <c r="AY497">
        <v>2.7284210526315791</v>
      </c>
      <c r="AZ497">
        <v>6.1471768202631578</v>
      </c>
      <c r="BC497" s="64">
        <v>0</v>
      </c>
      <c r="BD497">
        <v>3.7318970327517922E-2</v>
      </c>
      <c r="BH497">
        <v>7.4637940655035831E-2</v>
      </c>
      <c r="BI497">
        <v>3.7318970327517922E-2</v>
      </c>
      <c r="BJ497">
        <v>0</v>
      </c>
    </row>
    <row r="498" spans="1:62" x14ac:dyDescent="0.3">
      <c r="A498" t="s">
        <v>416</v>
      </c>
      <c r="B498" s="12" t="s">
        <v>843</v>
      </c>
      <c r="C498" s="12"/>
      <c r="F498">
        <v>2.6</v>
      </c>
      <c r="G498" t="s">
        <v>412</v>
      </c>
      <c r="H498" s="8">
        <v>-1</v>
      </c>
      <c r="I498">
        <v>-1</v>
      </c>
      <c r="J498" s="58" t="s">
        <v>1244</v>
      </c>
      <c r="K498">
        <v>1</v>
      </c>
      <c r="L498" s="20">
        <v>0</v>
      </c>
      <c r="M498">
        <v>0</v>
      </c>
      <c r="N498">
        <v>0</v>
      </c>
      <c r="O498">
        <v>3.9350499999999999</v>
      </c>
      <c r="P498">
        <v>3.9350499999999999</v>
      </c>
      <c r="Q498">
        <v>18.790900000000001</v>
      </c>
      <c r="R498" t="s">
        <v>439</v>
      </c>
      <c r="T498" s="20">
        <v>0</v>
      </c>
      <c r="U498" s="20"/>
      <c r="V498" s="20"/>
      <c r="W498">
        <v>0</v>
      </c>
      <c r="Z498">
        <v>0</v>
      </c>
      <c r="AD498">
        <v>22</v>
      </c>
      <c r="AE498" s="44">
        <f t="shared" si="30"/>
        <v>290.96991781862727</v>
      </c>
      <c r="AF498" s="46">
        <v>0</v>
      </c>
      <c r="AG498" s="44">
        <v>0</v>
      </c>
      <c r="AH498" s="44">
        <v>0</v>
      </c>
      <c r="AI498" s="41">
        <f t="shared" ref="AI498:AI524" si="31">K498*AD498/AE498</f>
        <v>7.5609190685180877E-2</v>
      </c>
      <c r="AJ498" s="40"/>
      <c r="AK498" s="41"/>
      <c r="AL498" s="41"/>
      <c r="AM498" s="23">
        <v>2</v>
      </c>
      <c r="AN498" s="23">
        <v>3.1578947368421049</v>
      </c>
      <c r="AO498" s="23">
        <v>2.4210526315789469</v>
      </c>
      <c r="AP498" s="23">
        <v>4.4210526315789478</v>
      </c>
      <c r="AQ498" s="23">
        <v>0.16666666666666671</v>
      </c>
      <c r="AR498" s="23">
        <v>0.26315789473684209</v>
      </c>
      <c r="AS498" s="23">
        <v>0.2017543859649123</v>
      </c>
      <c r="AT498" s="23">
        <v>0.36842105263157898</v>
      </c>
      <c r="AU498" s="20">
        <v>0.89</v>
      </c>
      <c r="AV498" s="20">
        <v>3.44</v>
      </c>
      <c r="AW498" s="20">
        <v>2.5499999999999998</v>
      </c>
      <c r="AX498" s="20">
        <v>2.804210526315789</v>
      </c>
      <c r="AY498">
        <v>2.804210526315789</v>
      </c>
      <c r="AZ498">
        <v>6.2107849913157898</v>
      </c>
      <c r="BC498" s="64">
        <v>0</v>
      </c>
      <c r="BD498">
        <v>3.7804595342590439E-2</v>
      </c>
      <c r="BH498">
        <v>7.5609190685180877E-2</v>
      </c>
      <c r="BI498">
        <v>3.7804595342590439E-2</v>
      </c>
      <c r="BJ498">
        <v>0</v>
      </c>
    </row>
    <row r="499" spans="1:62" x14ac:dyDescent="0.3">
      <c r="A499" t="s">
        <v>417</v>
      </c>
      <c r="B499" s="12" t="s">
        <v>844</v>
      </c>
      <c r="C499" s="12"/>
      <c r="F499">
        <v>2.57</v>
      </c>
      <c r="G499" t="s">
        <v>412</v>
      </c>
      <c r="H499" s="8">
        <v>-1</v>
      </c>
      <c r="I499">
        <v>-1</v>
      </c>
      <c r="J499" s="58" t="s">
        <v>1244</v>
      </c>
      <c r="K499">
        <v>1</v>
      </c>
      <c r="L499" s="20">
        <v>0</v>
      </c>
      <c r="M499">
        <v>0</v>
      </c>
      <c r="N499">
        <v>0</v>
      </c>
      <c r="O499">
        <v>3.8856000000000002</v>
      </c>
      <c r="P499">
        <v>3.8856000000000002</v>
      </c>
      <c r="Q499">
        <v>18.356999999999999</v>
      </c>
      <c r="R499" t="s">
        <v>439</v>
      </c>
      <c r="T499" s="20">
        <v>0</v>
      </c>
      <c r="U499" s="20"/>
      <c r="V499" s="20"/>
      <c r="W499">
        <v>0</v>
      </c>
      <c r="Z499">
        <v>0</v>
      </c>
      <c r="AD499">
        <v>22</v>
      </c>
      <c r="AE499" s="44">
        <f t="shared" si="30"/>
        <v>277.15191826751999</v>
      </c>
      <c r="AF499" s="46">
        <v>0</v>
      </c>
      <c r="AG499" s="44">
        <v>0</v>
      </c>
      <c r="AH499" s="44">
        <v>0</v>
      </c>
      <c r="AI499" s="41">
        <f t="shared" si="31"/>
        <v>7.9378848025019155E-2</v>
      </c>
      <c r="AJ499" s="40"/>
      <c r="AK499" s="41"/>
      <c r="AL499" s="41"/>
      <c r="AM499" s="23">
        <v>2</v>
      </c>
      <c r="AN499" s="23">
        <v>3.2105263157894739</v>
      </c>
      <c r="AO499" s="23">
        <v>2.3684210526315792</v>
      </c>
      <c r="AP499" s="23">
        <v>3.6842105263157889</v>
      </c>
      <c r="AQ499" s="23">
        <v>0.17757009345794389</v>
      </c>
      <c r="AR499" s="23">
        <v>0.28504672897196259</v>
      </c>
      <c r="AS499" s="23">
        <v>0.2102803738317757</v>
      </c>
      <c r="AT499" s="23">
        <v>0.32710280373831768</v>
      </c>
      <c r="AU499" s="20">
        <v>0.95</v>
      </c>
      <c r="AV499" s="20">
        <v>3.44</v>
      </c>
      <c r="AW499" s="20">
        <v>2.4900000000000002</v>
      </c>
      <c r="AX499" s="20">
        <v>2.7931578947368418</v>
      </c>
      <c r="AY499">
        <v>2.7931578947368418</v>
      </c>
      <c r="AZ499">
        <v>6.207524303947368</v>
      </c>
      <c r="BC499" s="64">
        <v>0</v>
      </c>
      <c r="BD499">
        <v>3.9689424012509578E-2</v>
      </c>
      <c r="BH499">
        <v>7.9378848025019155E-2</v>
      </c>
      <c r="BI499">
        <v>3.9689424012509578E-2</v>
      </c>
      <c r="BJ499">
        <v>0</v>
      </c>
    </row>
    <row r="500" spans="1:62" x14ac:dyDescent="0.3">
      <c r="A500" t="s">
        <v>418</v>
      </c>
      <c r="B500" s="12" t="s">
        <v>845</v>
      </c>
      <c r="C500" s="12"/>
      <c r="F500">
        <v>2.5</v>
      </c>
      <c r="G500" t="s">
        <v>412</v>
      </c>
      <c r="H500" s="8">
        <v>-1</v>
      </c>
      <c r="I500">
        <v>-1</v>
      </c>
      <c r="J500" s="58" t="s">
        <v>1244</v>
      </c>
      <c r="K500">
        <v>1</v>
      </c>
      <c r="L500" s="20">
        <v>0</v>
      </c>
      <c r="M500">
        <v>0</v>
      </c>
      <c r="N500">
        <v>0</v>
      </c>
      <c r="O500">
        <v>3.9121999999999999</v>
      </c>
      <c r="P500">
        <v>3.9121999999999999</v>
      </c>
      <c r="Q500">
        <v>18.724299999999999</v>
      </c>
      <c r="R500" t="s">
        <v>439</v>
      </c>
      <c r="T500" s="20">
        <v>0</v>
      </c>
      <c r="U500" s="20"/>
      <c r="V500" s="20"/>
      <c r="W500">
        <v>0</v>
      </c>
      <c r="Z500">
        <v>0</v>
      </c>
      <c r="AD500">
        <v>22</v>
      </c>
      <c r="AE500" s="44">
        <f t="shared" si="30"/>
        <v>286.58119431281199</v>
      </c>
      <c r="AF500" s="46">
        <v>0</v>
      </c>
      <c r="AG500" s="44">
        <v>0</v>
      </c>
      <c r="AH500" s="44">
        <v>0</v>
      </c>
      <c r="AI500" s="41">
        <f t="shared" si="31"/>
        <v>7.6767074869491747E-2</v>
      </c>
      <c r="AJ500" s="40"/>
      <c r="AK500" s="41"/>
      <c r="AL500" s="41"/>
      <c r="AM500" s="23">
        <v>2</v>
      </c>
      <c r="AN500" s="23">
        <v>3.2105263157894739</v>
      </c>
      <c r="AO500" s="23">
        <v>2.3684210526315792</v>
      </c>
      <c r="AP500" s="23">
        <v>3.6842105263157889</v>
      </c>
      <c r="AQ500" s="23">
        <v>0.17757009345794389</v>
      </c>
      <c r="AR500" s="23">
        <v>0.28504672897196259</v>
      </c>
      <c r="AS500" s="23">
        <v>0.2102803738317757</v>
      </c>
      <c r="AT500" s="23">
        <v>0.32710280373831768</v>
      </c>
      <c r="AU500" s="20">
        <v>0.89</v>
      </c>
      <c r="AV500" s="20">
        <v>3.44</v>
      </c>
      <c r="AW500" s="20">
        <v>2.5499999999999998</v>
      </c>
      <c r="AX500" s="20">
        <v>2.79</v>
      </c>
      <c r="AY500">
        <v>2.79</v>
      </c>
      <c r="AZ500">
        <v>6.1972442289473681</v>
      </c>
      <c r="BC500" s="64">
        <v>0</v>
      </c>
      <c r="BD500">
        <v>3.8383537434745867E-2</v>
      </c>
      <c r="BH500">
        <v>7.6767074869491747E-2</v>
      </c>
      <c r="BI500">
        <v>3.8383537434745867E-2</v>
      </c>
      <c r="BJ500">
        <v>0</v>
      </c>
    </row>
    <row r="501" spans="1:62" x14ac:dyDescent="0.3">
      <c r="A501" t="s">
        <v>419</v>
      </c>
      <c r="B501" s="12" t="s">
        <v>846</v>
      </c>
      <c r="C501" s="12"/>
      <c r="F501">
        <v>2.6</v>
      </c>
      <c r="G501" t="s">
        <v>412</v>
      </c>
      <c r="H501" s="8">
        <v>-1</v>
      </c>
      <c r="I501">
        <v>-1</v>
      </c>
      <c r="J501" s="58" t="s">
        <v>1244</v>
      </c>
      <c r="K501">
        <v>1</v>
      </c>
      <c r="L501" s="20">
        <v>0</v>
      </c>
      <c r="M501">
        <v>0</v>
      </c>
      <c r="N501">
        <v>0</v>
      </c>
      <c r="O501">
        <v>3.8752</v>
      </c>
      <c r="P501">
        <v>3.8752</v>
      </c>
      <c r="Q501">
        <v>18.687000000000001</v>
      </c>
      <c r="R501" t="s">
        <v>439</v>
      </c>
      <c r="T501" s="20">
        <v>0</v>
      </c>
      <c r="U501" s="20"/>
      <c r="V501" s="20"/>
      <c r="W501">
        <v>0</v>
      </c>
      <c r="Z501">
        <v>0</v>
      </c>
      <c r="AD501">
        <v>22</v>
      </c>
      <c r="AE501" s="44">
        <f t="shared" si="30"/>
        <v>280.62594997247999</v>
      </c>
      <c r="AF501" s="46">
        <v>0</v>
      </c>
      <c r="AG501" s="44">
        <v>0</v>
      </c>
      <c r="AH501" s="44">
        <v>0</v>
      </c>
      <c r="AI501" s="41">
        <f t="shared" si="31"/>
        <v>7.8396171138690005E-2</v>
      </c>
      <c r="AJ501" s="40"/>
      <c r="AK501" s="41"/>
      <c r="AL501" s="41"/>
      <c r="AM501" s="23">
        <v>2</v>
      </c>
      <c r="AN501" s="23">
        <v>3.3157894736842111</v>
      </c>
      <c r="AO501" s="23">
        <v>2.8947368421052628</v>
      </c>
      <c r="AP501" s="23">
        <v>4.4210526315789478</v>
      </c>
      <c r="AQ501" s="23">
        <v>0.1583333333333333</v>
      </c>
      <c r="AR501" s="23">
        <v>0.26250000000000001</v>
      </c>
      <c r="AS501" s="23">
        <v>0.22916666666666671</v>
      </c>
      <c r="AT501" s="23">
        <v>0.35</v>
      </c>
      <c r="AU501" s="20">
        <v>1.5</v>
      </c>
      <c r="AV501" s="20">
        <v>3.44</v>
      </c>
      <c r="AW501" s="20">
        <v>1.94</v>
      </c>
      <c r="AX501" s="20">
        <v>2.86578947368421</v>
      </c>
      <c r="AY501">
        <v>2.8657894736842109</v>
      </c>
      <c r="AZ501">
        <v>6.2608524000000001</v>
      </c>
      <c r="BC501" s="64">
        <v>0</v>
      </c>
      <c r="BD501">
        <v>3.9198085569345002E-2</v>
      </c>
      <c r="BH501">
        <v>7.8396171138690005E-2</v>
      </c>
      <c r="BI501">
        <v>3.9198085569345002E-2</v>
      </c>
      <c r="BJ501">
        <v>0</v>
      </c>
    </row>
    <row r="502" spans="1:62" x14ac:dyDescent="0.3">
      <c r="A502" t="s">
        <v>426</v>
      </c>
      <c r="B502" s="12" t="s">
        <v>847</v>
      </c>
      <c r="C502" s="12"/>
      <c r="F502">
        <v>2.82</v>
      </c>
      <c r="G502" t="s">
        <v>412</v>
      </c>
      <c r="H502" s="8">
        <v>-1</v>
      </c>
      <c r="I502">
        <v>-1</v>
      </c>
      <c r="J502" s="58" t="s">
        <v>1244</v>
      </c>
      <c r="K502">
        <v>1</v>
      </c>
      <c r="L502" s="20">
        <v>0</v>
      </c>
      <c r="M502">
        <v>0</v>
      </c>
      <c r="N502">
        <v>0</v>
      </c>
      <c r="O502">
        <v>3.9108999999999998</v>
      </c>
      <c r="P502">
        <v>3.9108999999999998</v>
      </c>
      <c r="Q502">
        <v>18.454999999999998</v>
      </c>
      <c r="R502" t="s">
        <v>439</v>
      </c>
      <c r="T502" s="20">
        <v>0</v>
      </c>
      <c r="U502" s="20"/>
      <c r="V502" s="20"/>
      <c r="W502">
        <v>0</v>
      </c>
      <c r="Z502">
        <v>0</v>
      </c>
      <c r="AD502">
        <v>22</v>
      </c>
      <c r="AE502" s="44">
        <f t="shared" si="30"/>
        <v>282.27178673854996</v>
      </c>
      <c r="AF502" s="46">
        <v>0</v>
      </c>
      <c r="AG502" s="44">
        <v>0</v>
      </c>
      <c r="AH502" s="44">
        <v>0</v>
      </c>
      <c r="AI502" s="41">
        <f t="shared" si="31"/>
        <v>7.7939068066966155E-2</v>
      </c>
      <c r="AJ502" s="40"/>
      <c r="AK502" s="41"/>
      <c r="AL502" s="41"/>
      <c r="AM502" s="23">
        <v>1.8947368421052631</v>
      </c>
      <c r="AN502" s="23">
        <v>3.052631578947369</v>
      </c>
      <c r="AO502" s="23">
        <v>2</v>
      </c>
      <c r="AP502" s="23">
        <v>2.2105263157894739</v>
      </c>
      <c r="AQ502" s="23">
        <v>0.2068965517241379</v>
      </c>
      <c r="AR502" s="23">
        <v>0.33333333333333343</v>
      </c>
      <c r="AS502" s="23">
        <v>0.21839080459770119</v>
      </c>
      <c r="AT502" s="23">
        <v>0.2413793103448276</v>
      </c>
      <c r="AU502" s="20">
        <v>0.95</v>
      </c>
      <c r="AV502" s="20">
        <v>3.44</v>
      </c>
      <c r="AW502" s="20">
        <v>2.4900000000000002</v>
      </c>
      <c r="AX502" s="20">
        <v>2.7452631578947368</v>
      </c>
      <c r="AY502">
        <v>2.7452631578947368</v>
      </c>
      <c r="AZ502">
        <v>6.1573983386842102</v>
      </c>
      <c r="BC502" s="64">
        <v>0</v>
      </c>
      <c r="BD502">
        <v>3.8969534033483078E-2</v>
      </c>
      <c r="BH502">
        <v>7.7939068066966155E-2</v>
      </c>
      <c r="BI502">
        <v>3.8969534033483078E-2</v>
      </c>
      <c r="BJ502">
        <v>0</v>
      </c>
    </row>
    <row r="503" spans="1:62" x14ac:dyDescent="0.3">
      <c r="A503" t="s">
        <v>420</v>
      </c>
      <c r="B503" s="12" t="s">
        <v>848</v>
      </c>
      <c r="C503" s="12"/>
      <c r="F503">
        <v>2.59</v>
      </c>
      <c r="G503" t="s">
        <v>412</v>
      </c>
      <c r="H503" s="8">
        <v>-1</v>
      </c>
      <c r="I503">
        <v>-1</v>
      </c>
      <c r="J503" s="58" t="s">
        <v>1244</v>
      </c>
      <c r="K503">
        <v>1</v>
      </c>
      <c r="L503" s="20">
        <v>0</v>
      </c>
      <c r="M503">
        <v>0</v>
      </c>
      <c r="N503">
        <v>0</v>
      </c>
      <c r="O503">
        <v>3.91</v>
      </c>
      <c r="P503">
        <v>3.91</v>
      </c>
      <c r="Q503">
        <v>18.651</v>
      </c>
      <c r="R503" t="s">
        <v>439</v>
      </c>
      <c r="T503" s="20">
        <v>0</v>
      </c>
      <c r="U503" s="20"/>
      <c r="V503" s="20"/>
      <c r="W503">
        <v>0</v>
      </c>
      <c r="Z503">
        <v>0</v>
      </c>
      <c r="AD503">
        <v>22</v>
      </c>
      <c r="AE503" s="44">
        <f t="shared" si="30"/>
        <v>285.13835310000002</v>
      </c>
      <c r="AF503" s="46">
        <v>0</v>
      </c>
      <c r="AG503" s="44">
        <v>0</v>
      </c>
      <c r="AH503" s="44">
        <v>0</v>
      </c>
      <c r="AI503" s="41">
        <f t="shared" si="31"/>
        <v>7.7155527345998398E-2</v>
      </c>
      <c r="AJ503" s="40"/>
      <c r="AK503" s="41"/>
      <c r="AL503" s="41"/>
      <c r="AM503" s="23">
        <v>1.8947368421052631</v>
      </c>
      <c r="AN503" s="23">
        <v>3.1578947368421049</v>
      </c>
      <c r="AO503" s="23">
        <v>2.5263157894736841</v>
      </c>
      <c r="AP503" s="23">
        <v>2.947368421052631</v>
      </c>
      <c r="AQ503" s="23">
        <v>0.18</v>
      </c>
      <c r="AR503" s="23">
        <v>0.3</v>
      </c>
      <c r="AS503" s="23">
        <v>0.24</v>
      </c>
      <c r="AT503" s="23">
        <v>0.28000000000000003</v>
      </c>
      <c r="AU503" s="20">
        <v>0.95</v>
      </c>
      <c r="AV503" s="20">
        <v>3.44</v>
      </c>
      <c r="AW503" s="20">
        <v>2.4900000000000002</v>
      </c>
      <c r="AX503" s="20">
        <v>2.817894736842105</v>
      </c>
      <c r="AY503">
        <v>2.817894736842105</v>
      </c>
      <c r="AZ503">
        <v>6.2107264347368423</v>
      </c>
      <c r="BC503" s="64">
        <v>0</v>
      </c>
      <c r="BD503">
        <v>3.8577763672999199E-2</v>
      </c>
      <c r="BH503">
        <v>7.7155527345998398E-2</v>
      </c>
      <c r="BI503">
        <v>3.8577763672999199E-2</v>
      </c>
      <c r="BJ503">
        <v>0</v>
      </c>
    </row>
    <row r="504" spans="1:62" x14ac:dyDescent="0.3">
      <c r="A504" t="s">
        <v>421</v>
      </c>
      <c r="B504" s="12" t="s">
        <v>849</v>
      </c>
      <c r="C504" s="12"/>
      <c r="F504">
        <v>2.66</v>
      </c>
      <c r="G504" t="s">
        <v>412</v>
      </c>
      <c r="H504" s="8">
        <v>-1</v>
      </c>
      <c r="I504">
        <v>-1</v>
      </c>
      <c r="J504" s="58" t="s">
        <v>1244</v>
      </c>
      <c r="K504">
        <v>1</v>
      </c>
      <c r="L504" s="20">
        <v>0</v>
      </c>
      <c r="M504">
        <v>0</v>
      </c>
      <c r="N504">
        <v>0</v>
      </c>
      <c r="O504">
        <v>3.9683000000000002</v>
      </c>
      <c r="P504">
        <v>3.9683000000000002</v>
      </c>
      <c r="Q504">
        <v>18.798999999999999</v>
      </c>
      <c r="R504" t="s">
        <v>439</v>
      </c>
      <c r="T504" s="20">
        <v>0</v>
      </c>
      <c r="U504" s="20"/>
      <c r="V504" s="20"/>
      <c r="W504">
        <v>0</v>
      </c>
      <c r="Z504">
        <v>0</v>
      </c>
      <c r="AD504">
        <v>22</v>
      </c>
      <c r="AE504" s="44">
        <f t="shared" si="30"/>
        <v>296.03546452711004</v>
      </c>
      <c r="AF504" s="46">
        <v>0</v>
      </c>
      <c r="AG504" s="44">
        <v>0</v>
      </c>
      <c r="AH504" s="44">
        <v>0</v>
      </c>
      <c r="AI504" s="41">
        <f t="shared" si="31"/>
        <v>7.4315420401211113E-2</v>
      </c>
      <c r="AJ504" s="40"/>
      <c r="AK504" s="41"/>
      <c r="AL504" s="41"/>
      <c r="AM504" s="23">
        <v>1.8947368421052631</v>
      </c>
      <c r="AN504" s="23">
        <v>3.052631578947369</v>
      </c>
      <c r="AO504" s="23">
        <v>2</v>
      </c>
      <c r="AP504" s="23">
        <v>2.2105263157894739</v>
      </c>
      <c r="AQ504" s="23">
        <v>0.2068965517241379</v>
      </c>
      <c r="AR504" s="23">
        <v>0.33333333333333343</v>
      </c>
      <c r="AS504" s="23">
        <v>0.21839080459770119</v>
      </c>
      <c r="AT504" s="23">
        <v>0.2413793103448276</v>
      </c>
      <c r="AU504" s="20">
        <v>0.89</v>
      </c>
      <c r="AV504" s="20">
        <v>3.44</v>
      </c>
      <c r="AW504" s="20">
        <v>2.5499999999999998</v>
      </c>
      <c r="AX504" s="20">
        <v>2.7389473684210519</v>
      </c>
      <c r="AY504">
        <v>2.7389473684210519</v>
      </c>
      <c r="AZ504">
        <v>6.1368381886842096</v>
      </c>
      <c r="BC504" s="64">
        <v>0</v>
      </c>
      <c r="BD504">
        <v>3.7157710200605563E-2</v>
      </c>
      <c r="BH504">
        <v>7.4315420401211113E-2</v>
      </c>
      <c r="BI504">
        <v>3.7157710200605563E-2</v>
      </c>
      <c r="BJ504">
        <v>0</v>
      </c>
    </row>
    <row r="505" spans="1:62" x14ac:dyDescent="0.3">
      <c r="A505" t="s">
        <v>422</v>
      </c>
      <c r="B505" s="12" t="s">
        <v>850</v>
      </c>
      <c r="C505" s="12"/>
      <c r="F505">
        <v>2.56</v>
      </c>
      <c r="G505" t="s">
        <v>412</v>
      </c>
      <c r="H505" s="8">
        <v>-1</v>
      </c>
      <c r="I505">
        <v>-1</v>
      </c>
      <c r="J505" s="58" t="s">
        <v>1244</v>
      </c>
      <c r="K505">
        <v>1</v>
      </c>
      <c r="L505" s="20">
        <v>0</v>
      </c>
      <c r="M505">
        <v>0</v>
      </c>
      <c r="N505">
        <v>0</v>
      </c>
      <c r="O505">
        <v>3.9487999999999999</v>
      </c>
      <c r="P505">
        <v>3.9487999999999999</v>
      </c>
      <c r="Q505">
        <v>18.829999999999998</v>
      </c>
      <c r="R505" t="s">
        <v>439</v>
      </c>
      <c r="T505" s="20">
        <v>0</v>
      </c>
      <c r="U505" s="20"/>
      <c r="V505" s="20"/>
      <c r="W505">
        <v>0</v>
      </c>
      <c r="Z505">
        <v>0</v>
      </c>
      <c r="AD505">
        <v>22</v>
      </c>
      <c r="AE505" s="44">
        <f t="shared" si="30"/>
        <v>293.61659371519994</v>
      </c>
      <c r="AF505" s="46">
        <v>0</v>
      </c>
      <c r="AG505" s="44">
        <v>0</v>
      </c>
      <c r="AH505" s="44">
        <v>0</v>
      </c>
      <c r="AI505" s="41">
        <f t="shared" si="31"/>
        <v>7.4927645340574306E-2</v>
      </c>
      <c r="AJ505" s="40"/>
      <c r="AK505" s="41"/>
      <c r="AL505" s="41"/>
      <c r="AM505" s="23">
        <v>1.8947368421052631</v>
      </c>
      <c r="AN505" s="23">
        <v>3.1578947368421049</v>
      </c>
      <c r="AO505" s="23">
        <v>2.5263157894736841</v>
      </c>
      <c r="AP505" s="23">
        <v>2.947368421052631</v>
      </c>
      <c r="AQ505" s="23">
        <v>0.18</v>
      </c>
      <c r="AR505" s="23">
        <v>0.3</v>
      </c>
      <c r="AS505" s="23">
        <v>0.24</v>
      </c>
      <c r="AT505" s="23">
        <v>0.28000000000000003</v>
      </c>
      <c r="AU505" s="20">
        <v>0.89</v>
      </c>
      <c r="AV505" s="20">
        <v>3.44</v>
      </c>
      <c r="AW505" s="20">
        <v>2.5499999999999998</v>
      </c>
      <c r="AX505" s="20">
        <v>2.8147368421052632</v>
      </c>
      <c r="AY505">
        <v>2.8147368421052632</v>
      </c>
      <c r="AZ505">
        <v>6.2004463597368424</v>
      </c>
      <c r="BC505" s="64">
        <v>0</v>
      </c>
      <c r="BD505">
        <v>3.7463822670287153E-2</v>
      </c>
      <c r="BH505">
        <v>7.4927645340574306E-2</v>
      </c>
      <c r="BI505">
        <v>3.7463822670287153E-2</v>
      </c>
      <c r="BJ505">
        <v>0</v>
      </c>
    </row>
    <row r="506" spans="1:62" x14ac:dyDescent="0.3">
      <c r="A506" t="s">
        <v>423</v>
      </c>
      <c r="B506" s="12" t="s">
        <v>851</v>
      </c>
      <c r="C506" s="12"/>
      <c r="F506">
        <v>2.5099999999999998</v>
      </c>
      <c r="G506" t="s">
        <v>412</v>
      </c>
      <c r="H506" s="8">
        <v>-1</v>
      </c>
      <c r="I506">
        <v>-1</v>
      </c>
      <c r="J506" s="58" t="s">
        <v>1244</v>
      </c>
      <c r="K506">
        <v>1</v>
      </c>
      <c r="L506" s="20">
        <v>0</v>
      </c>
      <c r="M506">
        <v>0</v>
      </c>
      <c r="N506">
        <v>0</v>
      </c>
      <c r="O506">
        <v>3.8788399999999998</v>
      </c>
      <c r="P506">
        <v>3.8788399999999998</v>
      </c>
      <c r="Q506">
        <v>18.3658</v>
      </c>
      <c r="R506" t="s">
        <v>439</v>
      </c>
      <c r="T506" s="20">
        <v>0</v>
      </c>
      <c r="U506" s="20"/>
      <c r="V506" s="20"/>
      <c r="W506">
        <v>0</v>
      </c>
      <c r="Z506">
        <v>0</v>
      </c>
      <c r="AD506">
        <v>22</v>
      </c>
      <c r="AE506" s="44">
        <f t="shared" si="30"/>
        <v>276.32080264774049</v>
      </c>
      <c r="AF506" s="46">
        <v>0</v>
      </c>
      <c r="AG506" s="44">
        <v>0</v>
      </c>
      <c r="AH506" s="44">
        <v>0</v>
      </c>
      <c r="AI506" s="41">
        <f t="shared" si="31"/>
        <v>7.9617603123591299E-2</v>
      </c>
      <c r="AJ506" s="40"/>
      <c r="AK506" s="41"/>
      <c r="AL506" s="41"/>
      <c r="AM506" s="23">
        <v>1.9473684210526321</v>
      </c>
      <c r="AN506" s="23">
        <v>3.2105263157894739</v>
      </c>
      <c r="AO506" s="23">
        <v>2.4210526315789469</v>
      </c>
      <c r="AP506" s="23">
        <v>2.947368421052631</v>
      </c>
      <c r="AQ506" s="23">
        <v>0.185</v>
      </c>
      <c r="AR506" s="23">
        <v>0.30499999999999999</v>
      </c>
      <c r="AS506" s="23">
        <v>0.23</v>
      </c>
      <c r="AT506" s="23">
        <v>0.28000000000000003</v>
      </c>
      <c r="AU506" s="20">
        <v>0.95</v>
      </c>
      <c r="AV506" s="20">
        <v>3.44</v>
      </c>
      <c r="AW506" s="20">
        <v>2.4900000000000002</v>
      </c>
      <c r="AX506" s="20">
        <v>2.798421052631578</v>
      </c>
      <c r="AY506">
        <v>2.7984210526315789</v>
      </c>
      <c r="AZ506">
        <v>6.2023549881578939</v>
      </c>
      <c r="BC506" s="64">
        <v>0</v>
      </c>
      <c r="BD506">
        <v>3.9808801561795649E-2</v>
      </c>
      <c r="BH506">
        <v>7.9617603123591299E-2</v>
      </c>
      <c r="BI506">
        <v>3.9808801561795649E-2</v>
      </c>
      <c r="BJ506">
        <v>0</v>
      </c>
    </row>
    <row r="507" spans="1:62" x14ac:dyDescent="0.3">
      <c r="A507" t="s">
        <v>424</v>
      </c>
      <c r="B507" s="12" t="s">
        <v>852</v>
      </c>
      <c r="C507" s="12"/>
      <c r="F507">
        <v>2.48</v>
      </c>
      <c r="G507" t="s">
        <v>412</v>
      </c>
      <c r="H507" s="8">
        <v>-1</v>
      </c>
      <c r="I507">
        <v>-1</v>
      </c>
      <c r="J507" s="58" t="s">
        <v>1244</v>
      </c>
      <c r="K507">
        <v>1</v>
      </c>
      <c r="L507" s="20">
        <v>0</v>
      </c>
      <c r="M507">
        <v>0</v>
      </c>
      <c r="N507">
        <v>0</v>
      </c>
      <c r="O507">
        <v>3.9116</v>
      </c>
      <c r="P507">
        <v>3.9116</v>
      </c>
      <c r="Q507">
        <v>18.6922</v>
      </c>
      <c r="R507" t="s">
        <v>439</v>
      </c>
      <c r="T507" s="20">
        <v>0</v>
      </c>
      <c r="U507" s="20"/>
      <c r="V507" s="20"/>
      <c r="W507">
        <v>0</v>
      </c>
      <c r="Z507">
        <v>0</v>
      </c>
      <c r="AD507">
        <v>22</v>
      </c>
      <c r="AE507" s="44">
        <f t="shared" si="30"/>
        <v>286.00214747843199</v>
      </c>
      <c r="AF507" s="46">
        <v>0</v>
      </c>
      <c r="AG507" s="44">
        <v>0</v>
      </c>
      <c r="AH507" s="44">
        <v>0</v>
      </c>
      <c r="AI507" s="41">
        <f t="shared" si="31"/>
        <v>7.6922499337733347E-2</v>
      </c>
      <c r="AJ507" s="40"/>
      <c r="AK507" s="41"/>
      <c r="AL507" s="41"/>
      <c r="AM507" s="23">
        <v>1.9473684210526321</v>
      </c>
      <c r="AN507" s="23">
        <v>3.2105263157894739</v>
      </c>
      <c r="AO507" s="23">
        <v>2.4210526315789469</v>
      </c>
      <c r="AP507" s="23">
        <v>2.947368421052631</v>
      </c>
      <c r="AQ507" s="23">
        <v>0.185</v>
      </c>
      <c r="AR507" s="23">
        <v>0.30499999999999999</v>
      </c>
      <c r="AS507" s="23">
        <v>0.23</v>
      </c>
      <c r="AT507" s="23">
        <v>0.28000000000000003</v>
      </c>
      <c r="AU507" s="20">
        <v>0.89</v>
      </c>
      <c r="AV507" s="20">
        <v>3.44</v>
      </c>
      <c r="AW507" s="20">
        <v>2.5499999999999998</v>
      </c>
      <c r="AX507" s="20">
        <v>2.7952631578947358</v>
      </c>
      <c r="AY507">
        <v>2.7952631578947371</v>
      </c>
      <c r="AZ507">
        <v>6.1920749131578949</v>
      </c>
      <c r="BC507" s="64">
        <v>0</v>
      </c>
      <c r="BD507">
        <v>3.8461249668866673E-2</v>
      </c>
      <c r="BH507">
        <v>7.6922499337733347E-2</v>
      </c>
      <c r="BI507">
        <v>3.8461249668866673E-2</v>
      </c>
      <c r="BJ507">
        <v>0</v>
      </c>
    </row>
    <row r="508" spans="1:62" x14ac:dyDescent="0.3">
      <c r="A508" t="s">
        <v>425</v>
      </c>
      <c r="B508" s="12" t="s">
        <v>853</v>
      </c>
      <c r="C508" s="12"/>
      <c r="F508">
        <v>2.5299999999999998</v>
      </c>
      <c r="G508" t="s">
        <v>412</v>
      </c>
      <c r="H508" s="8">
        <v>-1</v>
      </c>
      <c r="I508">
        <v>-1</v>
      </c>
      <c r="J508" s="58" t="s">
        <v>1244</v>
      </c>
      <c r="K508">
        <v>1</v>
      </c>
      <c r="L508" s="20">
        <v>0</v>
      </c>
      <c r="M508">
        <v>0</v>
      </c>
      <c r="N508">
        <v>0</v>
      </c>
      <c r="O508">
        <v>3.8759000000000001</v>
      </c>
      <c r="P508">
        <v>3.8759000000000001</v>
      </c>
      <c r="Q508">
        <v>18.463000000000001</v>
      </c>
      <c r="R508" t="s">
        <v>439</v>
      </c>
      <c r="T508" s="20">
        <v>0</v>
      </c>
      <c r="U508" s="20"/>
      <c r="V508" s="20"/>
      <c r="W508">
        <v>0</v>
      </c>
      <c r="Z508">
        <v>0</v>
      </c>
      <c r="AD508">
        <v>22</v>
      </c>
      <c r="AE508" s="44">
        <f t="shared" si="30"/>
        <v>277.36227875502999</v>
      </c>
      <c r="AF508" s="46">
        <v>0</v>
      </c>
      <c r="AG508" s="44">
        <v>0</v>
      </c>
      <c r="AH508" s="44">
        <v>0</v>
      </c>
      <c r="AI508" s="41">
        <f t="shared" si="31"/>
        <v>7.9318644549465536E-2</v>
      </c>
      <c r="AJ508" s="40"/>
      <c r="AK508" s="41"/>
      <c r="AL508" s="41"/>
      <c r="AM508" s="23">
        <v>1.9473684210526321</v>
      </c>
      <c r="AN508" s="23">
        <v>3.3157894736842111</v>
      </c>
      <c r="AO508" s="23">
        <v>2.947368421052631</v>
      </c>
      <c r="AP508" s="23">
        <v>3.6842105263157889</v>
      </c>
      <c r="AQ508" s="23">
        <v>0.16371681415929201</v>
      </c>
      <c r="AR508" s="23">
        <v>0.27876106194690259</v>
      </c>
      <c r="AS508" s="23">
        <v>0.247787610619469</v>
      </c>
      <c r="AT508" s="23">
        <v>0.30973451327433632</v>
      </c>
      <c r="AU508" s="20">
        <v>1.54</v>
      </c>
      <c r="AV508" s="20">
        <v>3.44</v>
      </c>
      <c r="AW508" s="20">
        <v>1.9</v>
      </c>
      <c r="AX508" s="20">
        <v>2.8710526315789471</v>
      </c>
      <c r="AY508">
        <v>2.871052631578948</v>
      </c>
      <c r="AZ508">
        <v>6.255683084210526</v>
      </c>
      <c r="BC508" s="64">
        <v>0</v>
      </c>
      <c r="BD508">
        <v>3.9659322274732768E-2</v>
      </c>
      <c r="BH508">
        <v>7.9318644549465536E-2</v>
      </c>
      <c r="BI508">
        <v>3.9659322274732768E-2</v>
      </c>
      <c r="BJ508">
        <v>0</v>
      </c>
    </row>
    <row r="509" spans="1:62" x14ac:dyDescent="0.3">
      <c r="A509" t="s">
        <v>63</v>
      </c>
      <c r="B509" s="12" t="s">
        <v>773</v>
      </c>
      <c r="C509" s="12"/>
      <c r="F509">
        <v>3.45</v>
      </c>
      <c r="G509" t="s">
        <v>432</v>
      </c>
      <c r="H509" s="8">
        <v>-1</v>
      </c>
      <c r="I509">
        <v>-1</v>
      </c>
      <c r="K509">
        <v>1</v>
      </c>
      <c r="L509" s="20">
        <v>0</v>
      </c>
      <c r="M509">
        <v>0</v>
      </c>
      <c r="N509">
        <v>0</v>
      </c>
      <c r="O509">
        <v>3.8531</v>
      </c>
      <c r="P509">
        <v>3.8531</v>
      </c>
      <c r="Q509">
        <v>16.2151</v>
      </c>
      <c r="R509" t="s">
        <v>1137</v>
      </c>
      <c r="T509" s="20">
        <v>0</v>
      </c>
      <c r="U509" s="20"/>
      <c r="V509" s="20"/>
      <c r="W509">
        <v>0</v>
      </c>
      <c r="Z509">
        <v>0</v>
      </c>
      <c r="AD509">
        <v>20</v>
      </c>
      <c r="AE509" s="44">
        <f t="shared" si="30"/>
        <v>240.73553001411099</v>
      </c>
      <c r="AF509" s="46">
        <v>0</v>
      </c>
      <c r="AG509" s="44">
        <v>0</v>
      </c>
      <c r="AH509" s="44">
        <v>0</v>
      </c>
      <c r="AI509" s="41">
        <f t="shared" si="31"/>
        <v>8.3078721279022161E-2</v>
      </c>
      <c r="AJ509" s="40"/>
      <c r="AK509" s="41"/>
      <c r="AL509" s="41"/>
      <c r="AM509" s="23">
        <v>1.75</v>
      </c>
      <c r="AN509" s="23">
        <v>2.5</v>
      </c>
      <c r="AO509" s="23">
        <v>0.75</v>
      </c>
      <c r="AP509" s="23">
        <v>0</v>
      </c>
      <c r="AQ509" s="23">
        <v>0.35</v>
      </c>
      <c r="AR509" s="23">
        <v>0.5</v>
      </c>
      <c r="AS509" s="23">
        <v>0.15</v>
      </c>
      <c r="AT509" s="23">
        <v>0</v>
      </c>
      <c r="AU509" s="20">
        <v>1</v>
      </c>
      <c r="AV509" s="20">
        <v>3.44</v>
      </c>
      <c r="AW509" s="20">
        <v>2.44</v>
      </c>
      <c r="AX509" s="20">
        <v>2.7124999999999999</v>
      </c>
      <c r="AY509">
        <v>2.7124999999999999</v>
      </c>
      <c r="AZ509">
        <v>6.264025610615688</v>
      </c>
      <c r="BD509">
        <v>4.153936063951108E-2</v>
      </c>
      <c r="BH509">
        <v>8.3078721279022161E-2</v>
      </c>
      <c r="BI509">
        <v>4.153936063951108E-2</v>
      </c>
      <c r="BJ509">
        <v>0</v>
      </c>
    </row>
    <row r="510" spans="1:62" x14ac:dyDescent="0.3">
      <c r="A510" t="s">
        <v>63</v>
      </c>
      <c r="B510" s="12" t="s">
        <v>773</v>
      </c>
      <c r="C510" s="12"/>
      <c r="D510" t="s">
        <v>863</v>
      </c>
      <c r="E510">
        <v>1</v>
      </c>
      <c r="F510">
        <v>3.5</v>
      </c>
      <c r="G510" t="s">
        <v>432</v>
      </c>
      <c r="H510" s="8">
        <v>-1</v>
      </c>
      <c r="I510">
        <v>-1</v>
      </c>
      <c r="K510">
        <v>2</v>
      </c>
      <c r="L510" s="20">
        <v>0</v>
      </c>
      <c r="M510">
        <v>0</v>
      </c>
      <c r="N510">
        <v>0</v>
      </c>
      <c r="O510">
        <v>3.843</v>
      </c>
      <c r="P510">
        <v>3.843</v>
      </c>
      <c r="Q510">
        <v>32.261000000000003</v>
      </c>
      <c r="R510" t="s">
        <v>1138</v>
      </c>
      <c r="T510" s="20">
        <v>0</v>
      </c>
      <c r="W510">
        <v>0</v>
      </c>
      <c r="Z510">
        <v>0</v>
      </c>
      <c r="AD510">
        <v>20</v>
      </c>
      <c r="AE510" s="44">
        <f t="shared" si="30"/>
        <v>476.45138538900005</v>
      </c>
      <c r="AF510" s="46">
        <v>0</v>
      </c>
      <c r="AG510" s="44">
        <v>0</v>
      </c>
      <c r="AH510" s="44">
        <v>0</v>
      </c>
      <c r="AI510" s="41">
        <f t="shared" si="31"/>
        <v>8.3954000820759267E-2</v>
      </c>
      <c r="AJ510" s="41"/>
      <c r="AK510" s="41"/>
      <c r="AL510" s="41"/>
      <c r="AM510" s="23">
        <v>1.75</v>
      </c>
      <c r="AN510" s="23">
        <v>2.5</v>
      </c>
      <c r="AO510" s="23">
        <v>0.75</v>
      </c>
      <c r="AP510" s="23">
        <v>0</v>
      </c>
      <c r="AQ510" s="23">
        <v>0.35</v>
      </c>
      <c r="AR510" s="23">
        <v>0.5</v>
      </c>
      <c r="AS510" s="23">
        <v>0.15</v>
      </c>
      <c r="AT510" s="23">
        <v>0</v>
      </c>
      <c r="AU510" s="20">
        <v>1</v>
      </c>
      <c r="AV510" s="20">
        <v>3.44</v>
      </c>
      <c r="AW510" s="20">
        <v>2.44</v>
      </c>
      <c r="AX510" s="20">
        <v>2.7124999999999999</v>
      </c>
      <c r="AY510">
        <v>2.7124999999999999</v>
      </c>
      <c r="AZ510">
        <v>6.264025610615688</v>
      </c>
      <c r="BD510">
        <v>4.1977000410379627E-2</v>
      </c>
      <c r="BH510">
        <v>8.3954000820759267E-2</v>
      </c>
      <c r="BI510">
        <v>4.1977000410379627E-2</v>
      </c>
      <c r="BJ510">
        <v>0</v>
      </c>
    </row>
    <row r="511" spans="1:62" x14ac:dyDescent="0.3">
      <c r="A511" t="s">
        <v>363</v>
      </c>
      <c r="B511" s="17" t="s">
        <v>1064</v>
      </c>
      <c r="C511" s="12"/>
      <c r="F511">
        <v>3.52</v>
      </c>
      <c r="G511" t="s">
        <v>432</v>
      </c>
      <c r="H511" s="8">
        <v>-1</v>
      </c>
      <c r="I511">
        <v>-1</v>
      </c>
      <c r="K511">
        <v>1</v>
      </c>
      <c r="L511" s="20">
        <v>0</v>
      </c>
      <c r="M511">
        <v>0</v>
      </c>
      <c r="N511">
        <v>0</v>
      </c>
      <c r="O511">
        <v>3.8693</v>
      </c>
      <c r="P511">
        <v>3.8693</v>
      </c>
      <c r="Q511">
        <v>16.124700000000001</v>
      </c>
      <c r="R511" t="s">
        <v>1138</v>
      </c>
      <c r="T511" s="20">
        <v>0</v>
      </c>
      <c r="W511">
        <v>0</v>
      </c>
      <c r="Z511">
        <v>0</v>
      </c>
      <c r="AD511">
        <v>20</v>
      </c>
      <c r="AE511" s="44">
        <f t="shared" si="30"/>
        <v>241.41066370650302</v>
      </c>
      <c r="AF511" s="46">
        <v>0</v>
      </c>
      <c r="AG511" s="44">
        <v>0</v>
      </c>
      <c r="AH511" s="44">
        <v>0</v>
      </c>
      <c r="AI511" s="41">
        <f t="shared" si="31"/>
        <v>8.2846381733638591E-2</v>
      </c>
      <c r="AJ511" s="41"/>
      <c r="AK511" s="41"/>
      <c r="AL511" s="41"/>
      <c r="AM511" s="23">
        <v>1.6086956521739131</v>
      </c>
      <c r="AN511" s="23">
        <v>1.956521739130435</v>
      </c>
      <c r="AO511" s="23">
        <v>0.52173913043478259</v>
      </c>
      <c r="AP511" s="23">
        <v>0</v>
      </c>
      <c r="AQ511" s="23">
        <v>0.3936170212765957</v>
      </c>
      <c r="AR511" s="23">
        <v>0.47872340425531912</v>
      </c>
      <c r="AS511" s="23">
        <v>0.1276595744680851</v>
      </c>
      <c r="AT511" s="23">
        <v>0</v>
      </c>
      <c r="AU511" s="20">
        <v>1</v>
      </c>
      <c r="AV511" s="20">
        <v>3.44</v>
      </c>
      <c r="AW511" s="20">
        <v>2.44</v>
      </c>
      <c r="AX511" s="20">
        <v>2.6082608695652172</v>
      </c>
      <c r="AY511">
        <v>2.6082608695652181</v>
      </c>
      <c r="AZ511">
        <v>6.5043590032654777</v>
      </c>
      <c r="BD511">
        <v>4.1423190866819302E-2</v>
      </c>
      <c r="BH511">
        <v>8.2846381733638591E-2</v>
      </c>
      <c r="BI511">
        <v>4.1423190866819302E-2</v>
      </c>
      <c r="BJ511">
        <v>0</v>
      </c>
    </row>
    <row r="512" spans="1:62" x14ac:dyDescent="0.3">
      <c r="A512" t="s">
        <v>366</v>
      </c>
      <c r="B512" s="17" t="s">
        <v>1065</v>
      </c>
      <c r="C512" s="12"/>
      <c r="F512">
        <v>3.58</v>
      </c>
      <c r="G512" t="s">
        <v>432</v>
      </c>
      <c r="H512" s="8">
        <v>-1</v>
      </c>
      <c r="I512">
        <v>-1</v>
      </c>
      <c r="K512">
        <v>1</v>
      </c>
      <c r="L512" s="20">
        <v>0</v>
      </c>
      <c r="M512">
        <v>0</v>
      </c>
      <c r="N512">
        <v>0</v>
      </c>
      <c r="O512">
        <v>3.8614999999999999</v>
      </c>
      <c r="P512">
        <v>3.8614999999999999</v>
      </c>
      <c r="Q512">
        <v>25.281600000000001</v>
      </c>
      <c r="R512" t="s">
        <v>1137</v>
      </c>
      <c r="T512" s="20">
        <v>0</v>
      </c>
      <c r="W512">
        <v>0</v>
      </c>
      <c r="Z512">
        <v>0</v>
      </c>
      <c r="AD512">
        <v>20</v>
      </c>
      <c r="AE512" s="44">
        <f t="shared" si="30"/>
        <v>376.97854517159999</v>
      </c>
      <c r="AF512" s="46">
        <v>0</v>
      </c>
      <c r="AG512" s="44">
        <v>0</v>
      </c>
      <c r="AH512" s="44">
        <v>0</v>
      </c>
      <c r="AI512" s="41">
        <f t="shared" si="31"/>
        <v>5.3053417113952825E-2</v>
      </c>
      <c r="AJ512" s="41"/>
      <c r="AK512" s="41"/>
      <c r="AL512" s="41"/>
      <c r="AM512" s="23">
        <v>1.53125</v>
      </c>
      <c r="AN512" s="23">
        <v>1.59375</v>
      </c>
      <c r="AO512" s="23">
        <v>0.375</v>
      </c>
      <c r="AP512" s="23">
        <v>0</v>
      </c>
      <c r="AQ512" s="23">
        <v>0.4375</v>
      </c>
      <c r="AR512" s="23">
        <v>0.45535714285714279</v>
      </c>
      <c r="AS512" s="23">
        <v>0.1071428571428571</v>
      </c>
      <c r="AT512" s="23">
        <v>0</v>
      </c>
      <c r="AU512" s="20">
        <v>1</v>
      </c>
      <c r="AV512" s="20">
        <v>3.44</v>
      </c>
      <c r="AW512" s="20">
        <v>2.44</v>
      </c>
      <c r="AX512" s="20">
        <v>2.5262500000000001</v>
      </c>
      <c r="AY512">
        <v>2.5262500000000001</v>
      </c>
      <c r="AZ512">
        <v>6.6075924153816246</v>
      </c>
      <c r="BD512">
        <v>2.6526708556976409E-2</v>
      </c>
      <c r="BH512">
        <v>5.3053417113952818E-2</v>
      </c>
      <c r="BI512">
        <v>2.6526708556976409E-2</v>
      </c>
      <c r="BJ512">
        <v>0</v>
      </c>
    </row>
    <row r="513" spans="1:62" x14ac:dyDescent="0.3">
      <c r="A513" t="s">
        <v>368</v>
      </c>
      <c r="B513" s="17" t="s">
        <v>1066</v>
      </c>
      <c r="C513" s="12"/>
      <c r="F513">
        <v>3.52</v>
      </c>
      <c r="G513" t="s">
        <v>432</v>
      </c>
      <c r="H513" s="8">
        <v>-1</v>
      </c>
      <c r="I513">
        <v>-1</v>
      </c>
      <c r="K513">
        <v>1</v>
      </c>
      <c r="L513" s="20">
        <v>0</v>
      </c>
      <c r="M513">
        <v>0</v>
      </c>
      <c r="N513">
        <v>0</v>
      </c>
      <c r="O513">
        <v>3.8675999999999999</v>
      </c>
      <c r="P513">
        <v>3.8675999999999999</v>
      </c>
      <c r="Q513">
        <v>34.564999999999998</v>
      </c>
      <c r="R513" t="s">
        <v>1139</v>
      </c>
      <c r="T513" s="20">
        <v>0</v>
      </c>
      <c r="W513">
        <v>0</v>
      </c>
      <c r="Z513">
        <v>0</v>
      </c>
      <c r="AD513">
        <v>20</v>
      </c>
      <c r="AE513" s="44">
        <f t="shared" si="30"/>
        <v>517.03466815439992</v>
      </c>
      <c r="AF513" s="46">
        <v>0</v>
      </c>
      <c r="AG513" s="44">
        <v>0</v>
      </c>
      <c r="AH513" s="44">
        <v>0</v>
      </c>
      <c r="AI513" s="41">
        <f t="shared" si="31"/>
        <v>3.8682125652022011E-2</v>
      </c>
      <c r="AJ513" s="41"/>
      <c r="AK513" s="41"/>
      <c r="AL513" s="41"/>
      <c r="AM513" s="23">
        <v>1.4772727272727271</v>
      </c>
      <c r="AN513" s="23">
        <v>1.3409090909090911</v>
      </c>
      <c r="AO513" s="23">
        <v>0.27272727272727271</v>
      </c>
      <c r="AP513" s="23">
        <v>0</v>
      </c>
      <c r="AQ513" s="23">
        <v>0.47794117647058831</v>
      </c>
      <c r="AR513" s="23">
        <v>0.43382352941176472</v>
      </c>
      <c r="AS513" s="23">
        <v>8.8235294117647051E-2</v>
      </c>
      <c r="AT513" s="23">
        <v>0</v>
      </c>
      <c r="AU513" s="20">
        <v>1</v>
      </c>
      <c r="AV513" s="20">
        <v>3.44</v>
      </c>
      <c r="AW513" s="20">
        <v>2.44</v>
      </c>
      <c r="AX513" s="20">
        <v>2.4690909090909088</v>
      </c>
      <c r="AY513">
        <v>2.4690909090909088</v>
      </c>
      <c r="AZ513">
        <v>6.679542975341362</v>
      </c>
      <c r="BD513">
        <v>1.9341062826011009E-2</v>
      </c>
      <c r="BH513">
        <v>3.8682125652022011E-2</v>
      </c>
      <c r="BI513">
        <v>1.9341062826011009E-2</v>
      </c>
      <c r="BJ513">
        <v>0</v>
      </c>
    </row>
    <row r="514" spans="1:62" x14ac:dyDescent="0.3">
      <c r="A514" t="s">
        <v>427</v>
      </c>
      <c r="B514" s="17" t="s">
        <v>1064</v>
      </c>
      <c r="C514" s="12"/>
      <c r="D514" t="s">
        <v>863</v>
      </c>
      <c r="E514">
        <v>1</v>
      </c>
      <c r="F514">
        <v>3.57</v>
      </c>
      <c r="G514" t="s">
        <v>432</v>
      </c>
      <c r="H514" s="8">
        <v>-1</v>
      </c>
      <c r="I514">
        <v>-1</v>
      </c>
      <c r="K514">
        <v>2</v>
      </c>
      <c r="L514" s="20">
        <v>0</v>
      </c>
      <c r="M514">
        <v>0</v>
      </c>
      <c r="N514">
        <v>0</v>
      </c>
      <c r="O514">
        <v>3.8532999999999999</v>
      </c>
      <c r="P514">
        <v>3.8532999999999999</v>
      </c>
      <c r="Q514">
        <v>31.7422</v>
      </c>
      <c r="R514" t="s">
        <v>1138</v>
      </c>
      <c r="T514" s="20">
        <v>0</v>
      </c>
      <c r="W514">
        <v>0</v>
      </c>
      <c r="Z514">
        <v>0</v>
      </c>
      <c r="AD514">
        <v>20</v>
      </c>
      <c r="AE514" s="44">
        <f t="shared" si="30"/>
        <v>471.30567447455797</v>
      </c>
      <c r="AF514" s="46">
        <v>0</v>
      </c>
      <c r="AG514" s="44">
        <v>0</v>
      </c>
      <c r="AH514" s="44">
        <v>0</v>
      </c>
      <c r="AI514" s="41">
        <f t="shared" si="31"/>
        <v>8.4870609810914294E-2</v>
      </c>
      <c r="AJ514" s="41"/>
      <c r="AK514" s="41"/>
      <c r="AL514" s="41"/>
      <c r="AM514" s="23">
        <v>1.6086956521739131</v>
      </c>
      <c r="AN514" s="23">
        <v>1.956521739130435</v>
      </c>
      <c r="AO514" s="23">
        <v>0.52173913043478259</v>
      </c>
      <c r="AP514" s="23">
        <v>0</v>
      </c>
      <c r="AQ514" s="23">
        <v>0.3936170212765957</v>
      </c>
      <c r="AR514" s="23">
        <v>0.47872340425531912</v>
      </c>
      <c r="AS514" s="23">
        <v>0.1276595744680851</v>
      </c>
      <c r="AT514" s="23">
        <v>0</v>
      </c>
      <c r="AU514" s="20">
        <v>1</v>
      </c>
      <c r="AV514" s="20">
        <v>3.44</v>
      </c>
      <c r="AW514" s="20">
        <v>2.44</v>
      </c>
      <c r="AX514" s="20">
        <v>2.6082608695652172</v>
      </c>
      <c r="AY514">
        <v>2.6082608695652181</v>
      </c>
      <c r="AZ514">
        <v>6.5043590032654777</v>
      </c>
      <c r="BD514">
        <v>4.2435304905457147E-2</v>
      </c>
      <c r="BH514">
        <v>8.4870609810914294E-2</v>
      </c>
      <c r="BI514">
        <v>4.2435304905457147E-2</v>
      </c>
      <c r="BJ514">
        <v>0</v>
      </c>
    </row>
    <row r="515" spans="1:62" x14ac:dyDescent="0.3">
      <c r="A515" t="s">
        <v>428</v>
      </c>
      <c r="B515" s="17" t="s">
        <v>1065</v>
      </c>
      <c r="C515" s="12"/>
      <c r="D515" t="s">
        <v>863</v>
      </c>
      <c r="E515">
        <v>1</v>
      </c>
      <c r="F515">
        <v>3.52</v>
      </c>
      <c r="G515" t="s">
        <v>432</v>
      </c>
      <c r="H515" s="8">
        <v>-1</v>
      </c>
      <c r="I515">
        <v>-1</v>
      </c>
      <c r="K515">
        <v>1</v>
      </c>
      <c r="L515" s="20">
        <v>0</v>
      </c>
      <c r="M515">
        <v>0</v>
      </c>
      <c r="N515">
        <v>0</v>
      </c>
      <c r="O515">
        <v>3.8580000000000001</v>
      </c>
      <c r="P515">
        <v>3.8580000000000001</v>
      </c>
      <c r="Q515">
        <v>23.879799999999999</v>
      </c>
      <c r="R515" t="s">
        <v>1137</v>
      </c>
      <c r="T515" s="20">
        <v>0</v>
      </c>
      <c r="W515">
        <v>0</v>
      </c>
      <c r="Z515">
        <v>0</v>
      </c>
      <c r="AD515">
        <v>20</v>
      </c>
      <c r="AE515" s="44">
        <f t="shared" ref="AE515:AE524" si="32">O515*P515*Q515</f>
        <v>355.4308594872</v>
      </c>
      <c r="AF515" s="46">
        <v>0</v>
      </c>
      <c r="AG515" s="44">
        <v>0</v>
      </c>
      <c r="AH515" s="44">
        <v>0</v>
      </c>
      <c r="AI515" s="41">
        <f t="shared" si="31"/>
        <v>5.6269734228634849E-2</v>
      </c>
      <c r="AJ515" s="41"/>
      <c r="AK515" s="41"/>
      <c r="AL515" s="41"/>
      <c r="AM515" s="23">
        <v>1.53125</v>
      </c>
      <c r="AN515" s="23">
        <v>1.59375</v>
      </c>
      <c r="AO515" s="23">
        <v>0.375</v>
      </c>
      <c r="AP515" s="23">
        <v>0</v>
      </c>
      <c r="AQ515" s="23">
        <v>0.4375</v>
      </c>
      <c r="AR515" s="23">
        <v>0.45535714285714279</v>
      </c>
      <c r="AS515" s="23">
        <v>0.1071428571428571</v>
      </c>
      <c r="AT515" s="23">
        <v>0</v>
      </c>
      <c r="AU515" s="20">
        <v>1</v>
      </c>
      <c r="AV515" s="20">
        <v>3.44</v>
      </c>
      <c r="AW515" s="20">
        <v>2.44</v>
      </c>
      <c r="AX515" s="20">
        <v>2.5262500000000001</v>
      </c>
      <c r="AY515">
        <v>2.5262500000000001</v>
      </c>
      <c r="AZ515">
        <v>6.6075924153816246</v>
      </c>
      <c r="BD515">
        <v>2.8134867114317421E-2</v>
      </c>
      <c r="BH515">
        <v>5.6269734228634849E-2</v>
      </c>
      <c r="BI515">
        <v>2.8134867114317421E-2</v>
      </c>
      <c r="BJ515">
        <v>0</v>
      </c>
    </row>
    <row r="516" spans="1:62" x14ac:dyDescent="0.3">
      <c r="A516" t="s">
        <v>429</v>
      </c>
      <c r="B516" s="17" t="s">
        <v>1066</v>
      </c>
      <c r="C516" s="12"/>
      <c r="D516" t="s">
        <v>863</v>
      </c>
      <c r="E516">
        <v>1</v>
      </c>
      <c r="F516">
        <v>3.59</v>
      </c>
      <c r="G516" t="s">
        <v>432</v>
      </c>
      <c r="H516" s="8">
        <v>-1</v>
      </c>
      <c r="I516">
        <v>-1</v>
      </c>
      <c r="K516">
        <v>1</v>
      </c>
      <c r="L516" s="20">
        <v>0</v>
      </c>
      <c r="M516">
        <v>0</v>
      </c>
      <c r="N516">
        <v>0</v>
      </c>
      <c r="O516">
        <v>3.8639000000000001</v>
      </c>
      <c r="P516">
        <v>3.8639000000000001</v>
      </c>
      <c r="Q516">
        <v>34.090000000000003</v>
      </c>
      <c r="R516" t="s">
        <v>1138</v>
      </c>
      <c r="T516" s="20">
        <v>0</v>
      </c>
      <c r="W516">
        <v>0</v>
      </c>
      <c r="Z516">
        <v>0</v>
      </c>
      <c r="AD516">
        <v>20</v>
      </c>
      <c r="AE516" s="44">
        <f t="shared" si="32"/>
        <v>508.95426422890006</v>
      </c>
      <c r="AF516" s="46">
        <v>0</v>
      </c>
      <c r="AG516" s="44">
        <v>0</v>
      </c>
      <c r="AH516" s="44">
        <v>0</v>
      </c>
      <c r="AI516" s="41">
        <f t="shared" si="31"/>
        <v>3.9296261777669442E-2</v>
      </c>
      <c r="AJ516" s="41"/>
      <c r="AK516" s="41"/>
      <c r="AL516" s="41"/>
      <c r="AM516" s="23">
        <v>1.4772727272727271</v>
      </c>
      <c r="AN516" s="23">
        <v>1.3409090909090911</v>
      </c>
      <c r="AO516" s="23">
        <v>0.27272727272727271</v>
      </c>
      <c r="AP516" s="23">
        <v>0</v>
      </c>
      <c r="AQ516" s="23">
        <v>0.47794117647058831</v>
      </c>
      <c r="AR516" s="23">
        <v>0.43382352941176472</v>
      </c>
      <c r="AS516" s="23">
        <v>8.8235294117647051E-2</v>
      </c>
      <c r="AT516" s="23">
        <v>0</v>
      </c>
      <c r="AU516" s="20">
        <v>1</v>
      </c>
      <c r="AV516" s="20">
        <v>3.44</v>
      </c>
      <c r="AW516" s="20">
        <v>2.44</v>
      </c>
      <c r="AX516" s="20">
        <v>2.4690909090909088</v>
      </c>
      <c r="AY516">
        <v>2.4690909090909088</v>
      </c>
      <c r="AZ516">
        <v>6.679542975341362</v>
      </c>
      <c r="BD516">
        <v>1.9648130888834721E-2</v>
      </c>
      <c r="BH516">
        <v>3.9296261777669442E-2</v>
      </c>
      <c r="BI516">
        <v>1.9648130888834721E-2</v>
      </c>
      <c r="BJ516">
        <v>0</v>
      </c>
    </row>
    <row r="517" spans="1:62" x14ac:dyDescent="0.3">
      <c r="A517" t="s">
        <v>430</v>
      </c>
      <c r="B517" s="17" t="s">
        <v>1064</v>
      </c>
      <c r="C517" s="12"/>
      <c r="D517" t="s">
        <v>863</v>
      </c>
      <c r="E517">
        <v>1</v>
      </c>
      <c r="F517">
        <v>3.57</v>
      </c>
      <c r="G517" t="s">
        <v>432</v>
      </c>
      <c r="H517" s="8">
        <v>-1</v>
      </c>
      <c r="I517">
        <v>-1</v>
      </c>
      <c r="K517">
        <v>1</v>
      </c>
      <c r="L517" s="20">
        <v>0</v>
      </c>
      <c r="M517">
        <v>0</v>
      </c>
      <c r="N517">
        <v>0</v>
      </c>
      <c r="O517">
        <v>3.8664000000000001</v>
      </c>
      <c r="P517">
        <v>3.8664000000000001</v>
      </c>
      <c r="Q517">
        <v>16.116399999999999</v>
      </c>
      <c r="R517" t="s">
        <v>1137</v>
      </c>
      <c r="T517" s="20">
        <v>0</v>
      </c>
      <c r="W517">
        <v>0</v>
      </c>
      <c r="Z517">
        <v>0</v>
      </c>
      <c r="AD517">
        <v>20</v>
      </c>
      <c r="AE517" s="44">
        <f t="shared" si="32"/>
        <v>240.92485265894399</v>
      </c>
      <c r="AF517" s="46">
        <v>0</v>
      </c>
      <c r="AG517" s="44">
        <v>0</v>
      </c>
      <c r="AH517" s="44">
        <v>0</v>
      </c>
      <c r="AI517" s="41">
        <f t="shared" si="31"/>
        <v>8.3013436676506888E-2</v>
      </c>
      <c r="AJ517" s="41"/>
      <c r="AK517" s="41"/>
      <c r="AL517" s="41"/>
      <c r="AM517" s="23">
        <v>1.6086956521739131</v>
      </c>
      <c r="AN517" s="23">
        <v>1.956521739130435</v>
      </c>
      <c r="AO517" s="23">
        <v>0.52173913043478259</v>
      </c>
      <c r="AP517" s="23">
        <v>0</v>
      </c>
      <c r="AQ517" s="23">
        <v>0.3936170212765957</v>
      </c>
      <c r="AR517" s="23">
        <v>0.47872340425531912</v>
      </c>
      <c r="AS517" s="23">
        <v>0.1276595744680851</v>
      </c>
      <c r="AT517" s="23">
        <v>0</v>
      </c>
      <c r="AU517" s="20">
        <v>1</v>
      </c>
      <c r="AV517" s="20">
        <v>3.44</v>
      </c>
      <c r="AW517" s="20">
        <v>2.44</v>
      </c>
      <c r="AX517" s="20">
        <v>2.6082608695652172</v>
      </c>
      <c r="AY517">
        <v>2.6082608695652181</v>
      </c>
      <c r="AZ517">
        <v>6.5043590032654777</v>
      </c>
      <c r="BD517">
        <v>4.1506718338253437E-2</v>
      </c>
      <c r="BH517">
        <v>8.3013436676506888E-2</v>
      </c>
      <c r="BI517">
        <v>4.1506718338253437E-2</v>
      </c>
      <c r="BJ517">
        <v>0</v>
      </c>
    </row>
    <row r="518" spans="1:62" x14ac:dyDescent="0.3">
      <c r="A518" t="s">
        <v>431</v>
      </c>
      <c r="B518" s="17" t="s">
        <v>1065</v>
      </c>
      <c r="C518" s="12"/>
      <c r="D518" t="s">
        <v>863</v>
      </c>
      <c r="E518">
        <v>1</v>
      </c>
      <c r="F518">
        <v>3.57</v>
      </c>
      <c r="G518" t="s">
        <v>432</v>
      </c>
      <c r="H518" s="8">
        <v>-1</v>
      </c>
      <c r="I518">
        <v>-1</v>
      </c>
      <c r="K518">
        <v>2</v>
      </c>
      <c r="L518" s="20">
        <v>0</v>
      </c>
      <c r="M518">
        <v>0</v>
      </c>
      <c r="N518">
        <v>0</v>
      </c>
      <c r="O518">
        <v>3.8982000000000001</v>
      </c>
      <c r="P518">
        <v>3.8982000000000001</v>
      </c>
      <c r="Q518">
        <v>51.103099999999998</v>
      </c>
      <c r="R518" t="s">
        <v>1140</v>
      </c>
      <c r="T518" s="20">
        <v>0</v>
      </c>
      <c r="W518">
        <v>0</v>
      </c>
      <c r="Z518">
        <v>0</v>
      </c>
      <c r="AD518">
        <v>20</v>
      </c>
      <c r="AE518" s="44">
        <f t="shared" si="32"/>
        <v>776.56082905004405</v>
      </c>
      <c r="AF518" s="46">
        <v>0</v>
      </c>
      <c r="AG518" s="44">
        <v>0</v>
      </c>
      <c r="AH518" s="44">
        <v>0</v>
      </c>
      <c r="AI518" s="41">
        <f t="shared" si="31"/>
        <v>5.150916515958117E-2</v>
      </c>
      <c r="AJ518" s="41"/>
      <c r="AK518" s="41"/>
      <c r="AL518" s="41"/>
      <c r="AM518" s="23">
        <v>1.53125</v>
      </c>
      <c r="AN518" s="23">
        <v>1.59375</v>
      </c>
      <c r="AO518" s="23">
        <v>0.375</v>
      </c>
      <c r="AP518" s="23">
        <v>0</v>
      </c>
      <c r="AQ518" s="23">
        <v>0.4375</v>
      </c>
      <c r="AR518" s="23">
        <v>0.45535714285714279</v>
      </c>
      <c r="AS518" s="23">
        <v>0.1071428571428571</v>
      </c>
      <c r="AT518" s="23">
        <v>0</v>
      </c>
      <c r="AU518" s="20">
        <v>1</v>
      </c>
      <c r="AV518" s="20">
        <v>3.44</v>
      </c>
      <c r="AW518" s="20">
        <v>2.44</v>
      </c>
      <c r="AX518" s="20">
        <v>2.5262500000000001</v>
      </c>
      <c r="AY518">
        <v>2.5262500000000001</v>
      </c>
      <c r="AZ518">
        <v>6.6075924153816246</v>
      </c>
      <c r="BD518">
        <v>2.5754582579790589E-2</v>
      </c>
      <c r="BH518">
        <v>5.150916515958117E-2</v>
      </c>
      <c r="BI518">
        <v>2.5754582579790589E-2</v>
      </c>
      <c r="BJ518">
        <v>0</v>
      </c>
    </row>
    <row r="519" spans="1:62" x14ac:dyDescent="0.3">
      <c r="A519" t="s">
        <v>107</v>
      </c>
      <c r="B519" s="17" t="s">
        <v>1066</v>
      </c>
      <c r="C519" s="12"/>
      <c r="D519" t="s">
        <v>863</v>
      </c>
      <c r="E519">
        <v>1</v>
      </c>
      <c r="F519">
        <v>3.61</v>
      </c>
      <c r="G519" t="s">
        <v>432</v>
      </c>
      <c r="H519" s="8">
        <v>-1</v>
      </c>
      <c r="I519">
        <v>-1</v>
      </c>
      <c r="K519">
        <v>2</v>
      </c>
      <c r="L519" s="20">
        <v>0</v>
      </c>
      <c r="M519">
        <v>0</v>
      </c>
      <c r="N519">
        <v>0</v>
      </c>
      <c r="O519">
        <v>3.8875000000000002</v>
      </c>
      <c r="P519">
        <v>3.8875000000000002</v>
      </c>
      <c r="Q519">
        <v>34.478000000000002</v>
      </c>
      <c r="R519" t="s">
        <v>451</v>
      </c>
      <c r="W519">
        <v>0</v>
      </c>
      <c r="Z519">
        <v>0</v>
      </c>
      <c r="AD519">
        <v>20</v>
      </c>
      <c r="AE519" s="44">
        <f t="shared" si="32"/>
        <v>521.05416218750008</v>
      </c>
      <c r="AF519" s="46">
        <v>0</v>
      </c>
      <c r="AG519" s="44">
        <v>0</v>
      </c>
      <c r="AH519" s="44">
        <v>0</v>
      </c>
      <c r="AI519" s="41">
        <f t="shared" si="31"/>
        <v>7.6767451260865469E-2</v>
      </c>
      <c r="AJ519" s="41"/>
      <c r="AK519" s="41"/>
      <c r="AL519" s="41"/>
      <c r="AM519" s="23">
        <v>1.4772727272727271</v>
      </c>
      <c r="AN519" s="23">
        <v>1.3409090909090911</v>
      </c>
      <c r="AO519" s="23">
        <v>0.27272727272727271</v>
      </c>
      <c r="AP519" s="23">
        <v>0</v>
      </c>
      <c r="AQ519" s="23">
        <v>0.47794117647058831</v>
      </c>
      <c r="AR519" s="23">
        <v>0.43382352941176472</v>
      </c>
      <c r="AS519" s="23">
        <v>8.8235294117647051E-2</v>
      </c>
      <c r="AT519" s="23">
        <v>0</v>
      </c>
      <c r="AU519" s="20">
        <v>1</v>
      </c>
      <c r="AV519" s="20">
        <v>3.44</v>
      </c>
      <c r="AW519" s="20">
        <v>2.44</v>
      </c>
      <c r="AX519" s="20">
        <v>2.4690909090909088</v>
      </c>
      <c r="AY519">
        <v>2.4690909090909088</v>
      </c>
      <c r="AZ519">
        <v>6.679542975341362</v>
      </c>
      <c r="BD519">
        <v>3.8383725630432727E-2</v>
      </c>
      <c r="BH519">
        <v>7.6767451260865469E-2</v>
      </c>
      <c r="BI519">
        <v>3.8383725630432727E-2</v>
      </c>
      <c r="BJ519">
        <v>0</v>
      </c>
    </row>
    <row r="520" spans="1:62" x14ac:dyDescent="0.3">
      <c r="A520" t="s">
        <v>4</v>
      </c>
      <c r="B520" s="12" t="s">
        <v>689</v>
      </c>
      <c r="C520" s="12"/>
      <c r="F520">
        <v>3.5</v>
      </c>
      <c r="G520" s="3"/>
      <c r="H520" s="8"/>
      <c r="K520">
        <v>2</v>
      </c>
      <c r="M520">
        <v>0</v>
      </c>
      <c r="N520">
        <v>0</v>
      </c>
      <c r="O520">
        <v>3.86</v>
      </c>
      <c r="P520">
        <v>3.86</v>
      </c>
      <c r="Q520">
        <v>29.5</v>
      </c>
      <c r="W520">
        <v>0</v>
      </c>
      <c r="Z520">
        <v>0</v>
      </c>
      <c r="AD520">
        <v>20</v>
      </c>
      <c r="AE520" s="44">
        <f t="shared" si="32"/>
        <v>439.53819999999996</v>
      </c>
      <c r="AF520" s="44"/>
      <c r="AG520" s="44">
        <v>0</v>
      </c>
      <c r="AH520" s="44">
        <v>0</v>
      </c>
      <c r="AI520" s="41">
        <f t="shared" si="31"/>
        <v>9.1004604377958515E-2</v>
      </c>
      <c r="AJ520" s="41"/>
      <c r="AK520" s="41"/>
      <c r="AL520" s="41"/>
      <c r="AM520" s="23"/>
      <c r="AN520" s="23"/>
      <c r="AO520" s="23"/>
      <c r="AP520" s="23"/>
      <c r="AQ520" s="23"/>
      <c r="AR520" s="23"/>
      <c r="AS520" s="23"/>
      <c r="AT520" s="23"/>
      <c r="BD520">
        <v>4.5502302188979257E-2</v>
      </c>
      <c r="BH520">
        <v>9.1004604377958515E-2</v>
      </c>
      <c r="BI520">
        <v>4.5502302188979257E-2</v>
      </c>
      <c r="BJ520">
        <v>0</v>
      </c>
    </row>
    <row r="521" spans="1:62" x14ac:dyDescent="0.3">
      <c r="A521" t="s">
        <v>1177</v>
      </c>
      <c r="B521" t="s">
        <v>1245</v>
      </c>
      <c r="F521">
        <v>3.6</v>
      </c>
      <c r="K521">
        <v>2</v>
      </c>
      <c r="M521">
        <v>4</v>
      </c>
      <c r="N521">
        <v>0</v>
      </c>
      <c r="O521">
        <v>3.85</v>
      </c>
      <c r="P521">
        <v>3.85</v>
      </c>
      <c r="Q521">
        <v>29.5</v>
      </c>
      <c r="W521">
        <v>3.8801999999999999</v>
      </c>
      <c r="X521">
        <v>29.507999999999999</v>
      </c>
      <c r="Y521">
        <v>7.7140000000000004</v>
      </c>
      <c r="Z521">
        <v>0</v>
      </c>
      <c r="AD521">
        <v>20</v>
      </c>
      <c r="AE521" s="44">
        <f t="shared" si="32"/>
        <v>437.26375000000007</v>
      </c>
      <c r="AF521" s="44"/>
      <c r="AG521" s="44">
        <v>883.22940750240002</v>
      </c>
      <c r="AH521" s="44">
        <v>0</v>
      </c>
      <c r="AI521" s="41">
        <f t="shared" si="31"/>
        <v>9.1477969532118758E-2</v>
      </c>
      <c r="AJ521" s="41"/>
      <c r="AK521" s="41">
        <v>9.0576694254581439E-2</v>
      </c>
      <c r="AL521" s="41"/>
      <c r="AM521" s="23"/>
      <c r="AN521" s="23"/>
      <c r="AO521" s="23"/>
      <c r="AP521" s="23"/>
      <c r="AQ521" s="23"/>
      <c r="AR521" s="23"/>
      <c r="AS521" s="23"/>
      <c r="AT521" s="23"/>
      <c r="BD521">
        <v>4.5738984766059379E-2</v>
      </c>
      <c r="BF521">
        <v>4.5288347127290719E-2</v>
      </c>
      <c r="BH521">
        <v>9.1027331893350105E-2</v>
      </c>
      <c r="BI521">
        <v>4.5513665946675053E-2</v>
      </c>
      <c r="BJ521">
        <v>0</v>
      </c>
    </row>
    <row r="522" spans="1:62" x14ac:dyDescent="0.3">
      <c r="A522" t="s">
        <v>1178</v>
      </c>
      <c r="B522" t="s">
        <v>1246</v>
      </c>
      <c r="F522">
        <v>3.8</v>
      </c>
      <c r="K522">
        <v>2</v>
      </c>
      <c r="M522">
        <v>0</v>
      </c>
      <c r="N522">
        <v>0</v>
      </c>
      <c r="O522">
        <v>3.88</v>
      </c>
      <c r="P522">
        <v>3.88</v>
      </c>
      <c r="Q522">
        <v>29.8</v>
      </c>
      <c r="W522">
        <v>0</v>
      </c>
      <c r="Z522">
        <v>0</v>
      </c>
      <c r="AD522">
        <v>20</v>
      </c>
      <c r="AE522" s="44">
        <f t="shared" si="32"/>
        <v>448.62112000000002</v>
      </c>
      <c r="AF522" s="44"/>
      <c r="AG522" s="44">
        <v>0</v>
      </c>
      <c r="AH522" s="44">
        <v>0</v>
      </c>
      <c r="AI522" s="41">
        <f t="shared" si="31"/>
        <v>8.9162097406381577E-2</v>
      </c>
      <c r="AJ522" s="41"/>
      <c r="AK522" s="41"/>
      <c r="AL522" s="41"/>
      <c r="AM522" s="23"/>
      <c r="AN522" s="23"/>
      <c r="AO522" s="23"/>
      <c r="AP522" s="23"/>
      <c r="AQ522" s="23"/>
      <c r="AR522" s="23"/>
      <c r="AS522" s="23"/>
      <c r="AT522" s="23"/>
      <c r="BD522">
        <v>4.4581048703190788E-2</v>
      </c>
      <c r="BH522">
        <v>8.9162097406381577E-2</v>
      </c>
      <c r="BI522">
        <v>4.4581048703190788E-2</v>
      </c>
      <c r="BJ522">
        <v>0</v>
      </c>
    </row>
    <row r="523" spans="1:62" x14ac:dyDescent="0.3">
      <c r="A523" t="s">
        <v>308</v>
      </c>
      <c r="B523" t="s">
        <v>830</v>
      </c>
      <c r="F523">
        <v>4.2</v>
      </c>
      <c r="K523">
        <v>2</v>
      </c>
      <c r="M523">
        <v>0</v>
      </c>
      <c r="N523">
        <v>0</v>
      </c>
      <c r="O523">
        <v>3.86</v>
      </c>
      <c r="P523">
        <v>3.86</v>
      </c>
      <c r="Q523">
        <v>29.8</v>
      </c>
      <c r="W523">
        <v>0</v>
      </c>
      <c r="Z523">
        <v>0</v>
      </c>
      <c r="AD523">
        <v>20</v>
      </c>
      <c r="AE523" s="44">
        <f t="shared" si="32"/>
        <v>444.00808000000001</v>
      </c>
      <c r="AF523" s="44"/>
      <c r="AG523" s="44">
        <v>0</v>
      </c>
      <c r="AH523" s="44">
        <v>0</v>
      </c>
      <c r="AI523" s="41">
        <f t="shared" si="31"/>
        <v>9.0088450642609924E-2</v>
      </c>
      <c r="AJ523" s="41"/>
      <c r="AK523" s="41"/>
      <c r="AL523" s="41"/>
      <c r="AM523" s="23"/>
      <c r="AN523" s="23"/>
      <c r="AO523" s="23"/>
      <c r="AP523" s="23"/>
      <c r="AQ523" s="23"/>
      <c r="AR523" s="23"/>
      <c r="AS523" s="23"/>
      <c r="AT523" s="23"/>
      <c r="BD523">
        <v>4.5044225321304962E-2</v>
      </c>
      <c r="BH523">
        <v>9.0088450642609924E-2</v>
      </c>
      <c r="BI523">
        <v>4.5044225321304962E-2</v>
      </c>
      <c r="BJ523">
        <v>0</v>
      </c>
    </row>
    <row r="524" spans="1:62" x14ac:dyDescent="0.3">
      <c r="A524" t="s">
        <v>308</v>
      </c>
      <c r="B524" t="s">
        <v>830</v>
      </c>
      <c r="F524">
        <v>4.2</v>
      </c>
      <c r="K524">
        <v>2</v>
      </c>
      <c r="M524">
        <v>2</v>
      </c>
      <c r="N524">
        <v>0</v>
      </c>
      <c r="O524">
        <v>3.86</v>
      </c>
      <c r="P524">
        <v>3.86</v>
      </c>
      <c r="Q524">
        <v>29.8</v>
      </c>
      <c r="U524" s="5"/>
      <c r="W524">
        <v>3.8656999999999999</v>
      </c>
      <c r="X524">
        <v>29.777000000000001</v>
      </c>
      <c r="Y524">
        <v>3.8519999999999999</v>
      </c>
      <c r="Z524">
        <v>0</v>
      </c>
      <c r="AD524">
        <v>20</v>
      </c>
      <c r="AE524" s="44">
        <f t="shared" si="32"/>
        <v>444.00808000000001</v>
      </c>
      <c r="AF524" s="44"/>
      <c r="AG524" s="44">
        <v>443.39967116280002</v>
      </c>
      <c r="AH524" s="44">
        <v>0</v>
      </c>
      <c r="AI524" s="41">
        <f t="shared" si="31"/>
        <v>9.0088450642609924E-2</v>
      </c>
      <c r="AJ524" s="41"/>
      <c r="AK524" s="41">
        <v>9.0212065099420147E-2</v>
      </c>
      <c r="AL524" s="41"/>
      <c r="BD524">
        <v>4.5044225321304962E-2</v>
      </c>
      <c r="BF524">
        <v>4.5106032549710073E-2</v>
      </c>
      <c r="BH524">
        <v>9.0150257871015035E-2</v>
      </c>
      <c r="BI524">
        <v>4.5075128935507518E-2</v>
      </c>
      <c r="BJ524">
        <v>0</v>
      </c>
    </row>
    <row r="525" spans="1:62" x14ac:dyDescent="0.3">
      <c r="B525" s="61"/>
    </row>
  </sheetData>
  <hyperlinks>
    <hyperlink ref="G287" r:id="rId1" tooltip="Persistent link using digital object identifier" display="https://doi.org/10.1016/j.pnsc.2012.03.002" xr:uid="{00000000-0004-0000-0100-000000000000}"/>
    <hyperlink ref="G288" r:id="rId2" tooltip="Persistent link using digital object identifier" display="https://doi.org/10.1016/j.pnsc.2012.03.002" xr:uid="{00000000-0004-0000-0100-000001000000}"/>
    <hyperlink ref="I6" r:id="rId3" display="https://www.crystallography.net/cod/1544425.html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22" sqref="B22"/>
    </sheetView>
  </sheetViews>
  <sheetFormatPr defaultRowHeight="14.4" x14ac:dyDescent="0.3"/>
  <cols>
    <col min="1" max="1" width="36.109375" customWidth="1"/>
  </cols>
  <sheetData>
    <row r="1" spans="1:2" x14ac:dyDescent="0.3">
      <c r="A1" t="s">
        <v>475</v>
      </c>
      <c r="B1">
        <v>102</v>
      </c>
    </row>
    <row r="2" spans="1:2" x14ac:dyDescent="0.3">
      <c r="A2" t="s">
        <v>474</v>
      </c>
      <c r="B2">
        <v>96</v>
      </c>
    </row>
    <row r="3" spans="1:2" x14ac:dyDescent="0.3">
      <c r="A3" t="s">
        <v>520</v>
      </c>
      <c r="B3">
        <v>85</v>
      </c>
    </row>
    <row r="4" spans="1:2" x14ac:dyDescent="0.3">
      <c r="A4" t="s">
        <v>476</v>
      </c>
      <c r="B4">
        <v>79</v>
      </c>
    </row>
    <row r="5" spans="1:2" x14ac:dyDescent="0.3">
      <c r="A5" t="s">
        <v>479</v>
      </c>
      <c r="B5">
        <v>44</v>
      </c>
    </row>
    <row r="6" spans="1:2" x14ac:dyDescent="0.3">
      <c r="A6" t="s">
        <v>521</v>
      </c>
      <c r="B6">
        <v>43</v>
      </c>
    </row>
    <row r="7" spans="1:2" x14ac:dyDescent="0.3">
      <c r="A7" t="s">
        <v>473</v>
      </c>
      <c r="B7">
        <v>37</v>
      </c>
    </row>
    <row r="8" spans="1:2" x14ac:dyDescent="0.3">
      <c r="A8" t="s">
        <v>477</v>
      </c>
      <c r="B8">
        <v>17</v>
      </c>
    </row>
    <row r="9" spans="1:2" x14ac:dyDescent="0.3">
      <c r="A9" t="s">
        <v>478</v>
      </c>
      <c r="B9">
        <v>17</v>
      </c>
    </row>
    <row r="10" spans="1:2" x14ac:dyDescent="0.3">
      <c r="A10" t="s">
        <v>480</v>
      </c>
      <c r="B10">
        <v>13</v>
      </c>
    </row>
  </sheetData>
  <sortState xmlns:xlrd2="http://schemas.microsoft.com/office/spreadsheetml/2017/richdata2" ref="A1:B7">
    <sortCondition descending="1" ref="B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524"/>
  <sheetViews>
    <sheetView workbookViewId="0">
      <pane ySplit="1" topLeftCell="A2" activePane="bottomLeft" state="frozen"/>
      <selection pane="bottomLeft" activeCell="AA2" sqref="AA2:AA29"/>
    </sheetView>
  </sheetViews>
  <sheetFormatPr defaultRowHeight="14.4" x14ac:dyDescent="0.3"/>
  <cols>
    <col min="1" max="1" width="21.21875" customWidth="1"/>
    <col min="2" max="2" width="20.21875" customWidth="1"/>
    <col min="3" max="3" width="11.6640625" customWidth="1"/>
    <col min="4" max="4" width="5.33203125" customWidth="1"/>
    <col min="5" max="5" width="6.88671875" customWidth="1"/>
    <col min="6" max="6" width="8.77734375" customWidth="1"/>
    <col min="7" max="7" width="27" customWidth="1"/>
    <col min="8" max="8" width="17.6640625" customWidth="1"/>
    <col min="10" max="10" width="11.77734375" customWidth="1"/>
    <col min="11" max="11" width="8.109375" customWidth="1"/>
    <col min="12" max="12" width="6.6640625" customWidth="1"/>
    <col min="13" max="13" width="10.6640625" customWidth="1"/>
    <col min="15" max="15" width="8.88671875" style="1" customWidth="1"/>
    <col min="16" max="16" width="8.88671875" style="2"/>
    <col min="17" max="17" width="8.88671875" style="4"/>
    <col min="23" max="23" width="8.88671875" style="5"/>
    <col min="24" max="24" width="14.6640625" customWidth="1"/>
    <col min="25" max="25" width="30.33203125" customWidth="1"/>
    <col min="26" max="26" width="13.21875" customWidth="1"/>
    <col min="27" max="27" width="19.44140625" customWidth="1"/>
    <col min="28" max="28" width="14.5546875" customWidth="1"/>
    <col min="29" max="29" width="12.88671875" customWidth="1"/>
    <col min="30" max="30" width="11.109375" customWidth="1"/>
    <col min="31" max="31" width="21.88671875" customWidth="1"/>
    <col min="32" max="32" width="16.44140625" customWidth="1"/>
    <col min="38" max="38" width="12" bestFit="1" customWidth="1"/>
    <col min="41" max="41" width="15.5546875" customWidth="1"/>
    <col min="42" max="42" width="11.88671875" customWidth="1"/>
    <col min="43" max="43" width="13.109375" customWidth="1"/>
    <col min="44" max="44" width="21.6640625" style="23" customWidth="1"/>
    <col min="45" max="45" width="25.109375" style="23" customWidth="1"/>
    <col min="46" max="46" width="17.44140625" style="23" customWidth="1"/>
    <col min="47" max="47" width="18.88671875" style="23" customWidth="1"/>
    <col min="48" max="51" width="8.88671875" style="23"/>
    <col min="52" max="52" width="20.33203125" customWidth="1"/>
    <col min="55" max="55" width="20.33203125" customWidth="1"/>
    <col min="56" max="56" width="12.109375" customWidth="1"/>
  </cols>
  <sheetData>
    <row r="1" spans="1:61" x14ac:dyDescent="0.3">
      <c r="A1" t="s">
        <v>112</v>
      </c>
      <c r="B1" s="13" t="s">
        <v>684</v>
      </c>
      <c r="C1" s="15" t="s">
        <v>892</v>
      </c>
      <c r="D1" t="s">
        <v>675</v>
      </c>
      <c r="E1" t="s">
        <v>880</v>
      </c>
      <c r="F1" t="s">
        <v>113</v>
      </c>
      <c r="G1" t="s">
        <v>50</v>
      </c>
      <c r="H1" s="9" t="s">
        <v>522</v>
      </c>
      <c r="I1" s="10" t="s">
        <v>605</v>
      </c>
      <c r="J1" s="24" t="s">
        <v>1146</v>
      </c>
      <c r="K1" t="s">
        <v>514</v>
      </c>
      <c r="L1" t="s">
        <v>509</v>
      </c>
      <c r="M1" s="18" t="s">
        <v>1096</v>
      </c>
      <c r="N1" s="21" t="s">
        <v>1108</v>
      </c>
      <c r="O1" t="s">
        <v>467</v>
      </c>
      <c r="P1" t="s">
        <v>468</v>
      </c>
      <c r="Q1" t="s">
        <v>469</v>
      </c>
      <c r="R1" t="s">
        <v>438</v>
      </c>
      <c r="S1" t="s">
        <v>1132</v>
      </c>
      <c r="T1" s="21" t="s">
        <v>1105</v>
      </c>
      <c r="U1" s="21" t="s">
        <v>1106</v>
      </c>
      <c r="V1" s="21" t="s">
        <v>1107</v>
      </c>
      <c r="W1" t="s">
        <v>441</v>
      </c>
      <c r="X1" t="s">
        <v>443</v>
      </c>
      <c r="Y1" t="s">
        <v>466</v>
      </c>
      <c r="Z1" t="s">
        <v>433</v>
      </c>
      <c r="AA1" t="s">
        <v>456</v>
      </c>
      <c r="AB1" t="s">
        <v>457</v>
      </c>
      <c r="AC1" t="s">
        <v>442</v>
      </c>
      <c r="AD1" t="s">
        <v>434</v>
      </c>
      <c r="AE1" t="s">
        <v>449</v>
      </c>
      <c r="AF1" t="s">
        <v>436</v>
      </c>
      <c r="AG1" t="s">
        <v>437</v>
      </c>
      <c r="AH1" t="s">
        <v>448</v>
      </c>
      <c r="AI1" t="s">
        <v>445</v>
      </c>
      <c r="AJ1" t="s">
        <v>446</v>
      </c>
      <c r="AK1" t="s">
        <v>437</v>
      </c>
      <c r="AL1" t="s">
        <v>448</v>
      </c>
      <c r="AM1" t="s">
        <v>445</v>
      </c>
      <c r="AN1" t="s">
        <v>446</v>
      </c>
      <c r="AO1" s="10" t="s">
        <v>1094</v>
      </c>
      <c r="AP1" s="21" t="s">
        <v>1103</v>
      </c>
      <c r="AQ1" s="21" t="s">
        <v>1104</v>
      </c>
      <c r="AR1" s="22" t="s">
        <v>1113</v>
      </c>
      <c r="AS1" s="22" t="s">
        <v>1114</v>
      </c>
      <c r="AT1" s="22" t="s">
        <v>1115</v>
      </c>
      <c r="AU1" s="22" t="s">
        <v>1116</v>
      </c>
      <c r="AV1" s="22" t="s">
        <v>1117</v>
      </c>
      <c r="AW1" s="22" t="s">
        <v>1118</v>
      </c>
      <c r="AX1" s="22" t="s">
        <v>1119</v>
      </c>
      <c r="AY1" s="22" t="s">
        <v>1120</v>
      </c>
      <c r="AZ1" s="21" t="s">
        <v>1109</v>
      </c>
      <c r="BA1" s="21" t="s">
        <v>1110</v>
      </c>
      <c r="BB1" s="21" t="s">
        <v>1111</v>
      </c>
      <c r="BC1" s="21" t="s">
        <v>1112</v>
      </c>
      <c r="BD1" s="10" t="s">
        <v>1092</v>
      </c>
      <c r="BE1" s="10" t="s">
        <v>1093</v>
      </c>
    </row>
    <row r="2" spans="1:61" x14ac:dyDescent="0.3">
      <c r="A2" t="s">
        <v>0</v>
      </c>
      <c r="B2" s="12" t="s">
        <v>685</v>
      </c>
      <c r="C2" s="12"/>
      <c r="F2">
        <v>3.5</v>
      </c>
      <c r="G2" t="s">
        <v>454</v>
      </c>
      <c r="H2" s="8" t="s">
        <v>523</v>
      </c>
      <c r="I2" t="s">
        <v>606</v>
      </c>
      <c r="K2">
        <v>1</v>
      </c>
      <c r="L2" s="6" t="s">
        <v>512</v>
      </c>
      <c r="M2" s="6"/>
      <c r="N2" s="20">
        <v>4</v>
      </c>
      <c r="O2"/>
      <c r="P2"/>
      <c r="Q2"/>
      <c r="T2" s="20">
        <v>6.6040679999999998</v>
      </c>
      <c r="U2" s="20">
        <v>7.9389519999999996</v>
      </c>
      <c r="V2" s="20">
        <v>33.703336</v>
      </c>
      <c r="W2"/>
      <c r="AA2">
        <v>130</v>
      </c>
      <c r="AB2" t="s">
        <v>458</v>
      </c>
      <c r="AO2">
        <v>34</v>
      </c>
      <c r="AP2" s="20">
        <v>1767.0449718798691</v>
      </c>
      <c r="AQ2" s="20">
        <v>7.6964651247849417E-2</v>
      </c>
      <c r="AR2" s="23">
        <v>1.62962962962963</v>
      </c>
      <c r="AS2" s="23">
        <v>2.518518518518519</v>
      </c>
      <c r="AT2" s="23">
        <v>0.88888888888888884</v>
      </c>
      <c r="AU2" s="23">
        <v>0</v>
      </c>
      <c r="AV2" s="23">
        <v>0.32352941176470579</v>
      </c>
      <c r="AW2" s="23">
        <v>0.5</v>
      </c>
      <c r="AX2" s="23">
        <v>0.1764705882352941</v>
      </c>
      <c r="AY2" s="23">
        <v>0</v>
      </c>
      <c r="AZ2" s="20">
        <v>0.82</v>
      </c>
      <c r="BA2" s="20">
        <v>3.44</v>
      </c>
      <c r="BB2" s="20">
        <v>2.62</v>
      </c>
      <c r="BC2" s="20">
        <v>2.642962962962963</v>
      </c>
      <c r="BD2">
        <v>2.642962962962963</v>
      </c>
      <c r="BE2">
        <v>5.9587362692592576</v>
      </c>
    </row>
    <row r="3" spans="1:61" x14ac:dyDescent="0.3">
      <c r="A3" t="s">
        <v>1</v>
      </c>
      <c r="B3" s="12" t="s">
        <v>686</v>
      </c>
      <c r="C3" s="12"/>
      <c r="F3">
        <v>3.2</v>
      </c>
      <c r="G3" t="s">
        <v>454</v>
      </c>
      <c r="H3" s="8" t="s">
        <v>524</v>
      </c>
      <c r="I3" t="s">
        <v>607</v>
      </c>
      <c r="K3">
        <v>1</v>
      </c>
      <c r="L3" t="s">
        <v>510</v>
      </c>
      <c r="N3" s="20">
        <v>1</v>
      </c>
      <c r="O3">
        <v>7.806</v>
      </c>
      <c r="P3">
        <v>7.6680000000000001</v>
      </c>
      <c r="Q3">
        <v>21.54</v>
      </c>
      <c r="R3" s="1" t="s">
        <v>513</v>
      </c>
      <c r="S3" s="1"/>
      <c r="T3" s="20">
        <v>3.9327019999999999</v>
      </c>
      <c r="U3" s="20">
        <v>3.9458000000000002</v>
      </c>
      <c r="V3" s="20">
        <v>11.356398779999999</v>
      </c>
      <c r="W3" s="6" t="s">
        <v>508</v>
      </c>
      <c r="Y3">
        <v>2</v>
      </c>
      <c r="AA3">
        <v>28</v>
      </c>
      <c r="AB3" t="s">
        <v>497</v>
      </c>
      <c r="AO3">
        <v>14</v>
      </c>
      <c r="AP3" s="20">
        <v>173.54502164551991</v>
      </c>
      <c r="AQ3" s="20">
        <v>8.0670709348241429E-2</v>
      </c>
      <c r="AR3" s="23">
        <v>1.7272727272727271</v>
      </c>
      <c r="AS3" s="23">
        <v>2.545454545454545</v>
      </c>
      <c r="AT3" s="23">
        <v>0.81818181818181823</v>
      </c>
      <c r="AU3" s="23">
        <v>0</v>
      </c>
      <c r="AV3" s="23">
        <v>0.3392857142857143</v>
      </c>
      <c r="AW3" s="23">
        <v>0.5</v>
      </c>
      <c r="AX3" s="23">
        <v>0.1607142857142857</v>
      </c>
      <c r="AY3" s="23">
        <v>0</v>
      </c>
      <c r="AZ3" s="20">
        <v>0.82</v>
      </c>
      <c r="BA3" s="20">
        <v>3.44</v>
      </c>
      <c r="BB3" s="20">
        <v>2.62</v>
      </c>
      <c r="BC3" s="20">
        <v>2.6545454545454539</v>
      </c>
      <c r="BD3">
        <v>2.6545454545454539</v>
      </c>
      <c r="BE3">
        <v>5.9946911436363637</v>
      </c>
    </row>
    <row r="4" spans="1:61" x14ac:dyDescent="0.3">
      <c r="A4" t="s">
        <v>2</v>
      </c>
      <c r="B4" s="12" t="s">
        <v>687</v>
      </c>
      <c r="C4" s="12"/>
      <c r="F4">
        <v>3.35</v>
      </c>
      <c r="G4" t="s">
        <v>454</v>
      </c>
      <c r="H4" s="8" t="s">
        <v>525</v>
      </c>
      <c r="I4">
        <v>-1</v>
      </c>
      <c r="K4">
        <v>1</v>
      </c>
      <c r="L4" t="s">
        <v>510</v>
      </c>
      <c r="N4" s="20">
        <v>2</v>
      </c>
      <c r="O4">
        <v>3.8849999999999998</v>
      </c>
      <c r="P4">
        <v>3.8849999999999998</v>
      </c>
      <c r="Q4">
        <v>10.989000000000001</v>
      </c>
      <c r="R4" s="1" t="s">
        <v>439</v>
      </c>
      <c r="S4" s="1"/>
      <c r="T4" s="20">
        <v>11.92921406</v>
      </c>
      <c r="U4" s="20">
        <v>11.92921406</v>
      </c>
      <c r="V4" s="20">
        <v>11.92921406</v>
      </c>
      <c r="W4" t="s">
        <v>508</v>
      </c>
      <c r="Y4">
        <v>2</v>
      </c>
      <c r="AA4">
        <v>60</v>
      </c>
      <c r="AB4" t="s">
        <v>498</v>
      </c>
      <c r="AO4">
        <v>14</v>
      </c>
      <c r="AP4" s="20">
        <v>349.00875366799971</v>
      </c>
      <c r="AQ4" s="20">
        <v>8.0227214090553903E-2</v>
      </c>
      <c r="AR4" s="23">
        <v>1.7272727272727271</v>
      </c>
      <c r="AS4" s="23">
        <v>2.545454545454545</v>
      </c>
      <c r="AT4" s="23">
        <v>0.81818181818181823</v>
      </c>
      <c r="AU4" s="23">
        <v>0</v>
      </c>
      <c r="AV4" s="23">
        <v>0.3392857142857143</v>
      </c>
      <c r="AW4" s="23">
        <v>0.5</v>
      </c>
      <c r="AX4" s="23">
        <v>0.1607142857142857</v>
      </c>
      <c r="AY4" s="23">
        <v>0</v>
      </c>
      <c r="AZ4" s="20">
        <v>0.82</v>
      </c>
      <c r="BA4" s="20">
        <v>3.44</v>
      </c>
      <c r="BB4" s="20">
        <v>2.62</v>
      </c>
      <c r="BC4" s="20">
        <v>2.6545454545454539</v>
      </c>
      <c r="BD4">
        <v>2.6545454545454552</v>
      </c>
      <c r="BE4">
        <v>5.9865512095454543</v>
      </c>
    </row>
    <row r="5" spans="1:61" x14ac:dyDescent="0.3">
      <c r="A5" t="s">
        <v>3</v>
      </c>
      <c r="B5" s="12" t="s">
        <v>688</v>
      </c>
      <c r="C5" s="12"/>
      <c r="F5">
        <v>3.3</v>
      </c>
      <c r="G5" t="s">
        <v>454</v>
      </c>
      <c r="H5" s="8" t="s">
        <v>526</v>
      </c>
      <c r="I5" t="s">
        <v>608</v>
      </c>
      <c r="K5">
        <v>1</v>
      </c>
      <c r="L5" t="s">
        <v>510</v>
      </c>
      <c r="N5" s="20">
        <v>1</v>
      </c>
      <c r="O5">
        <v>3.9049999999999998</v>
      </c>
      <c r="P5">
        <v>3.9049999999999998</v>
      </c>
      <c r="Q5">
        <v>11.185</v>
      </c>
      <c r="R5" s="1" t="s">
        <v>439</v>
      </c>
      <c r="S5" s="1"/>
      <c r="T5" s="20">
        <v>3.952105</v>
      </c>
      <c r="U5" s="20">
        <v>3.952105</v>
      </c>
      <c r="V5" s="20">
        <v>11.503833</v>
      </c>
      <c r="W5" t="s">
        <v>508</v>
      </c>
      <c r="Y5">
        <v>2</v>
      </c>
      <c r="AA5">
        <v>12</v>
      </c>
      <c r="AB5" t="s">
        <v>499</v>
      </c>
      <c r="AO5">
        <v>14</v>
      </c>
      <c r="AP5" s="20">
        <v>179.6799083471451</v>
      </c>
      <c r="AQ5" s="20">
        <v>7.7916335380980528E-2</v>
      </c>
      <c r="AR5" s="23">
        <v>1.7272727272727271</v>
      </c>
      <c r="AS5" s="23">
        <v>2.545454545454545</v>
      </c>
      <c r="AT5" s="23">
        <v>0.81818181818181823</v>
      </c>
      <c r="AU5" s="23">
        <v>0</v>
      </c>
      <c r="AV5" s="23">
        <v>0.3392857142857143</v>
      </c>
      <c r="AW5" s="23">
        <v>0.5</v>
      </c>
      <c r="AX5" s="23">
        <v>0.1607142857142857</v>
      </c>
      <c r="AY5" s="23">
        <v>0</v>
      </c>
      <c r="AZ5" s="20">
        <v>0.79</v>
      </c>
      <c r="BA5" s="20">
        <v>3.44</v>
      </c>
      <c r="BB5" s="20">
        <v>2.65</v>
      </c>
      <c r="BC5" s="20">
        <v>2.6518181818181819</v>
      </c>
      <c r="BD5">
        <v>2.6518181818181819</v>
      </c>
      <c r="BE5">
        <v>5.9730281035195452</v>
      </c>
    </row>
    <row r="6" spans="1:61" x14ac:dyDescent="0.3">
      <c r="A6" t="s">
        <v>4</v>
      </c>
      <c r="B6" s="12" t="s">
        <v>689</v>
      </c>
      <c r="C6" s="12"/>
      <c r="F6">
        <v>3.35</v>
      </c>
      <c r="G6" t="s">
        <v>454</v>
      </c>
      <c r="H6" s="8" t="s">
        <v>527</v>
      </c>
      <c r="I6" t="s">
        <v>609</v>
      </c>
      <c r="K6">
        <v>1</v>
      </c>
      <c r="L6" s="6" t="s">
        <v>511</v>
      </c>
      <c r="M6" s="6"/>
      <c r="N6" s="20">
        <v>4</v>
      </c>
      <c r="O6">
        <v>7.7270000000000003</v>
      </c>
      <c r="P6">
        <v>7.7270000000000003</v>
      </c>
      <c r="Q6">
        <v>29.466000000000001</v>
      </c>
      <c r="R6" t="s">
        <v>452</v>
      </c>
      <c r="T6" s="20">
        <v>7.8084429999999996</v>
      </c>
      <c r="U6" s="20">
        <v>7.8548809999999998</v>
      </c>
      <c r="V6" s="20">
        <v>15.19056011</v>
      </c>
      <c r="W6" t="s">
        <v>507</v>
      </c>
      <c r="X6" t="s">
        <v>505</v>
      </c>
      <c r="Y6">
        <v>3</v>
      </c>
      <c r="AA6">
        <v>14</v>
      </c>
      <c r="AB6" t="s">
        <v>500</v>
      </c>
      <c r="AO6">
        <v>20</v>
      </c>
      <c r="AP6" s="20">
        <v>924.74694800021894</v>
      </c>
      <c r="AQ6" s="20">
        <v>8.6510153045653584E-2</v>
      </c>
      <c r="AR6" s="23">
        <v>1.75</v>
      </c>
      <c r="AS6" s="23">
        <v>2.5</v>
      </c>
      <c r="AT6" s="23">
        <v>0.75</v>
      </c>
      <c r="AU6" s="23">
        <v>0</v>
      </c>
      <c r="AV6" s="23">
        <v>0.35</v>
      </c>
      <c r="AW6" s="23">
        <v>0.5</v>
      </c>
      <c r="AX6" s="23">
        <v>0.15</v>
      </c>
      <c r="AY6" s="23">
        <v>0</v>
      </c>
      <c r="AZ6" s="20">
        <v>0.82</v>
      </c>
      <c r="BA6" s="20">
        <v>3.44</v>
      </c>
      <c r="BB6" s="20">
        <v>2.62</v>
      </c>
      <c r="BC6" s="20">
        <v>2.6262500000000002</v>
      </c>
      <c r="BD6">
        <v>2.6262500000000002</v>
      </c>
      <c r="BE6">
        <v>5.96680968125</v>
      </c>
    </row>
    <row r="7" spans="1:61" x14ac:dyDescent="0.3">
      <c r="A7" t="s">
        <v>5</v>
      </c>
      <c r="B7" s="12" t="s">
        <v>690</v>
      </c>
      <c r="C7" s="12"/>
      <c r="F7">
        <v>3.5</v>
      </c>
      <c r="G7" t="s">
        <v>454</v>
      </c>
      <c r="H7" s="8" t="s">
        <v>528</v>
      </c>
      <c r="I7" t="s">
        <v>610</v>
      </c>
      <c r="K7">
        <v>1</v>
      </c>
      <c r="L7" s="6" t="s">
        <v>511</v>
      </c>
      <c r="M7" s="6"/>
      <c r="N7" s="20">
        <v>1</v>
      </c>
      <c r="O7">
        <v>7.7249999999999996</v>
      </c>
      <c r="P7">
        <v>7.7249999999999996</v>
      </c>
      <c r="Q7">
        <v>14.909000000000001</v>
      </c>
      <c r="R7" t="s">
        <v>451</v>
      </c>
      <c r="T7" s="20">
        <v>3.9661010000000001</v>
      </c>
      <c r="U7" s="20">
        <v>3.9661010000000001</v>
      </c>
      <c r="V7" s="20">
        <v>15.283337</v>
      </c>
      <c r="W7" t="s">
        <v>507</v>
      </c>
      <c r="X7" t="s">
        <v>505</v>
      </c>
      <c r="Y7">
        <v>3</v>
      </c>
      <c r="AA7">
        <v>3</v>
      </c>
      <c r="AB7" t="s">
        <v>501</v>
      </c>
      <c r="AO7">
        <v>20</v>
      </c>
      <c r="AP7" s="20">
        <v>240.40623599981481</v>
      </c>
      <c r="AQ7" s="20">
        <v>8.3192517518619641E-2</v>
      </c>
      <c r="AR7" s="23">
        <v>1.75</v>
      </c>
      <c r="AS7" s="23">
        <v>2.5</v>
      </c>
      <c r="AT7" s="23">
        <v>0.75</v>
      </c>
      <c r="AU7" s="23">
        <v>0</v>
      </c>
      <c r="AV7" s="23">
        <v>0.35</v>
      </c>
      <c r="AW7" s="23">
        <v>0.5</v>
      </c>
      <c r="AX7" s="23">
        <v>0.15</v>
      </c>
      <c r="AY7" s="23">
        <v>0</v>
      </c>
      <c r="AZ7" s="20">
        <v>0.82</v>
      </c>
      <c r="BA7" s="20">
        <v>3.44</v>
      </c>
      <c r="BB7" s="20">
        <v>2.62</v>
      </c>
      <c r="BC7" s="20">
        <v>2.6262500000000002</v>
      </c>
      <c r="BD7">
        <v>2.6262500000000002</v>
      </c>
      <c r="BE7">
        <v>5.9612134765624996</v>
      </c>
    </row>
    <row r="8" spans="1:61" x14ac:dyDescent="0.3">
      <c r="A8" t="s">
        <v>6</v>
      </c>
      <c r="B8" s="12" t="s">
        <v>691</v>
      </c>
      <c r="C8" s="12"/>
      <c r="F8">
        <v>3.5</v>
      </c>
      <c r="G8" t="s">
        <v>454</v>
      </c>
      <c r="H8" s="8" t="s">
        <v>529</v>
      </c>
      <c r="I8" t="s">
        <v>611</v>
      </c>
      <c r="K8">
        <v>1</v>
      </c>
      <c r="L8" s="6" t="s">
        <v>511</v>
      </c>
      <c r="M8" s="6"/>
      <c r="N8" s="20">
        <v>8</v>
      </c>
      <c r="O8">
        <v>7.7270000000000003</v>
      </c>
      <c r="P8">
        <v>7.7270000000000003</v>
      </c>
      <c r="Q8">
        <v>30.175999999999998</v>
      </c>
      <c r="R8" t="s">
        <v>452</v>
      </c>
      <c r="T8" s="20">
        <v>7.8252249999999997</v>
      </c>
      <c r="U8" s="20">
        <v>7.8345229999999999</v>
      </c>
      <c r="V8" s="20">
        <v>31.031406</v>
      </c>
      <c r="W8" t="s">
        <v>506</v>
      </c>
      <c r="X8" t="s">
        <v>505</v>
      </c>
      <c r="Y8">
        <v>3</v>
      </c>
      <c r="AA8">
        <v>2</v>
      </c>
      <c r="AB8" t="s">
        <v>502</v>
      </c>
      <c r="AO8">
        <v>20</v>
      </c>
      <c r="AP8" s="20">
        <v>1902.4394671889761</v>
      </c>
      <c r="AQ8" s="20">
        <v>8.4102544527429435E-2</v>
      </c>
      <c r="AR8" s="23">
        <v>1.75</v>
      </c>
      <c r="AS8" s="23">
        <v>2.5</v>
      </c>
      <c r="AT8" s="23">
        <v>0.75</v>
      </c>
      <c r="AU8" s="23">
        <v>0</v>
      </c>
      <c r="AV8" s="23">
        <v>0.35</v>
      </c>
      <c r="AW8" s="23">
        <v>0.5</v>
      </c>
      <c r="AX8" s="23">
        <v>0.15</v>
      </c>
      <c r="AY8" s="23">
        <v>0</v>
      </c>
      <c r="AZ8" s="20">
        <v>0.79</v>
      </c>
      <c r="BA8" s="20">
        <v>3.44</v>
      </c>
      <c r="BB8" s="20">
        <v>2.65</v>
      </c>
      <c r="BC8" s="20">
        <v>2.6243750000000001</v>
      </c>
      <c r="BD8">
        <v>2.6243750000000001</v>
      </c>
      <c r="BE8">
        <v>5.9519163411696878</v>
      </c>
    </row>
    <row r="9" spans="1:61" x14ac:dyDescent="0.3">
      <c r="A9" t="s">
        <v>7</v>
      </c>
      <c r="B9" s="12" t="s">
        <v>692</v>
      </c>
      <c r="C9" s="12"/>
      <c r="F9">
        <v>3.16</v>
      </c>
      <c r="G9" t="s">
        <v>454</v>
      </c>
      <c r="H9" s="8">
        <v>-1</v>
      </c>
      <c r="I9">
        <v>-1</v>
      </c>
      <c r="K9">
        <v>1</v>
      </c>
      <c r="L9" t="s">
        <v>603</v>
      </c>
      <c r="M9">
        <v>4</v>
      </c>
      <c r="N9" s="20">
        <v>0</v>
      </c>
      <c r="O9">
        <v>7.8310000000000004</v>
      </c>
      <c r="P9">
        <v>7.8010000000000002</v>
      </c>
      <c r="Q9">
        <v>15.05</v>
      </c>
      <c r="R9" t="s">
        <v>1141</v>
      </c>
      <c r="S9">
        <v>15.05</v>
      </c>
      <c r="T9" s="20">
        <v>0</v>
      </c>
      <c r="U9" s="20"/>
      <c r="V9" s="20"/>
      <c r="W9" t="s">
        <v>603</v>
      </c>
      <c r="Y9">
        <v>3</v>
      </c>
      <c r="AA9">
        <v>10</v>
      </c>
      <c r="AB9" t="s">
        <v>503</v>
      </c>
      <c r="AO9">
        <v>20</v>
      </c>
      <c r="AP9" s="20">
        <f>O9*P9*Q9*SIN(RADIANS(97.44))</f>
        <v>911.65853089860946</v>
      </c>
      <c r="AQ9" s="20"/>
      <c r="AR9" s="23">
        <v>1.75</v>
      </c>
      <c r="AS9" s="23">
        <v>2.5</v>
      </c>
      <c r="AT9" s="23">
        <v>0.75</v>
      </c>
      <c r="AU9" s="23">
        <v>0</v>
      </c>
      <c r="AV9" s="23">
        <v>0.35</v>
      </c>
      <c r="AW9" s="23">
        <v>0.5</v>
      </c>
      <c r="AX9" s="23">
        <v>0.15</v>
      </c>
      <c r="AY9" s="23">
        <v>0</v>
      </c>
      <c r="AZ9" s="20">
        <v>0.82</v>
      </c>
      <c r="BA9" s="20">
        <v>3.44</v>
      </c>
      <c r="BB9" s="20">
        <v>2.62</v>
      </c>
      <c r="BC9" s="20">
        <v>2.62</v>
      </c>
      <c r="BD9">
        <v>2.62</v>
      </c>
      <c r="BE9">
        <v>5.9423863675000002</v>
      </c>
    </row>
    <row r="10" spans="1:61" x14ac:dyDescent="0.3">
      <c r="A10" t="s">
        <v>455</v>
      </c>
      <c r="B10" s="12" t="s">
        <v>693</v>
      </c>
      <c r="C10" s="12"/>
      <c r="F10">
        <v>3.21</v>
      </c>
      <c r="G10" t="s">
        <v>454</v>
      </c>
      <c r="H10" s="8">
        <v>-1</v>
      </c>
      <c r="I10">
        <v>-1</v>
      </c>
      <c r="K10">
        <v>1</v>
      </c>
      <c r="L10" t="s">
        <v>1143</v>
      </c>
      <c r="M10">
        <v>8</v>
      </c>
      <c r="N10" s="20">
        <v>0</v>
      </c>
      <c r="O10">
        <v>7.7489999999999997</v>
      </c>
      <c r="P10">
        <v>7.7359999999999998</v>
      </c>
      <c r="Q10">
        <v>37.369999999999997</v>
      </c>
      <c r="R10" t="s">
        <v>1142</v>
      </c>
      <c r="S10">
        <f>Q10/2</f>
        <v>18.684999999999999</v>
      </c>
      <c r="T10" s="20">
        <v>0</v>
      </c>
      <c r="U10" s="20"/>
      <c r="V10" s="20"/>
      <c r="W10" s="3" t="s">
        <v>604</v>
      </c>
      <c r="Y10">
        <v>4</v>
      </c>
      <c r="AA10">
        <v>5</v>
      </c>
      <c r="AB10" t="s">
        <v>504</v>
      </c>
      <c r="AO10">
        <v>26</v>
      </c>
      <c r="AP10" s="20">
        <v>2240</v>
      </c>
      <c r="AQ10" s="20"/>
      <c r="AR10" s="23">
        <v>1.714285714285714</v>
      </c>
      <c r="AS10" s="23">
        <v>2.4761904761904758</v>
      </c>
      <c r="AT10" s="23">
        <v>0.76190476190476186</v>
      </c>
      <c r="AU10" s="23">
        <v>0</v>
      </c>
      <c r="AV10" s="23">
        <v>0.34615384615384609</v>
      </c>
      <c r="AW10" s="23">
        <v>0.5</v>
      </c>
      <c r="AX10" s="23">
        <v>0.1538461538461538</v>
      </c>
      <c r="AY10" s="23">
        <v>0</v>
      </c>
      <c r="AZ10" s="20">
        <v>0.82</v>
      </c>
      <c r="BA10" s="20">
        <v>3.44</v>
      </c>
      <c r="BB10" s="20">
        <v>2.62</v>
      </c>
      <c r="BC10" s="20">
        <v>2.612857142857143</v>
      </c>
      <c r="BD10">
        <v>2.612857142857143</v>
      </c>
      <c r="BE10">
        <v>5.9413964502380949</v>
      </c>
    </row>
    <row r="11" spans="1:61" x14ac:dyDescent="0.3">
      <c r="A11" t="s">
        <v>8</v>
      </c>
      <c r="B11" s="12" t="s">
        <v>694</v>
      </c>
      <c r="C11" s="12"/>
      <c r="F11">
        <v>3</v>
      </c>
      <c r="G11" t="s">
        <v>454</v>
      </c>
      <c r="H11" s="8" t="s">
        <v>530</v>
      </c>
      <c r="I11" t="s">
        <v>612</v>
      </c>
      <c r="K11">
        <v>1</v>
      </c>
      <c r="N11" s="20">
        <v>30</v>
      </c>
      <c r="O11"/>
      <c r="P11"/>
      <c r="Q11"/>
      <c r="T11" s="20">
        <v>10.59112378</v>
      </c>
      <c r="U11" s="20">
        <v>10.784736629999999</v>
      </c>
      <c r="V11" s="20">
        <v>10.486176179999999</v>
      </c>
      <c r="W11"/>
      <c r="Y11" s="1" t="s">
        <v>459</v>
      </c>
      <c r="AO11">
        <v>4</v>
      </c>
      <c r="AP11" s="20">
        <v>1182.741260108548</v>
      </c>
      <c r="AQ11" s="20">
        <v>0.1014592151701775</v>
      </c>
      <c r="AR11" s="23">
        <v>2</v>
      </c>
      <c r="AS11" s="23">
        <v>2.666666666666667</v>
      </c>
      <c r="AT11" s="23">
        <v>0.66666666666666663</v>
      </c>
      <c r="AU11" s="23">
        <v>0</v>
      </c>
      <c r="AV11" s="23">
        <v>0.375</v>
      </c>
      <c r="AW11" s="23">
        <v>0.5</v>
      </c>
      <c r="AX11" s="23">
        <v>0.125</v>
      </c>
      <c r="AY11" s="23">
        <v>0</v>
      </c>
      <c r="AZ11" s="20">
        <v>1.54</v>
      </c>
      <c r="BA11" s="20">
        <v>3.44</v>
      </c>
      <c r="BB11" s="20">
        <v>1.9</v>
      </c>
      <c r="BC11" s="20">
        <v>2.8066666666666671</v>
      </c>
      <c r="BD11">
        <v>2.8066666666666662</v>
      </c>
      <c r="BE11">
        <v>6.1769976</v>
      </c>
      <c r="BF11" s="20"/>
      <c r="BG11" s="20"/>
      <c r="BH11" s="20"/>
      <c r="BI11" s="20"/>
    </row>
    <row r="12" spans="1:61" x14ac:dyDescent="0.3">
      <c r="A12" t="s">
        <v>10</v>
      </c>
      <c r="B12" s="12" t="s">
        <v>695</v>
      </c>
      <c r="C12" s="12"/>
      <c r="F12">
        <v>3.9</v>
      </c>
      <c r="G12" t="s">
        <v>453</v>
      </c>
      <c r="H12" s="8" t="s">
        <v>531</v>
      </c>
      <c r="I12">
        <v>-1</v>
      </c>
      <c r="N12" s="20">
        <v>1</v>
      </c>
      <c r="O12">
        <v>3.8849999999999998</v>
      </c>
      <c r="P12">
        <v>3.8849999999999998</v>
      </c>
      <c r="Q12">
        <v>11.12</v>
      </c>
      <c r="R12" t="s">
        <v>439</v>
      </c>
      <c r="T12" s="20">
        <v>3.9103940000000001</v>
      </c>
      <c r="U12" s="20">
        <v>3.9103940000000001</v>
      </c>
      <c r="V12" s="20">
        <v>11.314458</v>
      </c>
      <c r="W12"/>
      <c r="X12">
        <v>1</v>
      </c>
      <c r="Y12">
        <v>2</v>
      </c>
      <c r="AA12">
        <v>19.5</v>
      </c>
      <c r="AB12" t="s">
        <v>460</v>
      </c>
      <c r="AO12">
        <v>14</v>
      </c>
      <c r="AP12" s="20">
        <v>173.0114278564659</v>
      </c>
      <c r="AQ12" s="20">
        <v>8.0919510193365449E-2</v>
      </c>
      <c r="AR12" s="23">
        <v>1.9090909090909089</v>
      </c>
      <c r="AS12" s="23">
        <v>2.545454545454545</v>
      </c>
      <c r="AT12" s="23">
        <v>0.63636363636363635</v>
      </c>
      <c r="AU12" s="23">
        <v>2.545454545454545</v>
      </c>
      <c r="AV12" s="23">
        <v>0.25</v>
      </c>
      <c r="AW12" s="23">
        <v>0.33333333333333331</v>
      </c>
      <c r="AX12" s="23">
        <v>8.3333333333333329E-2</v>
      </c>
      <c r="AY12" s="23">
        <v>0.33333333333333331</v>
      </c>
      <c r="AZ12" s="20">
        <v>0.82</v>
      </c>
      <c r="BA12" s="20">
        <v>3.44</v>
      </c>
      <c r="BB12" s="20">
        <v>2.62</v>
      </c>
      <c r="BC12" s="20">
        <v>2.6363636363636358</v>
      </c>
      <c r="BD12">
        <v>2.6363636363636371</v>
      </c>
      <c r="BE12">
        <v>6.0044088459090901</v>
      </c>
      <c r="BF12" s="20"/>
      <c r="BG12" s="20"/>
      <c r="BH12" s="20"/>
      <c r="BI12" s="20"/>
    </row>
    <row r="13" spans="1:61" x14ac:dyDescent="0.3">
      <c r="A13" t="s">
        <v>11</v>
      </c>
      <c r="B13" s="12" t="s">
        <v>696</v>
      </c>
      <c r="C13" s="12"/>
      <c r="F13">
        <v>3.6</v>
      </c>
      <c r="G13" t="s">
        <v>453</v>
      </c>
      <c r="H13" s="8">
        <v>-1</v>
      </c>
      <c r="I13">
        <v>-1</v>
      </c>
      <c r="J13" s="8" t="s">
        <v>1144</v>
      </c>
      <c r="N13" s="20">
        <v>0</v>
      </c>
      <c r="O13"/>
      <c r="P13"/>
      <c r="Q13"/>
      <c r="T13" s="20">
        <v>0</v>
      </c>
      <c r="U13" s="20"/>
      <c r="V13" s="20"/>
      <c r="W13"/>
      <c r="Y13">
        <v>2</v>
      </c>
      <c r="AA13">
        <v>18</v>
      </c>
      <c r="AO13">
        <v>14</v>
      </c>
      <c r="AP13" s="20">
        <v>0</v>
      </c>
      <c r="AQ13" s="20"/>
      <c r="AR13" s="23">
        <v>1.9090909090909089</v>
      </c>
      <c r="AS13" s="23">
        <v>2.545454545454545</v>
      </c>
      <c r="AT13" s="23">
        <v>0.54545454545454541</v>
      </c>
      <c r="AU13" s="23">
        <v>2.8181818181818179</v>
      </c>
      <c r="AV13" s="23">
        <v>0.2441860465116279</v>
      </c>
      <c r="AW13" s="23">
        <v>0.32558139534883718</v>
      </c>
      <c r="AX13" s="23">
        <v>6.9767441860465115E-2</v>
      </c>
      <c r="AY13" s="23">
        <v>0.3604651162790698</v>
      </c>
      <c r="AZ13" s="20">
        <v>0.82</v>
      </c>
      <c r="BA13" s="20">
        <v>3.44</v>
      </c>
      <c r="BB13" s="20">
        <v>2.62</v>
      </c>
      <c r="BC13" s="20">
        <v>2.6390909090909092</v>
      </c>
      <c r="BD13">
        <v>2.6390909090909092</v>
      </c>
      <c r="BE13">
        <v>5.9791810459090904</v>
      </c>
    </row>
    <row r="14" spans="1:61" x14ac:dyDescent="0.3">
      <c r="A14" t="s">
        <v>12</v>
      </c>
      <c r="B14" s="12" t="s">
        <v>697</v>
      </c>
      <c r="C14" s="12"/>
      <c r="F14">
        <v>4.2</v>
      </c>
      <c r="G14" t="s">
        <v>453</v>
      </c>
      <c r="H14" s="8">
        <v>-1</v>
      </c>
      <c r="I14">
        <v>-1</v>
      </c>
      <c r="J14" s="8" t="s">
        <v>1145</v>
      </c>
      <c r="N14" s="20">
        <v>0</v>
      </c>
      <c r="O14"/>
      <c r="P14"/>
      <c r="Q14"/>
      <c r="T14" s="20">
        <v>0</v>
      </c>
      <c r="U14" s="20"/>
      <c r="V14" s="20"/>
      <c r="W14"/>
      <c r="Y14">
        <v>2</v>
      </c>
      <c r="AA14">
        <v>21</v>
      </c>
      <c r="AO14">
        <v>14</v>
      </c>
      <c r="AP14" s="20">
        <v>0</v>
      </c>
      <c r="AQ14" s="20"/>
      <c r="AR14" s="23">
        <v>1.9090909090909089</v>
      </c>
      <c r="AS14" s="23">
        <v>2.545454545454545</v>
      </c>
      <c r="AT14" s="23">
        <v>0.54545454545454541</v>
      </c>
      <c r="AU14" s="23">
        <v>2.9090909090909092</v>
      </c>
      <c r="AV14" s="23">
        <v>0.2413793103448276</v>
      </c>
      <c r="AW14" s="23">
        <v>0.32183908045977011</v>
      </c>
      <c r="AX14" s="23">
        <v>6.8965517241379309E-2</v>
      </c>
      <c r="AY14" s="23">
        <v>0.36781609195402298</v>
      </c>
      <c r="AZ14" s="20">
        <v>0.82</v>
      </c>
      <c r="BA14" s="20">
        <v>3.44</v>
      </c>
      <c r="BB14" s="20">
        <v>2.62</v>
      </c>
      <c r="BC14" s="20">
        <v>2.64</v>
      </c>
      <c r="BD14">
        <v>2.64</v>
      </c>
      <c r="BE14">
        <v>5.9811382595454541</v>
      </c>
    </row>
    <row r="15" spans="1:61" x14ac:dyDescent="0.3">
      <c r="A15" t="s">
        <v>13</v>
      </c>
      <c r="B15" s="12" t="s">
        <v>698</v>
      </c>
      <c r="C15" s="12"/>
      <c r="F15">
        <v>4.2</v>
      </c>
      <c r="G15" t="s">
        <v>453</v>
      </c>
      <c r="H15" s="8">
        <v>-1</v>
      </c>
      <c r="I15">
        <v>-1</v>
      </c>
      <c r="J15" t="s">
        <v>1147</v>
      </c>
      <c r="N15" s="20">
        <v>0</v>
      </c>
      <c r="O15"/>
      <c r="P15"/>
      <c r="Q15"/>
      <c r="T15" s="20">
        <v>0</v>
      </c>
      <c r="U15" s="20"/>
      <c r="V15" s="20"/>
      <c r="W15"/>
      <c r="Y15">
        <v>2</v>
      </c>
      <c r="AA15">
        <v>21</v>
      </c>
      <c r="AO15">
        <v>14</v>
      </c>
      <c r="AP15" s="20">
        <v>0</v>
      </c>
      <c r="AQ15" s="20"/>
      <c r="AR15" s="23">
        <v>1.9090909090909089</v>
      </c>
      <c r="AS15" s="23">
        <v>2.545454545454545</v>
      </c>
      <c r="AT15" s="23">
        <v>0.54545454545454541</v>
      </c>
      <c r="AU15" s="23">
        <v>3.0909090909090908</v>
      </c>
      <c r="AV15" s="23">
        <v>0.2359550561797753</v>
      </c>
      <c r="AW15" s="23">
        <v>0.3146067415730337</v>
      </c>
      <c r="AX15" s="23">
        <v>6.7415730337078636E-2</v>
      </c>
      <c r="AY15" s="23">
        <v>0.38202247191011229</v>
      </c>
      <c r="AZ15" s="20">
        <v>0.82</v>
      </c>
      <c r="BA15" s="20">
        <v>3.44</v>
      </c>
      <c r="BB15" s="20">
        <v>2.62</v>
      </c>
      <c r="BC15" s="20">
        <v>2.642727272727273</v>
      </c>
      <c r="BD15">
        <v>2.642727272727273</v>
      </c>
      <c r="BE15">
        <v>5.9894662913636356</v>
      </c>
    </row>
    <row r="16" spans="1:61" x14ac:dyDescent="0.3">
      <c r="A16" t="s">
        <v>14</v>
      </c>
      <c r="B16" s="12" t="s">
        <v>699</v>
      </c>
      <c r="C16" s="12"/>
      <c r="F16">
        <v>4</v>
      </c>
      <c r="G16" t="s">
        <v>9</v>
      </c>
      <c r="H16" s="8" t="s">
        <v>532</v>
      </c>
      <c r="I16" t="s">
        <v>613</v>
      </c>
      <c r="N16" s="20">
        <v>4</v>
      </c>
      <c r="O16"/>
      <c r="P16"/>
      <c r="Q16"/>
      <c r="T16" s="20">
        <v>7.8568680000000004</v>
      </c>
      <c r="U16" s="20">
        <v>7.8568680000000004</v>
      </c>
      <c r="V16" s="20">
        <v>7.8568680000000004</v>
      </c>
      <c r="W16"/>
      <c r="AO16">
        <v>12</v>
      </c>
      <c r="AP16" s="20">
        <v>485.00740615389492</v>
      </c>
      <c r="AQ16" s="20">
        <v>9.896756088868755E-2</v>
      </c>
      <c r="AR16" s="23">
        <v>2</v>
      </c>
      <c r="AS16" s="23">
        <v>2.666666666666667</v>
      </c>
      <c r="AT16" s="23">
        <v>0.66666666666666663</v>
      </c>
      <c r="AU16" s="23">
        <v>3.1111111111111112</v>
      </c>
      <c r="AV16" s="23">
        <v>0.23684210526315791</v>
      </c>
      <c r="AW16" s="23">
        <v>0.31578947368421051</v>
      </c>
      <c r="AX16" s="23">
        <v>7.8947368421052627E-2</v>
      </c>
      <c r="AY16" s="23">
        <v>0.36842105263157893</v>
      </c>
      <c r="AZ16" s="20">
        <v>1</v>
      </c>
      <c r="BA16" s="20">
        <v>3.44</v>
      </c>
      <c r="BB16" s="20">
        <v>2.44</v>
      </c>
      <c r="BC16" s="20">
        <v>2.7377777777777781</v>
      </c>
      <c r="BD16">
        <v>2.7377777777777781</v>
      </c>
      <c r="BE16">
        <v>6.2421139038888889</v>
      </c>
    </row>
    <row r="17" spans="1:57" x14ac:dyDescent="0.3">
      <c r="A17" t="s">
        <v>15</v>
      </c>
      <c r="B17" s="12" t="s">
        <v>700</v>
      </c>
      <c r="C17" s="12"/>
      <c r="F17">
        <v>4.4000000000000004</v>
      </c>
      <c r="G17" t="s">
        <v>9</v>
      </c>
      <c r="H17" s="8" t="s">
        <v>533</v>
      </c>
      <c r="I17" t="s">
        <v>614</v>
      </c>
      <c r="N17" s="20">
        <v>4</v>
      </c>
      <c r="O17"/>
      <c r="P17"/>
      <c r="Q17"/>
      <c r="T17" s="20">
        <v>5.63450966</v>
      </c>
      <c r="U17" s="20">
        <v>7.6422105</v>
      </c>
      <c r="V17" s="20">
        <v>11.066420430000001</v>
      </c>
      <c r="W17"/>
      <c r="AO17">
        <v>12</v>
      </c>
      <c r="AP17" s="20">
        <v>476.5212686940929</v>
      </c>
      <c r="AQ17" s="20">
        <v>0.1007300264509579</v>
      </c>
      <c r="AR17" s="23">
        <v>2</v>
      </c>
      <c r="AS17" s="23">
        <v>2.666666666666667</v>
      </c>
      <c r="AT17" s="23">
        <v>0.66666666666666663</v>
      </c>
      <c r="AU17" s="23">
        <v>3.1111111111111112</v>
      </c>
      <c r="AV17" s="23">
        <v>0.23684210526315791</v>
      </c>
      <c r="AW17" s="23">
        <v>0.31578947368421051</v>
      </c>
      <c r="AX17" s="23">
        <v>7.8947368421052627E-2</v>
      </c>
      <c r="AY17" s="23">
        <v>0.36842105263157893</v>
      </c>
      <c r="AZ17" s="20">
        <v>0.95</v>
      </c>
      <c r="BA17" s="20">
        <v>3.44</v>
      </c>
      <c r="BB17" s="20">
        <v>2.4900000000000002</v>
      </c>
      <c r="BC17" s="20">
        <v>2.7322222222222221</v>
      </c>
      <c r="BD17">
        <v>2.7322222222222221</v>
      </c>
      <c r="BE17">
        <v>6.2204042916666662</v>
      </c>
    </row>
    <row r="18" spans="1:57" x14ac:dyDescent="0.3">
      <c r="A18" t="s">
        <v>16</v>
      </c>
      <c r="B18" s="12" t="s">
        <v>701</v>
      </c>
      <c r="C18" s="12"/>
      <c r="F18">
        <v>4.0999999999999996</v>
      </c>
      <c r="G18" t="s">
        <v>9</v>
      </c>
      <c r="H18" s="8" t="s">
        <v>534</v>
      </c>
      <c r="I18" t="s">
        <v>615</v>
      </c>
      <c r="N18" s="20">
        <v>6</v>
      </c>
      <c r="O18"/>
      <c r="P18"/>
      <c r="Q18"/>
      <c r="T18" s="20">
        <v>9.2906580000000005</v>
      </c>
      <c r="U18" s="20">
        <v>9.8537374799999977</v>
      </c>
      <c r="V18" s="20">
        <v>14.19785074</v>
      </c>
      <c r="W18"/>
      <c r="AO18">
        <v>12</v>
      </c>
      <c r="AP18" s="20">
        <v>1160.7096237378021</v>
      </c>
      <c r="AQ18" s="20">
        <v>6.2031018376620617E-2</v>
      </c>
      <c r="AR18" s="23">
        <v>2</v>
      </c>
      <c r="AS18" s="23">
        <v>2.666666666666667</v>
      </c>
      <c r="AT18" s="23">
        <v>0.66666666666666663</v>
      </c>
      <c r="AU18" s="23">
        <v>3.1111111111111112</v>
      </c>
      <c r="AV18" s="23">
        <v>0.23684210526315791</v>
      </c>
      <c r="AW18" s="23">
        <v>0.31578947368421051</v>
      </c>
      <c r="AX18" s="23">
        <v>7.8947368421052627E-2</v>
      </c>
      <c r="AY18" s="23">
        <v>0.36842105263157893</v>
      </c>
      <c r="AZ18" s="20">
        <v>0.89</v>
      </c>
      <c r="BA18" s="20">
        <v>3.44</v>
      </c>
      <c r="BB18" s="20">
        <v>2.5499999999999998</v>
      </c>
      <c r="BC18" s="20">
        <v>2.7255555555555562</v>
      </c>
      <c r="BD18">
        <v>2.7255555555555548</v>
      </c>
      <c r="BE18">
        <v>6.1987019111111108</v>
      </c>
    </row>
    <row r="19" spans="1:57" x14ac:dyDescent="0.3">
      <c r="A19" t="s">
        <v>17</v>
      </c>
      <c r="B19" s="12" t="s">
        <v>702</v>
      </c>
      <c r="C19" s="12"/>
      <c r="F19">
        <v>3.67</v>
      </c>
      <c r="G19" t="s">
        <v>117</v>
      </c>
      <c r="H19" s="8" t="s">
        <v>535</v>
      </c>
      <c r="I19" t="s">
        <v>616</v>
      </c>
      <c r="N19" s="20">
        <v>1</v>
      </c>
      <c r="O19">
        <v>5.4669999999999996</v>
      </c>
      <c r="P19">
        <v>5.4269999999999996</v>
      </c>
      <c r="Q19">
        <v>24.931000000000001</v>
      </c>
      <c r="R19" t="s">
        <v>450</v>
      </c>
      <c r="T19" s="20">
        <v>13.46934785</v>
      </c>
      <c r="U19" s="20">
        <v>13.46934785</v>
      </c>
      <c r="V19" s="20">
        <v>13.46934785</v>
      </c>
      <c r="W19">
        <v>1</v>
      </c>
      <c r="Y19">
        <v>2</v>
      </c>
      <c r="Z19">
        <v>1.96</v>
      </c>
      <c r="AA19">
        <v>1500</v>
      </c>
      <c r="AB19" t="s">
        <v>461</v>
      </c>
      <c r="AD19">
        <v>1</v>
      </c>
      <c r="AO19">
        <v>18</v>
      </c>
      <c r="AP19" s="20">
        <v>189.22149105491849</v>
      </c>
      <c r="AQ19" s="20">
        <v>9.5126615373598261E-2</v>
      </c>
      <c r="AR19" s="23">
        <v>2</v>
      </c>
      <c r="AS19" s="23">
        <v>3</v>
      </c>
      <c r="AT19" s="23">
        <v>1.857142857142857</v>
      </c>
      <c r="AU19" s="23">
        <v>4</v>
      </c>
      <c r="AV19" s="23">
        <v>0.18421052631578949</v>
      </c>
      <c r="AW19" s="23">
        <v>0.27631578947368418</v>
      </c>
      <c r="AX19" s="23">
        <v>0.1710526315789474</v>
      </c>
      <c r="AY19" s="23">
        <v>0.36842105263157893</v>
      </c>
      <c r="AZ19" s="20">
        <v>1</v>
      </c>
      <c r="BA19" s="20">
        <v>3.44</v>
      </c>
      <c r="BB19" s="20">
        <v>2.44</v>
      </c>
      <c r="BC19" s="20">
        <v>2.785714285714286</v>
      </c>
      <c r="BD19">
        <v>2.785714285714286</v>
      </c>
      <c r="BE19">
        <v>6.216117408214286</v>
      </c>
    </row>
    <row r="20" spans="1:57" x14ac:dyDescent="0.3">
      <c r="A20" t="s">
        <v>51</v>
      </c>
      <c r="B20" s="12" t="s">
        <v>703</v>
      </c>
      <c r="C20" s="12"/>
      <c r="F20">
        <v>3.64</v>
      </c>
      <c r="G20" t="s">
        <v>117</v>
      </c>
      <c r="H20" s="8" t="s">
        <v>536</v>
      </c>
      <c r="I20" t="s">
        <v>617</v>
      </c>
      <c r="N20" s="20">
        <v>1</v>
      </c>
      <c r="O20">
        <v>5.4729999999999999</v>
      </c>
      <c r="P20">
        <v>5.5269999999999992</v>
      </c>
      <c r="Q20">
        <v>25.030999999999999</v>
      </c>
      <c r="R20" t="s">
        <v>450</v>
      </c>
      <c r="T20" s="20">
        <v>12.88926011</v>
      </c>
      <c r="U20" s="20">
        <v>12.88926011</v>
      </c>
      <c r="V20" s="20">
        <v>12.88926011</v>
      </c>
      <c r="W20">
        <v>1</v>
      </c>
      <c r="Y20">
        <v>2</v>
      </c>
      <c r="Z20">
        <v>2.36</v>
      </c>
      <c r="AA20">
        <v>11299.999999999998</v>
      </c>
      <c r="AD20">
        <v>1</v>
      </c>
      <c r="AO20">
        <v>18</v>
      </c>
      <c r="AP20" s="20">
        <v>195.03203980213701</v>
      </c>
      <c r="AQ20" s="20">
        <v>9.2292528029042184E-2</v>
      </c>
      <c r="AR20" s="23">
        <v>2</v>
      </c>
      <c r="AS20" s="23">
        <v>3</v>
      </c>
      <c r="AT20" s="23">
        <v>1.857142857142857</v>
      </c>
      <c r="AU20" s="23">
        <v>4</v>
      </c>
      <c r="AV20" s="23">
        <v>0.18421052631578949</v>
      </c>
      <c r="AW20" s="23">
        <v>0.27631578947368418</v>
      </c>
      <c r="AX20" s="23">
        <v>0.1710526315789474</v>
      </c>
      <c r="AY20" s="23">
        <v>0.36842105263157893</v>
      </c>
      <c r="AZ20" s="20">
        <v>0.95</v>
      </c>
      <c r="BA20" s="20">
        <v>3.44</v>
      </c>
      <c r="BB20" s="20">
        <v>2.4900000000000002</v>
      </c>
      <c r="BC20" s="20">
        <v>2.782142857142857</v>
      </c>
      <c r="BD20">
        <v>2.7821428571428579</v>
      </c>
      <c r="BE20">
        <v>6.2021612289285706</v>
      </c>
    </row>
    <row r="21" spans="1:57" x14ac:dyDescent="0.3">
      <c r="A21" t="s">
        <v>18</v>
      </c>
      <c r="B21" s="12" t="s">
        <v>704</v>
      </c>
      <c r="C21" s="12"/>
      <c r="F21">
        <v>3.52</v>
      </c>
      <c r="G21" t="s">
        <v>117</v>
      </c>
      <c r="H21" s="8" t="s">
        <v>537</v>
      </c>
      <c r="I21" t="s">
        <v>618</v>
      </c>
      <c r="N21" s="20">
        <v>1</v>
      </c>
      <c r="O21">
        <v>3.9539999999999997</v>
      </c>
      <c r="P21">
        <v>3.9539999999999997</v>
      </c>
      <c r="Q21">
        <v>25.487000000000002</v>
      </c>
      <c r="R21" t="s">
        <v>440</v>
      </c>
      <c r="T21" s="20">
        <v>12.939761450000001</v>
      </c>
      <c r="U21" s="20">
        <v>12.939761450000001</v>
      </c>
      <c r="V21" s="20">
        <v>12.939761450000001</v>
      </c>
      <c r="W21">
        <v>1</v>
      </c>
      <c r="Y21">
        <v>2</v>
      </c>
      <c r="Z21">
        <v>2.1800000000000002</v>
      </c>
      <c r="AA21">
        <v>550</v>
      </c>
      <c r="AD21">
        <v>1</v>
      </c>
      <c r="AO21">
        <v>18</v>
      </c>
      <c r="AP21" s="20">
        <v>198.96095988642259</v>
      </c>
      <c r="AQ21" s="20">
        <v>9.047000984653146E-2</v>
      </c>
      <c r="AR21" s="23">
        <v>2</v>
      </c>
      <c r="AS21" s="23">
        <v>3</v>
      </c>
      <c r="AT21" s="23">
        <v>1.857142857142857</v>
      </c>
      <c r="AU21" s="23">
        <v>4</v>
      </c>
      <c r="AV21" s="23">
        <v>0.18421052631578949</v>
      </c>
      <c r="AW21" s="23">
        <v>0.27631578947368418</v>
      </c>
      <c r="AX21" s="23">
        <v>0.1710526315789474</v>
      </c>
      <c r="AY21" s="23">
        <v>0.36842105263157893</v>
      </c>
      <c r="AZ21" s="20">
        <v>0.89</v>
      </c>
      <c r="BA21" s="20">
        <v>3.44</v>
      </c>
      <c r="BB21" s="20">
        <v>2.5499999999999998</v>
      </c>
      <c r="BC21" s="20">
        <v>2.777857142857143</v>
      </c>
      <c r="BD21">
        <v>2.777857142857143</v>
      </c>
      <c r="BE21">
        <v>6.1882096985714297</v>
      </c>
    </row>
    <row r="22" spans="1:57" x14ac:dyDescent="0.3">
      <c r="A22" t="s">
        <v>19</v>
      </c>
      <c r="B22" s="12" t="s">
        <v>705</v>
      </c>
      <c r="C22" s="12"/>
      <c r="F22">
        <v>3.46</v>
      </c>
      <c r="G22" t="s">
        <v>435</v>
      </c>
      <c r="H22" s="8" t="s">
        <v>538</v>
      </c>
      <c r="I22">
        <v>-1</v>
      </c>
      <c r="N22" s="20">
        <v>1</v>
      </c>
      <c r="O22" t="s">
        <v>464</v>
      </c>
      <c r="P22" t="s">
        <v>464</v>
      </c>
      <c r="Q22" t="s">
        <v>464</v>
      </c>
      <c r="R22" t="s">
        <v>450</v>
      </c>
      <c r="T22" s="20">
        <v>13.83861243</v>
      </c>
      <c r="U22" s="20">
        <v>13.83861243</v>
      </c>
      <c r="V22" s="20">
        <v>13.83861243</v>
      </c>
      <c r="W22"/>
      <c r="X22" t="s">
        <v>462</v>
      </c>
      <c r="Y22">
        <v>2</v>
      </c>
      <c r="AA22">
        <v>580</v>
      </c>
      <c r="AB22" t="s">
        <v>470</v>
      </c>
      <c r="AO22">
        <v>18</v>
      </c>
      <c r="AP22" s="20">
        <v>208.2630581553295</v>
      </c>
      <c r="AQ22" s="20">
        <v>8.6429154356194082E-2</v>
      </c>
      <c r="AR22" s="23">
        <v>1.857142857142857</v>
      </c>
      <c r="AS22" s="23">
        <v>3</v>
      </c>
      <c r="AT22" s="23">
        <v>2</v>
      </c>
      <c r="AU22" s="23">
        <v>2</v>
      </c>
      <c r="AV22" s="23">
        <v>0.20967741935483869</v>
      </c>
      <c r="AW22" s="23">
        <v>0.33870967741935482</v>
      </c>
      <c r="AX22" s="23">
        <v>0.22580645161290319</v>
      </c>
      <c r="AY22" s="23">
        <v>0.22580645161290319</v>
      </c>
      <c r="AZ22" s="20">
        <v>1</v>
      </c>
      <c r="BA22" s="20">
        <v>3.44</v>
      </c>
      <c r="BB22" s="20">
        <v>2.44</v>
      </c>
      <c r="BC22" s="20">
        <v>2.8</v>
      </c>
      <c r="BD22">
        <v>2.8</v>
      </c>
      <c r="BE22">
        <v>6.2020864082142868</v>
      </c>
    </row>
    <row r="23" spans="1:57" x14ac:dyDescent="0.3">
      <c r="A23" t="s">
        <v>20</v>
      </c>
      <c r="B23" s="12" t="s">
        <v>706</v>
      </c>
      <c r="C23" s="12"/>
      <c r="F23">
        <v>3.43</v>
      </c>
      <c r="G23" t="s">
        <v>435</v>
      </c>
      <c r="H23" s="8" t="s">
        <v>539</v>
      </c>
      <c r="I23" t="s">
        <v>619</v>
      </c>
      <c r="N23" s="20">
        <v>2</v>
      </c>
      <c r="O23" t="s">
        <v>464</v>
      </c>
      <c r="P23" t="s">
        <v>464</v>
      </c>
      <c r="Q23" t="s">
        <v>464</v>
      </c>
      <c r="R23" t="s">
        <v>450</v>
      </c>
      <c r="T23" s="20">
        <v>13.01244535</v>
      </c>
      <c r="U23" s="20">
        <v>13.01244535</v>
      </c>
      <c r="V23" s="20">
        <v>5.6884839999999999</v>
      </c>
      <c r="W23"/>
      <c r="X23" t="s">
        <v>462</v>
      </c>
      <c r="Y23">
        <v>2</v>
      </c>
      <c r="AA23">
        <v>3660</v>
      </c>
      <c r="AO23">
        <v>18</v>
      </c>
      <c r="AP23" s="20">
        <v>408.08048566890238</v>
      </c>
      <c r="AQ23" s="20">
        <v>8.8217891480379992E-2</v>
      </c>
      <c r="AR23" s="23">
        <v>1.857142857142857</v>
      </c>
      <c r="AS23" s="23">
        <v>3</v>
      </c>
      <c r="AT23" s="23">
        <v>2</v>
      </c>
      <c r="AU23" s="23">
        <v>2</v>
      </c>
      <c r="AV23" s="23">
        <v>0.20967741935483869</v>
      </c>
      <c r="AW23" s="23">
        <v>0.33870967741935482</v>
      </c>
      <c r="AX23" s="23">
        <v>0.22580645161290319</v>
      </c>
      <c r="AY23" s="23">
        <v>0.22580645161290319</v>
      </c>
      <c r="AZ23" s="20">
        <v>0.95</v>
      </c>
      <c r="BA23" s="20">
        <v>3.44</v>
      </c>
      <c r="BB23" s="20">
        <v>2.4900000000000002</v>
      </c>
      <c r="BC23" s="20">
        <v>2.7964285714285722</v>
      </c>
      <c r="BD23">
        <v>2.7964285714285722</v>
      </c>
      <c r="BE23">
        <v>6.1881302289285713</v>
      </c>
    </row>
    <row r="24" spans="1:57" x14ac:dyDescent="0.3">
      <c r="A24" t="s">
        <v>21</v>
      </c>
      <c r="B24" s="12" t="s">
        <v>707</v>
      </c>
      <c r="C24" s="12"/>
      <c r="F24">
        <v>3.3</v>
      </c>
      <c r="G24" t="s">
        <v>435</v>
      </c>
      <c r="H24" s="8" t="s">
        <v>540</v>
      </c>
      <c r="I24" t="s">
        <v>620</v>
      </c>
      <c r="N24" s="20">
        <v>2</v>
      </c>
      <c r="O24" t="s">
        <v>464</v>
      </c>
      <c r="P24" t="s">
        <v>464</v>
      </c>
      <c r="Q24" t="s">
        <v>464</v>
      </c>
      <c r="R24" t="s">
        <v>440</v>
      </c>
      <c r="T24" s="20">
        <v>13.052871550000001</v>
      </c>
      <c r="U24" s="20">
        <v>13.052871550000001</v>
      </c>
      <c r="V24" s="20">
        <v>5.7602650000000004</v>
      </c>
      <c r="W24"/>
      <c r="X24" t="s">
        <v>463</v>
      </c>
      <c r="Y24">
        <v>2</v>
      </c>
      <c r="AA24">
        <v>1130</v>
      </c>
      <c r="AO24">
        <v>18</v>
      </c>
      <c r="AP24" s="20">
        <v>419.87909289623292</v>
      </c>
      <c r="AQ24" s="20">
        <v>8.5738967738736363E-2</v>
      </c>
      <c r="AR24" s="23">
        <v>1.857142857142857</v>
      </c>
      <c r="AS24" s="23">
        <v>3</v>
      </c>
      <c r="AT24" s="23">
        <v>2</v>
      </c>
      <c r="AU24" s="23">
        <v>2</v>
      </c>
      <c r="AV24" s="23">
        <v>0.20967741935483869</v>
      </c>
      <c r="AW24" s="23">
        <v>0.33870967741935482</v>
      </c>
      <c r="AX24" s="23">
        <v>0.22580645161290319</v>
      </c>
      <c r="AY24" s="23">
        <v>0.22580645161290319</v>
      </c>
      <c r="AZ24" s="20">
        <v>0.89</v>
      </c>
      <c r="BA24" s="20">
        <v>3.44</v>
      </c>
      <c r="BB24" s="20">
        <v>2.5499999999999998</v>
      </c>
      <c r="BC24" s="20">
        <v>2.7921428571428568</v>
      </c>
      <c r="BD24">
        <v>2.7921428571428568</v>
      </c>
      <c r="BE24">
        <v>6.1741786985714304</v>
      </c>
    </row>
    <row r="25" spans="1:57" x14ac:dyDescent="0.3">
      <c r="A25" t="s">
        <v>22</v>
      </c>
      <c r="B25" s="12" t="s">
        <v>876</v>
      </c>
      <c r="C25" s="12"/>
      <c r="F25">
        <v>2.74</v>
      </c>
      <c r="G25" t="s">
        <v>213</v>
      </c>
      <c r="H25" s="25" t="s">
        <v>541</v>
      </c>
      <c r="I25" t="s">
        <v>621</v>
      </c>
      <c r="N25" s="20">
        <v>0</v>
      </c>
      <c r="O25"/>
      <c r="P25"/>
      <c r="Q25"/>
      <c r="T25" s="20">
        <v>0</v>
      </c>
      <c r="U25" s="20"/>
      <c r="V25" s="20"/>
      <c r="W25">
        <v>1</v>
      </c>
      <c r="Y25" t="s">
        <v>464</v>
      </c>
      <c r="AA25">
        <v>38.960999999999999</v>
      </c>
      <c r="AB25" t="s">
        <v>465</v>
      </c>
      <c r="AF25">
        <v>1</v>
      </c>
      <c r="AG25">
        <v>1</v>
      </c>
      <c r="AK25">
        <v>1</v>
      </c>
      <c r="AO25">
        <v>18</v>
      </c>
      <c r="AP25" s="20">
        <v>0</v>
      </c>
      <c r="AQ25" s="20"/>
      <c r="AR25" s="23">
        <v>1.871428571428571</v>
      </c>
      <c r="AS25" s="23">
        <v>3.1428571428571428</v>
      </c>
      <c r="AT25" s="23">
        <v>2.714285714285714</v>
      </c>
      <c r="AU25" s="23">
        <v>3.2</v>
      </c>
      <c r="AV25" s="23">
        <v>0.17124183006535951</v>
      </c>
      <c r="AW25" s="23">
        <v>0.28758169934640521</v>
      </c>
      <c r="AX25" s="23">
        <v>0.2483660130718954</v>
      </c>
      <c r="AY25" s="23">
        <v>0.29281045751633977</v>
      </c>
      <c r="AZ25" s="20">
        <v>1.6</v>
      </c>
      <c r="BA25" s="20">
        <v>3.44</v>
      </c>
      <c r="BB25" s="20">
        <v>1.84</v>
      </c>
      <c r="BC25" s="20">
        <v>2.9058571428571431</v>
      </c>
      <c r="BD25">
        <v>2.9058571428571431</v>
      </c>
      <c r="BE25">
        <v>6.2676757950000006</v>
      </c>
    </row>
    <row r="26" spans="1:57" x14ac:dyDescent="0.3">
      <c r="A26" t="s">
        <v>23</v>
      </c>
      <c r="B26" s="12" t="s">
        <v>877</v>
      </c>
      <c r="C26" s="12"/>
      <c r="F26">
        <v>2.74</v>
      </c>
      <c r="G26" t="s">
        <v>213</v>
      </c>
      <c r="H26" s="25" t="s">
        <v>541</v>
      </c>
      <c r="I26" t="s">
        <v>621</v>
      </c>
      <c r="N26" s="20">
        <v>0</v>
      </c>
      <c r="O26"/>
      <c r="P26"/>
      <c r="Q26"/>
      <c r="T26" s="20">
        <v>0</v>
      </c>
      <c r="U26" s="20"/>
      <c r="V26" s="20"/>
      <c r="W26">
        <v>1</v>
      </c>
      <c r="Y26" t="s">
        <v>464</v>
      </c>
      <c r="AA26">
        <v>50.949000000000005</v>
      </c>
      <c r="AF26">
        <v>1</v>
      </c>
      <c r="AG26">
        <v>1</v>
      </c>
      <c r="AK26">
        <v>1</v>
      </c>
      <c r="AO26">
        <v>18</v>
      </c>
      <c r="AP26" s="20">
        <v>0</v>
      </c>
      <c r="AQ26" s="20"/>
      <c r="AR26" s="23">
        <v>1.8678571428571431</v>
      </c>
      <c r="AS26" s="23">
        <v>3.1428571428571428</v>
      </c>
      <c r="AT26" s="23">
        <v>2.714285714285714</v>
      </c>
      <c r="AU26" s="23">
        <v>3.15</v>
      </c>
      <c r="AV26" s="23">
        <v>0.1717569786535304</v>
      </c>
      <c r="AW26" s="23">
        <v>0.28899835796387519</v>
      </c>
      <c r="AX26" s="23">
        <v>0.24958949096880129</v>
      </c>
      <c r="AY26" s="23">
        <v>0.28965517241379313</v>
      </c>
      <c r="AZ26" s="20">
        <v>1.6</v>
      </c>
      <c r="BA26" s="20">
        <v>3.44</v>
      </c>
      <c r="BB26" s="20">
        <v>1.84</v>
      </c>
      <c r="BC26" s="20">
        <v>2.903142857142857</v>
      </c>
      <c r="BD26">
        <v>2.903142857142857</v>
      </c>
      <c r="BE26">
        <v>6.2658828646428582</v>
      </c>
    </row>
    <row r="27" spans="1:57" x14ac:dyDescent="0.3">
      <c r="A27" t="s">
        <v>24</v>
      </c>
      <c r="B27" s="12" t="s">
        <v>878</v>
      </c>
      <c r="C27" s="12"/>
      <c r="F27">
        <v>2.75</v>
      </c>
      <c r="G27" t="s">
        <v>213</v>
      </c>
      <c r="H27" s="25" t="s">
        <v>541</v>
      </c>
      <c r="I27" t="s">
        <v>621</v>
      </c>
      <c r="N27" s="20">
        <v>0</v>
      </c>
      <c r="O27"/>
      <c r="P27"/>
      <c r="Q27"/>
      <c r="T27" s="20">
        <v>0</v>
      </c>
      <c r="U27" s="20"/>
      <c r="V27" s="20"/>
      <c r="W27">
        <v>1</v>
      </c>
      <c r="Y27" t="s">
        <v>464</v>
      </c>
      <c r="AA27">
        <v>30.303000000000001</v>
      </c>
      <c r="AF27">
        <v>1</v>
      </c>
      <c r="AG27">
        <v>1</v>
      </c>
      <c r="AK27">
        <v>1</v>
      </c>
      <c r="AO27">
        <v>18</v>
      </c>
      <c r="AP27" s="20">
        <v>0</v>
      </c>
      <c r="AQ27" s="20"/>
      <c r="AR27" s="23">
        <v>1.8642857142857141</v>
      </c>
      <c r="AS27" s="23">
        <v>3.1428571428571428</v>
      </c>
      <c r="AT27" s="23">
        <v>2.714285714285714</v>
      </c>
      <c r="AU27" s="23">
        <v>3.1</v>
      </c>
      <c r="AV27" s="23">
        <v>0.17227722772277229</v>
      </c>
      <c r="AW27" s="23">
        <v>0.29042904290429039</v>
      </c>
      <c r="AX27" s="23">
        <v>0.25082508250825092</v>
      </c>
      <c r="AY27" s="23">
        <v>0.28646864686468648</v>
      </c>
      <c r="AZ27" s="20">
        <v>1.6</v>
      </c>
      <c r="BA27" s="20">
        <v>3.44</v>
      </c>
      <c r="BB27" s="20">
        <v>1.84</v>
      </c>
      <c r="BC27" s="20">
        <v>2.9004285714285709</v>
      </c>
      <c r="BD27">
        <v>2.9004285714285718</v>
      </c>
      <c r="BE27">
        <v>6.2640899342857157</v>
      </c>
    </row>
    <row r="28" spans="1:57" x14ac:dyDescent="0.3">
      <c r="A28" t="s">
        <v>25</v>
      </c>
      <c r="B28" s="12" t="s">
        <v>708</v>
      </c>
      <c r="C28" s="12"/>
      <c r="F28">
        <v>2.88</v>
      </c>
      <c r="G28" t="s">
        <v>213</v>
      </c>
      <c r="H28" s="8" t="s">
        <v>541</v>
      </c>
      <c r="I28" t="s">
        <v>621</v>
      </c>
      <c r="N28" s="20">
        <v>1</v>
      </c>
      <c r="O28">
        <v>5.4960000000000004</v>
      </c>
      <c r="P28">
        <v>5.4960000000000004</v>
      </c>
      <c r="Q28">
        <v>25.55</v>
      </c>
      <c r="R28" t="s">
        <v>450</v>
      </c>
      <c r="T28" s="20">
        <v>12.868820120000001</v>
      </c>
      <c r="U28" s="20">
        <v>12.868820120000001</v>
      </c>
      <c r="V28" s="20">
        <v>12.868820120000001</v>
      </c>
      <c r="W28">
        <v>1</v>
      </c>
      <c r="Y28">
        <v>4</v>
      </c>
      <c r="AA28">
        <v>25.308</v>
      </c>
      <c r="AF28">
        <v>1</v>
      </c>
      <c r="AG28">
        <v>1</v>
      </c>
      <c r="AK28">
        <v>1</v>
      </c>
      <c r="AO28">
        <v>18</v>
      </c>
      <c r="AP28" s="20">
        <v>197.4403766939285</v>
      </c>
      <c r="AQ28" s="20">
        <v>9.1166762854710051E-2</v>
      </c>
      <c r="AR28" s="23">
        <v>1.857142857142857</v>
      </c>
      <c r="AS28" s="23">
        <v>3.1428571428571428</v>
      </c>
      <c r="AT28" s="23">
        <v>2.714285714285714</v>
      </c>
      <c r="AU28" s="23">
        <v>3</v>
      </c>
      <c r="AV28" s="23">
        <v>0.17333333333333331</v>
      </c>
      <c r="AW28" s="23">
        <v>0.29333333333333328</v>
      </c>
      <c r="AX28" s="23">
        <v>0.25333333333333341</v>
      </c>
      <c r="AY28" s="23">
        <v>0.28000000000000003</v>
      </c>
      <c r="AZ28" s="20">
        <v>1.6</v>
      </c>
      <c r="BA28" s="20">
        <v>3.44</v>
      </c>
      <c r="BB28" s="20">
        <v>1.84</v>
      </c>
      <c r="BC28" s="20">
        <v>2.895</v>
      </c>
      <c r="BD28">
        <v>2.895</v>
      </c>
      <c r="BE28">
        <v>6.260504073571429</v>
      </c>
    </row>
    <row r="29" spans="1:57" x14ac:dyDescent="0.3">
      <c r="A29" t="s">
        <v>26</v>
      </c>
      <c r="B29" s="12" t="s">
        <v>879</v>
      </c>
      <c r="C29" s="12"/>
      <c r="F29">
        <v>2.91</v>
      </c>
      <c r="G29" t="s">
        <v>213</v>
      </c>
      <c r="H29" s="25" t="s">
        <v>541</v>
      </c>
      <c r="I29" t="s">
        <v>621</v>
      </c>
      <c r="N29" s="20">
        <v>0</v>
      </c>
      <c r="O29"/>
      <c r="P29"/>
      <c r="Q29"/>
      <c r="T29" s="20">
        <v>0</v>
      </c>
      <c r="U29" s="20"/>
      <c r="V29" s="20"/>
      <c r="W29">
        <v>1</v>
      </c>
      <c r="Y29" t="s">
        <v>464</v>
      </c>
      <c r="AA29">
        <v>9.3239999999999998</v>
      </c>
      <c r="AF29">
        <v>1</v>
      </c>
      <c r="AG29">
        <v>1</v>
      </c>
      <c r="AK29">
        <v>1</v>
      </c>
      <c r="AO29">
        <v>18</v>
      </c>
      <c r="AP29" s="20">
        <v>0</v>
      </c>
      <c r="AQ29" s="20"/>
      <c r="AR29" s="23">
        <v>1.8642857142857141</v>
      </c>
      <c r="AS29" s="23">
        <v>3.1428571428571428</v>
      </c>
      <c r="AT29" s="23">
        <v>2.7</v>
      </c>
      <c r="AU29" s="23">
        <v>3</v>
      </c>
      <c r="AV29" s="23">
        <v>0.1741160773849233</v>
      </c>
      <c r="AW29" s="23">
        <v>0.29352901934623082</v>
      </c>
      <c r="AX29" s="23">
        <v>0.25216811207471651</v>
      </c>
      <c r="AY29" s="23">
        <v>0.28018679119412943</v>
      </c>
      <c r="AZ29" s="20">
        <v>1.54</v>
      </c>
      <c r="BA29" s="20">
        <v>3.44</v>
      </c>
      <c r="BB29" s="20">
        <v>1.9</v>
      </c>
      <c r="BC29" s="20">
        <v>2.894571428571429</v>
      </c>
      <c r="BD29">
        <v>2.894571428571429</v>
      </c>
      <c r="BE29">
        <v>6.2577448164285716</v>
      </c>
    </row>
    <row r="30" spans="1:57" x14ac:dyDescent="0.3">
      <c r="A30" t="s">
        <v>8</v>
      </c>
      <c r="B30" s="12" t="s">
        <v>694</v>
      </c>
      <c r="C30" s="12"/>
      <c r="D30" t="s">
        <v>676</v>
      </c>
      <c r="E30" t="s">
        <v>1067</v>
      </c>
      <c r="F30">
        <v>2.73</v>
      </c>
      <c r="G30" t="s">
        <v>213</v>
      </c>
      <c r="H30" s="8" t="s">
        <v>530</v>
      </c>
      <c r="I30" t="s">
        <v>612</v>
      </c>
      <c r="N30" s="20">
        <v>30</v>
      </c>
      <c r="O30"/>
      <c r="P30"/>
      <c r="Q30"/>
      <c r="T30" s="20">
        <v>10.59112378</v>
      </c>
      <c r="U30" s="20">
        <v>10.784736629999999</v>
      </c>
      <c r="V30" s="20">
        <v>10.486176179999999</v>
      </c>
      <c r="W30">
        <v>1</v>
      </c>
      <c r="Y30" t="s">
        <v>464</v>
      </c>
      <c r="AA30">
        <v>0</v>
      </c>
      <c r="AF30">
        <v>1</v>
      </c>
      <c r="AG30">
        <v>1</v>
      </c>
      <c r="AK30">
        <v>1</v>
      </c>
      <c r="AO30">
        <v>4</v>
      </c>
      <c r="AP30" s="20">
        <v>1182.741260108548</v>
      </c>
      <c r="AQ30" s="20">
        <v>0.1014592151701775</v>
      </c>
      <c r="AR30" s="23">
        <v>2</v>
      </c>
      <c r="AS30" s="23">
        <v>2.666666666666667</v>
      </c>
      <c r="AT30" s="23">
        <v>0.66666666666666663</v>
      </c>
      <c r="AU30" s="23">
        <v>0</v>
      </c>
      <c r="AV30" s="23">
        <v>0.375</v>
      </c>
      <c r="AW30" s="23">
        <v>0.5</v>
      </c>
      <c r="AX30" s="23">
        <v>0.125</v>
      </c>
      <c r="AY30" s="23">
        <v>0</v>
      </c>
      <c r="AZ30" s="20">
        <v>1.54</v>
      </c>
      <c r="BA30" s="20">
        <v>3.44</v>
      </c>
      <c r="BB30" s="20">
        <v>1.9</v>
      </c>
      <c r="BC30" s="20">
        <v>2.8066666666666671</v>
      </c>
      <c r="BD30">
        <v>2.8066666666666662</v>
      </c>
      <c r="BE30">
        <v>6.1769976</v>
      </c>
    </row>
    <row r="31" spans="1:57" x14ac:dyDescent="0.3">
      <c r="A31" t="s">
        <v>10</v>
      </c>
      <c r="B31" s="12" t="s">
        <v>695</v>
      </c>
      <c r="C31" s="12"/>
      <c r="F31">
        <v>3.9</v>
      </c>
      <c r="G31" t="s">
        <v>134</v>
      </c>
      <c r="H31" s="8" t="s">
        <v>531</v>
      </c>
      <c r="I31">
        <v>-1</v>
      </c>
      <c r="N31" s="20">
        <v>1</v>
      </c>
      <c r="O31">
        <v>3.8849999999999998</v>
      </c>
      <c r="P31">
        <v>3.8849999999999998</v>
      </c>
      <c r="Q31">
        <v>11.12</v>
      </c>
      <c r="R31" t="s">
        <v>439</v>
      </c>
      <c r="T31" s="20">
        <v>3.9103940000000001</v>
      </c>
      <c r="U31" s="20">
        <v>3.9103940000000001</v>
      </c>
      <c r="V31" s="20">
        <v>11.314458</v>
      </c>
      <c r="W31" t="s">
        <v>464</v>
      </c>
      <c r="Y31">
        <v>2</v>
      </c>
      <c r="Z31" t="s">
        <v>464</v>
      </c>
      <c r="AA31" t="s">
        <v>464</v>
      </c>
      <c r="AG31" t="s">
        <v>464</v>
      </c>
      <c r="AK31" t="s">
        <v>464</v>
      </c>
      <c r="AO31">
        <v>14</v>
      </c>
      <c r="AP31" s="20">
        <v>173.0114278564659</v>
      </c>
      <c r="AQ31" s="20">
        <v>8.0919510193365449E-2</v>
      </c>
      <c r="AR31" s="23">
        <v>1.9090909090909089</v>
      </c>
      <c r="AS31" s="23">
        <v>2.545454545454545</v>
      </c>
      <c r="AT31" s="23">
        <v>0.63636363636363635</v>
      </c>
      <c r="AU31" s="23">
        <v>2.545454545454545</v>
      </c>
      <c r="AV31" s="23">
        <v>0.25</v>
      </c>
      <c r="AW31" s="23">
        <v>0.33333333333333331</v>
      </c>
      <c r="AX31" s="23">
        <v>8.3333333333333329E-2</v>
      </c>
      <c r="AY31" s="23">
        <v>0.33333333333333331</v>
      </c>
      <c r="AZ31" s="20">
        <v>0.82</v>
      </c>
      <c r="BA31" s="20">
        <v>3.44</v>
      </c>
      <c r="BB31" s="20">
        <v>2.62</v>
      </c>
      <c r="BC31" s="20">
        <v>2.6363636363636358</v>
      </c>
      <c r="BD31">
        <v>2.6363636363636371</v>
      </c>
      <c r="BE31">
        <v>6.0044088459090901</v>
      </c>
    </row>
    <row r="32" spans="1:57" x14ac:dyDescent="0.3">
      <c r="A32" t="s">
        <v>11</v>
      </c>
      <c r="B32" s="12" t="s">
        <v>696</v>
      </c>
      <c r="C32" s="12"/>
      <c r="F32">
        <v>3.5</v>
      </c>
      <c r="G32" t="s">
        <v>134</v>
      </c>
      <c r="H32" s="8">
        <v>-1</v>
      </c>
      <c r="I32">
        <v>-1</v>
      </c>
      <c r="J32" s="8" t="s">
        <v>1144</v>
      </c>
      <c r="N32" s="20">
        <v>0</v>
      </c>
      <c r="O32">
        <v>3.8839999999999999</v>
      </c>
      <c r="P32">
        <v>3.8839999999999999</v>
      </c>
      <c r="Q32">
        <v>11.12</v>
      </c>
      <c r="R32" t="s">
        <v>439</v>
      </c>
      <c r="T32" s="20">
        <v>0</v>
      </c>
      <c r="U32" s="20"/>
      <c r="V32" s="20"/>
      <c r="W32" t="s">
        <v>464</v>
      </c>
      <c r="Y32">
        <v>2</v>
      </c>
      <c r="Z32" t="s">
        <v>464</v>
      </c>
      <c r="AA32" t="s">
        <v>464</v>
      </c>
      <c r="AG32" t="s">
        <v>464</v>
      </c>
      <c r="AK32" t="s">
        <v>464</v>
      </c>
      <c r="AO32">
        <v>14</v>
      </c>
      <c r="AP32" s="20">
        <v>0</v>
      </c>
      <c r="AQ32" s="20"/>
      <c r="AR32" s="23">
        <v>1.9090909090909089</v>
      </c>
      <c r="AS32" s="23">
        <v>2.545454545454545</v>
      </c>
      <c r="AT32" s="23">
        <v>0.54545454545454541</v>
      </c>
      <c r="AU32" s="23">
        <v>2.8181818181818179</v>
      </c>
      <c r="AV32" s="23">
        <v>0.2441860465116279</v>
      </c>
      <c r="AW32" s="23">
        <v>0.32558139534883718</v>
      </c>
      <c r="AX32" s="23">
        <v>6.9767441860465115E-2</v>
      </c>
      <c r="AY32" s="23">
        <v>0.3604651162790698</v>
      </c>
      <c r="AZ32" s="20">
        <v>0.82</v>
      </c>
      <c r="BA32" s="20">
        <v>3.44</v>
      </c>
      <c r="BB32" s="20">
        <v>2.62</v>
      </c>
      <c r="BC32" s="20">
        <v>2.6390909090909092</v>
      </c>
      <c r="BD32">
        <v>2.6390909090909092</v>
      </c>
      <c r="BE32">
        <v>5.9791810459090904</v>
      </c>
    </row>
    <row r="33" spans="1:57" x14ac:dyDescent="0.3">
      <c r="A33" t="s">
        <v>12</v>
      </c>
      <c r="B33" s="12" t="s">
        <v>697</v>
      </c>
      <c r="C33" s="12"/>
      <c r="F33">
        <v>3.8</v>
      </c>
      <c r="G33" t="s">
        <v>134</v>
      </c>
      <c r="H33" s="8">
        <v>-1</v>
      </c>
      <c r="I33">
        <v>-1</v>
      </c>
      <c r="J33" s="8" t="s">
        <v>1145</v>
      </c>
      <c r="N33" s="20">
        <v>0</v>
      </c>
      <c r="O33">
        <v>3.8460000000000001</v>
      </c>
      <c r="P33">
        <v>3.8460000000000001</v>
      </c>
      <c r="Q33">
        <v>11.1</v>
      </c>
      <c r="R33" t="s">
        <v>439</v>
      </c>
      <c r="T33" s="20">
        <v>0</v>
      </c>
      <c r="U33" s="20"/>
      <c r="V33" s="20"/>
      <c r="W33" t="s">
        <v>464</v>
      </c>
      <c r="Y33">
        <v>2</v>
      </c>
      <c r="Z33" t="s">
        <v>464</v>
      </c>
      <c r="AA33" t="s">
        <v>464</v>
      </c>
      <c r="AG33" t="s">
        <v>464</v>
      </c>
      <c r="AK33" t="s">
        <v>464</v>
      </c>
      <c r="AO33">
        <v>14</v>
      </c>
      <c r="AP33" s="20">
        <v>0</v>
      </c>
      <c r="AQ33" s="20"/>
      <c r="AR33" s="23">
        <v>1.9090909090909089</v>
      </c>
      <c r="AS33" s="23">
        <v>2.545454545454545</v>
      </c>
      <c r="AT33" s="23">
        <v>0.54545454545454541</v>
      </c>
      <c r="AU33" s="23">
        <v>2.9090909090909092</v>
      </c>
      <c r="AV33" s="23">
        <v>0.2413793103448276</v>
      </c>
      <c r="AW33" s="23">
        <v>0.32183908045977011</v>
      </c>
      <c r="AX33" s="23">
        <v>6.8965517241379309E-2</v>
      </c>
      <c r="AY33" s="23">
        <v>0.36781609195402298</v>
      </c>
      <c r="AZ33" s="20">
        <v>0.82</v>
      </c>
      <c r="BA33" s="20">
        <v>3.44</v>
      </c>
      <c r="BB33" s="20">
        <v>2.62</v>
      </c>
      <c r="BC33" s="20">
        <v>2.64</v>
      </c>
      <c r="BD33">
        <v>2.64</v>
      </c>
      <c r="BE33">
        <v>5.9811382595454541</v>
      </c>
    </row>
    <row r="34" spans="1:57" x14ac:dyDescent="0.3">
      <c r="A34" t="s">
        <v>13</v>
      </c>
      <c r="B34" s="12" t="s">
        <v>698</v>
      </c>
      <c r="C34" s="12"/>
      <c r="F34">
        <v>3.8</v>
      </c>
      <c r="G34" t="s">
        <v>134</v>
      </c>
      <c r="H34" s="8">
        <v>-1</v>
      </c>
      <c r="I34">
        <v>-1</v>
      </c>
      <c r="J34" t="s">
        <v>1147</v>
      </c>
      <c r="N34" s="20">
        <v>0</v>
      </c>
      <c r="O34">
        <v>3.8420000000000001</v>
      </c>
      <c r="P34">
        <v>3.8420000000000001</v>
      </c>
      <c r="Q34">
        <v>11.11</v>
      </c>
      <c r="R34" t="s">
        <v>439</v>
      </c>
      <c r="T34" s="20">
        <v>0</v>
      </c>
      <c r="U34" s="20"/>
      <c r="V34" s="20"/>
      <c r="W34" t="s">
        <v>464</v>
      </c>
      <c r="Y34">
        <v>2</v>
      </c>
      <c r="Z34" t="s">
        <v>464</v>
      </c>
      <c r="AA34" t="s">
        <v>464</v>
      </c>
      <c r="AG34" t="s">
        <v>464</v>
      </c>
      <c r="AK34" t="s">
        <v>464</v>
      </c>
      <c r="AO34">
        <v>14</v>
      </c>
      <c r="AP34" s="20">
        <v>0</v>
      </c>
      <c r="AQ34" s="20"/>
      <c r="AR34" s="23">
        <v>1.9090909090909089</v>
      </c>
      <c r="AS34" s="23">
        <v>2.545454545454545</v>
      </c>
      <c r="AT34" s="23">
        <v>0.54545454545454541</v>
      </c>
      <c r="AU34" s="23">
        <v>3.0909090909090908</v>
      </c>
      <c r="AV34" s="23">
        <v>0.2359550561797753</v>
      </c>
      <c r="AW34" s="23">
        <v>0.3146067415730337</v>
      </c>
      <c r="AX34" s="23">
        <v>6.7415730337078636E-2</v>
      </c>
      <c r="AY34" s="23">
        <v>0.38202247191011229</v>
      </c>
      <c r="AZ34" s="20">
        <v>0.82</v>
      </c>
      <c r="BA34" s="20">
        <v>3.44</v>
      </c>
      <c r="BB34" s="20">
        <v>2.62</v>
      </c>
      <c r="BC34" s="20">
        <v>2.642727272727273</v>
      </c>
      <c r="BD34">
        <v>2.642727272727273</v>
      </c>
      <c r="BE34">
        <v>5.9894662913636356</v>
      </c>
    </row>
    <row r="35" spans="1:57" x14ac:dyDescent="0.3">
      <c r="A35" t="s">
        <v>30</v>
      </c>
      <c r="B35" s="12" t="s">
        <v>709</v>
      </c>
      <c r="C35" s="12"/>
      <c r="F35">
        <v>3.36</v>
      </c>
      <c r="G35" t="s">
        <v>29</v>
      </c>
      <c r="H35" s="8">
        <v>-1</v>
      </c>
      <c r="I35" t="s">
        <v>622</v>
      </c>
      <c r="N35" s="20">
        <v>0</v>
      </c>
      <c r="O35">
        <v>5.4324000000000003</v>
      </c>
      <c r="P35">
        <v>5.4151999999999996</v>
      </c>
      <c r="Q35">
        <v>40.78</v>
      </c>
      <c r="T35" s="20">
        <v>0</v>
      </c>
      <c r="U35" s="20"/>
      <c r="V35" s="20"/>
      <c r="W35" t="s">
        <v>464</v>
      </c>
      <c r="Y35" t="s">
        <v>464</v>
      </c>
      <c r="AA35">
        <v>0</v>
      </c>
      <c r="AB35" t="s">
        <v>471</v>
      </c>
      <c r="AG35">
        <v>1</v>
      </c>
      <c r="AK35">
        <v>1</v>
      </c>
      <c r="AO35">
        <v>30</v>
      </c>
      <c r="AP35" s="20">
        <v>0</v>
      </c>
      <c r="AQ35" s="20"/>
      <c r="AR35" s="23">
        <v>2</v>
      </c>
      <c r="AS35" s="23">
        <v>3</v>
      </c>
      <c r="AT35" s="23">
        <v>2</v>
      </c>
      <c r="AU35" s="23">
        <v>2.333333333333333</v>
      </c>
      <c r="AV35" s="23">
        <v>0.2142857142857143</v>
      </c>
      <c r="AW35" s="23">
        <v>0.3214285714285714</v>
      </c>
      <c r="AX35" s="23">
        <v>0.2142857142857143</v>
      </c>
      <c r="AY35" s="23">
        <v>0.25</v>
      </c>
      <c r="AZ35" s="20">
        <v>1</v>
      </c>
      <c r="BA35" s="20">
        <v>3.44</v>
      </c>
      <c r="BB35" s="20">
        <v>2.44</v>
      </c>
      <c r="BC35" s="20">
        <v>2.7850000000000001</v>
      </c>
      <c r="BD35">
        <v>2.7850000000000001</v>
      </c>
      <c r="BE35">
        <v>6.1010684060416667</v>
      </c>
    </row>
    <row r="36" spans="1:57" x14ac:dyDescent="0.3">
      <c r="A36" t="s">
        <v>31</v>
      </c>
      <c r="B36" s="12" t="s">
        <v>710</v>
      </c>
      <c r="C36" s="12"/>
      <c r="F36">
        <v>3.02</v>
      </c>
      <c r="G36" t="s">
        <v>29</v>
      </c>
      <c r="H36" s="8">
        <v>-1</v>
      </c>
      <c r="I36">
        <v>-1</v>
      </c>
      <c r="J36" t="s">
        <v>1148</v>
      </c>
      <c r="N36" s="20">
        <v>0</v>
      </c>
      <c r="O36" t="s">
        <v>464</v>
      </c>
      <c r="P36" t="s">
        <v>464</v>
      </c>
      <c r="Q36" t="s">
        <v>464</v>
      </c>
      <c r="T36" s="20">
        <v>0</v>
      </c>
      <c r="U36" s="20"/>
      <c r="V36" s="20"/>
      <c r="W36" t="s">
        <v>464</v>
      </c>
      <c r="Y36" t="s">
        <v>464</v>
      </c>
      <c r="AA36">
        <v>37.333333333333336</v>
      </c>
      <c r="AG36">
        <v>1</v>
      </c>
      <c r="AK36">
        <v>1</v>
      </c>
      <c r="AO36">
        <v>30</v>
      </c>
      <c r="AP36" s="20">
        <v>0</v>
      </c>
      <c r="AQ36" s="20"/>
      <c r="AR36" s="23">
        <v>2</v>
      </c>
      <c r="AS36" s="23">
        <v>3.083333333333333</v>
      </c>
      <c r="AT36" s="23">
        <v>2.416666666666667</v>
      </c>
      <c r="AU36" s="23">
        <v>2.916666666666667</v>
      </c>
      <c r="AV36" s="23">
        <v>0.192</v>
      </c>
      <c r="AW36" s="23">
        <v>0.29599999999999999</v>
      </c>
      <c r="AX36" s="23">
        <v>0.23200000000000001</v>
      </c>
      <c r="AY36" s="23">
        <v>0.28000000000000003</v>
      </c>
      <c r="AZ36" s="20">
        <v>1.54</v>
      </c>
      <c r="BA36" s="20">
        <v>3.44</v>
      </c>
      <c r="BB36" s="20">
        <v>1.9</v>
      </c>
      <c r="BC36" s="20">
        <v>2.840416666666667</v>
      </c>
      <c r="BD36">
        <v>2.840416666666667</v>
      </c>
      <c r="BE36">
        <v>6.1351453775000007</v>
      </c>
    </row>
    <row r="37" spans="1:57" x14ac:dyDescent="0.3">
      <c r="A37" t="s">
        <v>19</v>
      </c>
      <c r="B37" s="12" t="s">
        <v>705</v>
      </c>
      <c r="C37" s="12"/>
      <c r="F37">
        <v>3.18</v>
      </c>
      <c r="G37" t="s">
        <v>29</v>
      </c>
      <c r="H37" s="8" t="s">
        <v>538</v>
      </c>
      <c r="I37">
        <v>-1</v>
      </c>
      <c r="N37" s="20">
        <v>1</v>
      </c>
      <c r="O37" t="s">
        <v>464</v>
      </c>
      <c r="P37" t="s">
        <v>464</v>
      </c>
      <c r="Q37" t="s">
        <v>464</v>
      </c>
      <c r="T37" s="20">
        <v>13.83861243</v>
      </c>
      <c r="U37" s="20">
        <v>13.83861243</v>
      </c>
      <c r="V37" s="20">
        <v>13.83861243</v>
      </c>
      <c r="W37" t="s">
        <v>464</v>
      </c>
      <c r="Y37">
        <v>2</v>
      </c>
      <c r="AA37">
        <v>0</v>
      </c>
      <c r="AO37">
        <v>18</v>
      </c>
      <c r="AP37" s="20">
        <v>208.2630581553295</v>
      </c>
      <c r="AQ37" s="20">
        <v>8.6429154356194082E-2</v>
      </c>
      <c r="AR37" s="23">
        <v>1.857142857142857</v>
      </c>
      <c r="AS37" s="23">
        <v>3</v>
      </c>
      <c r="AT37" s="23">
        <v>2</v>
      </c>
      <c r="AU37" s="23">
        <v>2</v>
      </c>
      <c r="AV37" s="23">
        <v>0.20967741935483869</v>
      </c>
      <c r="AW37" s="23">
        <v>0.33870967741935482</v>
      </c>
      <c r="AX37" s="23">
        <v>0.22580645161290319</v>
      </c>
      <c r="AY37" s="23">
        <v>0.22580645161290319</v>
      </c>
      <c r="AZ37" s="20">
        <v>1</v>
      </c>
      <c r="BA37" s="20">
        <v>3.44</v>
      </c>
      <c r="BB37" s="20">
        <v>2.44</v>
      </c>
      <c r="BC37" s="20">
        <v>2.8</v>
      </c>
      <c r="BD37">
        <v>2.8</v>
      </c>
      <c r="BE37">
        <v>6.2020864082142868</v>
      </c>
    </row>
    <row r="38" spans="1:57" x14ac:dyDescent="0.3">
      <c r="A38" t="s">
        <v>25</v>
      </c>
      <c r="B38" s="12" t="s">
        <v>708</v>
      </c>
      <c r="C38" s="12"/>
      <c r="F38">
        <v>2.88</v>
      </c>
      <c r="G38" t="s">
        <v>29</v>
      </c>
      <c r="H38" s="8" t="s">
        <v>541</v>
      </c>
      <c r="I38" t="s">
        <v>621</v>
      </c>
      <c r="N38" s="20">
        <v>1</v>
      </c>
      <c r="O38" t="s">
        <v>464</v>
      </c>
      <c r="P38" t="s">
        <v>464</v>
      </c>
      <c r="Q38" t="s">
        <v>464</v>
      </c>
      <c r="T38" s="20">
        <v>12.868820120000001</v>
      </c>
      <c r="U38" s="20">
        <v>12.868820120000001</v>
      </c>
      <c r="V38" s="20">
        <v>12.868820120000001</v>
      </c>
      <c r="W38" t="s">
        <v>464</v>
      </c>
      <c r="Y38">
        <v>2</v>
      </c>
      <c r="AA38">
        <v>10.666666666666668</v>
      </c>
      <c r="AO38">
        <v>18</v>
      </c>
      <c r="AP38" s="20">
        <v>197.4403766939285</v>
      </c>
      <c r="AQ38" s="20">
        <v>9.1166762854710051E-2</v>
      </c>
      <c r="AR38" s="23">
        <v>1.857142857142857</v>
      </c>
      <c r="AS38" s="23">
        <v>3.1428571428571428</v>
      </c>
      <c r="AT38" s="23">
        <v>2.714285714285714</v>
      </c>
      <c r="AU38" s="23">
        <v>3</v>
      </c>
      <c r="AV38" s="23">
        <v>0.17333333333333331</v>
      </c>
      <c r="AW38" s="23">
        <v>0.29333333333333328</v>
      </c>
      <c r="AX38" s="23">
        <v>0.25333333333333341</v>
      </c>
      <c r="AY38" s="23">
        <v>0.28000000000000003</v>
      </c>
      <c r="AZ38" s="20">
        <v>1.6</v>
      </c>
      <c r="BA38" s="20">
        <v>3.44</v>
      </c>
      <c r="BB38" s="20">
        <v>1.84</v>
      </c>
      <c r="BC38" s="20">
        <v>2.895</v>
      </c>
      <c r="BD38">
        <v>2.895</v>
      </c>
      <c r="BE38">
        <v>6.260504073571429</v>
      </c>
    </row>
    <row r="39" spans="1:57" x14ac:dyDescent="0.3">
      <c r="A39" t="s">
        <v>32</v>
      </c>
      <c r="B39" s="12" t="s">
        <v>881</v>
      </c>
      <c r="C39" s="12"/>
      <c r="F39">
        <v>3.44</v>
      </c>
      <c r="G39" t="s">
        <v>29</v>
      </c>
      <c r="H39" s="8">
        <v>-1</v>
      </c>
      <c r="I39">
        <v>-1</v>
      </c>
      <c r="J39" t="s">
        <v>1149</v>
      </c>
      <c r="N39" s="20">
        <v>0</v>
      </c>
      <c r="O39">
        <v>3.9</v>
      </c>
      <c r="P39">
        <v>3.9</v>
      </c>
      <c r="Q39">
        <v>29.65</v>
      </c>
      <c r="R39" t="s">
        <v>472</v>
      </c>
      <c r="T39" s="20">
        <v>0</v>
      </c>
      <c r="U39" s="20"/>
      <c r="V39" s="20"/>
      <c r="W39" t="s">
        <v>464</v>
      </c>
      <c r="Y39" t="s">
        <v>464</v>
      </c>
      <c r="AA39">
        <v>0</v>
      </c>
      <c r="AG39">
        <v>1</v>
      </c>
      <c r="AK39">
        <v>1</v>
      </c>
      <c r="AO39">
        <v>20</v>
      </c>
      <c r="AP39" s="20">
        <v>0</v>
      </c>
      <c r="AQ39" s="20"/>
      <c r="AR39" s="23">
        <v>1.774193548387097</v>
      </c>
      <c r="AS39" s="23">
        <v>2.580645161290323</v>
      </c>
      <c r="AT39" s="23">
        <v>0.80645161290322576</v>
      </c>
      <c r="AU39" s="23">
        <v>0</v>
      </c>
      <c r="AV39" s="23">
        <v>0.34375</v>
      </c>
      <c r="AW39" s="23">
        <v>0.5</v>
      </c>
      <c r="AX39" s="23">
        <v>0.15625</v>
      </c>
      <c r="AY39" s="23">
        <v>0</v>
      </c>
      <c r="AZ39" s="20">
        <v>0.82</v>
      </c>
      <c r="BA39" s="20">
        <v>3.44</v>
      </c>
      <c r="BB39" s="20">
        <v>2.62</v>
      </c>
      <c r="BC39" s="20">
        <v>2.6877419354838712</v>
      </c>
      <c r="BD39">
        <v>2.6877419354838712</v>
      </c>
      <c r="BE39">
        <v>6.0811360720967738</v>
      </c>
    </row>
    <row r="40" spans="1:57" s="4" customFormat="1" x14ac:dyDescent="0.3">
      <c r="A40" s="4" t="s">
        <v>974</v>
      </c>
      <c r="B40" s="33" t="s">
        <v>975</v>
      </c>
      <c r="C40" s="29"/>
      <c r="F40" s="4">
        <v>3.09</v>
      </c>
      <c r="G40" s="4" t="s">
        <v>29</v>
      </c>
      <c r="H40" s="30">
        <v>-2</v>
      </c>
      <c r="I40" s="4">
        <v>-1</v>
      </c>
      <c r="N40" s="31">
        <v>0</v>
      </c>
      <c r="O40" s="4" t="s">
        <v>464</v>
      </c>
      <c r="P40" s="4" t="s">
        <v>464</v>
      </c>
      <c r="Q40" s="4" t="s">
        <v>464</v>
      </c>
      <c r="T40" s="31">
        <v>0</v>
      </c>
      <c r="U40" s="31"/>
      <c r="V40" s="31"/>
      <c r="W40" s="4" t="s">
        <v>464</v>
      </c>
      <c r="Y40" s="4" t="s">
        <v>464</v>
      </c>
      <c r="AA40" s="4">
        <v>0</v>
      </c>
      <c r="AG40" s="4">
        <v>1</v>
      </c>
      <c r="AK40" s="4">
        <v>1</v>
      </c>
      <c r="AO40" s="4">
        <v>20</v>
      </c>
      <c r="AP40" s="31">
        <v>0</v>
      </c>
      <c r="AQ40" s="31"/>
      <c r="AR40" s="4">
        <v>1.774193548387097</v>
      </c>
      <c r="AS40" s="4">
        <v>2.67741935483871</v>
      </c>
      <c r="AT40" s="4">
        <v>1.290322580645161</v>
      </c>
      <c r="AU40" s="4">
        <v>0.67741935483870963</v>
      </c>
      <c r="AV40" s="4">
        <v>0.27638190954773872</v>
      </c>
      <c r="AW40" s="4">
        <v>0.41708542713567842</v>
      </c>
      <c r="AX40" s="4">
        <v>0.20100502512562821</v>
      </c>
      <c r="AY40" s="4">
        <v>0.1055276381909548</v>
      </c>
      <c r="AZ40" s="31">
        <v>0.82</v>
      </c>
      <c r="BA40" s="31">
        <v>3.44</v>
      </c>
      <c r="BB40" s="31">
        <v>2.62</v>
      </c>
      <c r="BC40" s="31">
        <v>2.7520967741935478</v>
      </c>
      <c r="BD40" s="4">
        <v>2.7520967741935478</v>
      </c>
      <c r="BE40" s="4">
        <v>6.1207093292741934</v>
      </c>
    </row>
    <row r="41" spans="1:57" s="4" customFormat="1" x14ac:dyDescent="0.3">
      <c r="A41" s="4" t="s">
        <v>33</v>
      </c>
      <c r="B41" s="29" t="s">
        <v>882</v>
      </c>
      <c r="C41" s="29"/>
      <c r="F41" s="4">
        <v>3.06</v>
      </c>
      <c r="G41" s="4" t="s">
        <v>29</v>
      </c>
      <c r="H41" s="30">
        <v>-2</v>
      </c>
      <c r="I41" s="4">
        <v>-1</v>
      </c>
      <c r="N41" s="31">
        <v>0</v>
      </c>
      <c r="O41" s="4" t="s">
        <v>464</v>
      </c>
      <c r="P41" s="4" t="s">
        <v>464</v>
      </c>
      <c r="Q41" s="4" t="s">
        <v>464</v>
      </c>
      <c r="T41" s="31">
        <v>0</v>
      </c>
      <c r="U41" s="31"/>
      <c r="V41" s="31"/>
      <c r="W41" s="4" t="s">
        <v>464</v>
      </c>
      <c r="Y41" s="4" t="s">
        <v>464</v>
      </c>
      <c r="AA41" s="4">
        <v>0</v>
      </c>
      <c r="AG41" s="4">
        <v>1</v>
      </c>
      <c r="AK41" s="4">
        <v>1</v>
      </c>
      <c r="AO41" s="4">
        <v>20</v>
      </c>
      <c r="AP41" s="31">
        <v>0</v>
      </c>
      <c r="AQ41" s="31"/>
      <c r="AR41" s="4">
        <v>1.774193548387097</v>
      </c>
      <c r="AS41" s="4">
        <v>2.725806451612903</v>
      </c>
      <c r="AT41" s="4">
        <v>1.435483870967742</v>
      </c>
      <c r="AU41" s="4">
        <v>0.90322580645161288</v>
      </c>
      <c r="AV41" s="4">
        <v>0.25943396226415089</v>
      </c>
      <c r="AW41" s="4">
        <v>0.3985849056603773</v>
      </c>
      <c r="AX41" s="4">
        <v>0.2099056603773585</v>
      </c>
      <c r="AY41" s="4">
        <v>0.13207547169811321</v>
      </c>
      <c r="AZ41" s="31">
        <v>0.82</v>
      </c>
      <c r="BA41" s="31">
        <v>3.44</v>
      </c>
      <c r="BB41" s="31">
        <v>2.62</v>
      </c>
      <c r="BC41" s="31">
        <v>2.7669354838709679</v>
      </c>
      <c r="BD41" s="4">
        <v>2.7669354838709679</v>
      </c>
      <c r="BE41" s="4">
        <v>6.1375918448387097</v>
      </c>
    </row>
    <row r="42" spans="1:57" x14ac:dyDescent="0.3">
      <c r="A42" t="s">
        <v>34</v>
      </c>
      <c r="B42" s="12" t="s">
        <v>711</v>
      </c>
      <c r="C42" s="12"/>
      <c r="F42">
        <v>3.31</v>
      </c>
      <c r="G42" t="s">
        <v>29</v>
      </c>
      <c r="H42" s="8" t="s">
        <v>542</v>
      </c>
      <c r="I42" t="s">
        <v>623</v>
      </c>
      <c r="N42" s="20">
        <v>1</v>
      </c>
      <c r="O42">
        <v>3.9</v>
      </c>
      <c r="P42">
        <v>3.9</v>
      </c>
      <c r="Q42">
        <v>29.65</v>
      </c>
      <c r="R42" t="s">
        <v>440</v>
      </c>
      <c r="T42" s="20">
        <v>3.9086759899999999</v>
      </c>
      <c r="U42" s="20">
        <v>3.908676100000001</v>
      </c>
      <c r="V42" s="20">
        <v>10.552604730000001</v>
      </c>
      <c r="W42" t="s">
        <v>464</v>
      </c>
      <c r="Y42" t="s">
        <v>464</v>
      </c>
      <c r="AA42">
        <v>0</v>
      </c>
      <c r="AG42">
        <v>1</v>
      </c>
      <c r="AK42">
        <v>1</v>
      </c>
      <c r="AO42">
        <v>14</v>
      </c>
      <c r="AP42" s="20">
        <v>155.59136328639269</v>
      </c>
      <c r="AQ42" s="20">
        <v>8.9979287437893268E-2</v>
      </c>
      <c r="AR42" s="23">
        <v>2</v>
      </c>
      <c r="AS42" s="23">
        <v>2.333333333333333</v>
      </c>
      <c r="AT42" s="23">
        <v>0.33333333333333331</v>
      </c>
      <c r="AU42" s="23">
        <v>0</v>
      </c>
      <c r="AV42" s="23">
        <v>0.42857142857142849</v>
      </c>
      <c r="AW42" s="23">
        <v>0.5</v>
      </c>
      <c r="AX42" s="23">
        <v>7.1428571428571425E-2</v>
      </c>
      <c r="AY42" s="23">
        <v>0</v>
      </c>
      <c r="AZ42" s="20">
        <v>0.95</v>
      </c>
      <c r="BA42" s="20">
        <v>3.44</v>
      </c>
      <c r="BB42" s="20">
        <v>2.4900000000000002</v>
      </c>
      <c r="BC42" s="20">
        <v>2.500833333333333</v>
      </c>
      <c r="BD42">
        <v>2.500833333333333</v>
      </c>
      <c r="BE42">
        <v>5.6917605187500007</v>
      </c>
    </row>
    <row r="43" spans="1:57" x14ac:dyDescent="0.3">
      <c r="A43" t="s">
        <v>35</v>
      </c>
      <c r="B43" s="12" t="s">
        <v>712</v>
      </c>
      <c r="C43" s="12"/>
      <c r="F43">
        <v>2.98</v>
      </c>
      <c r="G43" t="s">
        <v>29</v>
      </c>
      <c r="H43" s="8" t="s">
        <v>543</v>
      </c>
      <c r="I43" t="s">
        <v>624</v>
      </c>
      <c r="N43" s="20">
        <v>1</v>
      </c>
      <c r="O43" t="s">
        <v>464</v>
      </c>
      <c r="P43" t="s">
        <v>464</v>
      </c>
      <c r="Q43" t="s">
        <v>464</v>
      </c>
      <c r="R43" t="s">
        <v>440</v>
      </c>
      <c r="T43" s="20">
        <v>3.969049</v>
      </c>
      <c r="U43" s="20">
        <v>3.969049</v>
      </c>
      <c r="V43" s="20">
        <v>3.969049</v>
      </c>
      <c r="W43" t="s">
        <v>464</v>
      </c>
      <c r="Y43" t="s">
        <v>464</v>
      </c>
      <c r="AA43">
        <v>42</v>
      </c>
      <c r="AG43">
        <v>1</v>
      </c>
      <c r="AK43">
        <v>1</v>
      </c>
      <c r="AO43">
        <v>6</v>
      </c>
      <c r="AP43" s="20">
        <v>62.525817922855822</v>
      </c>
      <c r="AQ43" s="20">
        <v>9.5960360045234158E-2</v>
      </c>
      <c r="AR43" s="23">
        <v>2</v>
      </c>
      <c r="AS43" s="23">
        <v>2.8</v>
      </c>
      <c r="AT43" s="23">
        <v>2.4</v>
      </c>
      <c r="AU43" s="23">
        <v>2.8</v>
      </c>
      <c r="AV43" s="23">
        <v>0.2</v>
      </c>
      <c r="AW43" s="23">
        <v>0.28000000000000003</v>
      </c>
      <c r="AX43" s="23">
        <v>0.24</v>
      </c>
      <c r="AY43" s="23">
        <v>0.28000000000000003</v>
      </c>
      <c r="AZ43" s="20">
        <v>1.54</v>
      </c>
      <c r="BA43" s="20">
        <v>3.44</v>
      </c>
      <c r="BB43" s="20">
        <v>1.9</v>
      </c>
      <c r="BC43" s="20">
        <v>2.8380000000000001</v>
      </c>
      <c r="BD43">
        <v>2.8380000000000001</v>
      </c>
      <c r="BE43">
        <v>5.9914547000000002</v>
      </c>
    </row>
    <row r="44" spans="1:57" x14ac:dyDescent="0.3">
      <c r="A44" t="s">
        <v>37</v>
      </c>
      <c r="B44" s="12" t="s">
        <v>713</v>
      </c>
      <c r="C44" s="12"/>
      <c r="F44">
        <v>4.04</v>
      </c>
      <c r="G44" t="s">
        <v>36</v>
      </c>
      <c r="H44" s="8" t="s">
        <v>544</v>
      </c>
      <c r="I44" t="s">
        <v>625</v>
      </c>
      <c r="N44" s="20">
        <v>1</v>
      </c>
      <c r="O44"/>
      <c r="P44"/>
      <c r="Q44"/>
      <c r="T44" s="20">
        <v>5.7458564399999998</v>
      </c>
      <c r="U44" s="20">
        <v>5.7458564399999998</v>
      </c>
      <c r="V44" s="20">
        <v>11.67169612</v>
      </c>
      <c r="W44"/>
      <c r="Y44" t="s">
        <v>464</v>
      </c>
      <c r="Z44">
        <v>1</v>
      </c>
      <c r="AA44" t="s">
        <v>464</v>
      </c>
      <c r="AG44">
        <v>1</v>
      </c>
      <c r="AK44">
        <v>1</v>
      </c>
      <c r="AO44">
        <v>30</v>
      </c>
      <c r="AP44" s="20">
        <v>333.30247418302179</v>
      </c>
      <c r="AQ44" s="20">
        <v>9.0008332742008132E-2</v>
      </c>
      <c r="AR44" s="23">
        <v>1.833333333333333</v>
      </c>
      <c r="AS44" s="23">
        <v>2.5</v>
      </c>
      <c r="AT44" s="23">
        <v>0.66666666666666663</v>
      </c>
      <c r="AU44" s="23">
        <v>0</v>
      </c>
      <c r="AV44" s="23">
        <v>0.36666666666666659</v>
      </c>
      <c r="AW44" s="23">
        <v>0.5</v>
      </c>
      <c r="AX44" s="23">
        <v>0.1333333333333333</v>
      </c>
      <c r="AY44" s="23">
        <v>0</v>
      </c>
      <c r="AZ44" s="20">
        <v>0.95</v>
      </c>
      <c r="BA44" s="20">
        <v>3.44</v>
      </c>
      <c r="BB44" s="20">
        <v>2.4900000000000002</v>
      </c>
      <c r="BC44" s="20">
        <v>2.614583333333333</v>
      </c>
      <c r="BD44">
        <v>2.614583333333333</v>
      </c>
      <c r="BE44">
        <v>5.9505645781250003</v>
      </c>
    </row>
    <row r="45" spans="1:57" x14ac:dyDescent="0.3">
      <c r="A45" t="s">
        <v>38</v>
      </c>
      <c r="B45" s="12" t="s">
        <v>714</v>
      </c>
      <c r="C45" s="12"/>
      <c r="F45">
        <v>3.91</v>
      </c>
      <c r="G45" t="s">
        <v>36</v>
      </c>
      <c r="H45" s="8" t="s">
        <v>545</v>
      </c>
      <c r="I45" t="s">
        <v>626</v>
      </c>
      <c r="N45" s="20">
        <v>1</v>
      </c>
      <c r="O45"/>
      <c r="P45"/>
      <c r="Q45"/>
      <c r="T45" s="20">
        <v>5.8532381300000003</v>
      </c>
      <c r="U45" s="20">
        <v>5.8532371599999999</v>
      </c>
      <c r="V45" s="20">
        <v>11.912811489999999</v>
      </c>
      <c r="W45">
        <v>1</v>
      </c>
      <c r="Y45" t="s">
        <v>464</v>
      </c>
      <c r="Z45">
        <v>1</v>
      </c>
      <c r="AA45" t="s">
        <v>464</v>
      </c>
      <c r="AF45">
        <v>1</v>
      </c>
      <c r="AG45">
        <v>1</v>
      </c>
      <c r="AK45">
        <v>1</v>
      </c>
      <c r="AO45">
        <v>30</v>
      </c>
      <c r="AP45" s="20">
        <v>353.45760058531442</v>
      </c>
      <c r="AQ45" s="20">
        <v>8.487580957467307E-2</v>
      </c>
      <c r="AR45" s="23">
        <v>1.833333333333333</v>
      </c>
      <c r="AS45" s="23">
        <v>2.5</v>
      </c>
      <c r="AT45" s="23">
        <v>0.66666666666666663</v>
      </c>
      <c r="AU45" s="23">
        <v>0</v>
      </c>
      <c r="AV45" s="23">
        <v>0.36666666666666659</v>
      </c>
      <c r="AW45" s="23">
        <v>0.5</v>
      </c>
      <c r="AX45" s="23">
        <v>0.1333333333333333</v>
      </c>
      <c r="AY45" s="23">
        <v>0</v>
      </c>
      <c r="AZ45" s="20">
        <v>0.89</v>
      </c>
      <c r="BA45" s="20">
        <v>3.44</v>
      </c>
      <c r="BB45" s="20">
        <v>2.5499999999999998</v>
      </c>
      <c r="BC45" s="20">
        <v>2.6020833333333329</v>
      </c>
      <c r="BD45">
        <v>2.6020833333333329</v>
      </c>
      <c r="BE45">
        <v>5.9098726145833336</v>
      </c>
    </row>
    <row r="46" spans="1:57" x14ac:dyDescent="0.3">
      <c r="A46" t="s">
        <v>39</v>
      </c>
      <c r="B46" s="12" t="s">
        <v>715</v>
      </c>
      <c r="C46" s="12"/>
      <c r="F46">
        <v>3.79</v>
      </c>
      <c r="G46" t="s">
        <v>36</v>
      </c>
      <c r="H46" s="8">
        <v>-1</v>
      </c>
      <c r="I46">
        <v>-1</v>
      </c>
      <c r="J46" t="s">
        <v>1150</v>
      </c>
      <c r="N46" s="20">
        <v>0</v>
      </c>
      <c r="O46"/>
      <c r="P46"/>
      <c r="Q46"/>
      <c r="T46" s="20">
        <v>0</v>
      </c>
      <c r="U46" s="20"/>
      <c r="V46" s="20"/>
      <c r="W46"/>
      <c r="Y46" t="s">
        <v>464</v>
      </c>
      <c r="Z46">
        <v>1</v>
      </c>
      <c r="AA46" t="s">
        <v>464</v>
      </c>
      <c r="AO46">
        <v>30</v>
      </c>
      <c r="AP46" s="20">
        <v>0</v>
      </c>
      <c r="AQ46" s="20"/>
      <c r="AR46" s="23">
        <v>2</v>
      </c>
      <c r="AS46" s="23">
        <v>2.5</v>
      </c>
      <c r="AT46" s="23">
        <v>0.5</v>
      </c>
      <c r="AU46" s="23">
        <v>0</v>
      </c>
      <c r="AV46" s="23">
        <v>0.4</v>
      </c>
      <c r="AW46" s="23">
        <v>0.5</v>
      </c>
      <c r="AX46" s="23">
        <v>0.1</v>
      </c>
      <c r="AY46" s="23">
        <v>0</v>
      </c>
      <c r="AZ46" s="20">
        <v>1</v>
      </c>
      <c r="BA46" s="20">
        <v>3.44</v>
      </c>
      <c r="BB46" s="20">
        <v>2.44</v>
      </c>
      <c r="BC46" s="20">
        <v>2.6316666666666659</v>
      </c>
      <c r="BD46">
        <v>2.6316666666666668</v>
      </c>
      <c r="BE46">
        <v>5.9266157452083332</v>
      </c>
    </row>
    <row r="47" spans="1:57" x14ac:dyDescent="0.3">
      <c r="A47" t="s">
        <v>40</v>
      </c>
      <c r="B47" s="12" t="s">
        <v>716</v>
      </c>
      <c r="C47" s="12"/>
      <c r="F47">
        <v>3.85</v>
      </c>
      <c r="G47" t="s">
        <v>36</v>
      </c>
      <c r="H47" s="8" t="s">
        <v>546</v>
      </c>
      <c r="I47" t="s">
        <v>627</v>
      </c>
      <c r="N47" s="20">
        <v>2</v>
      </c>
      <c r="O47"/>
      <c r="P47"/>
      <c r="Q47"/>
      <c r="T47" s="20">
        <v>5.6269875200000001</v>
      </c>
      <c r="U47" s="20">
        <v>5.6269875200000001</v>
      </c>
      <c r="V47" s="20">
        <v>22.749475</v>
      </c>
      <c r="W47">
        <v>1</v>
      </c>
      <c r="Y47" t="s">
        <v>464</v>
      </c>
      <c r="Z47">
        <v>1</v>
      </c>
      <c r="AA47" t="s">
        <v>464</v>
      </c>
      <c r="AO47">
        <v>30</v>
      </c>
      <c r="AP47" s="20">
        <v>623.81230762201892</v>
      </c>
      <c r="AQ47" s="20">
        <v>9.6182776881592519E-2</v>
      </c>
      <c r="AR47" s="23">
        <v>2</v>
      </c>
      <c r="AS47" s="23">
        <v>2.5</v>
      </c>
      <c r="AT47" s="23">
        <v>0.5</v>
      </c>
      <c r="AU47" s="23">
        <v>0</v>
      </c>
      <c r="AV47" s="23">
        <v>0.4</v>
      </c>
      <c r="AW47" s="23">
        <v>0.5</v>
      </c>
      <c r="AX47" s="23">
        <v>0.1</v>
      </c>
      <c r="AY47" s="23">
        <v>0</v>
      </c>
      <c r="AZ47" s="20">
        <v>0.89</v>
      </c>
      <c r="BA47" s="20">
        <v>3.44</v>
      </c>
      <c r="BB47" s="20">
        <v>2.5499999999999998</v>
      </c>
      <c r="BC47" s="20">
        <v>2.6270833333333332</v>
      </c>
      <c r="BD47">
        <v>2.6270833333333332</v>
      </c>
      <c r="BE47">
        <v>5.9103362479166668</v>
      </c>
    </row>
    <row r="48" spans="1:57" x14ac:dyDescent="0.3">
      <c r="A48" t="s">
        <v>41</v>
      </c>
      <c r="B48" s="12" t="s">
        <v>717</v>
      </c>
      <c r="C48" s="12"/>
      <c r="F48">
        <v>3.95</v>
      </c>
      <c r="G48" t="s">
        <v>36</v>
      </c>
      <c r="H48" s="8" t="s">
        <v>547</v>
      </c>
      <c r="I48" t="s">
        <v>628</v>
      </c>
      <c r="N48" s="20">
        <v>1</v>
      </c>
      <c r="O48"/>
      <c r="P48"/>
      <c r="Q48"/>
      <c r="T48" s="20">
        <v>9.3662349099999993</v>
      </c>
      <c r="U48" s="20">
        <v>9.3662349099999993</v>
      </c>
      <c r="V48" s="20">
        <v>9.3662351000000008</v>
      </c>
      <c r="W48"/>
      <c r="Y48" t="s">
        <v>464</v>
      </c>
      <c r="Z48">
        <v>1</v>
      </c>
      <c r="AA48" t="s">
        <v>464</v>
      </c>
      <c r="AG48">
        <v>1</v>
      </c>
      <c r="AK48">
        <v>1</v>
      </c>
      <c r="AO48">
        <v>24</v>
      </c>
      <c r="AP48" s="20">
        <v>238.908881754341</v>
      </c>
      <c r="AQ48" s="20">
        <v>0.10045670895014321</v>
      </c>
      <c r="AR48" s="23">
        <v>2</v>
      </c>
      <c r="AS48" s="23">
        <v>2.5263157894736841</v>
      </c>
      <c r="AT48" s="23">
        <v>0.52631578947368418</v>
      </c>
      <c r="AU48" s="23">
        <v>0</v>
      </c>
      <c r="AV48" s="23">
        <v>0.39583333333333343</v>
      </c>
      <c r="AW48" s="23">
        <v>0.5</v>
      </c>
      <c r="AX48" s="23">
        <v>0.1041666666666667</v>
      </c>
      <c r="AY48" s="23">
        <v>0</v>
      </c>
      <c r="AZ48" s="20">
        <v>1.1000000000000001</v>
      </c>
      <c r="BA48" s="20">
        <v>3.44</v>
      </c>
      <c r="BB48" s="20">
        <v>2.34</v>
      </c>
      <c r="BC48" s="20">
        <v>2.647368421052632</v>
      </c>
      <c r="BD48">
        <v>2.6473684210526311</v>
      </c>
      <c r="BE48">
        <v>5.9525974578947363</v>
      </c>
    </row>
    <row r="49" spans="1:57" x14ac:dyDescent="0.3">
      <c r="A49" t="s">
        <v>39</v>
      </c>
      <c r="B49" s="12" t="s">
        <v>715</v>
      </c>
      <c r="C49" s="12"/>
      <c r="F49">
        <v>3.79</v>
      </c>
      <c r="G49" t="s">
        <v>36</v>
      </c>
      <c r="H49" s="8">
        <v>-1</v>
      </c>
      <c r="I49">
        <v>-1</v>
      </c>
      <c r="J49" t="s">
        <v>1150</v>
      </c>
      <c r="N49" s="20">
        <v>0</v>
      </c>
      <c r="O49"/>
      <c r="P49"/>
      <c r="Q49"/>
      <c r="T49" s="20">
        <v>0</v>
      </c>
      <c r="U49" s="20"/>
      <c r="V49" s="20"/>
      <c r="W49"/>
      <c r="Y49" t="s">
        <v>464</v>
      </c>
      <c r="Z49">
        <v>1</v>
      </c>
      <c r="AA49" t="s">
        <v>464</v>
      </c>
      <c r="AG49">
        <v>1</v>
      </c>
      <c r="AK49">
        <v>1</v>
      </c>
      <c r="AO49">
        <v>30</v>
      </c>
      <c r="AP49" s="20">
        <v>0</v>
      </c>
      <c r="AQ49" s="20"/>
      <c r="AR49" s="23">
        <v>2</v>
      </c>
      <c r="AS49" s="23">
        <v>2.5</v>
      </c>
      <c r="AT49" s="23">
        <v>0.5</v>
      </c>
      <c r="AU49" s="23">
        <v>0</v>
      </c>
      <c r="AV49" s="23">
        <v>0.4</v>
      </c>
      <c r="AW49" s="23">
        <v>0.5</v>
      </c>
      <c r="AX49" s="23">
        <v>0.1</v>
      </c>
      <c r="AY49" s="23">
        <v>0</v>
      </c>
      <c r="AZ49" s="20">
        <v>1</v>
      </c>
      <c r="BA49" s="20">
        <v>3.44</v>
      </c>
      <c r="BB49" s="20">
        <v>2.44</v>
      </c>
      <c r="BC49" s="20">
        <v>2.6316666666666659</v>
      </c>
      <c r="BD49">
        <v>2.6316666666666668</v>
      </c>
      <c r="BE49">
        <v>5.9266157452083332</v>
      </c>
    </row>
    <row r="50" spans="1:57" x14ac:dyDescent="0.3">
      <c r="A50" t="s">
        <v>42</v>
      </c>
      <c r="B50" s="12" t="s">
        <v>718</v>
      </c>
      <c r="C50" s="12"/>
      <c r="F50">
        <v>3.82</v>
      </c>
      <c r="G50" t="s">
        <v>36</v>
      </c>
      <c r="H50" s="8">
        <v>-1</v>
      </c>
      <c r="I50">
        <v>-1</v>
      </c>
      <c r="J50" t="s">
        <v>1151</v>
      </c>
      <c r="N50" s="20">
        <v>0</v>
      </c>
      <c r="O50"/>
      <c r="P50"/>
      <c r="Q50"/>
      <c r="T50" s="20">
        <v>0</v>
      </c>
      <c r="U50" s="20"/>
      <c r="V50" s="20"/>
      <c r="W50"/>
      <c r="Y50" t="s">
        <v>464</v>
      </c>
      <c r="Z50">
        <v>1</v>
      </c>
      <c r="AA50" t="s">
        <v>464</v>
      </c>
      <c r="AG50">
        <v>1</v>
      </c>
      <c r="AK50">
        <v>1</v>
      </c>
      <c r="AO50">
        <v>30</v>
      </c>
      <c r="AP50" s="20">
        <v>0</v>
      </c>
      <c r="AQ50" s="20"/>
      <c r="AR50" s="23">
        <v>2</v>
      </c>
      <c r="AS50" s="23">
        <v>2.5</v>
      </c>
      <c r="AT50" s="23">
        <v>0.5</v>
      </c>
      <c r="AU50" s="23">
        <v>0</v>
      </c>
      <c r="AV50" s="23">
        <v>0.4</v>
      </c>
      <c r="AW50" s="23">
        <v>0.5</v>
      </c>
      <c r="AX50" s="23">
        <v>0.1</v>
      </c>
      <c r="AY50" s="23">
        <v>0</v>
      </c>
      <c r="AZ50" s="20">
        <v>0.95</v>
      </c>
      <c r="BA50" s="20">
        <v>3.44</v>
      </c>
      <c r="BB50" s="20">
        <v>2.4900000000000002</v>
      </c>
      <c r="BC50" s="20">
        <v>2.6295833333333332</v>
      </c>
      <c r="BD50">
        <v>2.6295833333333332</v>
      </c>
      <c r="BE50">
        <v>5.9184746406250008</v>
      </c>
    </row>
    <row r="51" spans="1:57" x14ac:dyDescent="0.3">
      <c r="A51" t="s">
        <v>40</v>
      </c>
      <c r="B51" s="12" t="s">
        <v>716</v>
      </c>
      <c r="C51" s="12"/>
      <c r="F51">
        <v>3.85</v>
      </c>
      <c r="G51" t="s">
        <v>36</v>
      </c>
      <c r="H51" s="8" t="s">
        <v>546</v>
      </c>
      <c r="I51" t="s">
        <v>627</v>
      </c>
      <c r="N51" s="20">
        <v>2</v>
      </c>
      <c r="O51"/>
      <c r="P51"/>
      <c r="Q51"/>
      <c r="T51" s="20">
        <v>5.6269875200000001</v>
      </c>
      <c r="U51" s="20">
        <v>5.6269875200000001</v>
      </c>
      <c r="V51" s="20">
        <v>22.749475</v>
      </c>
      <c r="W51"/>
      <c r="Y51" t="s">
        <v>464</v>
      </c>
      <c r="Z51">
        <v>1</v>
      </c>
      <c r="AA51" t="s">
        <v>464</v>
      </c>
      <c r="AG51">
        <v>1</v>
      </c>
      <c r="AK51">
        <v>1</v>
      </c>
      <c r="AO51">
        <v>30</v>
      </c>
      <c r="AP51" s="20">
        <v>623.81230762201892</v>
      </c>
      <c r="AQ51" s="20">
        <v>9.6182776881592519E-2</v>
      </c>
      <c r="AR51" s="23">
        <v>2</v>
      </c>
      <c r="AS51" s="23">
        <v>2.5</v>
      </c>
      <c r="AT51" s="23">
        <v>0.5</v>
      </c>
      <c r="AU51" s="23">
        <v>0</v>
      </c>
      <c r="AV51" s="23">
        <v>0.4</v>
      </c>
      <c r="AW51" s="23">
        <v>0.5</v>
      </c>
      <c r="AX51" s="23">
        <v>0.1</v>
      </c>
      <c r="AY51" s="23">
        <v>0</v>
      </c>
      <c r="AZ51" s="20">
        <v>0.89</v>
      </c>
      <c r="BA51" s="20">
        <v>3.44</v>
      </c>
      <c r="BB51" s="20">
        <v>2.5499999999999998</v>
      </c>
      <c r="BC51" s="20">
        <v>2.6270833333333332</v>
      </c>
      <c r="BD51">
        <v>2.6270833333333332</v>
      </c>
      <c r="BE51">
        <v>5.9103362479166668</v>
      </c>
    </row>
    <row r="52" spans="1:57" x14ac:dyDescent="0.3">
      <c r="A52" t="s">
        <v>43</v>
      </c>
      <c r="B52" s="12" t="s">
        <v>719</v>
      </c>
      <c r="C52" s="12"/>
      <c r="F52">
        <v>4.07</v>
      </c>
      <c r="G52" t="s">
        <v>36</v>
      </c>
      <c r="H52" s="8" t="s">
        <v>548</v>
      </c>
      <c r="I52">
        <v>-1</v>
      </c>
      <c r="N52" s="20">
        <v>1</v>
      </c>
      <c r="O52"/>
      <c r="P52"/>
      <c r="Q52"/>
      <c r="T52" s="20">
        <v>9.9321903099999993</v>
      </c>
      <c r="U52" s="20">
        <v>9.9321903099999993</v>
      </c>
      <c r="V52" s="20">
        <v>9.9321899499999997</v>
      </c>
      <c r="W52"/>
      <c r="Y52" t="s">
        <v>464</v>
      </c>
      <c r="Z52">
        <v>1</v>
      </c>
      <c r="AA52" t="s">
        <v>464</v>
      </c>
      <c r="AG52">
        <v>1</v>
      </c>
      <c r="AK52">
        <v>1</v>
      </c>
      <c r="AO52">
        <v>24</v>
      </c>
      <c r="AP52" s="20">
        <v>275.17611786249188</v>
      </c>
      <c r="AQ52" s="20">
        <v>8.7216871094871057E-2</v>
      </c>
      <c r="AR52" s="23">
        <v>1.8421052631578949</v>
      </c>
      <c r="AS52" s="23">
        <v>2.5263157894736841</v>
      </c>
      <c r="AT52" s="23">
        <v>0.68421052631578949</v>
      </c>
      <c r="AU52" s="23">
        <v>0</v>
      </c>
      <c r="AV52" s="23">
        <v>0.36458333333333343</v>
      </c>
      <c r="AW52" s="23">
        <v>0.5</v>
      </c>
      <c r="AX52" s="23">
        <v>0.13541666666666671</v>
      </c>
      <c r="AY52" s="23">
        <v>0</v>
      </c>
      <c r="AZ52" s="20">
        <v>0.89</v>
      </c>
      <c r="BA52" s="20">
        <v>3.44</v>
      </c>
      <c r="BB52" s="20">
        <v>2.5499999999999998</v>
      </c>
      <c r="BC52" s="20">
        <v>2.6236842105263158</v>
      </c>
      <c r="BD52">
        <v>2.623684210526315</v>
      </c>
      <c r="BE52">
        <v>5.9521582263157891</v>
      </c>
    </row>
    <row r="53" spans="1:57" x14ac:dyDescent="0.3">
      <c r="A53" t="s">
        <v>37</v>
      </c>
      <c r="B53" s="12" t="s">
        <v>713</v>
      </c>
      <c r="C53" s="12"/>
      <c r="F53">
        <v>4.04</v>
      </c>
      <c r="G53" t="s">
        <v>36</v>
      </c>
      <c r="H53" s="8" t="s">
        <v>544</v>
      </c>
      <c r="I53" t="s">
        <v>625</v>
      </c>
      <c r="N53" s="20">
        <v>1</v>
      </c>
      <c r="O53"/>
      <c r="P53"/>
      <c r="Q53"/>
      <c r="T53" s="20">
        <v>5.7458564399999998</v>
      </c>
      <c r="U53" s="20">
        <v>5.7458564399999998</v>
      </c>
      <c r="V53" s="20">
        <v>11.67169612</v>
      </c>
      <c r="W53"/>
      <c r="Y53" t="s">
        <v>464</v>
      </c>
      <c r="Z53">
        <v>1</v>
      </c>
      <c r="AA53" t="s">
        <v>464</v>
      </c>
      <c r="AO53">
        <v>30</v>
      </c>
      <c r="AP53" s="20">
        <v>333.30247418302179</v>
      </c>
      <c r="AQ53" s="20">
        <v>9.0008332742008132E-2</v>
      </c>
      <c r="AR53" s="23">
        <v>1.833333333333333</v>
      </c>
      <c r="AS53" s="23">
        <v>2.5</v>
      </c>
      <c r="AT53" s="23">
        <v>0.66666666666666663</v>
      </c>
      <c r="AU53" s="23">
        <v>0</v>
      </c>
      <c r="AV53" s="23">
        <v>0.36666666666666659</v>
      </c>
      <c r="AW53" s="23">
        <v>0.5</v>
      </c>
      <c r="AX53" s="23">
        <v>0.1333333333333333</v>
      </c>
      <c r="AY53" s="23">
        <v>0</v>
      </c>
      <c r="AZ53" s="20">
        <v>0.95</v>
      </c>
      <c r="BA53" s="20">
        <v>3.44</v>
      </c>
      <c r="BB53" s="20">
        <v>2.4900000000000002</v>
      </c>
      <c r="BC53" s="20">
        <v>2.614583333333333</v>
      </c>
      <c r="BD53">
        <v>2.614583333333333</v>
      </c>
      <c r="BE53">
        <v>5.9505645781250003</v>
      </c>
    </row>
    <row r="54" spans="1:57" x14ac:dyDescent="0.3">
      <c r="A54" t="s">
        <v>38</v>
      </c>
      <c r="B54" s="12" t="s">
        <v>714</v>
      </c>
      <c r="C54" s="12"/>
      <c r="F54">
        <v>3.87</v>
      </c>
      <c r="G54" t="s">
        <v>36</v>
      </c>
      <c r="H54" s="8" t="s">
        <v>545</v>
      </c>
      <c r="I54" t="s">
        <v>626</v>
      </c>
      <c r="N54" s="20">
        <v>1</v>
      </c>
      <c r="O54"/>
      <c r="P54"/>
      <c r="Q54"/>
      <c r="T54" s="20">
        <v>5.8532381300000003</v>
      </c>
      <c r="U54" s="20">
        <v>5.8532371599999999</v>
      </c>
      <c r="V54" s="20">
        <v>11.912811489999999</v>
      </c>
      <c r="W54"/>
      <c r="Y54" t="s">
        <v>464</v>
      </c>
      <c r="Z54">
        <v>1</v>
      </c>
      <c r="AA54" t="s">
        <v>464</v>
      </c>
      <c r="AO54">
        <v>30</v>
      </c>
      <c r="AP54" s="20">
        <v>353.45760058531442</v>
      </c>
      <c r="AQ54" s="20">
        <v>8.487580957467307E-2</v>
      </c>
      <c r="AR54" s="23">
        <v>1.833333333333333</v>
      </c>
      <c r="AS54" s="23">
        <v>2.5</v>
      </c>
      <c r="AT54" s="23">
        <v>0.66666666666666663</v>
      </c>
      <c r="AU54" s="23">
        <v>0</v>
      </c>
      <c r="AV54" s="23">
        <v>0.36666666666666659</v>
      </c>
      <c r="AW54" s="23">
        <v>0.5</v>
      </c>
      <c r="AX54" s="23">
        <v>0.1333333333333333</v>
      </c>
      <c r="AY54" s="23">
        <v>0</v>
      </c>
      <c r="AZ54" s="20">
        <v>0.89</v>
      </c>
      <c r="BA54" s="20">
        <v>3.44</v>
      </c>
      <c r="BB54" s="20">
        <v>2.5499999999999998</v>
      </c>
      <c r="BC54" s="20">
        <v>2.6020833333333329</v>
      </c>
      <c r="BD54">
        <v>2.6020833333333329</v>
      </c>
      <c r="BE54">
        <v>5.9098726145833336</v>
      </c>
    </row>
    <row r="55" spans="1:57" x14ac:dyDescent="0.3">
      <c r="A55" t="s">
        <v>44</v>
      </c>
      <c r="B55" s="12" t="s">
        <v>720</v>
      </c>
      <c r="C55" s="12"/>
      <c r="F55">
        <v>3.4</v>
      </c>
      <c r="G55" t="s">
        <v>36</v>
      </c>
      <c r="H55" s="8" t="s">
        <v>549</v>
      </c>
      <c r="I55">
        <v>-1</v>
      </c>
      <c r="N55" s="20">
        <v>1</v>
      </c>
      <c r="O55"/>
      <c r="P55"/>
      <c r="Q55"/>
      <c r="T55" s="20">
        <v>15.28115725</v>
      </c>
      <c r="U55" s="20">
        <v>15.28115725</v>
      </c>
      <c r="V55" s="20">
        <v>15.28115725</v>
      </c>
      <c r="W55"/>
      <c r="Y55" t="s">
        <v>464</v>
      </c>
      <c r="Z55">
        <v>1</v>
      </c>
      <c r="AA55" t="s">
        <v>464</v>
      </c>
      <c r="AO55">
        <v>20</v>
      </c>
      <c r="AP55" s="20">
        <v>229.90248606119221</v>
      </c>
      <c r="AQ55" s="20">
        <v>8.6993404650164072E-2</v>
      </c>
      <c r="AR55" s="23">
        <v>1.882352941176471</v>
      </c>
      <c r="AS55" s="23">
        <v>2.3529411764705879</v>
      </c>
      <c r="AT55" s="23">
        <v>0.47058823529411759</v>
      </c>
      <c r="AU55" s="23">
        <v>0</v>
      </c>
      <c r="AV55" s="23">
        <v>0.4</v>
      </c>
      <c r="AW55" s="23">
        <v>0.5</v>
      </c>
      <c r="AX55" s="23">
        <v>9.9999999999999992E-2</v>
      </c>
      <c r="AY55" s="23">
        <v>0</v>
      </c>
      <c r="AZ55" s="20">
        <v>0.82</v>
      </c>
      <c r="BA55" s="20">
        <v>3.44</v>
      </c>
      <c r="BB55" s="20">
        <v>2.62</v>
      </c>
      <c r="BC55" s="20">
        <v>2.5211764705882351</v>
      </c>
      <c r="BD55">
        <v>2.521176470588236</v>
      </c>
      <c r="BE55">
        <v>5.6898745917647062</v>
      </c>
    </row>
    <row r="56" spans="1:57" x14ac:dyDescent="0.3">
      <c r="A56" t="s">
        <v>34</v>
      </c>
      <c r="B56" s="12" t="s">
        <v>711</v>
      </c>
      <c r="C56" s="12"/>
      <c r="F56">
        <v>3.2</v>
      </c>
      <c r="G56" t="s">
        <v>36</v>
      </c>
      <c r="H56" s="8" t="s">
        <v>542</v>
      </c>
      <c r="I56" t="s">
        <v>623</v>
      </c>
      <c r="N56" s="20">
        <v>1</v>
      </c>
      <c r="O56"/>
      <c r="P56"/>
      <c r="Q56"/>
      <c r="T56" s="20">
        <v>3.9086759899999999</v>
      </c>
      <c r="U56" s="20">
        <v>3.908676100000001</v>
      </c>
      <c r="V56" s="20">
        <v>10.552604730000001</v>
      </c>
      <c r="W56"/>
      <c r="Y56" t="s">
        <v>464</v>
      </c>
      <c r="Z56">
        <v>1</v>
      </c>
      <c r="AA56" t="s">
        <v>464</v>
      </c>
      <c r="AO56">
        <v>14</v>
      </c>
      <c r="AP56" s="20">
        <v>155.59136328639269</v>
      </c>
      <c r="AQ56" s="20">
        <v>8.9979287437893268E-2</v>
      </c>
      <c r="AR56" s="23">
        <v>2</v>
      </c>
      <c r="AS56" s="23">
        <v>2.333333333333333</v>
      </c>
      <c r="AT56" s="23">
        <v>0.33333333333333331</v>
      </c>
      <c r="AU56" s="23">
        <v>0</v>
      </c>
      <c r="AV56" s="23">
        <v>0.42857142857142849</v>
      </c>
      <c r="AW56" s="23">
        <v>0.5</v>
      </c>
      <c r="AX56" s="23">
        <v>7.1428571428571425E-2</v>
      </c>
      <c r="AY56" s="23">
        <v>0</v>
      </c>
      <c r="AZ56" s="20">
        <v>0.95</v>
      </c>
      <c r="BA56" s="20">
        <v>3.44</v>
      </c>
      <c r="BB56" s="20">
        <v>2.4900000000000002</v>
      </c>
      <c r="BC56" s="20">
        <v>2.500833333333333</v>
      </c>
      <c r="BD56">
        <v>2.500833333333333</v>
      </c>
      <c r="BE56">
        <v>5.6917605187500007</v>
      </c>
    </row>
    <row r="57" spans="1:57" x14ac:dyDescent="0.3">
      <c r="A57" t="s">
        <v>45</v>
      </c>
      <c r="B57" s="12" t="s">
        <v>721</v>
      </c>
      <c r="C57" s="12"/>
      <c r="F57">
        <v>3.3</v>
      </c>
      <c r="G57" t="s">
        <v>36</v>
      </c>
      <c r="H57" s="8" t="s">
        <v>550</v>
      </c>
      <c r="I57">
        <v>-1</v>
      </c>
      <c r="N57" s="20">
        <v>1</v>
      </c>
      <c r="O57"/>
      <c r="P57"/>
      <c r="Q57"/>
      <c r="T57" s="20">
        <v>3.91068857</v>
      </c>
      <c r="U57" s="20">
        <v>3.9106874500000002</v>
      </c>
      <c r="V57" s="20">
        <v>14.360376649999999</v>
      </c>
      <c r="W57"/>
      <c r="Y57" t="s">
        <v>464</v>
      </c>
      <c r="Z57">
        <v>1</v>
      </c>
      <c r="AA57" t="s">
        <v>464</v>
      </c>
      <c r="AO57">
        <v>20</v>
      </c>
      <c r="AP57" s="20">
        <v>215.5098899352688</v>
      </c>
      <c r="AQ57" s="20">
        <v>9.2803165580972902E-2</v>
      </c>
      <c r="AR57" s="23">
        <v>2</v>
      </c>
      <c r="AS57" s="23">
        <v>2.3529411764705879</v>
      </c>
      <c r="AT57" s="23">
        <v>0.35294117647058831</v>
      </c>
      <c r="AU57" s="23">
        <v>0</v>
      </c>
      <c r="AV57" s="23">
        <v>0.42499999999999999</v>
      </c>
      <c r="AW57" s="23">
        <v>0.5</v>
      </c>
      <c r="AX57" s="23">
        <v>7.4999999999999997E-2</v>
      </c>
      <c r="AY57" s="23">
        <v>0</v>
      </c>
      <c r="AZ57" s="20">
        <v>0.95</v>
      </c>
      <c r="BA57" s="20">
        <v>3.44</v>
      </c>
      <c r="BB57" s="20">
        <v>2.4900000000000002</v>
      </c>
      <c r="BC57" s="20">
        <v>2.518823529411764</v>
      </c>
      <c r="BD57">
        <v>2.5188235294117649</v>
      </c>
      <c r="BE57">
        <v>5.720303876470588</v>
      </c>
    </row>
    <row r="58" spans="1:57" x14ac:dyDescent="0.3">
      <c r="A58" t="s">
        <v>46</v>
      </c>
      <c r="B58" s="12" t="s">
        <v>722</v>
      </c>
      <c r="C58" s="12"/>
      <c r="F58">
        <v>3.8</v>
      </c>
      <c r="G58" t="s">
        <v>36</v>
      </c>
      <c r="H58" s="8" t="s">
        <v>551</v>
      </c>
      <c r="I58" t="s">
        <v>629</v>
      </c>
      <c r="N58" s="20">
        <v>2</v>
      </c>
      <c r="O58"/>
      <c r="P58"/>
      <c r="Q58"/>
      <c r="T58" s="20">
        <v>7.41544296</v>
      </c>
      <c r="U58" s="20">
        <v>7.4154429599999991</v>
      </c>
      <c r="V58" s="20">
        <v>7.41544296</v>
      </c>
      <c r="W58"/>
      <c r="Y58" t="s">
        <v>464</v>
      </c>
      <c r="Z58">
        <v>1</v>
      </c>
      <c r="AA58" t="s">
        <v>464</v>
      </c>
      <c r="AO58">
        <v>14</v>
      </c>
      <c r="AP58" s="20">
        <v>288.33429290182369</v>
      </c>
      <c r="AQ58" s="20">
        <v>9.7109503410799117E-2</v>
      </c>
      <c r="AR58" s="23">
        <v>2</v>
      </c>
      <c r="AS58" s="23">
        <v>2.545454545454545</v>
      </c>
      <c r="AT58" s="23">
        <v>0.54545454545454541</v>
      </c>
      <c r="AU58" s="23">
        <v>0</v>
      </c>
      <c r="AV58" s="23">
        <v>0.39285714285714279</v>
      </c>
      <c r="AW58" s="23">
        <v>0.5</v>
      </c>
      <c r="AX58" s="23">
        <v>0.1071428571428571</v>
      </c>
      <c r="AY58" s="23">
        <v>0</v>
      </c>
      <c r="AZ58" s="20">
        <v>1.1000000000000001</v>
      </c>
      <c r="BA58" s="20">
        <v>3.44</v>
      </c>
      <c r="BB58" s="20">
        <v>2.34</v>
      </c>
      <c r="BC58" s="20">
        <v>2.669090909090909</v>
      </c>
      <c r="BD58">
        <v>2.669090909090909</v>
      </c>
      <c r="BE58">
        <v>5.9831974772727277</v>
      </c>
    </row>
    <row r="59" spans="1:57" x14ac:dyDescent="0.3">
      <c r="A59" t="s">
        <v>47</v>
      </c>
      <c r="B59" s="12" t="s">
        <v>723</v>
      </c>
      <c r="C59" s="12"/>
      <c r="F59">
        <v>3.8</v>
      </c>
      <c r="G59" t="s">
        <v>36</v>
      </c>
      <c r="H59" s="8">
        <v>-1</v>
      </c>
      <c r="I59">
        <v>-1</v>
      </c>
      <c r="J59" t="s">
        <v>1152</v>
      </c>
      <c r="N59" s="20">
        <v>0</v>
      </c>
      <c r="O59"/>
      <c r="P59"/>
      <c r="Q59"/>
      <c r="T59" s="20">
        <v>0</v>
      </c>
      <c r="U59" s="20"/>
      <c r="V59" s="20"/>
      <c r="W59"/>
      <c r="Y59" t="s">
        <v>464</v>
      </c>
      <c r="Z59">
        <v>1</v>
      </c>
      <c r="AA59" t="s">
        <v>464</v>
      </c>
      <c r="AO59">
        <v>34</v>
      </c>
      <c r="AP59" s="20">
        <v>0</v>
      </c>
      <c r="AQ59" s="20"/>
      <c r="AR59" s="23">
        <v>2</v>
      </c>
      <c r="AS59" s="23">
        <v>2.518518518518519</v>
      </c>
      <c r="AT59" s="23">
        <v>0.51851851851851849</v>
      </c>
      <c r="AU59" s="23">
        <v>0</v>
      </c>
      <c r="AV59" s="23">
        <v>0.39705882352941169</v>
      </c>
      <c r="AW59" s="23">
        <v>0.5</v>
      </c>
      <c r="AX59" s="23">
        <v>0.1029411764705882</v>
      </c>
      <c r="AY59" s="23">
        <v>0</v>
      </c>
      <c r="AZ59" s="20">
        <v>1</v>
      </c>
      <c r="BA59" s="20">
        <v>3.44</v>
      </c>
      <c r="BB59" s="20">
        <v>2.44</v>
      </c>
      <c r="BC59" s="20">
        <v>2.6511111111111112</v>
      </c>
      <c r="BD59">
        <v>2.6511111111111112</v>
      </c>
      <c r="BE59">
        <v>5.9544359512962952</v>
      </c>
    </row>
    <row r="60" spans="1:57" x14ac:dyDescent="0.3">
      <c r="A60" t="s">
        <v>40</v>
      </c>
      <c r="B60" s="12" t="s">
        <v>716</v>
      </c>
      <c r="C60" s="12"/>
      <c r="F60">
        <v>3.85</v>
      </c>
      <c r="G60" t="s">
        <v>36</v>
      </c>
      <c r="H60" s="8" t="s">
        <v>546</v>
      </c>
      <c r="I60" t="s">
        <v>627</v>
      </c>
      <c r="N60" s="20">
        <v>2</v>
      </c>
      <c r="O60"/>
      <c r="P60"/>
      <c r="Q60"/>
      <c r="T60" s="20">
        <v>5.6269875200000001</v>
      </c>
      <c r="U60" s="20">
        <v>5.6269875200000001</v>
      </c>
      <c r="V60" s="20">
        <v>22.749475</v>
      </c>
      <c r="W60"/>
      <c r="Y60" t="s">
        <v>464</v>
      </c>
      <c r="Z60">
        <v>1</v>
      </c>
      <c r="AA60" t="s">
        <v>464</v>
      </c>
      <c r="AO60">
        <v>30</v>
      </c>
      <c r="AP60" s="20">
        <v>623.81230762201892</v>
      </c>
      <c r="AQ60" s="20">
        <v>9.6182776881592519E-2</v>
      </c>
      <c r="AR60" s="23">
        <v>2</v>
      </c>
      <c r="AS60" s="23">
        <v>2.5</v>
      </c>
      <c r="AT60" s="23">
        <v>0.5</v>
      </c>
      <c r="AU60" s="23">
        <v>0</v>
      </c>
      <c r="AV60" s="23">
        <v>0.4</v>
      </c>
      <c r="AW60" s="23">
        <v>0.5</v>
      </c>
      <c r="AX60" s="23">
        <v>0.1</v>
      </c>
      <c r="AY60" s="23">
        <v>0</v>
      </c>
      <c r="AZ60" s="20">
        <v>0.89</v>
      </c>
      <c r="BA60" s="20">
        <v>3.44</v>
      </c>
      <c r="BB60" s="20">
        <v>2.5499999999999998</v>
      </c>
      <c r="BC60" s="20">
        <v>2.6270833333333332</v>
      </c>
      <c r="BD60">
        <v>2.6270833333333332</v>
      </c>
      <c r="BE60">
        <v>5.9103362479166668</v>
      </c>
    </row>
    <row r="61" spans="1:57" x14ac:dyDescent="0.3">
      <c r="A61" t="s">
        <v>48</v>
      </c>
      <c r="B61" s="12" t="s">
        <v>724</v>
      </c>
      <c r="C61" s="12"/>
      <c r="F61">
        <v>4.3</v>
      </c>
      <c r="G61" t="s">
        <v>36</v>
      </c>
      <c r="H61" s="8" t="s">
        <v>552</v>
      </c>
      <c r="I61" t="s">
        <v>630</v>
      </c>
      <c r="N61" s="20">
        <v>2</v>
      </c>
      <c r="O61"/>
      <c r="P61"/>
      <c r="Q61"/>
      <c r="T61" s="20">
        <v>7.4836094600000003</v>
      </c>
      <c r="U61" s="20">
        <v>7.4836094600000003</v>
      </c>
      <c r="V61" s="20">
        <v>7.4836094600000003</v>
      </c>
      <c r="W61"/>
      <c r="Y61" t="s">
        <v>464</v>
      </c>
      <c r="Z61">
        <v>1</v>
      </c>
      <c r="AA61" t="s">
        <v>464</v>
      </c>
      <c r="AO61">
        <v>14</v>
      </c>
      <c r="AP61" s="20">
        <v>296.35915518228359</v>
      </c>
      <c r="AQ61" s="20">
        <v>9.4479956196318104E-2</v>
      </c>
      <c r="AR61" s="23">
        <v>1.8181818181818179</v>
      </c>
      <c r="AS61" s="23">
        <v>2.545454545454545</v>
      </c>
      <c r="AT61" s="23">
        <v>0.72727272727272729</v>
      </c>
      <c r="AU61" s="23">
        <v>0</v>
      </c>
      <c r="AV61" s="23">
        <v>0.35714285714285721</v>
      </c>
      <c r="AW61" s="23">
        <v>0.5</v>
      </c>
      <c r="AX61" s="23">
        <v>0.1428571428571429</v>
      </c>
      <c r="AY61" s="23">
        <v>0</v>
      </c>
      <c r="AZ61" s="20">
        <v>1</v>
      </c>
      <c r="BA61" s="20">
        <v>3.44</v>
      </c>
      <c r="BB61" s="20">
        <v>2.44</v>
      </c>
      <c r="BC61" s="20">
        <v>2.6618181818181821</v>
      </c>
      <c r="BD61">
        <v>2.6618181818181821</v>
      </c>
      <c r="BE61">
        <v>6.0537295018181814</v>
      </c>
    </row>
    <row r="62" spans="1:57" x14ac:dyDescent="0.3">
      <c r="A62" t="s">
        <v>49</v>
      </c>
      <c r="B62" s="12" t="s">
        <v>725</v>
      </c>
      <c r="C62" s="12"/>
      <c r="F62">
        <v>4</v>
      </c>
      <c r="G62" t="s">
        <v>36</v>
      </c>
      <c r="H62" s="8" t="s">
        <v>553</v>
      </c>
      <c r="I62" t="s">
        <v>631</v>
      </c>
      <c r="N62" s="20">
        <v>8</v>
      </c>
      <c r="O62"/>
      <c r="P62"/>
      <c r="Q62"/>
      <c r="T62" s="20">
        <v>5.8017180100000001</v>
      </c>
      <c r="U62" s="20">
        <v>7.9756520899999996</v>
      </c>
      <c r="V62" s="20">
        <v>27.352093400000001</v>
      </c>
      <c r="W62"/>
      <c r="Y62" t="s">
        <v>464</v>
      </c>
      <c r="Z62">
        <v>1</v>
      </c>
      <c r="AA62" t="s">
        <v>464</v>
      </c>
      <c r="AO62">
        <v>14</v>
      </c>
      <c r="AP62" s="20">
        <v>1265.6493143942739</v>
      </c>
      <c r="AQ62" s="20">
        <v>8.8492127105210025E-2</v>
      </c>
      <c r="AR62" s="23">
        <v>1.8181818181818179</v>
      </c>
      <c r="AS62" s="23">
        <v>2.545454545454545</v>
      </c>
      <c r="AT62" s="23">
        <v>0.72727272727272729</v>
      </c>
      <c r="AU62" s="23">
        <v>0</v>
      </c>
      <c r="AV62" s="23">
        <v>0.35714285714285721</v>
      </c>
      <c r="AW62" s="23">
        <v>0.5</v>
      </c>
      <c r="AX62" s="23">
        <v>0.1428571428571429</v>
      </c>
      <c r="AY62" s="23">
        <v>0</v>
      </c>
      <c r="AZ62" s="20">
        <v>0.95</v>
      </c>
      <c r="BA62" s="20">
        <v>3.44</v>
      </c>
      <c r="BB62" s="20">
        <v>2.4900000000000002</v>
      </c>
      <c r="BC62" s="20">
        <v>2.6527272727272719</v>
      </c>
      <c r="BD62">
        <v>2.6527272727272728</v>
      </c>
      <c r="BE62">
        <v>6.0182046818181814</v>
      </c>
    </row>
    <row r="63" spans="1:57" x14ac:dyDescent="0.3">
      <c r="A63" t="s">
        <v>38</v>
      </c>
      <c r="B63" s="12" t="s">
        <v>714</v>
      </c>
      <c r="C63" s="12"/>
      <c r="F63">
        <v>3.91</v>
      </c>
      <c r="G63" t="s">
        <v>36</v>
      </c>
      <c r="H63" s="8" t="s">
        <v>545</v>
      </c>
      <c r="I63" t="s">
        <v>626</v>
      </c>
      <c r="N63" s="20">
        <v>1</v>
      </c>
      <c r="O63"/>
      <c r="P63"/>
      <c r="Q63"/>
      <c r="T63" s="20">
        <v>5.8532381300000003</v>
      </c>
      <c r="U63" s="20">
        <v>5.8532371599999999</v>
      </c>
      <c r="V63" s="20">
        <v>11.912811489999999</v>
      </c>
      <c r="W63"/>
      <c r="Y63" t="s">
        <v>464</v>
      </c>
      <c r="Z63">
        <v>1</v>
      </c>
      <c r="AA63" t="s">
        <v>464</v>
      </c>
      <c r="AO63">
        <v>30</v>
      </c>
      <c r="AP63" s="20">
        <v>353.45760058531442</v>
      </c>
      <c r="AQ63" s="20">
        <v>8.487580957467307E-2</v>
      </c>
      <c r="AR63" s="23">
        <v>1.833333333333333</v>
      </c>
      <c r="AS63" s="23">
        <v>2.5</v>
      </c>
      <c r="AT63" s="23">
        <v>0.66666666666666663</v>
      </c>
      <c r="AU63" s="23">
        <v>0</v>
      </c>
      <c r="AV63" s="23">
        <v>0.36666666666666659</v>
      </c>
      <c r="AW63" s="23">
        <v>0.5</v>
      </c>
      <c r="AX63" s="23">
        <v>0.1333333333333333</v>
      </c>
      <c r="AY63" s="23">
        <v>0</v>
      </c>
      <c r="AZ63" s="20">
        <v>0.89</v>
      </c>
      <c r="BA63" s="20">
        <v>3.44</v>
      </c>
      <c r="BB63" s="20">
        <v>2.5499999999999998</v>
      </c>
      <c r="BC63" s="20">
        <v>2.6020833333333329</v>
      </c>
      <c r="BD63">
        <v>2.6020833333333329</v>
      </c>
      <c r="BE63">
        <v>5.9098726145833336</v>
      </c>
    </row>
    <row r="64" spans="1:57" x14ac:dyDescent="0.3">
      <c r="A64" t="s">
        <v>51</v>
      </c>
      <c r="B64" s="12" t="s">
        <v>703</v>
      </c>
      <c r="C64" s="12"/>
      <c r="F64">
        <v>5.5</v>
      </c>
      <c r="G64" t="s">
        <v>52</v>
      </c>
      <c r="H64" s="8" t="s">
        <v>536</v>
      </c>
      <c r="I64" t="s">
        <v>617</v>
      </c>
      <c r="N64" s="20">
        <v>1</v>
      </c>
      <c r="O64"/>
      <c r="P64"/>
      <c r="Q64"/>
      <c r="T64" s="20">
        <v>12.88926011</v>
      </c>
      <c r="U64" s="20">
        <v>12.88926011</v>
      </c>
      <c r="V64" s="20">
        <v>12.88926011</v>
      </c>
      <c r="W64"/>
      <c r="X64">
        <v>1</v>
      </c>
      <c r="Y64" t="s">
        <v>464</v>
      </c>
      <c r="AO64">
        <v>18</v>
      </c>
      <c r="AP64" s="20">
        <v>195.03203980213701</v>
      </c>
      <c r="AQ64" s="20">
        <v>9.2292528029042184E-2</v>
      </c>
      <c r="AR64" s="23">
        <v>2</v>
      </c>
      <c r="AS64" s="23">
        <v>3</v>
      </c>
      <c r="AT64" s="23">
        <v>1.857142857142857</v>
      </c>
      <c r="AU64" s="23">
        <v>4</v>
      </c>
      <c r="AV64" s="23">
        <v>0.18421052631578949</v>
      </c>
      <c r="AW64" s="23">
        <v>0.27631578947368418</v>
      </c>
      <c r="AX64" s="23">
        <v>0.1710526315789474</v>
      </c>
      <c r="AY64" s="23">
        <v>0.36842105263157893</v>
      </c>
      <c r="AZ64" s="20">
        <v>0.95</v>
      </c>
      <c r="BA64" s="20">
        <v>3.44</v>
      </c>
      <c r="BB64" s="20">
        <v>2.4900000000000002</v>
      </c>
      <c r="BC64" s="20">
        <v>2.782142857142857</v>
      </c>
      <c r="BD64">
        <v>2.7821428571428579</v>
      </c>
      <c r="BE64">
        <v>6.2021612289285706</v>
      </c>
    </row>
    <row r="65" spans="1:57" x14ac:dyDescent="0.3">
      <c r="A65" t="s">
        <v>53</v>
      </c>
      <c r="B65" s="12" t="s">
        <v>726</v>
      </c>
      <c r="C65" s="12"/>
      <c r="F65">
        <v>1.96</v>
      </c>
      <c r="G65" t="s">
        <v>54</v>
      </c>
      <c r="H65" s="8" t="s">
        <v>554</v>
      </c>
      <c r="I65">
        <v>-1</v>
      </c>
      <c r="N65" s="20">
        <v>1</v>
      </c>
      <c r="O65"/>
      <c r="P65"/>
      <c r="Q65"/>
      <c r="R65" t="s">
        <v>444</v>
      </c>
      <c r="T65" s="20">
        <v>5.6904349999999999</v>
      </c>
      <c r="U65" s="20">
        <v>5.6904349999999999</v>
      </c>
      <c r="V65" s="20">
        <v>4.0362910000000003</v>
      </c>
      <c r="W65"/>
      <c r="X65">
        <v>1</v>
      </c>
      <c r="Y65" t="s">
        <v>464</v>
      </c>
      <c r="AO65">
        <v>12</v>
      </c>
      <c r="AP65" s="20">
        <v>130.69934266020451</v>
      </c>
      <c r="AQ65" s="20">
        <v>9.1813774696617348E-2</v>
      </c>
      <c r="AR65" s="23">
        <v>2</v>
      </c>
      <c r="AS65" s="23">
        <v>2.6</v>
      </c>
      <c r="AT65" s="23">
        <v>1.6</v>
      </c>
      <c r="AU65" s="23">
        <v>0</v>
      </c>
      <c r="AV65" s="23">
        <v>0.32258064516129031</v>
      </c>
      <c r="AW65" s="23">
        <v>0.41935483870967738</v>
      </c>
      <c r="AX65" s="23">
        <v>0.25806451612903231</v>
      </c>
      <c r="AY65" s="23">
        <v>0</v>
      </c>
      <c r="AZ65" s="20">
        <v>0.95</v>
      </c>
      <c r="BA65" s="20">
        <v>3.44</v>
      </c>
      <c r="BB65" s="20">
        <v>2.4900000000000002</v>
      </c>
      <c r="BC65" s="20">
        <v>2.633</v>
      </c>
      <c r="BD65">
        <v>2.633</v>
      </c>
      <c r="BE65">
        <v>5.9240260669999998</v>
      </c>
    </row>
    <row r="66" spans="1:57" x14ac:dyDescent="0.3">
      <c r="A66" t="s">
        <v>44</v>
      </c>
      <c r="B66" s="12" t="s">
        <v>720</v>
      </c>
      <c r="C66" s="12"/>
      <c r="F66">
        <v>3.63</v>
      </c>
      <c r="G66" t="s">
        <v>55</v>
      </c>
      <c r="H66" s="8" t="s">
        <v>549</v>
      </c>
      <c r="I66">
        <v>-1</v>
      </c>
      <c r="N66" s="20">
        <v>1</v>
      </c>
      <c r="O66">
        <v>3.8769</v>
      </c>
      <c r="P66">
        <v>3.8769</v>
      </c>
      <c r="Q66">
        <v>29.824000000000002</v>
      </c>
      <c r="R66" t="s">
        <v>440</v>
      </c>
      <c r="T66" s="20">
        <v>15.28115725</v>
      </c>
      <c r="U66" s="20">
        <v>15.28115725</v>
      </c>
      <c r="V66" s="20">
        <v>15.28115725</v>
      </c>
      <c r="W66">
        <v>1</v>
      </c>
      <c r="Y66" t="s">
        <v>464</v>
      </c>
      <c r="AD66">
        <v>1</v>
      </c>
      <c r="AF66">
        <v>1</v>
      </c>
      <c r="AG66">
        <v>1</v>
      </c>
      <c r="AK66">
        <v>1</v>
      </c>
      <c r="AO66">
        <v>20</v>
      </c>
      <c r="AP66" s="20">
        <v>229.90248606119221</v>
      </c>
      <c r="AQ66" s="20">
        <v>8.6993404650164072E-2</v>
      </c>
      <c r="AR66" s="23">
        <v>1.882352941176471</v>
      </c>
      <c r="AS66" s="23">
        <v>2.3529411764705879</v>
      </c>
      <c r="AT66" s="23">
        <v>0.47058823529411759</v>
      </c>
      <c r="AU66" s="23">
        <v>0</v>
      </c>
      <c r="AV66" s="23">
        <v>0.4</v>
      </c>
      <c r="AW66" s="23">
        <v>0.5</v>
      </c>
      <c r="AX66" s="23">
        <v>9.9999999999999992E-2</v>
      </c>
      <c r="AY66" s="23">
        <v>0</v>
      </c>
      <c r="AZ66" s="20">
        <v>0.82</v>
      </c>
      <c r="BA66" s="20">
        <v>3.44</v>
      </c>
      <c r="BB66" s="20">
        <v>2.62</v>
      </c>
      <c r="BC66" s="20">
        <v>2.5211764705882351</v>
      </c>
      <c r="BD66">
        <v>2.521176470588236</v>
      </c>
      <c r="BE66">
        <v>5.6898745917647062</v>
      </c>
    </row>
    <row r="67" spans="1:57" x14ac:dyDescent="0.3">
      <c r="A67" t="s">
        <v>677</v>
      </c>
      <c r="B67" s="16" t="s">
        <v>893</v>
      </c>
      <c r="C67" s="12"/>
      <c r="F67">
        <v>2.67</v>
      </c>
      <c r="G67" t="s">
        <v>55</v>
      </c>
      <c r="H67" s="8">
        <v>-1</v>
      </c>
      <c r="I67">
        <v>-1</v>
      </c>
      <c r="N67" s="20">
        <v>0</v>
      </c>
      <c r="O67">
        <v>3.8079999999999998</v>
      </c>
      <c r="P67">
        <v>3.8079999999999998</v>
      </c>
      <c r="Q67">
        <v>28.87</v>
      </c>
      <c r="R67" t="s">
        <v>440</v>
      </c>
      <c r="T67" s="20">
        <v>0</v>
      </c>
      <c r="U67" s="20"/>
      <c r="V67" s="20"/>
      <c r="W67">
        <v>1</v>
      </c>
      <c r="Y67" t="s">
        <v>464</v>
      </c>
      <c r="AD67">
        <v>1</v>
      </c>
      <c r="AF67">
        <v>1</v>
      </c>
      <c r="AG67">
        <v>1</v>
      </c>
      <c r="AK67">
        <v>1</v>
      </c>
      <c r="AO67">
        <v>20</v>
      </c>
      <c r="AP67" s="20">
        <v>0</v>
      </c>
      <c r="AQ67" s="20"/>
      <c r="AR67" s="23">
        <v>1.933534743202417</v>
      </c>
      <c r="AS67" s="23">
        <v>2.4712990936555901</v>
      </c>
      <c r="AT67" s="23">
        <v>0.75528700906344426</v>
      </c>
      <c r="AU67" s="23">
        <v>0</v>
      </c>
      <c r="AV67" s="23">
        <v>0.37470725995316168</v>
      </c>
      <c r="AW67" s="23">
        <v>0.47892271662763469</v>
      </c>
      <c r="AX67" s="23">
        <v>0.1463700234192038</v>
      </c>
      <c r="AY67" s="23">
        <v>0</v>
      </c>
      <c r="AZ67" s="20">
        <v>0.82</v>
      </c>
      <c r="BA67" s="20">
        <v>3.44</v>
      </c>
      <c r="BB67" s="20">
        <v>2.62</v>
      </c>
      <c r="BC67" s="20">
        <v>2.673474320241692</v>
      </c>
      <c r="BD67">
        <v>2.673474320241692</v>
      </c>
      <c r="BE67">
        <v>6.086490604281928</v>
      </c>
    </row>
    <row r="68" spans="1:57" x14ac:dyDescent="0.3">
      <c r="A68" t="s">
        <v>44</v>
      </c>
      <c r="B68" s="16" t="s">
        <v>720</v>
      </c>
      <c r="C68" s="12"/>
      <c r="D68" t="s">
        <v>676</v>
      </c>
      <c r="E68" t="s">
        <v>1067</v>
      </c>
      <c r="F68">
        <v>3.59</v>
      </c>
      <c r="G68" t="s">
        <v>55</v>
      </c>
      <c r="H68" s="8" t="s">
        <v>549</v>
      </c>
      <c r="I68">
        <v>-1</v>
      </c>
      <c r="N68" s="20">
        <v>1</v>
      </c>
      <c r="O68">
        <f xml:space="preserve"> 3.857</f>
        <v>3.8570000000000002</v>
      </c>
      <c r="P68">
        <f xml:space="preserve"> 3.857</f>
        <v>3.8570000000000002</v>
      </c>
      <c r="Q68">
        <v>14.692</v>
      </c>
      <c r="R68" t="s">
        <v>439</v>
      </c>
      <c r="T68" s="20">
        <v>15.28115725</v>
      </c>
      <c r="U68" s="20">
        <v>15.28115725</v>
      </c>
      <c r="V68" s="20">
        <v>15.28115725</v>
      </c>
      <c r="W68">
        <v>1</v>
      </c>
      <c r="Y68" t="s">
        <v>464</v>
      </c>
      <c r="AD68">
        <v>1</v>
      </c>
      <c r="AF68">
        <v>1</v>
      </c>
      <c r="AG68">
        <v>1</v>
      </c>
      <c r="AJ68">
        <v>1</v>
      </c>
      <c r="AK68">
        <v>1</v>
      </c>
      <c r="AN68">
        <v>1</v>
      </c>
      <c r="AO68">
        <v>20</v>
      </c>
      <c r="AP68" s="20">
        <v>229.90248606119221</v>
      </c>
      <c r="AQ68" s="20">
        <v>8.6993404650164072E-2</v>
      </c>
      <c r="AR68" s="23">
        <v>1.882352941176471</v>
      </c>
      <c r="AS68" s="23">
        <v>2.3529411764705879</v>
      </c>
      <c r="AT68" s="23">
        <v>0.47058823529411759</v>
      </c>
      <c r="AU68" s="23">
        <v>0</v>
      </c>
      <c r="AV68" s="23">
        <v>0.4</v>
      </c>
      <c r="AW68" s="23">
        <v>0.5</v>
      </c>
      <c r="AX68" s="23">
        <v>9.9999999999999992E-2</v>
      </c>
      <c r="AY68" s="23">
        <v>0</v>
      </c>
      <c r="AZ68" s="20">
        <v>0.82</v>
      </c>
      <c r="BA68" s="20">
        <v>3.44</v>
      </c>
      <c r="BB68" s="20">
        <v>2.62</v>
      </c>
      <c r="BC68" s="20">
        <v>2.5211764705882351</v>
      </c>
      <c r="BD68">
        <v>2.521176470588236</v>
      </c>
      <c r="BE68">
        <v>5.6898745917647062</v>
      </c>
    </row>
    <row r="69" spans="1:57" x14ac:dyDescent="0.3">
      <c r="A69" t="s">
        <v>107</v>
      </c>
      <c r="B69" s="12" t="s">
        <v>728</v>
      </c>
      <c r="C69" s="12"/>
      <c r="F69">
        <v>2.34</v>
      </c>
      <c r="G69" t="s">
        <v>447</v>
      </c>
      <c r="H69" s="8" t="s">
        <v>555</v>
      </c>
      <c r="I69" t="s">
        <v>632</v>
      </c>
      <c r="N69" s="20">
        <v>0</v>
      </c>
      <c r="O69"/>
      <c r="P69"/>
      <c r="Q69"/>
      <c r="T69" s="20">
        <v>0</v>
      </c>
      <c r="U69" s="20"/>
      <c r="V69" s="20"/>
      <c r="W69"/>
      <c r="AO69">
        <v>20</v>
      </c>
      <c r="AP69" s="20">
        <v>0</v>
      </c>
      <c r="AQ69" s="20"/>
      <c r="AR69" s="23">
        <v>2</v>
      </c>
      <c r="AS69" s="23">
        <v>3.0666666666666669</v>
      </c>
      <c r="AT69" s="23">
        <v>1.7333333333333329</v>
      </c>
      <c r="AU69" s="23">
        <v>1.8666666666666669</v>
      </c>
      <c r="AV69" s="23">
        <v>0.23076923076923081</v>
      </c>
      <c r="AW69" s="23">
        <v>0.35384615384615392</v>
      </c>
      <c r="AX69" s="23">
        <v>0.2</v>
      </c>
      <c r="AY69" s="23">
        <v>0.2153846153846154</v>
      </c>
      <c r="AZ69" s="20">
        <v>1.54</v>
      </c>
      <c r="BA69" s="20">
        <v>3.44</v>
      </c>
      <c r="BB69" s="20">
        <v>1.9</v>
      </c>
      <c r="BC69" s="20">
        <v>2.8706666666666658</v>
      </c>
      <c r="BD69">
        <v>2.8706666666666671</v>
      </c>
      <c r="BE69">
        <v>6.2652784753333339</v>
      </c>
    </row>
    <row r="70" spans="1:57" x14ac:dyDescent="0.3">
      <c r="A70" t="s">
        <v>107</v>
      </c>
      <c r="B70" s="16" t="s">
        <v>728</v>
      </c>
      <c r="C70" s="12"/>
      <c r="D70" t="s">
        <v>678</v>
      </c>
      <c r="E70" t="s">
        <v>1067</v>
      </c>
      <c r="F70">
        <v>1.64</v>
      </c>
      <c r="G70" t="s">
        <v>447</v>
      </c>
      <c r="H70" s="8" t="s">
        <v>555</v>
      </c>
      <c r="I70" t="s">
        <v>632</v>
      </c>
      <c r="N70" s="20">
        <v>0</v>
      </c>
      <c r="O70"/>
      <c r="P70"/>
      <c r="Q70"/>
      <c r="T70" s="20">
        <v>0</v>
      </c>
      <c r="U70" s="20"/>
      <c r="V70" s="20"/>
      <c r="W70"/>
      <c r="AO70">
        <v>20</v>
      </c>
      <c r="AP70" s="20">
        <v>0</v>
      </c>
      <c r="AQ70" s="20"/>
      <c r="AR70" s="23">
        <v>2</v>
      </c>
      <c r="AS70" s="23">
        <v>3.0666666666666669</v>
      </c>
      <c r="AT70" s="23">
        <v>1.7333333333333329</v>
      </c>
      <c r="AU70" s="23">
        <v>1.8666666666666669</v>
      </c>
      <c r="AV70" s="23">
        <v>0.23076923076923081</v>
      </c>
      <c r="AW70" s="23">
        <v>0.35384615384615392</v>
      </c>
      <c r="AX70" s="23">
        <v>0.2</v>
      </c>
      <c r="AY70" s="23">
        <v>0.2153846153846154</v>
      </c>
      <c r="AZ70" s="20">
        <v>1.54</v>
      </c>
      <c r="BA70" s="20">
        <v>3.44</v>
      </c>
      <c r="BB70" s="20">
        <v>1.9</v>
      </c>
      <c r="BC70" s="20">
        <v>2.8706666666666658</v>
      </c>
      <c r="BD70">
        <v>2.8706666666666671</v>
      </c>
      <c r="BE70">
        <v>6.2652784753333339</v>
      </c>
    </row>
    <row r="71" spans="1:57" x14ac:dyDescent="0.3">
      <c r="A71" t="s">
        <v>185</v>
      </c>
      <c r="B71" s="12" t="s">
        <v>729</v>
      </c>
      <c r="C71" s="12"/>
      <c r="F71">
        <v>4.5999999999999996</v>
      </c>
      <c r="G71" t="s">
        <v>57</v>
      </c>
      <c r="H71" s="8" t="s">
        <v>556</v>
      </c>
      <c r="I71" t="s">
        <v>633</v>
      </c>
      <c r="N71" s="20">
        <v>2</v>
      </c>
      <c r="O71"/>
      <c r="P71"/>
      <c r="Q71"/>
      <c r="T71" s="20">
        <v>13.81974189</v>
      </c>
      <c r="U71" s="20">
        <v>13.81974189</v>
      </c>
      <c r="V71" s="20">
        <v>5.7110870199999999</v>
      </c>
      <c r="W71"/>
      <c r="Z71">
        <v>0.9</v>
      </c>
      <c r="AA71">
        <v>1</v>
      </c>
      <c r="AG71">
        <v>1</v>
      </c>
      <c r="AH71">
        <v>1</v>
      </c>
      <c r="AK71">
        <v>1</v>
      </c>
      <c r="AL71">
        <v>1</v>
      </c>
      <c r="AO71">
        <v>14</v>
      </c>
      <c r="AP71" s="20">
        <v>309.44138863753989</v>
      </c>
      <c r="AQ71" s="20">
        <v>9.0485633235046756E-2</v>
      </c>
      <c r="AR71" s="23">
        <v>2</v>
      </c>
      <c r="AS71" s="23">
        <v>2.545454545454545</v>
      </c>
      <c r="AT71" s="23">
        <v>0.54545454545454541</v>
      </c>
      <c r="AU71" s="23">
        <v>2.545454545454545</v>
      </c>
      <c r="AV71" s="23">
        <v>0.26190476190476192</v>
      </c>
      <c r="AW71" s="23">
        <v>0.33333333333333331</v>
      </c>
      <c r="AX71" s="23">
        <v>7.1428571428571425E-2</v>
      </c>
      <c r="AY71" s="23">
        <v>0.33333333333333331</v>
      </c>
      <c r="AZ71" s="20">
        <v>0.95</v>
      </c>
      <c r="BA71" s="20">
        <v>3.44</v>
      </c>
      <c r="BB71" s="20">
        <v>2.4900000000000002</v>
      </c>
      <c r="BC71" s="20">
        <v>2.6345454545454539</v>
      </c>
      <c r="BD71">
        <v>2.6345454545454552</v>
      </c>
      <c r="BE71">
        <v>6.036062318181818</v>
      </c>
    </row>
    <row r="72" spans="1:57" x14ac:dyDescent="0.3">
      <c r="A72" t="s">
        <v>49</v>
      </c>
      <c r="B72" s="12" t="s">
        <v>725</v>
      </c>
      <c r="C72" s="12"/>
      <c r="F72">
        <v>3.9</v>
      </c>
      <c r="G72" t="s">
        <v>57</v>
      </c>
      <c r="H72" s="8" t="s">
        <v>553</v>
      </c>
      <c r="I72" t="s">
        <v>631</v>
      </c>
      <c r="N72" s="20">
        <v>8</v>
      </c>
      <c r="O72"/>
      <c r="P72"/>
      <c r="Q72"/>
      <c r="T72" s="20">
        <v>5.8017180100000001</v>
      </c>
      <c r="U72" s="20">
        <v>7.9756520899999996</v>
      </c>
      <c r="V72" s="20">
        <v>27.352093400000001</v>
      </c>
      <c r="W72"/>
      <c r="Z72">
        <v>0.7</v>
      </c>
      <c r="AA72">
        <v>1</v>
      </c>
      <c r="AG72">
        <v>1</v>
      </c>
      <c r="AH72">
        <v>1</v>
      </c>
      <c r="AK72">
        <v>1</v>
      </c>
      <c r="AL72">
        <v>1</v>
      </c>
      <c r="AO72">
        <v>14</v>
      </c>
      <c r="AP72" s="20">
        <v>1265.6493143942739</v>
      </c>
      <c r="AQ72" s="20">
        <v>8.8492127105210025E-2</v>
      </c>
      <c r="AR72" s="23">
        <v>1.8181818181818179</v>
      </c>
      <c r="AS72" s="23">
        <v>2.545454545454545</v>
      </c>
      <c r="AT72" s="23">
        <v>0.72727272727272729</v>
      </c>
      <c r="AU72" s="23">
        <v>0</v>
      </c>
      <c r="AV72" s="23">
        <v>0.35714285714285721</v>
      </c>
      <c r="AW72" s="23">
        <v>0.5</v>
      </c>
      <c r="AX72" s="23">
        <v>0.1428571428571429</v>
      </c>
      <c r="AY72" s="23">
        <v>0</v>
      </c>
      <c r="AZ72" s="20">
        <v>0.95</v>
      </c>
      <c r="BA72" s="20">
        <v>3.44</v>
      </c>
      <c r="BB72" s="20">
        <v>2.4900000000000002</v>
      </c>
      <c r="BC72" s="20">
        <v>2.6527272727272719</v>
      </c>
      <c r="BD72">
        <v>2.6527272727272728</v>
      </c>
      <c r="BE72">
        <v>6.0182046818181814</v>
      </c>
    </row>
    <row r="73" spans="1:57" x14ac:dyDescent="0.3">
      <c r="A73" t="s">
        <v>56</v>
      </c>
      <c r="B73" s="12" t="s">
        <v>730</v>
      </c>
      <c r="C73" s="12"/>
      <c r="F73">
        <v>3.6</v>
      </c>
      <c r="G73" t="s">
        <v>57</v>
      </c>
      <c r="H73" s="8" t="s">
        <v>557</v>
      </c>
      <c r="I73" t="s">
        <v>634</v>
      </c>
      <c r="N73" s="20">
        <v>1</v>
      </c>
      <c r="O73"/>
      <c r="P73"/>
      <c r="Q73"/>
      <c r="T73" s="20">
        <v>2.92483936</v>
      </c>
      <c r="U73" s="20">
        <v>2.92483936</v>
      </c>
      <c r="V73" s="20">
        <v>3.4422619999999999</v>
      </c>
      <c r="W73"/>
      <c r="AO73">
        <v>2</v>
      </c>
      <c r="AP73" s="20">
        <v>25.502259160055111</v>
      </c>
      <c r="AQ73" s="20">
        <v>7.8424424575398208E-2</v>
      </c>
      <c r="AR73" s="23">
        <v>2</v>
      </c>
      <c r="AS73" s="23">
        <v>2</v>
      </c>
      <c r="AT73" s="23">
        <v>4</v>
      </c>
      <c r="AU73" s="23">
        <v>0</v>
      </c>
      <c r="AV73" s="23">
        <v>0.25</v>
      </c>
      <c r="AW73" s="23">
        <v>0.25</v>
      </c>
      <c r="AX73" s="23">
        <v>0.5</v>
      </c>
      <c r="AY73" s="23">
        <v>0</v>
      </c>
      <c r="AZ73" s="20">
        <v>1.91</v>
      </c>
      <c r="BA73" s="20">
        <v>3.44</v>
      </c>
      <c r="BB73" s="20">
        <v>1.53</v>
      </c>
      <c r="BC73" s="20">
        <v>2.6749999999999998</v>
      </c>
      <c r="BD73">
        <v>2.6749999999999998</v>
      </c>
      <c r="BE73">
        <v>5.9690498749999996</v>
      </c>
    </row>
    <row r="74" spans="1:57" x14ac:dyDescent="0.3">
      <c r="A74" t="s">
        <v>58</v>
      </c>
      <c r="B74" s="12" t="s">
        <v>731</v>
      </c>
      <c r="C74" s="12"/>
      <c r="F74">
        <v>4.2</v>
      </c>
      <c r="G74" t="s">
        <v>57</v>
      </c>
      <c r="H74" s="8">
        <v>-1</v>
      </c>
      <c r="I74">
        <v>-1</v>
      </c>
      <c r="N74" s="20">
        <v>0</v>
      </c>
      <c r="O74">
        <v>44.2</v>
      </c>
      <c r="P74">
        <v>7.92</v>
      </c>
      <c r="Q74">
        <v>6.46</v>
      </c>
      <c r="S74" t="s">
        <v>1142</v>
      </c>
      <c r="T74" s="20">
        <v>0</v>
      </c>
      <c r="U74" s="20"/>
      <c r="V74" s="20"/>
      <c r="W74"/>
      <c r="AG74">
        <v>1</v>
      </c>
      <c r="AK74">
        <v>1</v>
      </c>
      <c r="AO74">
        <v>34</v>
      </c>
      <c r="AP74" s="20">
        <v>0</v>
      </c>
      <c r="AQ74" s="20"/>
      <c r="AR74" s="23">
        <v>1.8518518518518521</v>
      </c>
      <c r="AS74" s="23">
        <v>2.518518518518519</v>
      </c>
      <c r="AT74" s="23">
        <v>0.66666666666666663</v>
      </c>
      <c r="AU74" s="23">
        <v>3.1111111111111112</v>
      </c>
      <c r="AV74" s="23">
        <v>0.22727272727272729</v>
      </c>
      <c r="AW74" s="23">
        <v>0.30909090909090908</v>
      </c>
      <c r="AX74" s="23">
        <v>8.1818181818181804E-2</v>
      </c>
      <c r="AY74" s="23">
        <v>0.38181818181818178</v>
      </c>
      <c r="AZ74" s="20">
        <v>0.82</v>
      </c>
      <c r="BA74" s="20">
        <v>3.44</v>
      </c>
      <c r="BB74" s="20">
        <v>2.62</v>
      </c>
      <c r="BC74" s="20">
        <v>2.6207407407407399</v>
      </c>
      <c r="BD74">
        <v>2.6207407407407408</v>
      </c>
      <c r="BE74">
        <v>5.9672971914814816</v>
      </c>
    </row>
    <row r="75" spans="1:57" x14ac:dyDescent="0.3">
      <c r="A75" t="s">
        <v>59</v>
      </c>
      <c r="B75" s="12" t="s">
        <v>732</v>
      </c>
      <c r="C75" s="12"/>
      <c r="F75">
        <v>3.55</v>
      </c>
      <c r="G75" t="s">
        <v>57</v>
      </c>
      <c r="H75" s="8">
        <v>-1</v>
      </c>
      <c r="I75">
        <v>-1</v>
      </c>
      <c r="J75" t="s">
        <v>1153</v>
      </c>
      <c r="N75" s="20">
        <v>0</v>
      </c>
      <c r="O75"/>
      <c r="P75"/>
      <c r="Q75"/>
      <c r="T75" s="20">
        <v>0</v>
      </c>
      <c r="U75" s="20"/>
      <c r="V75" s="20"/>
      <c r="W75"/>
      <c r="AG75">
        <v>1</v>
      </c>
      <c r="AK75">
        <v>1</v>
      </c>
      <c r="AO75">
        <v>34</v>
      </c>
      <c r="AP75" s="20">
        <v>0</v>
      </c>
      <c r="AQ75" s="20"/>
      <c r="AR75" s="23">
        <v>1.62962962962963</v>
      </c>
      <c r="AS75" s="23">
        <v>2.518518518518519</v>
      </c>
      <c r="AT75" s="23">
        <v>0.88888888888888884</v>
      </c>
      <c r="AU75" s="23">
        <v>0</v>
      </c>
      <c r="AV75" s="23">
        <v>0.32352941176470579</v>
      </c>
      <c r="AW75" s="23">
        <v>0.5</v>
      </c>
      <c r="AX75" s="23">
        <v>0.1764705882352941</v>
      </c>
      <c r="AY75" s="23">
        <v>0</v>
      </c>
      <c r="AZ75" s="20">
        <v>0.82</v>
      </c>
      <c r="BA75" s="20">
        <v>3.44</v>
      </c>
      <c r="BB75" s="20">
        <v>2.62</v>
      </c>
      <c r="BC75" s="20">
        <v>2.642962962962963</v>
      </c>
      <c r="BD75">
        <v>2.642962962962963</v>
      </c>
      <c r="BE75">
        <v>5.9454711914814808</v>
      </c>
    </row>
    <row r="76" spans="1:57" x14ac:dyDescent="0.3">
      <c r="A76" t="s">
        <v>60</v>
      </c>
      <c r="B76" s="12" t="s">
        <v>733</v>
      </c>
      <c r="C76" s="12"/>
      <c r="F76">
        <v>2.54</v>
      </c>
      <c r="G76" t="s">
        <v>62</v>
      </c>
      <c r="H76" s="8" t="s">
        <v>558</v>
      </c>
      <c r="I76" t="s">
        <v>635</v>
      </c>
      <c r="N76" s="20">
        <v>1</v>
      </c>
      <c r="O76">
        <v>3.8860999999999999</v>
      </c>
      <c r="P76">
        <v>3.8860999999999999</v>
      </c>
      <c r="Q76">
        <v>12.5922</v>
      </c>
      <c r="R76" t="s">
        <v>440</v>
      </c>
      <c r="T76" s="20">
        <v>3.8962357000000001</v>
      </c>
      <c r="U76" s="20">
        <v>3.8962353200000002</v>
      </c>
      <c r="V76" s="20">
        <v>6.87349342</v>
      </c>
      <c r="W76">
        <v>1</v>
      </c>
      <c r="X76">
        <v>1</v>
      </c>
      <c r="Z76">
        <v>0.4</v>
      </c>
      <c r="AA76">
        <v>1</v>
      </c>
      <c r="AD76">
        <v>1</v>
      </c>
      <c r="AE76">
        <v>1</v>
      </c>
      <c r="AG76">
        <v>1</v>
      </c>
      <c r="AJ76">
        <v>1</v>
      </c>
      <c r="AK76">
        <v>1</v>
      </c>
      <c r="AN76">
        <v>1</v>
      </c>
      <c r="AO76">
        <v>8</v>
      </c>
      <c r="AP76" s="20">
        <v>95.595427689592043</v>
      </c>
      <c r="AQ76" s="20">
        <v>8.3686010862117841E-2</v>
      </c>
      <c r="AR76" s="23">
        <v>2</v>
      </c>
      <c r="AS76" s="23">
        <v>2.285714285714286</v>
      </c>
      <c r="AT76" s="23">
        <v>0.2857142857142857</v>
      </c>
      <c r="AU76" s="23">
        <v>0</v>
      </c>
      <c r="AV76" s="23">
        <v>0.4375</v>
      </c>
      <c r="AW76" s="23">
        <v>0.5</v>
      </c>
      <c r="AX76" s="23">
        <v>6.25E-2</v>
      </c>
      <c r="AY76" s="23">
        <v>0</v>
      </c>
      <c r="AZ76" s="20">
        <v>0.95</v>
      </c>
      <c r="BA76" s="20">
        <v>3.44</v>
      </c>
      <c r="BB76" s="20">
        <v>2.4900000000000002</v>
      </c>
      <c r="BC76" s="20">
        <v>2.4571428571428569</v>
      </c>
      <c r="BD76">
        <v>2.4571428571428569</v>
      </c>
      <c r="BE76">
        <v>5.6224409357142857</v>
      </c>
    </row>
    <row r="77" spans="1:57" x14ac:dyDescent="0.3">
      <c r="A77" t="s">
        <v>61</v>
      </c>
      <c r="B77" s="16" t="s">
        <v>894</v>
      </c>
      <c r="C77" s="12"/>
      <c r="F77">
        <v>2.3199999999999998</v>
      </c>
      <c r="G77" t="s">
        <v>62</v>
      </c>
      <c r="H77" s="25" t="s">
        <v>558</v>
      </c>
      <c r="I77" s="1" t="s">
        <v>635</v>
      </c>
      <c r="N77" s="20">
        <v>0</v>
      </c>
      <c r="O77">
        <v>3.8915000000000002</v>
      </c>
      <c r="P77">
        <v>3.8915000000000002</v>
      </c>
      <c r="Q77">
        <v>12.589499999999999</v>
      </c>
      <c r="R77" t="s">
        <v>440</v>
      </c>
      <c r="T77" s="20">
        <v>0</v>
      </c>
      <c r="U77" s="20"/>
      <c r="V77" s="20"/>
      <c r="W77">
        <v>1</v>
      </c>
      <c r="X77">
        <v>1</v>
      </c>
      <c r="Z77">
        <v>1.3</v>
      </c>
      <c r="AA77">
        <v>1</v>
      </c>
      <c r="AD77">
        <v>1</v>
      </c>
      <c r="AE77">
        <v>1</v>
      </c>
      <c r="AG77">
        <v>1</v>
      </c>
      <c r="AJ77">
        <v>1</v>
      </c>
      <c r="AK77">
        <v>1</v>
      </c>
      <c r="AN77">
        <v>1</v>
      </c>
      <c r="AO77">
        <v>8</v>
      </c>
      <c r="AP77" s="20">
        <v>0</v>
      </c>
      <c r="AQ77" s="20"/>
      <c r="AR77" s="23">
        <v>2</v>
      </c>
      <c r="AS77" s="23">
        <v>2.285714285714286</v>
      </c>
      <c r="AT77" s="23">
        <v>0.3</v>
      </c>
      <c r="AU77" s="23">
        <v>0</v>
      </c>
      <c r="AV77" s="23">
        <v>0.43613707165109028</v>
      </c>
      <c r="AW77" s="23">
        <v>0.49844236760124599</v>
      </c>
      <c r="AX77" s="23">
        <v>6.5420560747663545E-2</v>
      </c>
      <c r="AY77" s="23">
        <v>0</v>
      </c>
      <c r="AZ77" s="20">
        <v>0.95</v>
      </c>
      <c r="BA77" s="20">
        <v>3.44</v>
      </c>
      <c r="BB77" s="20">
        <v>2.4900000000000002</v>
      </c>
      <c r="BC77" s="20">
        <v>2.4592857142857141</v>
      </c>
      <c r="BD77">
        <v>2.459285714285715</v>
      </c>
      <c r="BE77">
        <v>5.625208883928571</v>
      </c>
    </row>
    <row r="78" spans="1:57" x14ac:dyDescent="0.3">
      <c r="A78" t="s">
        <v>883</v>
      </c>
      <c r="B78" s="16" t="s">
        <v>895</v>
      </c>
      <c r="C78" s="12"/>
      <c r="F78">
        <v>2.2200000000000002</v>
      </c>
      <c r="G78" t="s">
        <v>62</v>
      </c>
      <c r="H78" s="25" t="s">
        <v>558</v>
      </c>
      <c r="I78" s="1" t="s">
        <v>635</v>
      </c>
      <c r="N78" s="20">
        <v>0</v>
      </c>
      <c r="O78">
        <v>3.8965000000000001</v>
      </c>
      <c r="P78">
        <v>3.8965000000000001</v>
      </c>
      <c r="Q78">
        <v>12.6137</v>
      </c>
      <c r="R78" t="s">
        <v>440</v>
      </c>
      <c r="T78" s="20">
        <v>0</v>
      </c>
      <c r="U78" s="20"/>
      <c r="V78" s="20"/>
      <c r="W78">
        <v>1</v>
      </c>
      <c r="X78">
        <v>1</v>
      </c>
      <c r="Z78">
        <v>3.2</v>
      </c>
      <c r="AA78">
        <v>1</v>
      </c>
      <c r="AD78">
        <v>1</v>
      </c>
      <c r="AE78">
        <v>1</v>
      </c>
      <c r="AG78">
        <v>1</v>
      </c>
      <c r="AJ78">
        <v>1</v>
      </c>
      <c r="AK78">
        <v>1</v>
      </c>
      <c r="AN78">
        <v>1</v>
      </c>
      <c r="AO78">
        <v>8</v>
      </c>
      <c r="AP78" s="20">
        <v>0</v>
      </c>
      <c r="AQ78" s="20"/>
      <c r="AR78" s="23">
        <v>2</v>
      </c>
      <c r="AS78" s="23">
        <v>2.285714285714286</v>
      </c>
      <c r="AT78" s="23">
        <v>0.31428571428571428</v>
      </c>
      <c r="AU78" s="23">
        <v>0</v>
      </c>
      <c r="AV78" s="23">
        <v>0.43478260869565211</v>
      </c>
      <c r="AW78" s="23">
        <v>0.49689440993788808</v>
      </c>
      <c r="AX78" s="23">
        <v>6.8322981366459631E-2</v>
      </c>
      <c r="AY78" s="23">
        <v>0</v>
      </c>
      <c r="AZ78" s="20">
        <v>0.95</v>
      </c>
      <c r="BA78" s="20">
        <v>3.44</v>
      </c>
      <c r="BB78" s="20">
        <v>2.4900000000000002</v>
      </c>
      <c r="BC78" s="20">
        <v>2.4614285714285709</v>
      </c>
      <c r="BD78">
        <v>2.4614285714285709</v>
      </c>
      <c r="BE78">
        <v>5.627976832142858</v>
      </c>
    </row>
    <row r="79" spans="1:57" x14ac:dyDescent="0.3">
      <c r="A79" t="s">
        <v>884</v>
      </c>
      <c r="B79" s="16" t="s">
        <v>896</v>
      </c>
      <c r="C79" s="12"/>
      <c r="F79">
        <v>2.16</v>
      </c>
      <c r="G79" t="s">
        <v>62</v>
      </c>
      <c r="H79" s="25" t="s">
        <v>558</v>
      </c>
      <c r="I79" s="1" t="s">
        <v>635</v>
      </c>
      <c r="N79" s="20">
        <v>0</v>
      </c>
      <c r="O79">
        <v>3.9016999999999999</v>
      </c>
      <c r="P79">
        <v>3.9016999999999999</v>
      </c>
      <c r="Q79">
        <v>12.593500000000001</v>
      </c>
      <c r="R79" t="s">
        <v>440</v>
      </c>
      <c r="T79" s="20">
        <v>0</v>
      </c>
      <c r="U79" s="20"/>
      <c r="V79" s="20"/>
      <c r="W79">
        <v>1</v>
      </c>
      <c r="X79">
        <v>1</v>
      </c>
      <c r="Z79">
        <v>3.4</v>
      </c>
      <c r="AA79">
        <v>1</v>
      </c>
      <c r="AD79">
        <v>1</v>
      </c>
      <c r="AE79">
        <v>1</v>
      </c>
      <c r="AG79">
        <v>1</v>
      </c>
      <c r="AJ79">
        <v>1</v>
      </c>
      <c r="AK79">
        <v>1</v>
      </c>
      <c r="AN79">
        <v>1</v>
      </c>
      <c r="AO79">
        <v>8</v>
      </c>
      <c r="AP79" s="20">
        <v>0</v>
      </c>
      <c r="AQ79" s="20"/>
      <c r="AR79" s="23">
        <v>2</v>
      </c>
      <c r="AS79" s="23">
        <v>2.285714285714286</v>
      </c>
      <c r="AT79" s="23">
        <v>0.32857142857142863</v>
      </c>
      <c r="AU79" s="23">
        <v>0</v>
      </c>
      <c r="AV79" s="23">
        <v>0.43343653250774</v>
      </c>
      <c r="AW79" s="23">
        <v>0.49535603715170279</v>
      </c>
      <c r="AX79" s="23">
        <v>7.1207430340557279E-2</v>
      </c>
      <c r="AY79" s="23">
        <v>0</v>
      </c>
      <c r="AZ79" s="20">
        <v>0.95</v>
      </c>
      <c r="BA79" s="20">
        <v>3.44</v>
      </c>
      <c r="BB79" s="20">
        <v>2.4900000000000002</v>
      </c>
      <c r="BC79" s="20">
        <v>2.463571428571429</v>
      </c>
      <c r="BD79">
        <v>2.463571428571429</v>
      </c>
      <c r="BE79">
        <v>5.6307447803571433</v>
      </c>
    </row>
    <row r="80" spans="1:57" x14ac:dyDescent="0.3">
      <c r="A80" t="s">
        <v>885</v>
      </c>
      <c r="B80" s="16" t="s">
        <v>897</v>
      </c>
      <c r="C80" s="12"/>
      <c r="F80">
        <v>2.1</v>
      </c>
      <c r="G80" t="s">
        <v>62</v>
      </c>
      <c r="H80" s="25" t="s">
        <v>558</v>
      </c>
      <c r="I80" s="1" t="s">
        <v>635</v>
      </c>
      <c r="N80" s="20">
        <v>0</v>
      </c>
      <c r="O80">
        <v>3.9022000000000001</v>
      </c>
      <c r="P80">
        <v>3.9022000000000001</v>
      </c>
      <c r="Q80">
        <v>12.6189</v>
      </c>
      <c r="R80" t="s">
        <v>440</v>
      </c>
      <c r="T80" s="20">
        <v>0</v>
      </c>
      <c r="U80" s="20"/>
      <c r="V80" s="20"/>
      <c r="W80">
        <v>1</v>
      </c>
      <c r="X80">
        <v>1</v>
      </c>
      <c r="Z80">
        <v>3.8</v>
      </c>
      <c r="AA80">
        <v>1</v>
      </c>
      <c r="AD80">
        <v>1</v>
      </c>
      <c r="AE80">
        <v>1</v>
      </c>
      <c r="AG80">
        <v>1</v>
      </c>
      <c r="AJ80">
        <v>1</v>
      </c>
      <c r="AK80">
        <v>1</v>
      </c>
      <c r="AN80">
        <v>1</v>
      </c>
      <c r="AO80">
        <v>8</v>
      </c>
      <c r="AP80" s="20">
        <v>0</v>
      </c>
      <c r="AQ80" s="20"/>
      <c r="AR80" s="23">
        <v>2</v>
      </c>
      <c r="AS80" s="23">
        <v>2.285714285714286</v>
      </c>
      <c r="AT80" s="23">
        <v>0.34285714285714292</v>
      </c>
      <c r="AU80" s="23">
        <v>0</v>
      </c>
      <c r="AV80" s="23">
        <v>0.4320987654320988</v>
      </c>
      <c r="AW80" s="23">
        <v>0.49382716049382719</v>
      </c>
      <c r="AX80" s="23">
        <v>7.4074074074074084E-2</v>
      </c>
      <c r="AY80" s="23">
        <v>0</v>
      </c>
      <c r="AZ80" s="20">
        <v>0.95</v>
      </c>
      <c r="BA80" s="20">
        <v>3.44</v>
      </c>
      <c r="BB80" s="20">
        <v>2.4900000000000002</v>
      </c>
      <c r="BC80" s="20">
        <v>2.4657142857142849</v>
      </c>
      <c r="BD80">
        <v>2.4657142857142862</v>
      </c>
      <c r="BE80">
        <v>5.6335127285714286</v>
      </c>
    </row>
    <row r="81" spans="1:57" x14ac:dyDescent="0.3">
      <c r="A81" t="s">
        <v>886</v>
      </c>
      <c r="B81" s="16" t="s">
        <v>898</v>
      </c>
      <c r="C81" s="12"/>
      <c r="F81">
        <v>2.08</v>
      </c>
      <c r="G81" t="s">
        <v>62</v>
      </c>
      <c r="H81" s="25" t="s">
        <v>558</v>
      </c>
      <c r="I81" s="1" t="s">
        <v>635</v>
      </c>
      <c r="N81" s="20">
        <v>0</v>
      </c>
      <c r="O81">
        <v>3.9043999999999999</v>
      </c>
      <c r="P81">
        <v>3.9043999999999999</v>
      </c>
      <c r="Q81">
        <v>12.6092</v>
      </c>
      <c r="R81" t="s">
        <v>440</v>
      </c>
      <c r="T81" s="20">
        <v>0</v>
      </c>
      <c r="U81" s="20"/>
      <c r="V81" s="20"/>
      <c r="W81">
        <v>1</v>
      </c>
      <c r="X81">
        <v>1</v>
      </c>
      <c r="Z81">
        <v>4.2</v>
      </c>
      <c r="AA81">
        <v>1</v>
      </c>
      <c r="AD81">
        <v>1</v>
      </c>
      <c r="AE81">
        <v>1</v>
      </c>
      <c r="AG81">
        <v>1</v>
      </c>
      <c r="AJ81">
        <v>1</v>
      </c>
      <c r="AK81">
        <v>1</v>
      </c>
      <c r="AN81">
        <v>1</v>
      </c>
      <c r="AO81">
        <v>8</v>
      </c>
      <c r="AP81" s="20">
        <v>0</v>
      </c>
      <c r="AQ81" s="20"/>
      <c r="AR81" s="23">
        <v>2</v>
      </c>
      <c r="AS81" s="23">
        <v>2.285714285714286</v>
      </c>
      <c r="AT81" s="23">
        <v>0.35714285714285721</v>
      </c>
      <c r="AU81" s="23">
        <v>0</v>
      </c>
      <c r="AV81" s="23">
        <v>0.43076923076923068</v>
      </c>
      <c r="AW81" s="23">
        <v>0.49230769230769222</v>
      </c>
      <c r="AX81" s="23">
        <v>7.6923076923076913E-2</v>
      </c>
      <c r="AY81" s="23">
        <v>0</v>
      </c>
      <c r="AZ81" s="20">
        <v>0.95</v>
      </c>
      <c r="BA81" s="20">
        <v>3.44</v>
      </c>
      <c r="BB81" s="20">
        <v>2.4900000000000002</v>
      </c>
      <c r="BC81" s="20">
        <v>2.467857142857143</v>
      </c>
      <c r="BD81">
        <v>2.467857142857143</v>
      </c>
      <c r="BE81">
        <v>5.6362806767857148</v>
      </c>
    </row>
    <row r="82" spans="1:57" x14ac:dyDescent="0.3">
      <c r="A82" t="s">
        <v>215</v>
      </c>
      <c r="B82" s="16" t="s">
        <v>734</v>
      </c>
      <c r="C82" s="12"/>
      <c r="F82">
        <v>4.0999999999999996</v>
      </c>
      <c r="G82" t="s">
        <v>64</v>
      </c>
      <c r="H82" s="8" t="s">
        <v>587</v>
      </c>
      <c r="I82" t="s">
        <v>636</v>
      </c>
      <c r="N82" s="20">
        <v>1</v>
      </c>
      <c r="O82">
        <v>3.87</v>
      </c>
      <c r="P82">
        <v>3.87</v>
      </c>
      <c r="Q82">
        <v>15.1</v>
      </c>
      <c r="R82" t="s">
        <v>439</v>
      </c>
      <c r="T82" s="20">
        <v>3.950634</v>
      </c>
      <c r="U82" s="20">
        <v>3.950634</v>
      </c>
      <c r="V82" s="20">
        <v>15.513552000000001</v>
      </c>
      <c r="W82">
        <v>1</v>
      </c>
      <c r="X82">
        <v>1</v>
      </c>
      <c r="AA82">
        <v>1</v>
      </c>
      <c r="AF82">
        <v>1</v>
      </c>
      <c r="AO82">
        <v>20</v>
      </c>
      <c r="AP82" s="20">
        <v>242.1279024923125</v>
      </c>
      <c r="AQ82" s="20">
        <v>8.2600971611006269E-2</v>
      </c>
      <c r="AR82" s="23">
        <v>1.9375</v>
      </c>
      <c r="AS82" s="23">
        <v>2.5</v>
      </c>
      <c r="AT82" s="23">
        <v>0.5625</v>
      </c>
      <c r="AU82" s="23">
        <v>2.625</v>
      </c>
      <c r="AV82" s="23">
        <v>0.25409836065573771</v>
      </c>
      <c r="AW82" s="23">
        <v>0.32786885245901642</v>
      </c>
      <c r="AX82" s="23">
        <v>7.3770491803278687E-2</v>
      </c>
      <c r="AY82" s="23">
        <v>0.34426229508196721</v>
      </c>
      <c r="AZ82" s="20">
        <v>0.79</v>
      </c>
      <c r="BA82" s="20">
        <v>3.44</v>
      </c>
      <c r="BB82" s="20">
        <v>2.65</v>
      </c>
      <c r="BC82" s="20">
        <v>2.6056249999999999</v>
      </c>
      <c r="BD82">
        <v>2.6056249999999999</v>
      </c>
      <c r="BE82">
        <v>5.9703320286696879</v>
      </c>
    </row>
    <row r="83" spans="1:57" x14ac:dyDescent="0.3">
      <c r="A83" t="s">
        <v>679</v>
      </c>
      <c r="B83" s="16" t="s">
        <v>899</v>
      </c>
      <c r="C83" t="s">
        <v>681</v>
      </c>
      <c r="F83">
        <v>4.3</v>
      </c>
      <c r="G83" t="s">
        <v>64</v>
      </c>
      <c r="H83" s="11" t="s">
        <v>683</v>
      </c>
      <c r="I83">
        <v>7221084</v>
      </c>
      <c r="N83" s="20">
        <v>0</v>
      </c>
      <c r="O83" s="1">
        <v>3.87</v>
      </c>
      <c r="P83" s="1">
        <v>3.87</v>
      </c>
      <c r="Q83">
        <v>17.2</v>
      </c>
      <c r="R83" t="s">
        <v>439</v>
      </c>
      <c r="T83" s="20">
        <v>0</v>
      </c>
      <c r="U83" s="20"/>
      <c r="V83" s="20"/>
      <c r="W83">
        <v>1</v>
      </c>
      <c r="X83">
        <v>1</v>
      </c>
      <c r="AA83">
        <v>1</v>
      </c>
      <c r="AF83">
        <v>1</v>
      </c>
      <c r="AO83">
        <v>20</v>
      </c>
      <c r="AP83" s="20">
        <v>0</v>
      </c>
      <c r="AQ83" s="20"/>
      <c r="AR83" s="23">
        <v>1.940917661847894</v>
      </c>
      <c r="AS83" s="23">
        <v>2.5141420490257702</v>
      </c>
      <c r="AT83" s="23">
        <v>0.56568196103079826</v>
      </c>
      <c r="AU83" s="23">
        <v>2.6398491514770579</v>
      </c>
      <c r="AV83" s="23">
        <v>0.2533639645553003</v>
      </c>
      <c r="AW83" s="23">
        <v>0.32819166393173621</v>
      </c>
      <c r="AX83" s="23">
        <v>7.3843124384640635E-2</v>
      </c>
      <c r="AY83" s="23">
        <v>0.34460124712832302</v>
      </c>
      <c r="AZ83" s="20">
        <v>0.79</v>
      </c>
      <c r="BA83" s="20">
        <v>3.44</v>
      </c>
      <c r="BB83" s="20">
        <v>2.65</v>
      </c>
      <c r="BC83" s="20">
        <v>2.62350722815839</v>
      </c>
      <c r="BD83">
        <v>2.6235072281583909</v>
      </c>
      <c r="BE83">
        <v>6.0278785903935539</v>
      </c>
    </row>
    <row r="84" spans="1:57" x14ac:dyDescent="0.3">
      <c r="A84" t="s">
        <v>680</v>
      </c>
      <c r="B84" s="16" t="s">
        <v>900</v>
      </c>
      <c r="C84" t="s">
        <v>682</v>
      </c>
      <c r="F84">
        <v>4.2</v>
      </c>
      <c r="G84" t="s">
        <v>64</v>
      </c>
      <c r="H84" s="8">
        <v>-1</v>
      </c>
      <c r="I84">
        <v>-1</v>
      </c>
      <c r="N84" s="20">
        <v>0</v>
      </c>
      <c r="O84" s="1">
        <v>3.87</v>
      </c>
      <c r="P84" s="1">
        <v>3.87</v>
      </c>
      <c r="Q84">
        <v>14.4</v>
      </c>
      <c r="R84" t="s">
        <v>439</v>
      </c>
      <c r="T84" s="20">
        <v>0</v>
      </c>
      <c r="U84" s="20"/>
      <c r="V84" s="20"/>
      <c r="W84">
        <v>1</v>
      </c>
      <c r="X84">
        <v>1</v>
      </c>
      <c r="AA84">
        <v>1</v>
      </c>
      <c r="AO84">
        <v>20</v>
      </c>
      <c r="AP84" s="20">
        <v>0</v>
      </c>
      <c r="AQ84" s="20"/>
      <c r="AR84" s="23">
        <v>1.937926753569212</v>
      </c>
      <c r="AS84" s="23">
        <v>2.4829298572315328</v>
      </c>
      <c r="AT84" s="23">
        <v>0.55865921787709494</v>
      </c>
      <c r="AU84" s="23">
        <v>2.6070763500931098</v>
      </c>
      <c r="AV84" s="23">
        <v>0.25544100801832759</v>
      </c>
      <c r="AW84" s="23">
        <v>0.32727867779414171</v>
      </c>
      <c r="AX84" s="23">
        <v>7.3637702503681887E-2</v>
      </c>
      <c r="AY84" s="23">
        <v>0.3436426116838488</v>
      </c>
      <c r="AZ84" s="20">
        <v>0.79</v>
      </c>
      <c r="BA84" s="20">
        <v>3.44</v>
      </c>
      <c r="BB84" s="20">
        <v>2.65</v>
      </c>
      <c r="BC84" s="20">
        <v>2.671675977653631</v>
      </c>
      <c r="BD84">
        <v>2.671675977653631</v>
      </c>
      <c r="BE84">
        <v>6.2243029613210306</v>
      </c>
    </row>
    <row r="85" spans="1:57" x14ac:dyDescent="0.3">
      <c r="A85" t="s">
        <v>855</v>
      </c>
      <c r="B85" s="16" t="s">
        <v>901</v>
      </c>
      <c r="C85" t="s">
        <v>854</v>
      </c>
      <c r="F85">
        <v>4</v>
      </c>
      <c r="G85" t="s">
        <v>64</v>
      </c>
      <c r="H85" s="8">
        <v>-1</v>
      </c>
      <c r="I85">
        <v>-1</v>
      </c>
      <c r="N85" s="20">
        <v>0</v>
      </c>
      <c r="O85" s="1">
        <v>3.87</v>
      </c>
      <c r="P85" s="1">
        <v>3.87</v>
      </c>
      <c r="Q85">
        <v>28.5</v>
      </c>
      <c r="R85" t="s">
        <v>439</v>
      </c>
      <c r="T85" s="20">
        <v>0</v>
      </c>
      <c r="U85" s="20"/>
      <c r="V85" s="20"/>
      <c r="W85">
        <v>1</v>
      </c>
      <c r="X85">
        <v>1</v>
      </c>
      <c r="AA85">
        <v>1</v>
      </c>
      <c r="AO85">
        <v>20</v>
      </c>
      <c r="AP85" s="20">
        <v>0</v>
      </c>
      <c r="AQ85" s="20"/>
      <c r="AR85" s="23">
        <v>1.9375</v>
      </c>
      <c r="AS85" s="23">
        <v>2.5</v>
      </c>
      <c r="AT85" s="23">
        <v>0.5625</v>
      </c>
      <c r="AU85" s="23">
        <v>2.625</v>
      </c>
      <c r="AV85" s="23">
        <v>0.25409836065573771</v>
      </c>
      <c r="AW85" s="23">
        <v>0.32786885245901642</v>
      </c>
      <c r="AX85" s="23">
        <v>7.3770491803278687E-2</v>
      </c>
      <c r="AY85" s="23">
        <v>0.34426229508196721</v>
      </c>
      <c r="AZ85" s="20">
        <v>1</v>
      </c>
      <c r="BA85" s="20">
        <v>3.44</v>
      </c>
      <c r="BB85" s="20">
        <v>2.44</v>
      </c>
      <c r="BC85" s="20">
        <v>2.6937500000000001</v>
      </c>
      <c r="BD85">
        <v>2.6937500000000001</v>
      </c>
      <c r="BE85">
        <v>6.2824412981156881</v>
      </c>
    </row>
    <row r="86" spans="1:57" x14ac:dyDescent="0.3">
      <c r="A86" t="s">
        <v>65</v>
      </c>
      <c r="B86" s="12" t="s">
        <v>735</v>
      </c>
      <c r="C86" s="12"/>
      <c r="F86">
        <v>2.62</v>
      </c>
      <c r="G86" t="s">
        <v>66</v>
      </c>
      <c r="H86" s="8" t="s">
        <v>559</v>
      </c>
      <c r="I86" t="s">
        <v>637</v>
      </c>
      <c r="N86" s="20">
        <v>2</v>
      </c>
      <c r="O86">
        <v>5.4580000000000002</v>
      </c>
      <c r="P86">
        <v>5.4210000000000003</v>
      </c>
      <c r="Q86">
        <v>41.02</v>
      </c>
      <c r="R86" t="s">
        <v>450</v>
      </c>
      <c r="T86" s="20">
        <v>5.5344280000000001</v>
      </c>
      <c r="U86" s="20">
        <v>5.4860709999999999</v>
      </c>
      <c r="V86" s="20">
        <v>20.96113527</v>
      </c>
      <c r="W86">
        <v>1</v>
      </c>
      <c r="AA86">
        <v>1</v>
      </c>
      <c r="AF86">
        <v>1</v>
      </c>
      <c r="AG86">
        <v>1</v>
      </c>
      <c r="AI86">
        <v>1</v>
      </c>
      <c r="AK86">
        <v>1</v>
      </c>
      <c r="AM86">
        <v>1</v>
      </c>
      <c r="AO86">
        <v>30</v>
      </c>
      <c r="AP86" s="20">
        <v>630.95473618941708</v>
      </c>
      <c r="AQ86" s="20">
        <v>9.5093984653104466E-2</v>
      </c>
      <c r="AR86" s="23">
        <v>2</v>
      </c>
      <c r="AS86" s="23">
        <v>3.125</v>
      </c>
      <c r="AT86" s="23">
        <v>2.583333333333333</v>
      </c>
      <c r="AU86" s="23">
        <v>2.916666666666667</v>
      </c>
      <c r="AV86" s="23">
        <v>0.18823529411764711</v>
      </c>
      <c r="AW86" s="23">
        <v>0.29411764705882348</v>
      </c>
      <c r="AX86" s="23">
        <v>0.24313725490196081</v>
      </c>
      <c r="AY86" s="23">
        <v>0.2745098039215686</v>
      </c>
      <c r="AZ86" s="20">
        <v>1.54</v>
      </c>
      <c r="BA86" s="20">
        <v>3.44</v>
      </c>
      <c r="BB86" s="20">
        <v>1.9</v>
      </c>
      <c r="BC86" s="20">
        <v>2.839583333333334</v>
      </c>
      <c r="BD86">
        <v>2.8395833333333331</v>
      </c>
      <c r="BE86">
        <v>6.168614470625001</v>
      </c>
    </row>
    <row r="87" spans="1:57" x14ac:dyDescent="0.3">
      <c r="A87" t="s">
        <v>67</v>
      </c>
      <c r="B87" s="12" t="s">
        <v>736</v>
      </c>
      <c r="C87" s="12"/>
      <c r="F87">
        <v>2.67</v>
      </c>
      <c r="G87" t="s">
        <v>66</v>
      </c>
      <c r="H87" s="8">
        <v>-1</v>
      </c>
      <c r="I87">
        <v>-1</v>
      </c>
      <c r="N87" s="20">
        <v>0</v>
      </c>
      <c r="O87">
        <v>5.4359999999999999</v>
      </c>
      <c r="P87">
        <v>5.42</v>
      </c>
      <c r="Q87">
        <v>41.19</v>
      </c>
      <c r="R87" t="s">
        <v>450</v>
      </c>
      <c r="T87" s="20">
        <v>0</v>
      </c>
      <c r="U87" s="20"/>
      <c r="V87" s="20"/>
      <c r="W87">
        <v>1</v>
      </c>
      <c r="AA87">
        <v>1</v>
      </c>
      <c r="AF87">
        <v>1</v>
      </c>
      <c r="AG87">
        <v>1</v>
      </c>
      <c r="AI87">
        <v>1</v>
      </c>
      <c r="AK87">
        <v>1</v>
      </c>
      <c r="AM87">
        <v>1</v>
      </c>
      <c r="AO87">
        <v>30</v>
      </c>
      <c r="AP87" s="20">
        <v>0</v>
      </c>
      <c r="AQ87" s="20"/>
      <c r="AR87" s="23">
        <v>2</v>
      </c>
      <c r="AS87" s="23">
        <v>3</v>
      </c>
      <c r="AT87" s="23">
        <v>2.208333333333333</v>
      </c>
      <c r="AU87" s="23">
        <v>2.333333333333333</v>
      </c>
      <c r="AV87" s="23">
        <v>0.20960698689956331</v>
      </c>
      <c r="AW87" s="23">
        <v>0.31441048034934499</v>
      </c>
      <c r="AX87" s="23">
        <v>0.23144104803493451</v>
      </c>
      <c r="AY87" s="23">
        <v>0.24454148471615719</v>
      </c>
      <c r="AZ87" s="20">
        <v>1.1000000000000001</v>
      </c>
      <c r="BA87" s="20">
        <v>3.44</v>
      </c>
      <c r="BB87" s="20">
        <v>2.34</v>
      </c>
      <c r="BC87" s="20">
        <v>2.80125</v>
      </c>
      <c r="BD87">
        <v>2.80125</v>
      </c>
      <c r="BE87">
        <v>6.1250013054166672</v>
      </c>
    </row>
    <row r="88" spans="1:57" x14ac:dyDescent="0.3">
      <c r="A88" t="s">
        <v>68</v>
      </c>
      <c r="B88" s="12" t="s">
        <v>737</v>
      </c>
      <c r="C88" s="12"/>
      <c r="F88">
        <v>2.71</v>
      </c>
      <c r="G88" t="s">
        <v>66</v>
      </c>
      <c r="H88" s="8">
        <v>-1</v>
      </c>
      <c r="I88">
        <v>-1</v>
      </c>
      <c r="N88" s="20">
        <v>0</v>
      </c>
      <c r="O88">
        <v>5.4370000000000003</v>
      </c>
      <c r="P88">
        <v>5.4359999999999999</v>
      </c>
      <c r="Q88">
        <v>41.29</v>
      </c>
      <c r="R88" t="s">
        <v>450</v>
      </c>
      <c r="T88" s="20">
        <v>0</v>
      </c>
      <c r="U88" s="20"/>
      <c r="V88" s="20"/>
      <c r="W88">
        <v>1</v>
      </c>
      <c r="AA88">
        <v>1</v>
      </c>
      <c r="AF88">
        <v>1</v>
      </c>
      <c r="AG88">
        <v>1</v>
      </c>
      <c r="AI88">
        <v>1</v>
      </c>
      <c r="AK88">
        <v>1</v>
      </c>
      <c r="AM88">
        <v>1</v>
      </c>
      <c r="AO88">
        <v>30</v>
      </c>
      <c r="AP88" s="20">
        <v>0</v>
      </c>
      <c r="AQ88" s="20"/>
      <c r="AR88" s="23">
        <v>2</v>
      </c>
      <c r="AS88" s="23">
        <v>2.875</v>
      </c>
      <c r="AT88" s="23">
        <v>1.833333333333333</v>
      </c>
      <c r="AU88" s="23">
        <v>1.75</v>
      </c>
      <c r="AV88" s="23">
        <v>0.23645320197044331</v>
      </c>
      <c r="AW88" s="23">
        <v>0.33990147783251229</v>
      </c>
      <c r="AX88" s="23">
        <v>0.21674876847290639</v>
      </c>
      <c r="AY88" s="23">
        <v>0.2068965517241379</v>
      </c>
      <c r="AZ88" s="20">
        <v>1.1000000000000001</v>
      </c>
      <c r="BA88" s="20">
        <v>3.44</v>
      </c>
      <c r="BB88" s="20">
        <v>2.34</v>
      </c>
      <c r="BC88" s="20">
        <v>2.7629166666666669</v>
      </c>
      <c r="BD88">
        <v>2.762916666666666</v>
      </c>
      <c r="BE88">
        <v>6.0813881402083334</v>
      </c>
    </row>
    <row r="89" spans="1:57" x14ac:dyDescent="0.3">
      <c r="A89" t="s">
        <v>69</v>
      </c>
      <c r="B89" s="12" t="s">
        <v>738</v>
      </c>
      <c r="C89" s="12"/>
      <c r="F89">
        <v>2.75</v>
      </c>
      <c r="G89" t="s">
        <v>70</v>
      </c>
      <c r="H89" s="8" t="s">
        <v>560</v>
      </c>
      <c r="I89" t="s">
        <v>638</v>
      </c>
      <c r="N89" s="20">
        <v>2</v>
      </c>
      <c r="O89"/>
      <c r="P89"/>
      <c r="Q89"/>
      <c r="T89" s="20">
        <v>8.3195821399999996</v>
      </c>
      <c r="U89" s="20">
        <v>8.3195821399999996</v>
      </c>
      <c r="V89" s="20">
        <v>8.2425581700000006</v>
      </c>
      <c r="W89"/>
      <c r="AO89">
        <v>12</v>
      </c>
      <c r="AP89" s="20">
        <v>248.80917443900231</v>
      </c>
      <c r="AQ89" s="20">
        <v>9.6459465588893734E-2</v>
      </c>
      <c r="AR89" s="23">
        <v>2</v>
      </c>
      <c r="AS89" s="23">
        <v>3.333333333333333</v>
      </c>
      <c r="AT89" s="23">
        <v>2.666666666666667</v>
      </c>
      <c r="AU89" s="23">
        <v>4.666666666666667</v>
      </c>
      <c r="AV89" s="23">
        <v>0.15789473684210531</v>
      </c>
      <c r="AW89" s="23">
        <v>0.26315789473684209</v>
      </c>
      <c r="AX89" s="23">
        <v>0.2105263157894737</v>
      </c>
      <c r="AY89" s="23">
        <v>0.36842105263157898</v>
      </c>
      <c r="AZ89" s="20">
        <v>2.02</v>
      </c>
      <c r="BA89" s="20">
        <v>3.44</v>
      </c>
      <c r="BB89" s="20">
        <v>1.42</v>
      </c>
      <c r="BC89" s="20">
        <v>3.0044444444444438</v>
      </c>
      <c r="BD89">
        <v>3.0044444444444438</v>
      </c>
      <c r="BE89">
        <v>6.4228342255555546</v>
      </c>
    </row>
    <row r="90" spans="1:57" x14ac:dyDescent="0.3">
      <c r="A90" t="s">
        <v>71</v>
      </c>
      <c r="B90" s="12" t="s">
        <v>739</v>
      </c>
      <c r="C90" s="12"/>
      <c r="F90">
        <v>3.59</v>
      </c>
      <c r="G90" t="s">
        <v>77</v>
      </c>
      <c r="H90" s="8" t="s">
        <v>561</v>
      </c>
      <c r="I90" t="s">
        <v>639</v>
      </c>
      <c r="N90" s="20">
        <v>2</v>
      </c>
      <c r="O90"/>
      <c r="P90"/>
      <c r="Q90"/>
      <c r="T90" s="20">
        <v>3.8703880000000002</v>
      </c>
      <c r="U90" s="20">
        <v>3.8703880000000002</v>
      </c>
      <c r="V90" s="20">
        <v>13.604850000000001</v>
      </c>
      <c r="W90">
        <v>1</v>
      </c>
      <c r="Z90">
        <v>3.59</v>
      </c>
      <c r="AG90">
        <v>1</v>
      </c>
      <c r="AK90">
        <v>1</v>
      </c>
      <c r="AO90">
        <v>8</v>
      </c>
      <c r="AP90" s="20">
        <v>203.79933701026059</v>
      </c>
      <c r="AQ90" s="20">
        <v>7.8508596910668346E-2</v>
      </c>
      <c r="AR90" s="23">
        <v>1.857142857142857</v>
      </c>
      <c r="AS90" s="23">
        <v>2.285714285714286</v>
      </c>
      <c r="AT90" s="23">
        <v>0.42857142857142849</v>
      </c>
      <c r="AU90" s="23">
        <v>0</v>
      </c>
      <c r="AV90" s="23">
        <v>0.40625000000000011</v>
      </c>
      <c r="AW90" s="23">
        <v>0.5</v>
      </c>
      <c r="AX90" s="23">
        <v>9.375E-2</v>
      </c>
      <c r="AY90" s="23">
        <v>0</v>
      </c>
      <c r="AZ90" s="20">
        <v>0.82</v>
      </c>
      <c r="BA90" s="20">
        <v>3.44</v>
      </c>
      <c r="BB90" s="20">
        <v>2.62</v>
      </c>
      <c r="BC90" s="20">
        <v>2.46</v>
      </c>
      <c r="BD90">
        <v>2.46</v>
      </c>
      <c r="BE90">
        <v>5.5854910899999997</v>
      </c>
    </row>
    <row r="91" spans="1:57" x14ac:dyDescent="0.3">
      <c r="A91" t="s">
        <v>72</v>
      </c>
      <c r="B91" s="16" t="s">
        <v>902</v>
      </c>
      <c r="C91" s="12"/>
      <c r="F91">
        <v>3.74</v>
      </c>
      <c r="G91" t="s">
        <v>77</v>
      </c>
      <c r="H91" s="25" t="s">
        <v>561</v>
      </c>
      <c r="I91" s="1" t="s">
        <v>639</v>
      </c>
      <c r="N91" s="20">
        <v>0</v>
      </c>
      <c r="O91"/>
      <c r="P91"/>
      <c r="Q91"/>
      <c r="T91" s="20">
        <v>0</v>
      </c>
      <c r="U91" s="20"/>
      <c r="V91" s="20"/>
      <c r="W91">
        <v>1</v>
      </c>
      <c r="Z91">
        <v>3.74</v>
      </c>
      <c r="AG91">
        <v>1</v>
      </c>
      <c r="AK91">
        <v>1</v>
      </c>
      <c r="AO91">
        <v>8</v>
      </c>
      <c r="AP91" s="20">
        <v>0</v>
      </c>
      <c r="AQ91" s="20"/>
      <c r="AR91" s="23">
        <v>1.857142857142857</v>
      </c>
      <c r="AS91" s="23">
        <v>2.285714285714286</v>
      </c>
      <c r="AT91" s="23">
        <v>0.42857142857142849</v>
      </c>
      <c r="AU91" s="23">
        <v>0</v>
      </c>
      <c r="AV91" s="23">
        <v>0.40625000000000011</v>
      </c>
      <c r="AW91" s="23">
        <v>0.5</v>
      </c>
      <c r="AX91" s="23">
        <v>9.375E-2</v>
      </c>
      <c r="AY91" s="23">
        <v>0</v>
      </c>
      <c r="AZ91" s="20">
        <v>0.82</v>
      </c>
      <c r="BA91" s="20">
        <v>3.44</v>
      </c>
      <c r="BB91" s="20">
        <v>2.62</v>
      </c>
      <c r="BC91" s="20">
        <v>2.4569999999999999</v>
      </c>
      <c r="BD91">
        <v>2.4569999999999999</v>
      </c>
      <c r="BE91">
        <v>5.5866607328571423</v>
      </c>
    </row>
    <row r="92" spans="1:57" x14ac:dyDescent="0.3">
      <c r="A92" t="s">
        <v>76</v>
      </c>
      <c r="B92" s="16" t="s">
        <v>903</v>
      </c>
      <c r="C92" s="12"/>
      <c r="F92">
        <v>3.82</v>
      </c>
      <c r="G92" t="s">
        <v>77</v>
      </c>
      <c r="H92" s="25" t="s">
        <v>1154</v>
      </c>
      <c r="I92" s="1" t="s">
        <v>1155</v>
      </c>
      <c r="N92" s="20">
        <v>0</v>
      </c>
      <c r="O92"/>
      <c r="P92"/>
      <c r="Q92"/>
      <c r="T92" s="20">
        <v>0</v>
      </c>
      <c r="U92" s="20"/>
      <c r="V92" s="20"/>
      <c r="W92">
        <v>1</v>
      </c>
      <c r="Z92">
        <v>3.82</v>
      </c>
      <c r="AG92">
        <v>1</v>
      </c>
      <c r="AK92">
        <v>1</v>
      </c>
      <c r="AO92">
        <v>8</v>
      </c>
      <c r="AP92" s="20">
        <v>0</v>
      </c>
      <c r="AQ92" s="20"/>
      <c r="AR92" s="23">
        <v>1.857142857142857</v>
      </c>
      <c r="AS92" s="23">
        <v>2.285714285714286</v>
      </c>
      <c r="AT92" s="23">
        <v>0.42857142857142849</v>
      </c>
      <c r="AU92" s="23">
        <v>0</v>
      </c>
      <c r="AV92" s="23">
        <v>0.40625000000000011</v>
      </c>
      <c r="AW92" s="23">
        <v>0.5</v>
      </c>
      <c r="AX92" s="23">
        <v>9.375E-2</v>
      </c>
      <c r="AY92" s="23">
        <v>0</v>
      </c>
      <c r="AZ92" s="20">
        <v>0.82</v>
      </c>
      <c r="BA92" s="20">
        <v>3.44</v>
      </c>
      <c r="BB92" s="20">
        <v>2.62</v>
      </c>
      <c r="BC92" s="20">
        <v>2.4510000000000001</v>
      </c>
      <c r="BD92">
        <v>2.4510000000000001</v>
      </c>
      <c r="BE92">
        <v>5.5890000185714284</v>
      </c>
    </row>
    <row r="93" spans="1:57" x14ac:dyDescent="0.3">
      <c r="A93" t="s">
        <v>75</v>
      </c>
      <c r="B93" s="16" t="s">
        <v>904</v>
      </c>
      <c r="C93" s="12"/>
      <c r="F93">
        <v>4.16</v>
      </c>
      <c r="G93" t="s">
        <v>77</v>
      </c>
      <c r="H93" s="25" t="s">
        <v>1156</v>
      </c>
      <c r="I93" s="1" t="s">
        <v>1157</v>
      </c>
      <c r="N93" s="20">
        <v>0</v>
      </c>
      <c r="O93"/>
      <c r="P93"/>
      <c r="Q93"/>
      <c r="T93" s="20">
        <v>0</v>
      </c>
      <c r="U93" s="20"/>
      <c r="V93" s="20"/>
      <c r="W93">
        <v>1</v>
      </c>
      <c r="Z93">
        <v>4.16</v>
      </c>
      <c r="AG93">
        <v>1</v>
      </c>
      <c r="AK93">
        <v>1</v>
      </c>
      <c r="AO93">
        <v>8</v>
      </c>
      <c r="AP93" s="20">
        <v>0</v>
      </c>
      <c r="AQ93" s="20"/>
      <c r="AR93" s="23">
        <v>1.857142857142857</v>
      </c>
      <c r="AS93" s="23">
        <v>2.285714285714286</v>
      </c>
      <c r="AT93" s="23">
        <v>0.42857142857142849</v>
      </c>
      <c r="AU93" s="23">
        <v>0</v>
      </c>
      <c r="AV93" s="23">
        <v>0.40625000000000011</v>
      </c>
      <c r="AW93" s="23">
        <v>0.5</v>
      </c>
      <c r="AX93" s="23">
        <v>9.375E-2</v>
      </c>
      <c r="AY93" s="23">
        <v>0</v>
      </c>
      <c r="AZ93" s="20">
        <v>0.82</v>
      </c>
      <c r="BA93" s="20">
        <v>3.44</v>
      </c>
      <c r="BB93" s="20">
        <v>2.62</v>
      </c>
      <c r="BC93" s="20">
        <v>2.4449999999999998</v>
      </c>
      <c r="BD93">
        <v>2.4449999999999998</v>
      </c>
      <c r="BE93">
        <v>5.5913393042857136</v>
      </c>
    </row>
    <row r="94" spans="1:57" x14ac:dyDescent="0.3">
      <c r="A94" t="s">
        <v>74</v>
      </c>
      <c r="B94" s="16" t="s">
        <v>905</v>
      </c>
      <c r="C94" s="12"/>
      <c r="F94">
        <v>3.52</v>
      </c>
      <c r="G94" t="s">
        <v>77</v>
      </c>
      <c r="H94" s="25" t="s">
        <v>1158</v>
      </c>
      <c r="I94" s="1" t="s">
        <v>1159</v>
      </c>
      <c r="N94" s="20">
        <v>0</v>
      </c>
      <c r="O94"/>
      <c r="P94"/>
      <c r="Q94"/>
      <c r="T94" s="20">
        <v>0</v>
      </c>
      <c r="U94" s="20"/>
      <c r="V94" s="20"/>
      <c r="W94">
        <v>1</v>
      </c>
      <c r="Z94">
        <v>3.52</v>
      </c>
      <c r="AG94">
        <v>1</v>
      </c>
      <c r="AK94">
        <v>1</v>
      </c>
      <c r="AO94">
        <v>8</v>
      </c>
      <c r="AP94" s="20">
        <v>0</v>
      </c>
      <c r="AQ94" s="20"/>
      <c r="AR94" s="23">
        <v>1.857142857142857</v>
      </c>
      <c r="AS94" s="23">
        <v>2.285714285714286</v>
      </c>
      <c r="AT94" s="23">
        <v>0.42857142857142849</v>
      </c>
      <c r="AU94" s="23">
        <v>0</v>
      </c>
      <c r="AV94" s="23">
        <v>0.40625000000000011</v>
      </c>
      <c r="AW94" s="23">
        <v>0.5</v>
      </c>
      <c r="AX94" s="23">
        <v>9.375E-2</v>
      </c>
      <c r="AY94" s="23">
        <v>0</v>
      </c>
      <c r="AZ94" s="20">
        <v>0.82</v>
      </c>
      <c r="BA94" s="20">
        <v>3.44</v>
      </c>
      <c r="BB94" s="20">
        <v>2.62</v>
      </c>
      <c r="BC94" s="20">
        <v>2.4390000000000001</v>
      </c>
      <c r="BD94">
        <v>2.4390000000000001</v>
      </c>
      <c r="BE94">
        <v>5.5936785899999997</v>
      </c>
    </row>
    <row r="95" spans="1:57" x14ac:dyDescent="0.3">
      <c r="A95" t="s">
        <v>73</v>
      </c>
      <c r="B95" s="12" t="s">
        <v>740</v>
      </c>
      <c r="C95" s="12"/>
      <c r="F95">
        <v>3.43</v>
      </c>
      <c r="G95" t="s">
        <v>77</v>
      </c>
      <c r="H95" s="25" t="s">
        <v>1160</v>
      </c>
      <c r="I95" s="1" t="s">
        <v>1161</v>
      </c>
      <c r="N95" s="20">
        <v>0</v>
      </c>
      <c r="O95"/>
      <c r="P95"/>
      <c r="Q95"/>
      <c r="T95" s="20">
        <v>0</v>
      </c>
      <c r="U95" s="20"/>
      <c r="V95" s="20"/>
      <c r="W95">
        <v>1</v>
      </c>
      <c r="Z95">
        <v>3.43</v>
      </c>
      <c r="AG95">
        <v>1</v>
      </c>
      <c r="AK95">
        <v>1</v>
      </c>
      <c r="AO95">
        <v>8</v>
      </c>
      <c r="AP95" s="20">
        <v>0</v>
      </c>
      <c r="AQ95" s="20"/>
      <c r="AR95" s="23">
        <v>1.857142857142857</v>
      </c>
      <c r="AS95" s="23">
        <v>2.285714285714286</v>
      </c>
      <c r="AT95" s="23">
        <v>0.42857142857142849</v>
      </c>
      <c r="AU95" s="23">
        <v>0</v>
      </c>
      <c r="AV95" s="23">
        <v>0.40625000000000011</v>
      </c>
      <c r="AW95" s="23">
        <v>0.5</v>
      </c>
      <c r="AX95" s="23">
        <v>9.375E-2</v>
      </c>
      <c r="AY95" s="23">
        <v>0</v>
      </c>
      <c r="AZ95" s="20">
        <v>0.82</v>
      </c>
      <c r="BA95" s="20">
        <v>3.44</v>
      </c>
      <c r="BB95" s="20">
        <v>2.62</v>
      </c>
      <c r="BC95" s="20">
        <v>2.4300000000000002</v>
      </c>
      <c r="BD95">
        <v>2.4300000000000002</v>
      </c>
      <c r="BE95">
        <v>5.5971875185714284</v>
      </c>
    </row>
    <row r="96" spans="1:57" x14ac:dyDescent="0.3">
      <c r="A96" t="s">
        <v>44</v>
      </c>
      <c r="B96" s="16" t="s">
        <v>720</v>
      </c>
      <c r="C96" s="12"/>
      <c r="D96" t="s">
        <v>676</v>
      </c>
      <c r="E96" t="s">
        <v>1067</v>
      </c>
      <c r="F96">
        <v>3.44</v>
      </c>
      <c r="G96" t="s">
        <v>78</v>
      </c>
      <c r="H96" s="8" t="s">
        <v>549</v>
      </c>
      <c r="I96">
        <v>-1</v>
      </c>
      <c r="N96" s="20">
        <v>1</v>
      </c>
      <c r="O96"/>
      <c r="P96"/>
      <c r="Q96"/>
      <c r="T96" s="20">
        <v>15.28115725</v>
      </c>
      <c r="U96" s="20">
        <v>15.28115725</v>
      </c>
      <c r="V96" s="20">
        <v>15.28115725</v>
      </c>
      <c r="W96">
        <v>1</v>
      </c>
      <c r="X96">
        <v>1</v>
      </c>
      <c r="Z96">
        <v>4.0999999999999996</v>
      </c>
      <c r="AA96">
        <v>1</v>
      </c>
      <c r="AD96">
        <v>1</v>
      </c>
      <c r="AG96">
        <v>1</v>
      </c>
      <c r="AK96">
        <v>1</v>
      </c>
      <c r="AO96">
        <v>20</v>
      </c>
      <c r="AP96" s="20">
        <v>229.90248606119221</v>
      </c>
      <c r="AQ96" s="20">
        <v>8.6993404650164072E-2</v>
      </c>
      <c r="AR96" s="23">
        <v>1.882352941176471</v>
      </c>
      <c r="AS96" s="23">
        <v>2.3529411764705879</v>
      </c>
      <c r="AT96" s="23">
        <v>0.47058823529411759</v>
      </c>
      <c r="AU96" s="23">
        <v>0</v>
      </c>
      <c r="AV96" s="23">
        <v>0.4</v>
      </c>
      <c r="AW96" s="23">
        <v>0.5</v>
      </c>
      <c r="AX96" s="23">
        <v>9.9999999999999992E-2</v>
      </c>
      <c r="AY96" s="23">
        <v>0</v>
      </c>
      <c r="AZ96" s="20">
        <v>0.82</v>
      </c>
      <c r="BA96" s="20">
        <v>3.44</v>
      </c>
      <c r="BB96" s="20">
        <v>2.62</v>
      </c>
      <c r="BC96" s="20">
        <v>2.5211764705882351</v>
      </c>
      <c r="BD96">
        <v>2.521176470588236</v>
      </c>
      <c r="BE96">
        <v>5.6898745917647062</v>
      </c>
    </row>
    <row r="97" spans="1:57" x14ac:dyDescent="0.3">
      <c r="A97" t="s">
        <v>44</v>
      </c>
      <c r="B97" s="12" t="s">
        <v>720</v>
      </c>
      <c r="C97" s="12"/>
      <c r="F97">
        <v>3.69</v>
      </c>
      <c r="G97" t="s">
        <v>78</v>
      </c>
      <c r="H97" s="8" t="s">
        <v>549</v>
      </c>
      <c r="I97">
        <v>-1</v>
      </c>
      <c r="N97" s="20">
        <v>1</v>
      </c>
      <c r="O97">
        <v>3.87</v>
      </c>
      <c r="P97">
        <v>3.87</v>
      </c>
      <c r="Q97">
        <v>29.8</v>
      </c>
      <c r="R97" t="s">
        <v>440</v>
      </c>
      <c r="T97" s="20">
        <v>15.28115725</v>
      </c>
      <c r="U97" s="20">
        <v>15.28115725</v>
      </c>
      <c r="V97" s="20">
        <v>15.28115725</v>
      </c>
      <c r="W97">
        <v>1</v>
      </c>
      <c r="X97">
        <v>1</v>
      </c>
      <c r="Y97">
        <v>3</v>
      </c>
      <c r="Z97">
        <v>5.7</v>
      </c>
      <c r="AA97">
        <v>1</v>
      </c>
      <c r="AD97">
        <v>1</v>
      </c>
      <c r="AG97">
        <v>1</v>
      </c>
      <c r="AK97">
        <v>1</v>
      </c>
      <c r="AO97">
        <v>20</v>
      </c>
      <c r="AP97" s="20">
        <v>229.90248606119221</v>
      </c>
      <c r="AQ97" s="20">
        <v>8.6993404650164072E-2</v>
      </c>
      <c r="AR97" s="23">
        <v>1.882352941176471</v>
      </c>
      <c r="AS97" s="23">
        <v>2.3529411764705879</v>
      </c>
      <c r="AT97" s="23">
        <v>0.47058823529411759</v>
      </c>
      <c r="AU97" s="23">
        <v>0</v>
      </c>
      <c r="AV97" s="23">
        <v>0.4</v>
      </c>
      <c r="AW97" s="23">
        <v>0.5</v>
      </c>
      <c r="AX97" s="23">
        <v>9.9999999999999992E-2</v>
      </c>
      <c r="AY97" s="23">
        <v>0</v>
      </c>
      <c r="AZ97" s="20">
        <v>0.82</v>
      </c>
      <c r="BA97" s="20">
        <v>3.44</v>
      </c>
      <c r="BB97" s="20">
        <v>2.62</v>
      </c>
      <c r="BC97" s="20">
        <v>2.5211764705882351</v>
      </c>
      <c r="BD97">
        <v>2.521176470588236</v>
      </c>
      <c r="BE97">
        <v>5.6898745917647062</v>
      </c>
    </row>
    <row r="98" spans="1:57" x14ac:dyDescent="0.3">
      <c r="A98" t="s">
        <v>44</v>
      </c>
      <c r="B98" s="12" t="s">
        <v>720</v>
      </c>
      <c r="C98" s="12"/>
      <c r="F98">
        <v>3.78</v>
      </c>
      <c r="G98" t="s">
        <v>80</v>
      </c>
      <c r="H98" s="8" t="s">
        <v>549</v>
      </c>
      <c r="I98">
        <v>-1</v>
      </c>
      <c r="N98" s="20">
        <v>1</v>
      </c>
      <c r="O98">
        <v>3.859</v>
      </c>
      <c r="P98">
        <v>3.859</v>
      </c>
      <c r="Q98">
        <v>29.047999999999998</v>
      </c>
      <c r="R98" t="s">
        <v>440</v>
      </c>
      <c r="T98" s="20">
        <v>15.28115725</v>
      </c>
      <c r="U98" s="20">
        <v>15.28115725</v>
      </c>
      <c r="V98" s="20">
        <v>15.28115725</v>
      </c>
      <c r="W98">
        <v>1</v>
      </c>
      <c r="X98">
        <v>1</v>
      </c>
      <c r="Y98">
        <v>3</v>
      </c>
      <c r="AA98">
        <v>1</v>
      </c>
      <c r="AB98" t="s">
        <v>481</v>
      </c>
      <c r="AG98">
        <v>1</v>
      </c>
      <c r="AO98">
        <v>20</v>
      </c>
      <c r="AP98" s="20">
        <v>229.90248606119221</v>
      </c>
      <c r="AQ98" s="20">
        <v>8.6993404650164072E-2</v>
      </c>
      <c r="AR98" s="23">
        <v>1.882352941176471</v>
      </c>
      <c r="AS98" s="23">
        <v>2.3529411764705879</v>
      </c>
      <c r="AT98" s="23">
        <v>0.47058823529411759</v>
      </c>
      <c r="AU98" s="23">
        <v>0</v>
      </c>
      <c r="AV98" s="23">
        <v>0.4</v>
      </c>
      <c r="AW98" s="23">
        <v>0.5</v>
      </c>
      <c r="AX98" s="23">
        <v>9.9999999999999992E-2</v>
      </c>
      <c r="AY98" s="23">
        <v>0</v>
      </c>
      <c r="AZ98" s="20">
        <v>0.82</v>
      </c>
      <c r="BA98" s="20">
        <v>3.44</v>
      </c>
      <c r="BB98" s="20">
        <v>2.62</v>
      </c>
      <c r="BC98" s="20">
        <v>2.5211764705882351</v>
      </c>
      <c r="BD98">
        <v>2.521176470588236</v>
      </c>
      <c r="BE98">
        <v>5.6898745917647062</v>
      </c>
    </row>
    <row r="99" spans="1:57" x14ac:dyDescent="0.3">
      <c r="A99" t="s">
        <v>79</v>
      </c>
      <c r="B99" s="16" t="s">
        <v>906</v>
      </c>
      <c r="C99" s="12"/>
      <c r="F99">
        <v>3.2</v>
      </c>
      <c r="G99" t="s">
        <v>80</v>
      </c>
      <c r="H99" s="8">
        <v>-1</v>
      </c>
      <c r="I99">
        <v>-1</v>
      </c>
      <c r="N99" s="20">
        <v>0</v>
      </c>
      <c r="O99">
        <v>3.8650000000000002</v>
      </c>
      <c r="P99">
        <v>3.8650000000000002</v>
      </c>
      <c r="Q99">
        <v>29.241</v>
      </c>
      <c r="T99" s="20">
        <v>0</v>
      </c>
      <c r="U99" s="20"/>
      <c r="V99" s="20"/>
      <c r="W99">
        <v>1</v>
      </c>
      <c r="Y99">
        <v>3</v>
      </c>
      <c r="AA99">
        <v>1</v>
      </c>
      <c r="AG99">
        <v>1</v>
      </c>
      <c r="AO99">
        <v>20</v>
      </c>
      <c r="AP99" s="20">
        <v>0</v>
      </c>
      <c r="AQ99" s="20"/>
      <c r="AR99" s="23">
        <v>1.882352941176471</v>
      </c>
      <c r="AS99" s="23">
        <v>2.3529411764705879</v>
      </c>
      <c r="AT99" s="23">
        <v>0.49411764705882361</v>
      </c>
      <c r="AU99" s="23">
        <v>0</v>
      </c>
      <c r="AV99" s="23">
        <v>0.39800995024875629</v>
      </c>
      <c r="AW99" s="23">
        <v>0.4975124378109454</v>
      </c>
      <c r="AX99" s="23">
        <v>0.1044776119402985</v>
      </c>
      <c r="AY99" s="23">
        <v>0</v>
      </c>
      <c r="AZ99" s="20">
        <v>0.82</v>
      </c>
      <c r="BA99" s="20">
        <v>3.44</v>
      </c>
      <c r="BB99" s="20">
        <v>2.62</v>
      </c>
      <c r="BC99" s="20">
        <v>2.5228823529411768</v>
      </c>
      <c r="BD99">
        <v>2.5228823529411768</v>
      </c>
      <c r="BE99">
        <v>5.6932629430588237</v>
      </c>
    </row>
    <row r="100" spans="1:57" x14ac:dyDescent="0.3">
      <c r="A100" t="s">
        <v>81</v>
      </c>
      <c r="B100" s="16" t="s">
        <v>907</v>
      </c>
      <c r="C100" s="12"/>
      <c r="F100">
        <v>2.93</v>
      </c>
      <c r="G100" t="s">
        <v>80</v>
      </c>
      <c r="H100" s="8">
        <v>-1</v>
      </c>
      <c r="I100">
        <v>-1</v>
      </c>
      <c r="N100" s="20">
        <v>0</v>
      </c>
      <c r="O100">
        <v>3.8660000000000001</v>
      </c>
      <c r="P100">
        <v>3.8660000000000001</v>
      </c>
      <c r="Q100">
        <v>29.145</v>
      </c>
      <c r="T100" s="20">
        <v>0</v>
      </c>
      <c r="U100" s="20"/>
      <c r="V100" s="20"/>
      <c r="W100">
        <v>1</v>
      </c>
      <c r="Y100">
        <v>3</v>
      </c>
      <c r="AA100">
        <v>1</v>
      </c>
      <c r="AG100">
        <v>1</v>
      </c>
      <c r="AO100">
        <v>20</v>
      </c>
      <c r="AP100" s="20">
        <v>0</v>
      </c>
      <c r="AQ100" s="20"/>
      <c r="AR100" s="23">
        <v>1.882352941176471</v>
      </c>
      <c r="AS100" s="23">
        <v>2.3529411764705879</v>
      </c>
      <c r="AT100" s="23">
        <v>0.51764705882352946</v>
      </c>
      <c r="AU100" s="23">
        <v>0</v>
      </c>
      <c r="AV100" s="23">
        <v>0.39603960396039611</v>
      </c>
      <c r="AW100" s="23">
        <v>0.49504950495049499</v>
      </c>
      <c r="AX100" s="23">
        <v>0.1089108910891089</v>
      </c>
      <c r="AY100" s="23">
        <v>0</v>
      </c>
      <c r="AZ100" s="20">
        <v>0.82</v>
      </c>
      <c r="BA100" s="20">
        <v>3.44</v>
      </c>
      <c r="BB100" s="20">
        <v>2.62</v>
      </c>
      <c r="BC100" s="20">
        <v>2.5245882352941171</v>
      </c>
      <c r="BD100">
        <v>2.524588235294118</v>
      </c>
      <c r="BE100">
        <v>5.6966512943529413</v>
      </c>
    </row>
    <row r="101" spans="1:57" x14ac:dyDescent="0.3">
      <c r="A101" t="s">
        <v>82</v>
      </c>
      <c r="B101" s="16" t="s">
        <v>908</v>
      </c>
      <c r="C101" s="12"/>
      <c r="F101">
        <v>2.69</v>
      </c>
      <c r="G101" t="s">
        <v>80</v>
      </c>
      <c r="H101" s="8">
        <v>-1</v>
      </c>
      <c r="I101">
        <v>-1</v>
      </c>
      <c r="N101" s="20">
        <v>0</v>
      </c>
      <c r="O101">
        <v>3.871</v>
      </c>
      <c r="P101">
        <v>3.871</v>
      </c>
      <c r="Q101">
        <v>29.241</v>
      </c>
      <c r="T101" s="20">
        <v>0</v>
      </c>
      <c r="U101" s="20"/>
      <c r="V101" s="20"/>
      <c r="W101">
        <v>1</v>
      </c>
      <c r="Y101">
        <v>3</v>
      </c>
      <c r="AA101">
        <v>1</v>
      </c>
      <c r="AG101">
        <v>1</v>
      </c>
      <c r="AO101">
        <v>20</v>
      </c>
      <c r="AP101" s="20">
        <v>0</v>
      </c>
      <c r="AQ101" s="20"/>
      <c r="AR101" s="23">
        <v>1.882352941176471</v>
      </c>
      <c r="AS101" s="23">
        <v>2.3529411764705879</v>
      </c>
      <c r="AT101" s="23">
        <v>0.54117647058823526</v>
      </c>
      <c r="AU101" s="23">
        <v>0</v>
      </c>
      <c r="AV101" s="23">
        <v>0.39408866995073888</v>
      </c>
      <c r="AW101" s="23">
        <v>0.49261083743842371</v>
      </c>
      <c r="AX101" s="23">
        <v>0.1133004926108374</v>
      </c>
      <c r="AY101" s="23">
        <v>0</v>
      </c>
      <c r="AZ101" s="20">
        <v>0.82</v>
      </c>
      <c r="BA101" s="20">
        <v>3.44</v>
      </c>
      <c r="BB101" s="20">
        <v>2.62</v>
      </c>
      <c r="BC101" s="20">
        <v>2.5262941176470588</v>
      </c>
      <c r="BD101">
        <v>2.5262941176470588</v>
      </c>
      <c r="BE101">
        <v>5.7000396456470588</v>
      </c>
    </row>
    <row r="102" spans="1:57" x14ac:dyDescent="0.3">
      <c r="A102" t="s">
        <v>83</v>
      </c>
      <c r="B102" s="16" t="s">
        <v>909</v>
      </c>
      <c r="C102" s="12"/>
      <c r="F102">
        <v>2.4300000000000002</v>
      </c>
      <c r="G102" t="s">
        <v>80</v>
      </c>
      <c r="H102" s="8">
        <v>-1</v>
      </c>
      <c r="I102">
        <v>-1</v>
      </c>
      <c r="N102" s="20">
        <v>0</v>
      </c>
      <c r="O102">
        <v>3.8740000000000001</v>
      </c>
      <c r="P102">
        <v>3.8740000000000001</v>
      </c>
      <c r="Q102">
        <v>32.945999999999998</v>
      </c>
      <c r="T102" s="20">
        <v>0</v>
      </c>
      <c r="U102" s="20"/>
      <c r="V102" s="20"/>
      <c r="W102">
        <v>1</v>
      </c>
      <c r="Y102">
        <v>3</v>
      </c>
      <c r="AA102">
        <v>1</v>
      </c>
      <c r="AG102">
        <v>1</v>
      </c>
      <c r="AO102">
        <v>20</v>
      </c>
      <c r="AP102" s="20">
        <v>0</v>
      </c>
      <c r="AQ102" s="20"/>
      <c r="AR102" s="23">
        <v>1.882352941176471</v>
      </c>
      <c r="AS102" s="23">
        <v>2.3529411764705879</v>
      </c>
      <c r="AT102" s="23">
        <v>0.56470588235294128</v>
      </c>
      <c r="AU102" s="23">
        <v>0</v>
      </c>
      <c r="AV102" s="23">
        <v>0.39215686274509798</v>
      </c>
      <c r="AW102" s="23">
        <v>0.49019607843137247</v>
      </c>
      <c r="AX102" s="23">
        <v>0.1176470588235294</v>
      </c>
      <c r="AY102" s="23">
        <v>0</v>
      </c>
      <c r="AZ102" s="20">
        <v>0.82</v>
      </c>
      <c r="BA102" s="20">
        <v>3.44</v>
      </c>
      <c r="BB102" s="20">
        <v>2.62</v>
      </c>
      <c r="BC102" s="20">
        <v>2.528</v>
      </c>
      <c r="BD102">
        <v>2.528</v>
      </c>
      <c r="BE102">
        <v>5.7034279969411772</v>
      </c>
    </row>
    <row r="103" spans="1:57" x14ac:dyDescent="0.3">
      <c r="A103" s="4" t="s">
        <v>84</v>
      </c>
      <c r="B103" s="16" t="s">
        <v>910</v>
      </c>
      <c r="C103" s="12"/>
      <c r="F103">
        <v>2.41</v>
      </c>
      <c r="G103" t="s">
        <v>80</v>
      </c>
      <c r="H103" s="8">
        <v>-1</v>
      </c>
      <c r="I103">
        <v>-1</v>
      </c>
      <c r="N103" s="20">
        <v>0</v>
      </c>
      <c r="O103">
        <v>3.8759999999999999</v>
      </c>
      <c r="P103">
        <v>3.8759999999999999</v>
      </c>
      <c r="Q103">
        <f>AVERAGE(Q99:Q102)</f>
        <v>30.143249999999998</v>
      </c>
      <c r="T103" s="20">
        <v>0</v>
      </c>
      <c r="U103" s="20"/>
      <c r="V103" s="20"/>
      <c r="W103">
        <v>1</v>
      </c>
      <c r="Y103">
        <v>3</v>
      </c>
      <c r="AA103">
        <v>1</v>
      </c>
      <c r="AG103">
        <v>1</v>
      </c>
      <c r="AO103">
        <v>20</v>
      </c>
      <c r="AP103" s="20">
        <v>0</v>
      </c>
      <c r="AQ103" s="20"/>
      <c r="AR103" s="23">
        <v>1.882352941176471</v>
      </c>
      <c r="AS103" s="23">
        <v>2.3529411764705879</v>
      </c>
      <c r="AT103" s="23">
        <v>0.58823529411764708</v>
      </c>
      <c r="AU103" s="23">
        <v>0</v>
      </c>
      <c r="AV103" s="23">
        <v>0.3902439024390244</v>
      </c>
      <c r="AW103" s="23">
        <v>0.48780487804878048</v>
      </c>
      <c r="AX103" s="23">
        <v>0.12195121951219511</v>
      </c>
      <c r="AY103" s="23">
        <v>0</v>
      </c>
      <c r="AZ103" s="20">
        <v>0.82</v>
      </c>
      <c r="BA103" s="20">
        <v>3.44</v>
      </c>
      <c r="BB103" s="20">
        <v>2.62</v>
      </c>
      <c r="BC103" s="20">
        <v>2.5297058823529408</v>
      </c>
      <c r="BD103">
        <v>2.5297058823529408</v>
      </c>
      <c r="BE103">
        <v>5.7068163482352947</v>
      </c>
    </row>
    <row r="104" spans="1:57" x14ac:dyDescent="0.3">
      <c r="A104" t="s">
        <v>85</v>
      </c>
      <c r="B104" s="16" t="s">
        <v>911</v>
      </c>
      <c r="C104" s="12"/>
      <c r="F104">
        <v>3.06</v>
      </c>
      <c r="G104" t="s">
        <v>80</v>
      </c>
      <c r="H104" s="8">
        <v>-1</v>
      </c>
      <c r="I104">
        <v>-1</v>
      </c>
      <c r="N104" s="20">
        <v>0</v>
      </c>
      <c r="O104">
        <v>3.8660000000000001</v>
      </c>
      <c r="P104">
        <v>3.8660000000000001</v>
      </c>
      <c r="Q104">
        <v>29.114000000000001</v>
      </c>
      <c r="T104" s="20">
        <v>0</v>
      </c>
      <c r="U104" s="20"/>
      <c r="V104" s="20"/>
      <c r="W104">
        <v>1</v>
      </c>
      <c r="Y104">
        <v>3</v>
      </c>
      <c r="AA104">
        <v>1</v>
      </c>
      <c r="AG104">
        <v>1</v>
      </c>
      <c r="AO104">
        <v>20</v>
      </c>
      <c r="AP104" s="20">
        <v>0</v>
      </c>
      <c r="AQ104" s="20"/>
      <c r="AR104" s="23">
        <v>1.882352941176471</v>
      </c>
      <c r="AS104" s="23">
        <v>2.3529411764705879</v>
      </c>
      <c r="AT104" s="23">
        <v>0.49411764705882361</v>
      </c>
      <c r="AU104" s="23">
        <v>0.1647058823529412</v>
      </c>
      <c r="AV104" s="23">
        <v>0.38461538461538458</v>
      </c>
      <c r="AW104" s="23">
        <v>0.48076923076923073</v>
      </c>
      <c r="AX104" s="23">
        <v>0.10096153846153851</v>
      </c>
      <c r="AY104" s="23">
        <v>3.3653846153846159E-2</v>
      </c>
      <c r="AZ104" s="20">
        <v>0.82</v>
      </c>
      <c r="BA104" s="20">
        <v>3.44</v>
      </c>
      <c r="BB104" s="20">
        <v>2.62</v>
      </c>
      <c r="BC104" s="20">
        <v>2.530823529411764</v>
      </c>
      <c r="BD104">
        <v>2.5308235294117649</v>
      </c>
      <c r="BE104">
        <v>5.7003253741176483</v>
      </c>
    </row>
    <row r="105" spans="1:57" x14ac:dyDescent="0.3">
      <c r="A105" t="s">
        <v>86</v>
      </c>
      <c r="B105" s="16" t="s">
        <v>912</v>
      </c>
      <c r="C105" s="12"/>
      <c r="F105">
        <v>2.12</v>
      </c>
      <c r="G105" t="s">
        <v>80</v>
      </c>
      <c r="H105" s="8">
        <v>-1</v>
      </c>
      <c r="I105">
        <v>-1</v>
      </c>
      <c r="N105" s="20">
        <v>0</v>
      </c>
      <c r="O105">
        <v>3.8570000000000002</v>
      </c>
      <c r="P105">
        <v>3.8570000000000002</v>
      </c>
      <c r="Q105">
        <v>29.533999999999999</v>
      </c>
      <c r="T105" s="20">
        <v>0</v>
      </c>
      <c r="U105" s="20"/>
      <c r="V105" s="20"/>
      <c r="W105">
        <v>1</v>
      </c>
      <c r="Y105">
        <v>3</v>
      </c>
      <c r="AA105">
        <v>1</v>
      </c>
      <c r="AG105">
        <v>1</v>
      </c>
      <c r="AO105">
        <v>20</v>
      </c>
      <c r="AP105" s="20">
        <v>0</v>
      </c>
      <c r="AQ105" s="20"/>
      <c r="AR105" s="23">
        <v>1.882352941176471</v>
      </c>
      <c r="AS105" s="23">
        <v>2.3529411764705879</v>
      </c>
      <c r="AT105" s="23">
        <v>0.54117647058823526</v>
      </c>
      <c r="AU105" s="23">
        <v>0</v>
      </c>
      <c r="AV105" s="23">
        <v>0.39408866995073888</v>
      </c>
      <c r="AW105" s="23">
        <v>0.49261083743842371</v>
      </c>
      <c r="AX105" s="23">
        <v>0.1133004926108374</v>
      </c>
      <c r="AY105" s="23">
        <v>0</v>
      </c>
      <c r="AZ105" s="20">
        <v>0.82</v>
      </c>
      <c r="BA105" s="20">
        <v>3.44</v>
      </c>
      <c r="BB105" s="20">
        <v>2.62</v>
      </c>
      <c r="BC105" s="20">
        <v>2.525529411764706</v>
      </c>
      <c r="BD105">
        <v>2.525529411764706</v>
      </c>
      <c r="BE105">
        <v>5.7010120870588246</v>
      </c>
    </row>
    <row r="106" spans="1:57" x14ac:dyDescent="0.3">
      <c r="A106" t="s">
        <v>87</v>
      </c>
      <c r="B106" s="16" t="s">
        <v>743</v>
      </c>
      <c r="C106" s="12"/>
      <c r="F106">
        <v>3.9</v>
      </c>
      <c r="G106" t="s">
        <v>89</v>
      </c>
      <c r="H106" s="8">
        <v>-1</v>
      </c>
      <c r="I106">
        <v>-1</v>
      </c>
      <c r="J106" t="s">
        <v>1162</v>
      </c>
      <c r="N106" s="20">
        <v>0</v>
      </c>
      <c r="O106">
        <v>3.9037999999999999</v>
      </c>
      <c r="P106">
        <v>3.9037999999999999</v>
      </c>
      <c r="Q106">
        <v>9.7742000000000004</v>
      </c>
      <c r="R106" t="s">
        <v>439</v>
      </c>
      <c r="T106" s="20">
        <v>0</v>
      </c>
      <c r="U106" s="20"/>
      <c r="V106" s="20"/>
      <c r="W106">
        <v>1</v>
      </c>
      <c r="Y106">
        <v>3</v>
      </c>
      <c r="Z106">
        <v>4</v>
      </c>
      <c r="AA106">
        <f>385*2</f>
        <v>770</v>
      </c>
      <c r="AB106" t="s">
        <v>482</v>
      </c>
      <c r="AG106">
        <v>1</v>
      </c>
      <c r="AO106">
        <v>14</v>
      </c>
      <c r="AP106" s="20">
        <v>0</v>
      </c>
      <c r="AQ106" s="20"/>
      <c r="AR106" s="23">
        <v>1.833333333333333</v>
      </c>
      <c r="AS106" s="23">
        <v>2.333333333333333</v>
      </c>
      <c r="AT106" s="23">
        <v>0.5</v>
      </c>
      <c r="AU106" s="23">
        <v>2.333333333333333</v>
      </c>
      <c r="AV106" s="23">
        <v>0.26190476190476192</v>
      </c>
      <c r="AW106" s="23">
        <v>0.33333333333333343</v>
      </c>
      <c r="AX106" s="23">
        <v>7.1428571428571425E-2</v>
      </c>
      <c r="AY106" s="23">
        <v>0.33333333333333343</v>
      </c>
      <c r="AZ106" s="20">
        <v>0.95</v>
      </c>
      <c r="BA106" s="20">
        <v>3.44</v>
      </c>
      <c r="BB106" s="20">
        <v>2.4900000000000002</v>
      </c>
      <c r="BC106" s="20">
        <v>2.7024999999999988</v>
      </c>
      <c r="BD106">
        <v>2.7025000000000001</v>
      </c>
      <c r="BE106">
        <v>6.4896876145585001</v>
      </c>
    </row>
    <row r="107" spans="1:57" x14ac:dyDescent="0.3">
      <c r="A107" t="s">
        <v>88</v>
      </c>
      <c r="B107" s="12" t="s">
        <v>741</v>
      </c>
      <c r="C107" s="12"/>
      <c r="F107">
        <v>3.9</v>
      </c>
      <c r="G107" t="s">
        <v>89</v>
      </c>
      <c r="H107" s="8" t="s">
        <v>562</v>
      </c>
      <c r="I107" t="s">
        <v>640</v>
      </c>
      <c r="N107" s="20">
        <v>1</v>
      </c>
      <c r="O107" s="1">
        <v>3.847</v>
      </c>
      <c r="P107" s="1">
        <v>3.847</v>
      </c>
      <c r="Q107" s="1">
        <v>18.109400000000001</v>
      </c>
      <c r="R107" s="1" t="s">
        <v>440</v>
      </c>
      <c r="S107" s="1"/>
      <c r="T107" s="20">
        <v>3.9407006600000001</v>
      </c>
      <c r="U107" s="20">
        <v>3.94070016</v>
      </c>
      <c r="V107" s="20">
        <v>9.4498532300000004</v>
      </c>
      <c r="W107">
        <v>1</v>
      </c>
      <c r="Y107">
        <v>3</v>
      </c>
      <c r="Z107">
        <v>0.2</v>
      </c>
      <c r="AA107">
        <v>29.8</v>
      </c>
      <c r="AG107">
        <v>1</v>
      </c>
      <c r="AO107">
        <v>14</v>
      </c>
      <c r="AP107" s="20">
        <v>140.22301532111419</v>
      </c>
      <c r="AQ107" s="20">
        <v>9.984095669273442E-2</v>
      </c>
      <c r="AR107" s="23">
        <v>1.833333333333333</v>
      </c>
      <c r="AS107" s="23">
        <v>2.333333333333333</v>
      </c>
      <c r="AT107" s="23">
        <v>0.5</v>
      </c>
      <c r="AU107" s="23">
        <v>2.333333333333333</v>
      </c>
      <c r="AV107" s="23">
        <v>0.26190476190476192</v>
      </c>
      <c r="AW107" s="23">
        <v>0.33333333333333343</v>
      </c>
      <c r="AX107" s="23">
        <v>7.1428571428571425E-2</v>
      </c>
      <c r="AY107" s="23">
        <v>0.33333333333333343</v>
      </c>
      <c r="AZ107" s="20">
        <v>0.95</v>
      </c>
      <c r="BA107" s="20">
        <v>3.44</v>
      </c>
      <c r="BB107" s="20">
        <v>2.4900000000000002</v>
      </c>
      <c r="BC107" s="20">
        <v>2.499166666666667</v>
      </c>
      <c r="BD107">
        <v>2.499166666666667</v>
      </c>
      <c r="BE107">
        <v>5.7944152492500001</v>
      </c>
    </row>
    <row r="108" spans="1:57" x14ac:dyDescent="0.3">
      <c r="A108" t="s">
        <v>856</v>
      </c>
      <c r="B108" s="16" t="s">
        <v>913</v>
      </c>
      <c r="C108" s="12"/>
      <c r="F108">
        <v>3.9</v>
      </c>
      <c r="G108" t="s">
        <v>89</v>
      </c>
      <c r="H108" s="8">
        <v>-1</v>
      </c>
      <c r="I108">
        <v>-1</v>
      </c>
      <c r="N108" s="20">
        <v>0</v>
      </c>
      <c r="O108">
        <v>3.9973999999999998</v>
      </c>
      <c r="P108">
        <v>3.9973999999999998</v>
      </c>
      <c r="Q108">
        <v>12.132999999999999</v>
      </c>
      <c r="R108" t="s">
        <v>439</v>
      </c>
      <c r="T108" s="20">
        <v>0</v>
      </c>
      <c r="U108" s="20"/>
      <c r="V108" s="20"/>
      <c r="W108">
        <v>1</v>
      </c>
      <c r="Y108">
        <v>3</v>
      </c>
      <c r="Z108">
        <v>1.1000000000000001</v>
      </c>
      <c r="AA108">
        <f>374*2</f>
        <v>748</v>
      </c>
      <c r="AG108">
        <v>1</v>
      </c>
      <c r="AO108">
        <v>14</v>
      </c>
      <c r="AP108" s="20">
        <v>0</v>
      </c>
      <c r="AQ108" s="20"/>
      <c r="AR108" s="23">
        <v>1.833333333333333</v>
      </c>
      <c r="AS108" s="23">
        <v>2.333333333333333</v>
      </c>
      <c r="AT108" s="23">
        <v>0.5</v>
      </c>
      <c r="AU108" s="23">
        <v>2.333333333333333</v>
      </c>
      <c r="AV108" s="23">
        <v>0.26190476190476192</v>
      </c>
      <c r="AW108" s="23">
        <v>0.33333333333333343</v>
      </c>
      <c r="AX108" s="23">
        <v>7.1428571428571425E-2</v>
      </c>
      <c r="AY108" s="23">
        <v>0.33333333333333343</v>
      </c>
      <c r="AZ108" s="20">
        <v>0.82</v>
      </c>
      <c r="BA108" s="20">
        <v>3.44</v>
      </c>
      <c r="BB108" s="20">
        <v>2.62</v>
      </c>
      <c r="BC108" s="20">
        <v>2.4725000000000001</v>
      </c>
      <c r="BD108">
        <v>2.4725000000000001</v>
      </c>
      <c r="BE108">
        <v>5.697111802916667</v>
      </c>
    </row>
    <row r="109" spans="1:57" x14ac:dyDescent="0.3">
      <c r="A109" t="s">
        <v>857</v>
      </c>
      <c r="B109" s="16" t="s">
        <v>914</v>
      </c>
      <c r="C109" s="12"/>
      <c r="F109">
        <v>3.9</v>
      </c>
      <c r="G109" t="s">
        <v>89</v>
      </c>
      <c r="H109" s="8">
        <v>-1</v>
      </c>
      <c r="I109">
        <v>-1</v>
      </c>
      <c r="N109" s="20">
        <v>0</v>
      </c>
      <c r="O109">
        <v>3.9727000000000001</v>
      </c>
      <c r="P109">
        <v>3.9727000000000001</v>
      </c>
      <c r="Q109">
        <v>12.763199999999999</v>
      </c>
      <c r="R109" t="s">
        <v>439</v>
      </c>
      <c r="T109" s="20">
        <v>0</v>
      </c>
      <c r="U109" s="20"/>
      <c r="V109" s="20"/>
      <c r="W109">
        <v>1</v>
      </c>
      <c r="Y109">
        <v>3</v>
      </c>
      <c r="Z109">
        <v>1.6</v>
      </c>
      <c r="AA109">
        <v>176</v>
      </c>
      <c r="AG109">
        <v>1</v>
      </c>
      <c r="AO109">
        <v>14</v>
      </c>
      <c r="AP109" s="20">
        <v>0</v>
      </c>
      <c r="AQ109" s="20"/>
      <c r="AR109" s="23">
        <v>1.833333333333333</v>
      </c>
      <c r="AS109" s="23">
        <v>2.333333333333333</v>
      </c>
      <c r="AT109" s="23">
        <v>0.5</v>
      </c>
      <c r="AU109" s="23">
        <v>2.333333333333333</v>
      </c>
      <c r="AV109" s="23">
        <v>0.26190476190476192</v>
      </c>
      <c r="AW109" s="23">
        <v>0.33333333333333343</v>
      </c>
      <c r="AX109" s="23">
        <v>7.1428571428571425E-2</v>
      </c>
      <c r="AY109" s="23">
        <v>0.33333333333333343</v>
      </c>
      <c r="AZ109" s="20">
        <v>0.82</v>
      </c>
      <c r="BA109" s="20">
        <v>3.44</v>
      </c>
      <c r="BB109" s="20">
        <v>2.62</v>
      </c>
      <c r="BC109" s="20">
        <v>2.4725000000000001</v>
      </c>
      <c r="BD109">
        <v>2.4725000000000001</v>
      </c>
      <c r="BE109">
        <v>5.6821885904166667</v>
      </c>
    </row>
    <row r="110" spans="1:57" x14ac:dyDescent="0.3">
      <c r="A110" t="s">
        <v>27</v>
      </c>
      <c r="B110" s="12" t="s">
        <v>742</v>
      </c>
      <c r="C110" s="12"/>
      <c r="F110">
        <v>3.6</v>
      </c>
      <c r="G110" t="s">
        <v>89</v>
      </c>
      <c r="H110" s="8" t="s">
        <v>563</v>
      </c>
      <c r="I110" t="s">
        <v>641</v>
      </c>
      <c r="N110" s="20">
        <v>1</v>
      </c>
      <c r="O110"/>
      <c r="P110"/>
      <c r="Q110"/>
      <c r="T110" s="20">
        <v>3.9948813699999999</v>
      </c>
      <c r="U110" s="20">
        <v>3.9948813699999999</v>
      </c>
      <c r="V110" s="20">
        <v>3.9948813699999999</v>
      </c>
      <c r="W110"/>
      <c r="Z110">
        <v>1.5</v>
      </c>
      <c r="AA110">
        <f>24.7*2</f>
        <v>49.4</v>
      </c>
      <c r="AG110">
        <v>1</v>
      </c>
      <c r="AO110">
        <v>6</v>
      </c>
      <c r="AP110" s="20">
        <v>63.754620030366901</v>
      </c>
      <c r="AQ110" s="20">
        <v>9.4110826747020773E-2</v>
      </c>
      <c r="AR110" s="23">
        <v>1.8</v>
      </c>
      <c r="AS110" s="23">
        <v>2.4</v>
      </c>
      <c r="AT110" s="23">
        <v>0.6</v>
      </c>
      <c r="AU110" s="23">
        <v>2.8</v>
      </c>
      <c r="AV110" s="23">
        <v>0.23684210526315791</v>
      </c>
      <c r="AW110" s="23">
        <v>0.31578947368421051</v>
      </c>
      <c r="AX110" s="23">
        <v>7.8947368421052627E-2</v>
      </c>
      <c r="AY110" s="23">
        <v>0.36842105263157893</v>
      </c>
      <c r="AZ110" s="20">
        <v>0.82</v>
      </c>
      <c r="BA110" s="20">
        <v>3.44</v>
      </c>
      <c r="BB110" s="20">
        <v>2.62</v>
      </c>
      <c r="BC110" s="20">
        <v>2.528</v>
      </c>
      <c r="BD110">
        <v>2.528</v>
      </c>
      <c r="BE110">
        <v>5.7952294759999994</v>
      </c>
    </row>
    <row r="111" spans="1:57" x14ac:dyDescent="0.3">
      <c r="A111" t="s">
        <v>864</v>
      </c>
      <c r="B111" s="12" t="s">
        <v>861</v>
      </c>
      <c r="C111" s="12"/>
      <c r="F111">
        <v>4</v>
      </c>
      <c r="G111" t="s">
        <v>91</v>
      </c>
      <c r="H111" s="8">
        <v>-1</v>
      </c>
      <c r="I111">
        <v>-1</v>
      </c>
      <c r="N111" s="20">
        <v>0</v>
      </c>
      <c r="O111">
        <v>3.9607999999999999</v>
      </c>
      <c r="P111">
        <v>3.9607999999999999</v>
      </c>
      <c r="Q111">
        <v>21.8126</v>
      </c>
      <c r="R111" t="s">
        <v>440</v>
      </c>
      <c r="T111" s="20">
        <v>0</v>
      </c>
      <c r="U111" s="20"/>
      <c r="V111" s="20"/>
      <c r="W111">
        <v>1</v>
      </c>
      <c r="Z111">
        <v>3.7</v>
      </c>
      <c r="AA111">
        <f>146*2</f>
        <v>292</v>
      </c>
      <c r="AB111" t="s">
        <v>482</v>
      </c>
      <c r="AG111">
        <v>1</v>
      </c>
      <c r="AO111">
        <v>42</v>
      </c>
      <c r="AP111" s="20">
        <v>0</v>
      </c>
      <c r="AQ111" s="20"/>
      <c r="AR111" s="23">
        <v>1.828571428571429</v>
      </c>
      <c r="AS111" s="23">
        <v>2.4</v>
      </c>
      <c r="AT111" s="23">
        <v>0.5714285714285714</v>
      </c>
      <c r="AU111" s="23">
        <v>2.4</v>
      </c>
      <c r="AV111" s="23">
        <v>0.25396825396825401</v>
      </c>
      <c r="AW111" s="23">
        <v>0.33333333333333331</v>
      </c>
      <c r="AX111" s="23">
        <v>7.9365079365079361E-2</v>
      </c>
      <c r="AY111" s="23">
        <v>0.33333333333333331</v>
      </c>
      <c r="AZ111" s="20">
        <v>0.82</v>
      </c>
      <c r="BA111" s="20">
        <v>3.44</v>
      </c>
      <c r="BB111" s="20">
        <v>2.62</v>
      </c>
      <c r="BC111" s="20">
        <v>2.524571428571428</v>
      </c>
      <c r="BD111">
        <v>2.524571428571428</v>
      </c>
      <c r="BE111">
        <v>5.7888591694285711</v>
      </c>
    </row>
    <row r="112" spans="1:57" x14ac:dyDescent="0.3">
      <c r="A112" t="s">
        <v>865</v>
      </c>
      <c r="B112" s="12" t="s">
        <v>862</v>
      </c>
      <c r="C112" s="12"/>
      <c r="F112">
        <v>4</v>
      </c>
      <c r="G112" t="s">
        <v>91</v>
      </c>
      <c r="H112" s="8">
        <v>-1</v>
      </c>
      <c r="I112">
        <v>-1</v>
      </c>
      <c r="N112" s="20">
        <v>0</v>
      </c>
      <c r="O112">
        <v>3.9483999999999999</v>
      </c>
      <c r="P112">
        <v>3.9483999999999999</v>
      </c>
      <c r="Q112">
        <v>9.7742000000000004</v>
      </c>
      <c r="R112" t="s">
        <v>439</v>
      </c>
      <c r="T112" s="20">
        <v>0</v>
      </c>
      <c r="U112" s="20"/>
      <c r="V112" s="20"/>
      <c r="W112">
        <v>1</v>
      </c>
      <c r="Z112">
        <v>7.8</v>
      </c>
      <c r="AA112">
        <f>158*2</f>
        <v>316</v>
      </c>
      <c r="AG112">
        <v>1</v>
      </c>
      <c r="AO112">
        <v>42</v>
      </c>
      <c r="AP112" s="20">
        <v>0</v>
      </c>
      <c r="AQ112" s="20"/>
      <c r="AR112" s="23">
        <v>1.828571428571429</v>
      </c>
      <c r="AS112" s="23">
        <v>2.4</v>
      </c>
      <c r="AT112" s="23">
        <v>0.5714285714285714</v>
      </c>
      <c r="AU112" s="23">
        <v>2.4</v>
      </c>
      <c r="AV112" s="23">
        <v>0.25396825396825401</v>
      </c>
      <c r="AW112" s="23">
        <v>0.33333333333333331</v>
      </c>
      <c r="AX112" s="23">
        <v>7.9365079365079361E-2</v>
      </c>
      <c r="AY112" s="23">
        <v>0.33333333333333331</v>
      </c>
      <c r="AZ112" s="20">
        <v>1.1000000000000001</v>
      </c>
      <c r="BA112" s="20">
        <v>3.44</v>
      </c>
      <c r="BB112" s="20">
        <v>2.34</v>
      </c>
      <c r="BC112" s="20">
        <v>2.7611428571428571</v>
      </c>
      <c r="BD112">
        <v>2.7611428571428571</v>
      </c>
      <c r="BE112">
        <v>6.6040800042601706</v>
      </c>
    </row>
    <row r="113" spans="1:57" x14ac:dyDescent="0.3">
      <c r="A113" t="s">
        <v>858</v>
      </c>
      <c r="B113" s="12" t="s">
        <v>859</v>
      </c>
      <c r="C113" s="12"/>
      <c r="F113">
        <v>4</v>
      </c>
      <c r="G113" t="s">
        <v>91</v>
      </c>
      <c r="H113" s="8" t="s">
        <v>860</v>
      </c>
      <c r="I113">
        <v>1540895</v>
      </c>
      <c r="N113" s="20">
        <v>0</v>
      </c>
      <c r="O113"/>
      <c r="P113"/>
      <c r="Q113"/>
      <c r="T113" s="20">
        <v>0</v>
      </c>
      <c r="U113" s="20"/>
      <c r="V113" s="20"/>
      <c r="W113">
        <v>1</v>
      </c>
      <c r="Z113">
        <v>3.3</v>
      </c>
      <c r="AA113">
        <f>70</f>
        <v>70</v>
      </c>
      <c r="AG113">
        <v>1</v>
      </c>
      <c r="AO113">
        <v>18</v>
      </c>
      <c r="AP113" s="20">
        <v>0</v>
      </c>
      <c r="AQ113" s="20"/>
      <c r="AR113" s="23">
        <v>2</v>
      </c>
      <c r="AS113" s="23">
        <v>2.7692307692307692</v>
      </c>
      <c r="AT113" s="23">
        <v>0.76923076923076927</v>
      </c>
      <c r="AU113" s="23">
        <v>3.2307692307692308</v>
      </c>
      <c r="AV113" s="23">
        <v>0.22807017543859651</v>
      </c>
      <c r="AW113" s="23">
        <v>0.31578947368421051</v>
      </c>
      <c r="AX113" s="23">
        <v>8.771929824561403E-2</v>
      </c>
      <c r="AY113" s="23">
        <v>0.36842105263157893</v>
      </c>
      <c r="AZ113" s="20">
        <v>1.1000000000000001</v>
      </c>
      <c r="BA113" s="20">
        <v>3.44</v>
      </c>
      <c r="BB113" s="20">
        <v>2.34</v>
      </c>
      <c r="BC113" s="20">
        <v>2.8123076923076931</v>
      </c>
      <c r="BD113">
        <v>2.8123076923076931</v>
      </c>
      <c r="BE113">
        <v>6.3640369961538461</v>
      </c>
    </row>
    <row r="114" spans="1:57" x14ac:dyDescent="0.3">
      <c r="A114" t="s">
        <v>87</v>
      </c>
      <c r="B114" s="12" t="s">
        <v>743</v>
      </c>
      <c r="C114" s="12"/>
      <c r="F114">
        <v>3.9</v>
      </c>
      <c r="G114" t="s">
        <v>91</v>
      </c>
      <c r="H114" s="8" t="s">
        <v>564</v>
      </c>
      <c r="I114">
        <v>-1</v>
      </c>
      <c r="N114" s="20">
        <v>1</v>
      </c>
      <c r="O114"/>
      <c r="P114"/>
      <c r="Q114"/>
      <c r="T114" s="20">
        <v>9.9051542599999998</v>
      </c>
      <c r="U114" s="20">
        <v>9.9051542599999998</v>
      </c>
      <c r="V114" s="20">
        <v>9.9051542599999998</v>
      </c>
      <c r="W114">
        <v>1</v>
      </c>
      <c r="Z114">
        <v>4</v>
      </c>
      <c r="AA114">
        <f>385*2</f>
        <v>770</v>
      </c>
      <c r="AG114">
        <v>1</v>
      </c>
      <c r="AO114">
        <v>14</v>
      </c>
      <c r="AP114" s="20">
        <v>150.75696951344321</v>
      </c>
      <c r="AQ114" s="20">
        <v>9.2864695046497372E-2</v>
      </c>
      <c r="AR114" s="23">
        <v>1.833333333333333</v>
      </c>
      <c r="AS114" s="23">
        <v>2.333333333333333</v>
      </c>
      <c r="AT114" s="23">
        <v>0.5</v>
      </c>
      <c r="AU114" s="23">
        <v>2.333333333333333</v>
      </c>
      <c r="AV114" s="23">
        <v>0.26190476190476192</v>
      </c>
      <c r="AW114" s="23">
        <v>0.33333333333333343</v>
      </c>
      <c r="AX114" s="23">
        <v>7.1428571428571425E-2</v>
      </c>
      <c r="AY114" s="23">
        <v>0.33333333333333343</v>
      </c>
      <c r="AZ114" s="20">
        <v>0.95</v>
      </c>
      <c r="BA114" s="20">
        <v>3.44</v>
      </c>
      <c r="BB114" s="20">
        <v>2.4900000000000002</v>
      </c>
      <c r="BC114" s="20">
        <v>2.7024999999999988</v>
      </c>
      <c r="BD114">
        <v>2.7025000000000001</v>
      </c>
      <c r="BE114">
        <v>6.4896876145585001</v>
      </c>
    </row>
    <row r="115" spans="1:57" x14ac:dyDescent="0.3">
      <c r="A115" t="s">
        <v>92</v>
      </c>
      <c r="B115" s="16" t="s">
        <v>915</v>
      </c>
      <c r="C115" s="12"/>
      <c r="F115">
        <v>4.0999999999999996</v>
      </c>
      <c r="G115" t="s">
        <v>93</v>
      </c>
      <c r="H115" s="8">
        <v>-1</v>
      </c>
      <c r="I115">
        <v>-1</v>
      </c>
      <c r="N115" s="20">
        <v>0</v>
      </c>
      <c r="O115">
        <v>3.9499</v>
      </c>
      <c r="P115">
        <v>3.9499</v>
      </c>
      <c r="Q115">
        <v>17.030999999999999</v>
      </c>
      <c r="R115" t="s">
        <v>439</v>
      </c>
      <c r="T115" s="20">
        <v>0</v>
      </c>
      <c r="U115" s="20"/>
      <c r="V115" s="20"/>
      <c r="W115">
        <v>1</v>
      </c>
      <c r="AB115" t="s">
        <v>483</v>
      </c>
      <c r="AG115">
        <v>1</v>
      </c>
      <c r="AO115">
        <v>20</v>
      </c>
      <c r="AP115" s="20">
        <v>0</v>
      </c>
      <c r="AQ115" s="20"/>
      <c r="AR115" s="23">
        <v>1.8787878787878789</v>
      </c>
      <c r="AS115" s="23">
        <v>2.4242424242424239</v>
      </c>
      <c r="AT115" s="23">
        <v>0.54545454545454541</v>
      </c>
      <c r="AU115" s="23">
        <v>2.545454545454545</v>
      </c>
      <c r="AV115" s="23">
        <v>0.25409836065573771</v>
      </c>
      <c r="AW115" s="23">
        <v>0.32786885245901642</v>
      </c>
      <c r="AX115" s="23">
        <v>7.3770491803278687E-2</v>
      </c>
      <c r="AY115" s="23">
        <v>0.34426229508196721</v>
      </c>
      <c r="AZ115" s="20">
        <v>0.82</v>
      </c>
      <c r="BA115" s="20">
        <v>3.44</v>
      </c>
      <c r="BB115" s="20">
        <v>2.62</v>
      </c>
      <c r="BC115" s="20">
        <v>2.543333333333333</v>
      </c>
      <c r="BD115">
        <v>2.5433333333333339</v>
      </c>
      <c r="BE115">
        <v>5.8398279362121217</v>
      </c>
    </row>
    <row r="116" spans="1:57" x14ac:dyDescent="0.3">
      <c r="A116" t="s">
        <v>34</v>
      </c>
      <c r="B116" s="12" t="s">
        <v>711</v>
      </c>
      <c r="C116" s="12"/>
      <c r="F116">
        <v>3.2</v>
      </c>
      <c r="G116" t="s">
        <v>94</v>
      </c>
      <c r="H116" s="8" t="s">
        <v>542</v>
      </c>
      <c r="I116" t="s">
        <v>623</v>
      </c>
      <c r="N116" s="20">
        <v>1</v>
      </c>
      <c r="O116"/>
      <c r="P116"/>
      <c r="Q116"/>
      <c r="T116" s="20">
        <v>3.9086759899999999</v>
      </c>
      <c r="U116" s="20">
        <v>3.908676100000001</v>
      </c>
      <c r="V116" s="20">
        <v>10.552604730000001</v>
      </c>
      <c r="W116">
        <v>1</v>
      </c>
      <c r="Z116">
        <v>3.49</v>
      </c>
      <c r="AO116">
        <v>14</v>
      </c>
      <c r="AP116" s="20">
        <v>155.59136328639269</v>
      </c>
      <c r="AQ116" s="20">
        <v>8.9979287437893268E-2</v>
      </c>
      <c r="AR116" s="23">
        <v>2</v>
      </c>
      <c r="AS116" s="23">
        <v>2.333333333333333</v>
      </c>
      <c r="AT116" s="23">
        <v>0.33333333333333331</v>
      </c>
      <c r="AU116" s="23">
        <v>0</v>
      </c>
      <c r="AV116" s="23">
        <v>0.42857142857142849</v>
      </c>
      <c r="AW116" s="23">
        <v>0.5</v>
      </c>
      <c r="AX116" s="23">
        <v>7.1428571428571425E-2</v>
      </c>
      <c r="AY116" s="23">
        <v>0</v>
      </c>
      <c r="AZ116" s="20">
        <v>0.95</v>
      </c>
      <c r="BA116" s="20">
        <v>3.44</v>
      </c>
      <c r="BB116" s="20">
        <v>2.4900000000000002</v>
      </c>
      <c r="BC116" s="20">
        <v>2.500833333333333</v>
      </c>
      <c r="BD116">
        <v>2.500833333333333</v>
      </c>
      <c r="BE116">
        <v>5.6917605187500007</v>
      </c>
    </row>
    <row r="117" spans="1:57" x14ac:dyDescent="0.3">
      <c r="A117" t="s">
        <v>95</v>
      </c>
      <c r="B117" s="12" t="s">
        <v>744</v>
      </c>
      <c r="C117" s="12"/>
      <c r="F117">
        <v>3.3</v>
      </c>
      <c r="G117" t="s">
        <v>96</v>
      </c>
      <c r="H117" s="8">
        <v>-1</v>
      </c>
      <c r="I117" t="s">
        <v>642</v>
      </c>
      <c r="N117" s="20">
        <v>0</v>
      </c>
      <c r="O117">
        <v>3.8917999999999999</v>
      </c>
      <c r="P117">
        <v>3.8820000000000001</v>
      </c>
      <c r="Q117">
        <v>36.127000000000002</v>
      </c>
      <c r="R117" s="1" t="s">
        <v>484</v>
      </c>
      <c r="S117" s="1"/>
      <c r="T117" s="20">
        <v>0</v>
      </c>
      <c r="U117" s="20"/>
      <c r="V117" s="20"/>
      <c r="W117">
        <v>1</v>
      </c>
      <c r="Y117">
        <v>4</v>
      </c>
      <c r="Z117" s="1">
        <v>4.5999999999999996</v>
      </c>
      <c r="AF117">
        <v>1</v>
      </c>
      <c r="AO117">
        <v>26</v>
      </c>
      <c r="AP117" s="20">
        <v>0</v>
      </c>
      <c r="AQ117" s="20"/>
      <c r="AR117" s="23">
        <v>1.714285714285714</v>
      </c>
      <c r="AS117" s="23">
        <v>2.4761904761904758</v>
      </c>
      <c r="AT117" s="23">
        <v>0.76190476190476186</v>
      </c>
      <c r="AU117" s="23">
        <v>0</v>
      </c>
      <c r="AV117" s="23">
        <v>0.34615384615384609</v>
      </c>
      <c r="AW117" s="23">
        <v>0.5</v>
      </c>
      <c r="AX117" s="23">
        <v>0.1538461538461538</v>
      </c>
      <c r="AY117" s="23">
        <v>0</v>
      </c>
      <c r="AZ117" s="20">
        <v>0.93</v>
      </c>
      <c r="BA117" s="20">
        <v>3.44</v>
      </c>
      <c r="BB117" s="20">
        <v>2.5099999999999998</v>
      </c>
      <c r="BC117" s="20">
        <v>2.618095238095238</v>
      </c>
      <c r="BD117">
        <v>2.618095238095238</v>
      </c>
      <c r="BE117">
        <v>5.9615126490476191</v>
      </c>
    </row>
    <row r="118" spans="1:57" x14ac:dyDescent="0.3">
      <c r="A118" t="s">
        <v>97</v>
      </c>
      <c r="B118" s="12" t="s">
        <v>745</v>
      </c>
      <c r="C118" s="12"/>
      <c r="F118">
        <v>2.0099999999999998</v>
      </c>
      <c r="G118" t="s">
        <v>100</v>
      </c>
      <c r="H118" s="8" t="s">
        <v>565</v>
      </c>
      <c r="I118" t="s">
        <v>643</v>
      </c>
      <c r="N118" s="20">
        <v>4</v>
      </c>
      <c r="O118">
        <v>5.63</v>
      </c>
      <c r="P118">
        <v>5.63</v>
      </c>
      <c r="Q118">
        <v>7.9509999999999996</v>
      </c>
      <c r="R118" t="s">
        <v>485</v>
      </c>
      <c r="T118" s="20">
        <v>5.6671750000000003</v>
      </c>
      <c r="U118" s="20">
        <v>9.8157737100000002</v>
      </c>
      <c r="V118" s="20">
        <v>9.8153266899999991</v>
      </c>
      <c r="W118">
        <v>1</v>
      </c>
      <c r="Z118" t="s">
        <v>459</v>
      </c>
      <c r="AA118">
        <v>1</v>
      </c>
      <c r="AO118">
        <v>12</v>
      </c>
      <c r="AP118" s="20">
        <v>515.32350958904738</v>
      </c>
      <c r="AQ118" s="20">
        <v>9.3145371998025736E-2</v>
      </c>
      <c r="AR118" s="23">
        <v>2</v>
      </c>
      <c r="AS118" s="23">
        <v>2.4</v>
      </c>
      <c r="AT118" s="23">
        <v>0.9</v>
      </c>
      <c r="AU118" s="23">
        <v>1.4</v>
      </c>
      <c r="AV118" s="23">
        <v>0.29850746268656708</v>
      </c>
      <c r="AW118" s="23">
        <v>0.35820895522388058</v>
      </c>
      <c r="AX118" s="23">
        <v>0.1343283582089552</v>
      </c>
      <c r="AY118" s="23">
        <v>0.20895522388059701</v>
      </c>
      <c r="AZ118" s="20">
        <v>0.95</v>
      </c>
      <c r="BA118" s="20">
        <v>3.44</v>
      </c>
      <c r="BB118" s="20">
        <v>2.4900000000000002</v>
      </c>
      <c r="BC118" s="20">
        <v>2.5870000000000002</v>
      </c>
      <c r="BD118">
        <v>2.5870000000000002</v>
      </c>
      <c r="BE118">
        <v>5.8948612069999999</v>
      </c>
    </row>
    <row r="119" spans="1:57" x14ac:dyDescent="0.3">
      <c r="A119" t="s">
        <v>98</v>
      </c>
      <c r="B119" s="12" t="s">
        <v>746</v>
      </c>
      <c r="C119" s="12"/>
      <c r="F119">
        <v>2.21</v>
      </c>
      <c r="G119" t="s">
        <v>101</v>
      </c>
      <c r="H119" s="8">
        <v>-1</v>
      </c>
      <c r="I119">
        <v>-1</v>
      </c>
      <c r="N119" s="20">
        <v>0</v>
      </c>
      <c r="O119">
        <v>3.9668000000000001</v>
      </c>
      <c r="P119">
        <v>5.63</v>
      </c>
      <c r="Q119">
        <v>20.597999999999999</v>
      </c>
      <c r="R119" t="s">
        <v>440</v>
      </c>
      <c r="T119" s="20">
        <v>0</v>
      </c>
      <c r="U119" s="20"/>
      <c r="V119" s="20"/>
      <c r="W119">
        <v>1</v>
      </c>
      <c r="Z119" s="1">
        <v>2</v>
      </c>
      <c r="AA119">
        <v>1</v>
      </c>
      <c r="AO119">
        <v>16</v>
      </c>
      <c r="AP119" s="20">
        <v>0</v>
      </c>
      <c r="AQ119" s="20"/>
      <c r="AR119" s="23">
        <v>2</v>
      </c>
      <c r="AS119" s="23">
        <v>2.4615384615384621</v>
      </c>
      <c r="AT119" s="23">
        <v>0.69230769230769229</v>
      </c>
      <c r="AU119" s="23">
        <v>1.0769230769230771</v>
      </c>
      <c r="AV119" s="23">
        <v>0.32098765432098758</v>
      </c>
      <c r="AW119" s="23">
        <v>0.39506172839506182</v>
      </c>
      <c r="AX119" s="23">
        <v>0.1111111111111111</v>
      </c>
      <c r="AY119" s="23">
        <v>0.1728395061728395</v>
      </c>
      <c r="AZ119" s="20">
        <v>0.95</v>
      </c>
      <c r="BA119" s="20">
        <v>3.44</v>
      </c>
      <c r="BB119" s="20">
        <v>2.4900000000000002</v>
      </c>
      <c r="BC119" s="20">
        <v>2.592307692307692</v>
      </c>
      <c r="BD119">
        <v>2.5923076923076929</v>
      </c>
      <c r="BE119">
        <v>5.9154799303846159</v>
      </c>
    </row>
    <row r="120" spans="1:57" x14ac:dyDescent="0.3">
      <c r="A120" t="s">
        <v>99</v>
      </c>
      <c r="B120" s="12" t="s">
        <v>747</v>
      </c>
      <c r="C120" s="12"/>
      <c r="F120">
        <v>2.27</v>
      </c>
      <c r="G120" t="s">
        <v>102</v>
      </c>
      <c r="H120" s="8">
        <v>-1</v>
      </c>
      <c r="I120">
        <v>-1</v>
      </c>
      <c r="N120" s="20">
        <v>0</v>
      </c>
      <c r="O120">
        <v>3.9493</v>
      </c>
      <c r="P120">
        <v>5.63</v>
      </c>
      <c r="Q120">
        <v>12.727</v>
      </c>
      <c r="R120" t="s">
        <v>440</v>
      </c>
      <c r="T120" s="20">
        <v>0</v>
      </c>
      <c r="U120" s="20"/>
      <c r="V120" s="20"/>
      <c r="W120">
        <v>1</v>
      </c>
      <c r="Z120" s="1">
        <v>1</v>
      </c>
      <c r="AA120">
        <v>1</v>
      </c>
      <c r="AF120">
        <v>1</v>
      </c>
      <c r="AG120">
        <v>1</v>
      </c>
      <c r="AJ120">
        <v>1</v>
      </c>
      <c r="AO120">
        <v>18</v>
      </c>
      <c r="AP120" s="20">
        <v>0</v>
      </c>
      <c r="AQ120" s="20"/>
      <c r="AR120" s="23">
        <v>2</v>
      </c>
      <c r="AS120" s="23">
        <v>2.4</v>
      </c>
      <c r="AT120" s="23">
        <v>0.6</v>
      </c>
      <c r="AU120" s="23">
        <v>0.93333333333333335</v>
      </c>
      <c r="AV120" s="23">
        <v>0.33707865168539319</v>
      </c>
      <c r="AW120" s="23">
        <v>0.4044943820224719</v>
      </c>
      <c r="AX120" s="23">
        <v>0.101123595505618</v>
      </c>
      <c r="AY120" s="23">
        <v>0.15730337078651679</v>
      </c>
      <c r="AZ120" s="20">
        <v>0.95</v>
      </c>
      <c r="BA120" s="20">
        <v>3.44</v>
      </c>
      <c r="BB120" s="20">
        <v>2.4900000000000002</v>
      </c>
      <c r="BC120" s="20">
        <v>2.539333333333333</v>
      </c>
      <c r="BD120">
        <v>2.539333333333333</v>
      </c>
      <c r="BE120">
        <v>5.8209523980000002</v>
      </c>
    </row>
    <row r="121" spans="1:57" x14ac:dyDescent="0.3">
      <c r="A121" t="s">
        <v>916</v>
      </c>
      <c r="B121" s="16" t="s">
        <v>918</v>
      </c>
      <c r="C121" s="12"/>
      <c r="F121">
        <v>3.157</v>
      </c>
      <c r="G121" t="s">
        <v>103</v>
      </c>
      <c r="H121" s="8">
        <v>-1</v>
      </c>
      <c r="I121">
        <v>-1</v>
      </c>
      <c r="N121" s="20">
        <v>0</v>
      </c>
      <c r="O121">
        <v>12.449</v>
      </c>
      <c r="P121">
        <v>12.449</v>
      </c>
      <c r="Q121" s="4">
        <v>9.1999999999999993</v>
      </c>
      <c r="R121" t="s">
        <v>486</v>
      </c>
      <c r="T121" s="20">
        <v>0</v>
      </c>
      <c r="U121" s="20"/>
      <c r="V121" s="20"/>
      <c r="W121">
        <v>1</v>
      </c>
      <c r="X121">
        <v>1</v>
      </c>
      <c r="Y121" s="20">
        <v>3</v>
      </c>
      <c r="Z121">
        <v>11.6</v>
      </c>
      <c r="AG121">
        <v>1</v>
      </c>
      <c r="AO121">
        <v>28.67</v>
      </c>
      <c r="AP121" s="20">
        <v>0</v>
      </c>
      <c r="AQ121" s="20"/>
      <c r="AR121" s="23">
        <v>1.6718155361540179</v>
      </c>
      <c r="AS121" s="23">
        <v>2.567271099171704</v>
      </c>
      <c r="AT121" s="23">
        <v>0.89545556301768525</v>
      </c>
      <c r="AU121" s="23">
        <v>0</v>
      </c>
      <c r="AV121" s="23">
        <v>0.32560167422392738</v>
      </c>
      <c r="AW121" s="23">
        <v>0.5</v>
      </c>
      <c r="AX121" s="23">
        <v>0.17439832577607259</v>
      </c>
      <c r="AY121" s="23">
        <v>0</v>
      </c>
      <c r="AZ121" s="20">
        <v>0.82</v>
      </c>
      <c r="BA121" s="20">
        <v>3.44</v>
      </c>
      <c r="BB121" s="20">
        <v>2.62</v>
      </c>
      <c r="BC121" s="20">
        <v>2.680076113722857</v>
      </c>
      <c r="BD121">
        <v>2.6800761137228561</v>
      </c>
      <c r="BE121">
        <v>6.0370190189344077</v>
      </c>
    </row>
    <row r="122" spans="1:57" x14ac:dyDescent="0.3">
      <c r="A122" t="s">
        <v>917</v>
      </c>
      <c r="B122" s="16" t="s">
        <v>919</v>
      </c>
      <c r="C122" s="12"/>
      <c r="F122">
        <v>3.1880000000000002</v>
      </c>
      <c r="G122" t="s">
        <v>103</v>
      </c>
      <c r="H122" s="8">
        <v>-1</v>
      </c>
      <c r="I122">
        <v>-1</v>
      </c>
      <c r="N122" s="20">
        <v>0</v>
      </c>
      <c r="O122">
        <v>12.449</v>
      </c>
      <c r="P122">
        <v>12.449</v>
      </c>
      <c r="Q122">
        <v>8.11</v>
      </c>
      <c r="T122" s="20">
        <v>0</v>
      </c>
      <c r="U122" s="20"/>
      <c r="V122" s="20"/>
      <c r="W122">
        <v>1</v>
      </c>
      <c r="Y122">
        <v>3</v>
      </c>
      <c r="Z122">
        <v>11.72</v>
      </c>
      <c r="AG122">
        <v>1</v>
      </c>
      <c r="AO122">
        <v>28.67</v>
      </c>
      <c r="AP122" s="20">
        <v>0</v>
      </c>
      <c r="AQ122" s="20"/>
      <c r="AR122" s="23">
        <v>1.6718155361540179</v>
      </c>
      <c r="AS122" s="23">
        <v>2.567271099171704</v>
      </c>
      <c r="AT122" s="23">
        <v>0.89545556301768525</v>
      </c>
      <c r="AU122" s="23">
        <v>0</v>
      </c>
      <c r="AV122" s="23">
        <v>0.32560167422392738</v>
      </c>
      <c r="AW122" s="23">
        <v>0.5</v>
      </c>
      <c r="AX122" s="23">
        <v>0.17439832577607259</v>
      </c>
      <c r="AY122" s="23">
        <v>0</v>
      </c>
      <c r="AZ122" s="20">
        <v>0.95</v>
      </c>
      <c r="BA122" s="20">
        <v>3.44</v>
      </c>
      <c r="BB122" s="20">
        <v>2.4900000000000002</v>
      </c>
      <c r="BC122" s="20">
        <v>2.8240385045892098</v>
      </c>
      <c r="BD122">
        <v>2.8240385045892089</v>
      </c>
      <c r="BE122">
        <v>6.533110796268315</v>
      </c>
    </row>
    <row r="123" spans="1:57" x14ac:dyDescent="0.3">
      <c r="A123" t="s">
        <v>917</v>
      </c>
      <c r="B123" s="16" t="s">
        <v>919</v>
      </c>
      <c r="C123" s="12"/>
      <c r="D123" t="s">
        <v>863</v>
      </c>
      <c r="E123">
        <v>1.1200000000000001</v>
      </c>
      <c r="F123">
        <v>3.2040000000000002</v>
      </c>
      <c r="G123" t="s">
        <v>103</v>
      </c>
      <c r="H123" s="8">
        <v>-1</v>
      </c>
      <c r="I123">
        <v>-1</v>
      </c>
      <c r="N123" s="20">
        <v>0</v>
      </c>
      <c r="O123">
        <v>12.449</v>
      </c>
      <c r="P123">
        <v>12.449</v>
      </c>
      <c r="Q123">
        <v>8.0399999999999991</v>
      </c>
      <c r="T123" s="20">
        <v>0</v>
      </c>
      <c r="U123" s="20"/>
      <c r="V123" s="20"/>
      <c r="W123">
        <v>1</v>
      </c>
      <c r="Y123">
        <v>3</v>
      </c>
      <c r="Z123">
        <v>11.64</v>
      </c>
      <c r="AO123">
        <v>28.67</v>
      </c>
      <c r="AP123" s="20">
        <v>0</v>
      </c>
      <c r="AQ123" s="20"/>
      <c r="AR123" s="23">
        <v>1.6718155361540179</v>
      </c>
      <c r="AS123" s="23">
        <v>2.567271099171704</v>
      </c>
      <c r="AT123" s="23">
        <v>0.89545556301768525</v>
      </c>
      <c r="AU123" s="23">
        <v>0</v>
      </c>
      <c r="AV123" s="23">
        <v>0.32560167422392738</v>
      </c>
      <c r="AW123" s="23">
        <v>0.5</v>
      </c>
      <c r="AX123" s="23">
        <v>0.17439832577607259</v>
      </c>
      <c r="AY123" s="23">
        <v>0</v>
      </c>
      <c r="AZ123" s="20">
        <v>0.95</v>
      </c>
      <c r="BA123" s="20">
        <v>3.44</v>
      </c>
      <c r="BB123" s="20">
        <v>2.4900000000000002</v>
      </c>
      <c r="BC123" s="20">
        <v>2.8240385045892098</v>
      </c>
      <c r="BD123">
        <v>2.8240385045892089</v>
      </c>
      <c r="BE123">
        <v>6.533110796268315</v>
      </c>
    </row>
    <row r="124" spans="1:57" x14ac:dyDescent="0.3">
      <c r="A124" t="s">
        <v>104</v>
      </c>
      <c r="B124" s="12" t="s">
        <v>748</v>
      </c>
      <c r="C124" s="12"/>
      <c r="F124">
        <v>3</v>
      </c>
      <c r="G124" t="s">
        <v>111</v>
      </c>
      <c r="H124" s="8" t="s">
        <v>566</v>
      </c>
      <c r="I124" t="s">
        <v>644</v>
      </c>
      <c r="N124" s="20">
        <v>4</v>
      </c>
      <c r="O124"/>
      <c r="P124"/>
      <c r="Q124"/>
      <c r="T124" s="20">
        <v>5.452661</v>
      </c>
      <c r="U124" s="20">
        <v>5.4531499999999999</v>
      </c>
      <c r="V124" s="20">
        <v>24.558717999999999</v>
      </c>
      <c r="W124"/>
      <c r="AA124">
        <v>1</v>
      </c>
      <c r="AG124">
        <v>1</v>
      </c>
      <c r="AO124">
        <v>18</v>
      </c>
      <c r="AP124" s="20">
        <v>730.23330062098216</v>
      </c>
      <c r="AQ124" s="20">
        <v>9.8598625862134762E-2</v>
      </c>
      <c r="AR124" s="23">
        <v>2</v>
      </c>
      <c r="AS124" s="23">
        <v>3.2307692307692308</v>
      </c>
      <c r="AT124" s="23">
        <v>2.1538461538461542</v>
      </c>
      <c r="AU124" s="23">
        <v>4.3076923076923066</v>
      </c>
      <c r="AV124" s="23">
        <v>0.1710526315789474</v>
      </c>
      <c r="AW124" s="23">
        <v>0.27631578947368418</v>
      </c>
      <c r="AX124" s="23">
        <v>0.18421052631578949</v>
      </c>
      <c r="AY124" s="23">
        <v>0.36842105263157893</v>
      </c>
      <c r="AZ124" s="20">
        <v>2.02</v>
      </c>
      <c r="BA124" s="20">
        <v>3.44</v>
      </c>
      <c r="BB124" s="20">
        <v>1.42</v>
      </c>
      <c r="BC124" s="20">
        <v>3.0553846153846149</v>
      </c>
      <c r="BD124">
        <v>3.0553846153846149</v>
      </c>
      <c r="BE124">
        <v>6.5203382676923072</v>
      </c>
    </row>
    <row r="125" spans="1:57" x14ac:dyDescent="0.3">
      <c r="A125" t="s">
        <v>69</v>
      </c>
      <c r="B125" s="12" t="s">
        <v>738</v>
      </c>
      <c r="C125" s="12"/>
      <c r="F125">
        <v>2.8</v>
      </c>
      <c r="G125" t="s">
        <v>111</v>
      </c>
      <c r="H125" s="8" t="s">
        <v>560</v>
      </c>
      <c r="I125" t="s">
        <v>638</v>
      </c>
      <c r="N125" s="20">
        <v>2</v>
      </c>
      <c r="O125"/>
      <c r="P125"/>
      <c r="Q125"/>
      <c r="T125" s="20">
        <v>8.3195821399999996</v>
      </c>
      <c r="U125" s="20">
        <v>8.3195821399999996</v>
      </c>
      <c r="V125" s="20">
        <v>8.2425581700000006</v>
      </c>
      <c r="W125"/>
      <c r="Y125" s="20">
        <v>1</v>
      </c>
      <c r="AA125">
        <v>1</v>
      </c>
      <c r="AG125">
        <v>1</v>
      </c>
      <c r="AO125">
        <v>12</v>
      </c>
      <c r="AP125" s="20">
        <v>248.80917443900231</v>
      </c>
      <c r="AQ125" s="20">
        <v>9.6459465588893734E-2</v>
      </c>
      <c r="AR125" s="23">
        <v>2</v>
      </c>
      <c r="AS125" s="23">
        <v>3.333333333333333</v>
      </c>
      <c r="AT125" s="23">
        <v>2.666666666666667</v>
      </c>
      <c r="AU125" s="23">
        <v>4.666666666666667</v>
      </c>
      <c r="AV125" s="23">
        <v>0.15789473684210531</v>
      </c>
      <c r="AW125" s="23">
        <v>0.26315789473684209</v>
      </c>
      <c r="AX125" s="23">
        <v>0.2105263157894737</v>
      </c>
      <c r="AY125" s="23">
        <v>0.36842105263157898</v>
      </c>
      <c r="AZ125" s="20">
        <v>2.02</v>
      </c>
      <c r="BA125" s="20">
        <v>3.44</v>
      </c>
      <c r="BB125" s="20">
        <v>1.42</v>
      </c>
      <c r="BC125" s="20">
        <v>3.0044444444444438</v>
      </c>
      <c r="BD125">
        <v>3.0044444444444438</v>
      </c>
      <c r="BE125">
        <v>6.4228342255555546</v>
      </c>
    </row>
    <row r="126" spans="1:57" x14ac:dyDescent="0.3">
      <c r="A126" t="s">
        <v>105</v>
      </c>
      <c r="B126" s="12" t="s">
        <v>749</v>
      </c>
      <c r="C126" s="12"/>
      <c r="F126">
        <v>2.8</v>
      </c>
      <c r="G126" t="s">
        <v>111</v>
      </c>
      <c r="H126" s="8">
        <v>-1</v>
      </c>
      <c r="I126">
        <v>-1</v>
      </c>
      <c r="J126" t="s">
        <v>1163</v>
      </c>
      <c r="N126" s="20">
        <v>0</v>
      </c>
      <c r="O126"/>
      <c r="P126"/>
      <c r="Q126"/>
      <c r="T126" s="20">
        <v>0</v>
      </c>
      <c r="U126" s="20"/>
      <c r="V126" s="20"/>
      <c r="W126"/>
      <c r="AA126">
        <v>1</v>
      </c>
      <c r="AG126">
        <v>1</v>
      </c>
      <c r="AO126">
        <v>54</v>
      </c>
      <c r="AP126" s="20">
        <v>0</v>
      </c>
      <c r="AQ126" s="20"/>
      <c r="AR126" s="23">
        <v>2</v>
      </c>
      <c r="AS126" s="23">
        <v>3.4883720930232558</v>
      </c>
      <c r="AT126" s="23">
        <v>3.441860465116279</v>
      </c>
      <c r="AU126" s="23">
        <v>5.2093023255813957</v>
      </c>
      <c r="AV126" s="23">
        <v>0.1414473684210526</v>
      </c>
      <c r="AW126" s="23">
        <v>0.24671052631578949</v>
      </c>
      <c r="AX126" s="23">
        <v>0.2434210526315789</v>
      </c>
      <c r="AY126" s="23">
        <v>0.36842105263157898</v>
      </c>
      <c r="AZ126" s="20">
        <v>2.02</v>
      </c>
      <c r="BA126" s="20">
        <v>3.44</v>
      </c>
      <c r="BB126" s="20">
        <v>1.42</v>
      </c>
      <c r="BC126" s="20">
        <v>2.927441860465116</v>
      </c>
      <c r="BD126">
        <v>2.9274418604651169</v>
      </c>
      <c r="BE126">
        <v>6.2754443944186056</v>
      </c>
    </row>
    <row r="127" spans="1:57" x14ac:dyDescent="0.3">
      <c r="A127" t="s">
        <v>106</v>
      </c>
      <c r="B127" s="12" t="s">
        <v>750</v>
      </c>
      <c r="C127" s="12"/>
      <c r="F127">
        <v>2.9</v>
      </c>
      <c r="G127" t="s">
        <v>111</v>
      </c>
      <c r="H127" s="8" t="s">
        <v>567</v>
      </c>
      <c r="I127" t="s">
        <v>645</v>
      </c>
      <c r="N127" s="20">
        <v>2</v>
      </c>
      <c r="O127"/>
      <c r="P127"/>
      <c r="Q127"/>
      <c r="T127" s="20">
        <v>7.3631707899999999</v>
      </c>
      <c r="U127" s="20">
        <v>7.363170789999999</v>
      </c>
      <c r="V127" s="20">
        <v>7.3631707899999999</v>
      </c>
      <c r="W127"/>
      <c r="AA127">
        <v>1</v>
      </c>
      <c r="AG127">
        <v>1</v>
      </c>
      <c r="AO127">
        <v>14</v>
      </c>
      <c r="AP127" s="20">
        <v>282.27968527629582</v>
      </c>
      <c r="AQ127" s="20">
        <v>9.9192401934958777E-2</v>
      </c>
      <c r="AR127" s="23">
        <v>2</v>
      </c>
      <c r="AS127" s="23">
        <v>3.0909090909090908</v>
      </c>
      <c r="AT127" s="23">
        <v>2.1818181818181821</v>
      </c>
      <c r="AU127" s="23">
        <v>2.545454545454545</v>
      </c>
      <c r="AV127" s="23">
        <v>0.20370370370370369</v>
      </c>
      <c r="AW127" s="23">
        <v>0.31481481481481483</v>
      </c>
      <c r="AX127" s="23">
        <v>0.22222222222222221</v>
      </c>
      <c r="AY127" s="23">
        <v>0.25925925925925919</v>
      </c>
      <c r="AZ127" s="20">
        <v>1.54</v>
      </c>
      <c r="BA127" s="20">
        <v>3.44</v>
      </c>
      <c r="BB127" s="20">
        <v>1.9</v>
      </c>
      <c r="BC127" s="20">
        <v>2.836363636363636</v>
      </c>
      <c r="BD127">
        <v>2.836363636363636</v>
      </c>
      <c r="BE127">
        <v>6.1735094709090914</v>
      </c>
    </row>
    <row r="128" spans="1:57" x14ac:dyDescent="0.3">
      <c r="A128" t="s">
        <v>107</v>
      </c>
      <c r="B128" s="12" t="s">
        <v>727</v>
      </c>
      <c r="C128" s="12"/>
      <c r="F128">
        <v>3.1</v>
      </c>
      <c r="G128" t="s">
        <v>111</v>
      </c>
      <c r="H128" s="8" t="s">
        <v>555</v>
      </c>
      <c r="I128" t="s">
        <v>632</v>
      </c>
      <c r="N128" s="20">
        <v>1</v>
      </c>
      <c r="O128"/>
      <c r="P128"/>
      <c r="Q128"/>
      <c r="T128" s="20">
        <v>3.86469438</v>
      </c>
      <c r="U128" s="20">
        <v>3.86469438</v>
      </c>
      <c r="V128" s="20">
        <v>16.978874730000001</v>
      </c>
      <c r="W128"/>
      <c r="AA128">
        <v>1</v>
      </c>
      <c r="AG128">
        <v>1</v>
      </c>
      <c r="AO128">
        <v>24</v>
      </c>
      <c r="AP128" s="20">
        <v>251.01098912285789</v>
      </c>
      <c r="AQ128" s="20">
        <v>9.5613343797681868E-2</v>
      </c>
      <c r="AR128" s="23">
        <v>2</v>
      </c>
      <c r="AS128" s="23">
        <v>3.1578947368421049</v>
      </c>
      <c r="AT128" s="23">
        <v>2.4210526315789469</v>
      </c>
      <c r="AU128" s="23">
        <v>2.947368421052631</v>
      </c>
      <c r="AV128" s="23">
        <v>0.19</v>
      </c>
      <c r="AW128" s="23">
        <v>0.3</v>
      </c>
      <c r="AX128" s="23">
        <v>0.23</v>
      </c>
      <c r="AY128" s="23">
        <v>0.28000000000000003</v>
      </c>
      <c r="AZ128" s="20">
        <v>1.54</v>
      </c>
      <c r="BA128" s="20">
        <v>3.44</v>
      </c>
      <c r="BB128" s="20">
        <v>1.9</v>
      </c>
      <c r="BC128" s="20">
        <v>2.8410526315789468</v>
      </c>
      <c r="BD128">
        <v>2.8410526315789468</v>
      </c>
      <c r="BE128">
        <v>6.1729587136842099</v>
      </c>
    </row>
    <row r="129" spans="1:57" x14ac:dyDescent="0.3">
      <c r="A129" t="s">
        <v>108</v>
      </c>
      <c r="B129" s="12" t="s">
        <v>751</v>
      </c>
      <c r="C129" s="12"/>
      <c r="F129">
        <v>3.1</v>
      </c>
      <c r="G129" t="s">
        <v>111</v>
      </c>
      <c r="H129" s="8" t="s">
        <v>568</v>
      </c>
      <c r="I129" t="s">
        <v>646</v>
      </c>
      <c r="N129" s="20">
        <v>1</v>
      </c>
      <c r="O129"/>
      <c r="P129"/>
      <c r="Q129"/>
      <c r="T129" s="20">
        <v>12.951407789999999</v>
      </c>
      <c r="U129" s="20">
        <v>12.951407789999999</v>
      </c>
      <c r="V129" s="20">
        <v>12.951407789999999</v>
      </c>
      <c r="W129"/>
      <c r="AA129">
        <v>1</v>
      </c>
      <c r="AG129">
        <v>1</v>
      </c>
      <c r="AO129">
        <v>18</v>
      </c>
      <c r="AP129" s="20">
        <v>189.23096942123021</v>
      </c>
      <c r="AQ129" s="20">
        <v>9.5121850588482687E-2</v>
      </c>
      <c r="AR129" s="23">
        <v>1.928571428571429</v>
      </c>
      <c r="AS129" s="23">
        <v>3.214285714285714</v>
      </c>
      <c r="AT129" s="23">
        <v>2.5714285714285721</v>
      </c>
      <c r="AU129" s="23">
        <v>3</v>
      </c>
      <c r="AV129" s="23">
        <v>0.18</v>
      </c>
      <c r="AW129" s="23">
        <v>0.3</v>
      </c>
      <c r="AX129" s="23">
        <v>0.24</v>
      </c>
      <c r="AY129" s="23">
        <v>0.28000000000000003</v>
      </c>
      <c r="AZ129" s="20">
        <v>1.54</v>
      </c>
      <c r="BA129" s="20">
        <v>3.44</v>
      </c>
      <c r="BB129" s="20">
        <v>1.9</v>
      </c>
      <c r="BC129" s="20">
        <v>2.8685714285714292</v>
      </c>
      <c r="BD129">
        <v>2.8685714285714292</v>
      </c>
      <c r="BE129">
        <v>6.249142824642858</v>
      </c>
    </row>
    <row r="130" spans="1:57" x14ac:dyDescent="0.3">
      <c r="A130" t="s">
        <v>109</v>
      </c>
      <c r="B130" s="12" t="s">
        <v>752</v>
      </c>
      <c r="C130" s="12"/>
      <c r="F130">
        <v>3</v>
      </c>
      <c r="G130" t="s">
        <v>111</v>
      </c>
      <c r="H130" s="8" t="s">
        <v>569</v>
      </c>
      <c r="I130" t="s">
        <v>647</v>
      </c>
      <c r="N130" s="20">
        <v>16</v>
      </c>
      <c r="O130"/>
      <c r="P130"/>
      <c r="Q130"/>
      <c r="T130" s="20">
        <v>22.855297</v>
      </c>
      <c r="U130" s="20">
        <v>5.6559619999999997</v>
      </c>
      <c r="V130" s="20">
        <v>17.48922452</v>
      </c>
      <c r="W130"/>
      <c r="AA130">
        <v>1</v>
      </c>
      <c r="AG130">
        <v>1</v>
      </c>
      <c r="AO130">
        <v>12</v>
      </c>
      <c r="AP130" s="20">
        <v>2260.7115007974689</v>
      </c>
      <c r="AQ130" s="20">
        <v>8.4929014574514128E-2</v>
      </c>
      <c r="AR130" s="23">
        <v>1.8888888888888891</v>
      </c>
      <c r="AS130" s="23">
        <v>3.333333333333333</v>
      </c>
      <c r="AT130" s="23">
        <v>2.7777777777777781</v>
      </c>
      <c r="AU130" s="23">
        <v>3.1111111111111112</v>
      </c>
      <c r="AV130" s="23">
        <v>0.17</v>
      </c>
      <c r="AW130" s="23">
        <v>0.3</v>
      </c>
      <c r="AX130" s="23">
        <v>0.25</v>
      </c>
      <c r="AY130" s="23">
        <v>0.28000000000000003</v>
      </c>
      <c r="AZ130" s="20">
        <v>2.02</v>
      </c>
      <c r="BA130" s="20">
        <v>3.44</v>
      </c>
      <c r="BB130" s="20">
        <v>1.42</v>
      </c>
      <c r="BC130" s="20">
        <v>2.9822222222222221</v>
      </c>
      <c r="BD130">
        <v>2.9822222222222221</v>
      </c>
      <c r="BE130">
        <v>6.3761376700000003</v>
      </c>
    </row>
    <row r="131" spans="1:57" x14ac:dyDescent="0.3">
      <c r="A131" t="s">
        <v>110</v>
      </c>
      <c r="B131" s="12" t="s">
        <v>753</v>
      </c>
      <c r="C131" s="12"/>
      <c r="F131">
        <v>3.3</v>
      </c>
      <c r="G131" t="s">
        <v>111</v>
      </c>
      <c r="H131" s="8" t="s">
        <v>570</v>
      </c>
      <c r="I131" t="s">
        <v>648</v>
      </c>
      <c r="N131" s="20">
        <v>1</v>
      </c>
      <c r="O131"/>
      <c r="P131"/>
      <c r="Q131"/>
      <c r="T131" s="20">
        <v>20.551678089999999</v>
      </c>
      <c r="U131" s="20">
        <v>20.551678089999999</v>
      </c>
      <c r="V131" s="20">
        <v>20.551678089999999</v>
      </c>
      <c r="W131"/>
      <c r="AA131">
        <v>1</v>
      </c>
      <c r="AG131">
        <v>1</v>
      </c>
      <c r="AO131">
        <v>30</v>
      </c>
      <c r="AP131" s="20">
        <v>309.59189648929049</v>
      </c>
      <c r="AQ131" s="20">
        <v>9.6901761125513727E-2</v>
      </c>
      <c r="AR131" s="23">
        <v>2</v>
      </c>
      <c r="AS131" s="23">
        <v>3</v>
      </c>
      <c r="AT131" s="23">
        <v>2</v>
      </c>
      <c r="AU131" s="23">
        <v>2.333333333333333</v>
      </c>
      <c r="AV131" s="23">
        <v>0.2142857142857143</v>
      </c>
      <c r="AW131" s="23">
        <v>0.3214285714285714</v>
      </c>
      <c r="AX131" s="23">
        <v>0.2142857142857143</v>
      </c>
      <c r="AY131" s="23">
        <v>0.25</v>
      </c>
      <c r="AZ131" s="20">
        <v>0.89</v>
      </c>
      <c r="BA131" s="20">
        <v>3.44</v>
      </c>
      <c r="BB131" s="20">
        <v>2.5499999999999998</v>
      </c>
      <c r="BC131" s="20">
        <v>2.780416666666667</v>
      </c>
      <c r="BD131">
        <v>2.780416666666667</v>
      </c>
      <c r="BE131">
        <v>6.0847889087500002</v>
      </c>
    </row>
    <row r="132" spans="1:57" x14ac:dyDescent="0.3">
      <c r="A132" t="s">
        <v>109</v>
      </c>
      <c r="B132" s="12" t="s">
        <v>752</v>
      </c>
      <c r="C132" s="12"/>
      <c r="F132">
        <v>2.64</v>
      </c>
      <c r="G132" t="s">
        <v>114</v>
      </c>
      <c r="H132" s="8" t="s">
        <v>569</v>
      </c>
      <c r="I132" t="s">
        <v>647</v>
      </c>
      <c r="N132" s="20">
        <v>16</v>
      </c>
      <c r="O132"/>
      <c r="P132"/>
      <c r="Q132"/>
      <c r="T132" s="20">
        <v>22.855297</v>
      </c>
      <c r="U132" s="20">
        <v>5.6559619999999997</v>
      </c>
      <c r="V132" s="20">
        <v>17.48922452</v>
      </c>
      <c r="W132">
        <v>1</v>
      </c>
      <c r="Z132">
        <v>2.2999999999999998</v>
      </c>
      <c r="AA132">
        <v>1</v>
      </c>
      <c r="AF132">
        <v>1</v>
      </c>
      <c r="AO132">
        <v>12</v>
      </c>
      <c r="AP132" s="20">
        <v>2260.7115007974689</v>
      </c>
      <c r="AQ132" s="20">
        <v>8.4929014574514128E-2</v>
      </c>
      <c r="AR132" s="23">
        <v>1.8888888888888891</v>
      </c>
      <c r="AS132" s="23">
        <v>3.333333333333333</v>
      </c>
      <c r="AT132" s="23">
        <v>2.7777777777777781</v>
      </c>
      <c r="AU132" s="23">
        <v>3.1111111111111112</v>
      </c>
      <c r="AV132" s="23">
        <v>0.17</v>
      </c>
      <c r="AW132" s="23">
        <v>0.3</v>
      </c>
      <c r="AX132" s="23">
        <v>0.25</v>
      </c>
      <c r="AY132" s="23">
        <v>0.28000000000000003</v>
      </c>
      <c r="AZ132" s="20">
        <v>2.02</v>
      </c>
      <c r="BA132" s="20">
        <v>3.44</v>
      </c>
      <c r="BB132" s="20">
        <v>1.42</v>
      </c>
      <c r="BC132" s="20">
        <v>2.9822222222222221</v>
      </c>
      <c r="BD132">
        <v>2.9822222222222221</v>
      </c>
      <c r="BE132">
        <v>6.3761376700000003</v>
      </c>
    </row>
    <row r="133" spans="1:57" x14ac:dyDescent="0.3">
      <c r="A133" t="s">
        <v>25</v>
      </c>
      <c r="B133" s="12" t="s">
        <v>708</v>
      </c>
      <c r="C133" s="12"/>
      <c r="F133">
        <v>2.88</v>
      </c>
      <c r="G133" t="s">
        <v>115</v>
      </c>
      <c r="H133" s="8" t="s">
        <v>541</v>
      </c>
      <c r="I133" t="s">
        <v>621</v>
      </c>
      <c r="N133" s="20">
        <v>1</v>
      </c>
      <c r="O133">
        <v>5.4960000000000004</v>
      </c>
      <c r="P133">
        <v>5.4960000000000004</v>
      </c>
      <c r="Q133">
        <v>25.55</v>
      </c>
      <c r="R133" t="s">
        <v>450</v>
      </c>
      <c r="T133" s="20">
        <v>12.868820120000001</v>
      </c>
      <c r="U133" s="20">
        <v>12.868820120000001</v>
      </c>
      <c r="V133" s="20">
        <v>12.868820120000001</v>
      </c>
      <c r="W133">
        <v>1</v>
      </c>
      <c r="AA133">
        <v>1</v>
      </c>
      <c r="AG133">
        <v>1</v>
      </c>
      <c r="AO133">
        <v>18</v>
      </c>
      <c r="AP133" s="20">
        <v>197.4403766939285</v>
      </c>
      <c r="AQ133" s="20">
        <v>9.1166762854710051E-2</v>
      </c>
      <c r="AR133" s="23">
        <v>1.857142857142857</v>
      </c>
      <c r="AS133" s="23">
        <v>3.1428571428571428</v>
      </c>
      <c r="AT133" s="23">
        <v>2.714285714285714</v>
      </c>
      <c r="AU133" s="23">
        <v>3</v>
      </c>
      <c r="AV133" s="23">
        <v>0.17333333333333331</v>
      </c>
      <c r="AW133" s="23">
        <v>0.29333333333333328</v>
      </c>
      <c r="AX133" s="23">
        <v>0.25333333333333341</v>
      </c>
      <c r="AY133" s="23">
        <v>0.28000000000000003</v>
      </c>
      <c r="AZ133" s="20">
        <v>1.6</v>
      </c>
      <c r="BA133" s="20">
        <v>3.44</v>
      </c>
      <c r="BB133" s="20">
        <v>1.84</v>
      </c>
      <c r="BC133" s="20">
        <v>2.895</v>
      </c>
      <c r="BD133">
        <v>2.895</v>
      </c>
      <c r="BE133">
        <v>6.260504073571429</v>
      </c>
    </row>
    <row r="134" spans="1:57" x14ac:dyDescent="0.3">
      <c r="A134" t="s">
        <v>8</v>
      </c>
      <c r="B134" s="12" t="s">
        <v>694</v>
      </c>
      <c r="C134" s="12"/>
      <c r="D134" t="s">
        <v>676</v>
      </c>
      <c r="E134" t="s">
        <v>1067</v>
      </c>
      <c r="F134">
        <v>2.73</v>
      </c>
      <c r="G134" t="s">
        <v>115</v>
      </c>
      <c r="H134" s="8" t="s">
        <v>530</v>
      </c>
      <c r="I134" t="s">
        <v>612</v>
      </c>
      <c r="N134" s="20">
        <v>30</v>
      </c>
      <c r="O134"/>
      <c r="P134"/>
      <c r="Q134"/>
      <c r="T134" s="20">
        <v>10.59112378</v>
      </c>
      <c r="U134" s="20">
        <v>10.784736629999999</v>
      </c>
      <c r="V134" s="20">
        <v>10.486176179999999</v>
      </c>
      <c r="W134"/>
      <c r="AA134">
        <v>1</v>
      </c>
      <c r="AG134">
        <v>1</v>
      </c>
      <c r="AO134">
        <v>4</v>
      </c>
      <c r="AP134" s="20">
        <v>1182.741260108548</v>
      </c>
      <c r="AQ134" s="20">
        <v>0.1014592151701775</v>
      </c>
      <c r="AR134" s="23">
        <v>2</v>
      </c>
      <c r="AS134" s="23">
        <v>2.666666666666667</v>
      </c>
      <c r="AT134" s="23">
        <v>0.66666666666666663</v>
      </c>
      <c r="AU134" s="23">
        <v>0</v>
      </c>
      <c r="AV134" s="23">
        <v>0.375</v>
      </c>
      <c r="AW134" s="23">
        <v>0.5</v>
      </c>
      <c r="AX134" s="23">
        <v>0.125</v>
      </c>
      <c r="AY134" s="23">
        <v>0</v>
      </c>
      <c r="AZ134" s="20">
        <v>1.54</v>
      </c>
      <c r="BA134" s="20">
        <v>3.44</v>
      </c>
      <c r="BB134" s="20">
        <v>1.9</v>
      </c>
      <c r="BC134" s="20">
        <v>2.8066666666666671</v>
      </c>
      <c r="BD134">
        <v>2.8066666666666662</v>
      </c>
      <c r="BE134">
        <v>6.1769976</v>
      </c>
    </row>
    <row r="135" spans="1:57" x14ac:dyDescent="0.3">
      <c r="A135" t="s">
        <v>19</v>
      </c>
      <c r="B135" s="12" t="s">
        <v>705</v>
      </c>
      <c r="C135" s="12"/>
      <c r="F135">
        <v>3.46</v>
      </c>
      <c r="G135" t="s">
        <v>116</v>
      </c>
      <c r="H135" s="8" t="s">
        <v>538</v>
      </c>
      <c r="I135">
        <v>-1</v>
      </c>
      <c r="N135" s="20">
        <v>1</v>
      </c>
      <c r="O135"/>
      <c r="P135"/>
      <c r="Q135"/>
      <c r="R135" t="s">
        <v>450</v>
      </c>
      <c r="T135" s="20">
        <v>13.83861243</v>
      </c>
      <c r="U135" s="20">
        <v>13.83861243</v>
      </c>
      <c r="V135" s="20">
        <v>13.83861243</v>
      </c>
      <c r="W135"/>
      <c r="X135" t="s">
        <v>462</v>
      </c>
      <c r="AA135">
        <v>1</v>
      </c>
      <c r="AG135">
        <v>1</v>
      </c>
      <c r="AO135">
        <v>18</v>
      </c>
      <c r="AP135" s="20">
        <v>208.2630581553295</v>
      </c>
      <c r="AQ135" s="20">
        <v>8.6429154356194082E-2</v>
      </c>
      <c r="AR135" s="23">
        <v>1.857142857142857</v>
      </c>
      <c r="AS135" s="23">
        <v>3</v>
      </c>
      <c r="AT135" s="23">
        <v>2</v>
      </c>
      <c r="AU135" s="23">
        <v>2</v>
      </c>
      <c r="AV135" s="23">
        <v>0.20967741935483869</v>
      </c>
      <c r="AW135" s="23">
        <v>0.33870967741935482</v>
      </c>
      <c r="AX135" s="23">
        <v>0.22580645161290319</v>
      </c>
      <c r="AY135" s="23">
        <v>0.22580645161290319</v>
      </c>
      <c r="AZ135" s="20">
        <v>1</v>
      </c>
      <c r="BA135" s="20">
        <v>3.44</v>
      </c>
      <c r="BB135" s="20">
        <v>2.44</v>
      </c>
      <c r="BC135" s="20">
        <v>2.8</v>
      </c>
      <c r="BD135">
        <v>2.8</v>
      </c>
      <c r="BE135">
        <v>6.2020864082142868</v>
      </c>
    </row>
    <row r="136" spans="1:57" x14ac:dyDescent="0.3">
      <c r="A136" t="s">
        <v>20</v>
      </c>
      <c r="B136" s="12" t="s">
        <v>706</v>
      </c>
      <c r="C136" s="12"/>
      <c r="F136">
        <v>3.43</v>
      </c>
      <c r="G136" t="s">
        <v>116</v>
      </c>
      <c r="H136" s="8" t="s">
        <v>539</v>
      </c>
      <c r="I136" t="s">
        <v>619</v>
      </c>
      <c r="N136" s="20">
        <v>2</v>
      </c>
      <c r="O136"/>
      <c r="P136"/>
      <c r="Q136"/>
      <c r="R136" t="s">
        <v>450</v>
      </c>
      <c r="T136" s="20">
        <v>13.01244535</v>
      </c>
      <c r="U136" s="20">
        <v>13.01244535</v>
      </c>
      <c r="V136" s="20">
        <v>5.6884839999999999</v>
      </c>
      <c r="W136"/>
      <c r="X136" t="s">
        <v>462</v>
      </c>
      <c r="AA136">
        <v>1</v>
      </c>
      <c r="AG136">
        <v>1</v>
      </c>
      <c r="AO136">
        <v>18</v>
      </c>
      <c r="AP136" s="20">
        <v>408.08048566890238</v>
      </c>
      <c r="AQ136" s="20">
        <v>8.8217891480379992E-2</v>
      </c>
      <c r="AR136" s="23">
        <v>1.857142857142857</v>
      </c>
      <c r="AS136" s="23">
        <v>3</v>
      </c>
      <c r="AT136" s="23">
        <v>2</v>
      </c>
      <c r="AU136" s="23">
        <v>2</v>
      </c>
      <c r="AV136" s="23">
        <v>0.20967741935483869</v>
      </c>
      <c r="AW136" s="23">
        <v>0.33870967741935482</v>
      </c>
      <c r="AX136" s="23">
        <v>0.22580645161290319</v>
      </c>
      <c r="AY136" s="23">
        <v>0.22580645161290319</v>
      </c>
      <c r="AZ136" s="20">
        <v>0.95</v>
      </c>
      <c r="BA136" s="20">
        <v>3.44</v>
      </c>
      <c r="BB136" s="20">
        <v>2.4900000000000002</v>
      </c>
      <c r="BC136" s="20">
        <v>2.7964285714285722</v>
      </c>
      <c r="BD136">
        <v>2.7964285714285722</v>
      </c>
      <c r="BE136">
        <v>6.1881302289285713</v>
      </c>
    </row>
    <row r="137" spans="1:57" x14ac:dyDescent="0.3">
      <c r="A137" t="s">
        <v>21</v>
      </c>
      <c r="B137" s="12" t="s">
        <v>707</v>
      </c>
      <c r="C137" s="12"/>
      <c r="F137">
        <v>3.3</v>
      </c>
      <c r="G137" t="s">
        <v>116</v>
      </c>
      <c r="H137" s="8" t="s">
        <v>540</v>
      </c>
      <c r="I137" t="s">
        <v>620</v>
      </c>
      <c r="N137" s="20">
        <v>2</v>
      </c>
      <c r="O137"/>
      <c r="P137"/>
      <c r="Q137"/>
      <c r="R137" t="s">
        <v>440</v>
      </c>
      <c r="T137" s="20">
        <v>13.052871550000001</v>
      </c>
      <c r="U137" s="20">
        <v>13.052871550000001</v>
      </c>
      <c r="V137" s="20">
        <v>5.7602650000000004</v>
      </c>
      <c r="W137"/>
      <c r="X137" t="s">
        <v>463</v>
      </c>
      <c r="AA137">
        <v>1</v>
      </c>
      <c r="AG137">
        <v>1</v>
      </c>
      <c r="AO137">
        <v>18</v>
      </c>
      <c r="AP137" s="20">
        <v>419.87909289623292</v>
      </c>
      <c r="AQ137" s="20">
        <v>8.5738967738736363E-2</v>
      </c>
      <c r="AR137" s="23">
        <v>1.857142857142857</v>
      </c>
      <c r="AS137" s="23">
        <v>3</v>
      </c>
      <c r="AT137" s="23">
        <v>2</v>
      </c>
      <c r="AU137" s="23">
        <v>2</v>
      </c>
      <c r="AV137" s="23">
        <v>0.20967741935483869</v>
      </c>
      <c r="AW137" s="23">
        <v>0.33870967741935482</v>
      </c>
      <c r="AX137" s="23">
        <v>0.22580645161290319</v>
      </c>
      <c r="AY137" s="23">
        <v>0.22580645161290319</v>
      </c>
      <c r="AZ137" s="20">
        <v>0.89</v>
      </c>
      <c r="BA137" s="20">
        <v>3.44</v>
      </c>
      <c r="BB137" s="20">
        <v>2.5499999999999998</v>
      </c>
      <c r="BC137" s="20">
        <v>2.7921428571428568</v>
      </c>
      <c r="BD137">
        <v>2.7921428571428568</v>
      </c>
      <c r="BE137">
        <v>6.1741786985714304</v>
      </c>
    </row>
    <row r="138" spans="1:57" x14ac:dyDescent="0.3">
      <c r="A138" t="s">
        <v>17</v>
      </c>
      <c r="B138" s="12" t="s">
        <v>702</v>
      </c>
      <c r="C138" s="12"/>
      <c r="F138">
        <v>3.67</v>
      </c>
      <c r="G138" t="s">
        <v>117</v>
      </c>
      <c r="H138" s="8" t="s">
        <v>535</v>
      </c>
      <c r="I138" t="s">
        <v>616</v>
      </c>
      <c r="N138" s="20">
        <v>1</v>
      </c>
      <c r="O138">
        <v>5.4669999999999996</v>
      </c>
      <c r="P138">
        <v>5.4269999999999996</v>
      </c>
      <c r="Q138">
        <v>24.931000000000001</v>
      </c>
      <c r="R138" t="s">
        <v>450</v>
      </c>
      <c r="T138" s="20">
        <v>13.46934785</v>
      </c>
      <c r="U138" s="20">
        <v>13.46934785</v>
      </c>
      <c r="V138" s="20">
        <v>13.46934785</v>
      </c>
      <c r="W138">
        <v>1</v>
      </c>
      <c r="X138" t="s">
        <v>462</v>
      </c>
      <c r="Z138">
        <v>1.96</v>
      </c>
      <c r="AA138">
        <v>1</v>
      </c>
      <c r="AD138">
        <v>1</v>
      </c>
      <c r="AG138">
        <v>1</v>
      </c>
      <c r="AO138">
        <v>18</v>
      </c>
      <c r="AP138" s="20">
        <v>189.22149105491849</v>
      </c>
      <c r="AQ138" s="20">
        <v>9.5126615373598261E-2</v>
      </c>
      <c r="AR138" s="23">
        <v>2</v>
      </c>
      <c r="AS138" s="23">
        <v>3</v>
      </c>
      <c r="AT138" s="23">
        <v>1.857142857142857</v>
      </c>
      <c r="AU138" s="23">
        <v>4</v>
      </c>
      <c r="AV138" s="23">
        <v>0.18421052631578949</v>
      </c>
      <c r="AW138" s="23">
        <v>0.27631578947368418</v>
      </c>
      <c r="AX138" s="23">
        <v>0.1710526315789474</v>
      </c>
      <c r="AY138" s="23">
        <v>0.36842105263157893</v>
      </c>
      <c r="AZ138" s="20">
        <v>1</v>
      </c>
      <c r="BA138" s="20">
        <v>3.44</v>
      </c>
      <c r="BB138" s="20">
        <v>2.44</v>
      </c>
      <c r="BC138" s="20">
        <v>2.785714285714286</v>
      </c>
      <c r="BD138">
        <v>2.785714285714286</v>
      </c>
      <c r="BE138">
        <v>6.216117408214286</v>
      </c>
    </row>
    <row r="139" spans="1:57" x14ac:dyDescent="0.3">
      <c r="A139" t="s">
        <v>51</v>
      </c>
      <c r="B139" s="12" t="s">
        <v>703</v>
      </c>
      <c r="C139" s="12"/>
      <c r="F139">
        <v>3.64</v>
      </c>
      <c r="G139" t="s">
        <v>117</v>
      </c>
      <c r="H139" s="8" t="s">
        <v>536</v>
      </c>
      <c r="I139" t="s">
        <v>617</v>
      </c>
      <c r="N139" s="20">
        <v>1</v>
      </c>
      <c r="O139">
        <v>5.4729999999999999</v>
      </c>
      <c r="P139">
        <v>5.5270000000000001</v>
      </c>
      <c r="Q139">
        <v>25.030999999999999</v>
      </c>
      <c r="R139" t="s">
        <v>450</v>
      </c>
      <c r="T139" s="20">
        <v>12.88926011</v>
      </c>
      <c r="U139" s="20">
        <v>12.88926011</v>
      </c>
      <c r="V139" s="20">
        <v>12.88926011</v>
      </c>
      <c r="W139">
        <v>1</v>
      </c>
      <c r="X139" t="s">
        <v>462</v>
      </c>
      <c r="Z139">
        <v>2.36</v>
      </c>
      <c r="AA139">
        <v>1</v>
      </c>
      <c r="AD139">
        <v>1</v>
      </c>
      <c r="AG139">
        <v>1</v>
      </c>
      <c r="AO139">
        <v>18</v>
      </c>
      <c r="AP139" s="20">
        <v>195.03203980213701</v>
      </c>
      <c r="AQ139" s="20">
        <v>9.2292528029042184E-2</v>
      </c>
      <c r="AR139" s="23">
        <v>2</v>
      </c>
      <c r="AS139" s="23">
        <v>3</v>
      </c>
      <c r="AT139" s="23">
        <v>1.857142857142857</v>
      </c>
      <c r="AU139" s="23">
        <v>4</v>
      </c>
      <c r="AV139" s="23">
        <v>0.18421052631578949</v>
      </c>
      <c r="AW139" s="23">
        <v>0.27631578947368418</v>
      </c>
      <c r="AX139" s="23">
        <v>0.1710526315789474</v>
      </c>
      <c r="AY139" s="23">
        <v>0.36842105263157893</v>
      </c>
      <c r="AZ139" s="20">
        <v>0.95</v>
      </c>
      <c r="BA139" s="20">
        <v>3.44</v>
      </c>
      <c r="BB139" s="20">
        <v>2.4900000000000002</v>
      </c>
      <c r="BC139" s="20">
        <v>2.782142857142857</v>
      </c>
      <c r="BD139">
        <v>2.7821428571428579</v>
      </c>
      <c r="BE139">
        <v>6.2021612289285706</v>
      </c>
    </row>
    <row r="140" spans="1:57" x14ac:dyDescent="0.3">
      <c r="A140" t="s">
        <v>18</v>
      </c>
      <c r="B140" s="12" t="s">
        <v>704</v>
      </c>
      <c r="C140" s="12"/>
      <c r="F140">
        <v>3.52</v>
      </c>
      <c r="G140" t="s">
        <v>117</v>
      </c>
      <c r="H140" s="8" t="s">
        <v>537</v>
      </c>
      <c r="I140" t="s">
        <v>618</v>
      </c>
      <c r="N140" s="20">
        <v>1</v>
      </c>
      <c r="O140">
        <v>3.9540000000000002</v>
      </c>
      <c r="P140">
        <v>3.9540000000000002</v>
      </c>
      <c r="Q140">
        <v>25.486999999999998</v>
      </c>
      <c r="R140" t="s">
        <v>440</v>
      </c>
      <c r="T140" s="20">
        <v>12.939761450000001</v>
      </c>
      <c r="U140" s="20">
        <v>12.939761450000001</v>
      </c>
      <c r="V140" s="20">
        <v>12.939761450000001</v>
      </c>
      <c r="W140">
        <v>1</v>
      </c>
      <c r="Z140">
        <v>2.1800000000000002</v>
      </c>
      <c r="AA140">
        <v>1</v>
      </c>
      <c r="AD140">
        <v>1</v>
      </c>
      <c r="AG140">
        <v>1</v>
      </c>
      <c r="AO140">
        <v>18</v>
      </c>
      <c r="AP140" s="20">
        <v>198.96095988642259</v>
      </c>
      <c r="AQ140" s="20">
        <v>9.047000984653146E-2</v>
      </c>
      <c r="AR140" s="23">
        <v>2</v>
      </c>
      <c r="AS140" s="23">
        <v>3</v>
      </c>
      <c r="AT140" s="23">
        <v>1.857142857142857</v>
      </c>
      <c r="AU140" s="23">
        <v>4</v>
      </c>
      <c r="AV140" s="23">
        <v>0.18421052631578949</v>
      </c>
      <c r="AW140" s="23">
        <v>0.27631578947368418</v>
      </c>
      <c r="AX140" s="23">
        <v>0.1710526315789474</v>
      </c>
      <c r="AY140" s="23">
        <v>0.36842105263157893</v>
      </c>
      <c r="AZ140" s="20">
        <v>0.89</v>
      </c>
      <c r="BA140" s="20">
        <v>3.44</v>
      </c>
      <c r="BB140" s="20">
        <v>2.5499999999999998</v>
      </c>
      <c r="BC140" s="20">
        <v>2.777857142857143</v>
      </c>
      <c r="BD140">
        <v>2.777857142857143</v>
      </c>
      <c r="BE140">
        <v>6.1882096985714297</v>
      </c>
    </row>
    <row r="141" spans="1:57" x14ac:dyDescent="0.3">
      <c r="A141" t="s">
        <v>118</v>
      </c>
      <c r="B141" s="16" t="s">
        <v>920</v>
      </c>
      <c r="C141" s="12"/>
      <c r="F141">
        <v>3.44</v>
      </c>
      <c r="G141" t="s">
        <v>122</v>
      </c>
      <c r="H141" s="8">
        <v>-1</v>
      </c>
      <c r="I141">
        <v>-1</v>
      </c>
      <c r="N141" s="20">
        <v>0</v>
      </c>
      <c r="O141">
        <v>5.492</v>
      </c>
      <c r="P141">
        <v>5.5650000000000004</v>
      </c>
      <c r="Q141">
        <v>24.88</v>
      </c>
      <c r="R141" s="1" t="s">
        <v>440</v>
      </c>
      <c r="S141" s="1"/>
      <c r="T141" s="20">
        <v>0</v>
      </c>
      <c r="U141" s="20"/>
      <c r="V141" s="20"/>
      <c r="W141"/>
      <c r="X141" t="s">
        <v>487</v>
      </c>
      <c r="Z141">
        <v>1.3</v>
      </c>
      <c r="AA141">
        <v>1</v>
      </c>
      <c r="AF141">
        <v>1</v>
      </c>
      <c r="AG141">
        <v>1</v>
      </c>
      <c r="AO141">
        <v>18</v>
      </c>
      <c r="AP141" s="20">
        <v>0</v>
      </c>
      <c r="AQ141" s="20"/>
      <c r="AR141" s="23">
        <v>1.964285714285714</v>
      </c>
      <c r="AS141" s="23">
        <v>3</v>
      </c>
      <c r="AT141" s="23">
        <v>1.892857142857143</v>
      </c>
      <c r="AU141" s="23">
        <v>4</v>
      </c>
      <c r="AV141" s="23">
        <v>0.1809210526315789</v>
      </c>
      <c r="AW141" s="23">
        <v>0.27631578947368418</v>
      </c>
      <c r="AX141" s="23">
        <v>0.17434210526315791</v>
      </c>
      <c r="AY141" s="23">
        <v>0.36842105263157893</v>
      </c>
      <c r="AZ141" s="20">
        <v>0.82</v>
      </c>
      <c r="BA141" s="20">
        <v>3.44</v>
      </c>
      <c r="BB141" s="20">
        <v>2.62</v>
      </c>
      <c r="BC141" s="20">
        <v>2.7828571428571429</v>
      </c>
      <c r="BD141">
        <v>2.7828571428571429</v>
      </c>
      <c r="BE141">
        <v>6.1929237675000008</v>
      </c>
    </row>
    <row r="142" spans="1:57" x14ac:dyDescent="0.3">
      <c r="A142" t="s">
        <v>119</v>
      </c>
      <c r="B142" s="16" t="s">
        <v>921</v>
      </c>
      <c r="C142" s="12"/>
      <c r="F142">
        <v>3.22</v>
      </c>
      <c r="G142" t="s">
        <v>122</v>
      </c>
      <c r="H142" s="8">
        <v>-1</v>
      </c>
      <c r="I142">
        <v>-1</v>
      </c>
      <c r="N142" s="20">
        <v>0</v>
      </c>
      <c r="O142">
        <v>5.5019999999999998</v>
      </c>
      <c r="P142">
        <v>5.5069999999999997</v>
      </c>
      <c r="Q142">
        <v>25.09</v>
      </c>
      <c r="R142" s="1" t="s">
        <v>440</v>
      </c>
      <c r="S142" s="1"/>
      <c r="T142" s="20">
        <v>0</v>
      </c>
      <c r="U142" s="20"/>
      <c r="V142" s="20"/>
      <c r="W142"/>
      <c r="X142" t="s">
        <v>488</v>
      </c>
      <c r="Z142">
        <v>3.2</v>
      </c>
      <c r="AA142">
        <v>1</v>
      </c>
      <c r="AF142">
        <v>1</v>
      </c>
      <c r="AG142">
        <v>1</v>
      </c>
      <c r="AO142">
        <v>18</v>
      </c>
      <c r="AP142" s="20">
        <v>0</v>
      </c>
      <c r="AQ142" s="20"/>
      <c r="AR142" s="23">
        <v>1.821428571428571</v>
      </c>
      <c r="AS142" s="23">
        <v>3</v>
      </c>
      <c r="AT142" s="23">
        <v>2.035714285714286</v>
      </c>
      <c r="AU142" s="23">
        <v>2</v>
      </c>
      <c r="AV142" s="23">
        <v>0.20564516129032259</v>
      </c>
      <c r="AW142" s="23">
        <v>0.33870967741935482</v>
      </c>
      <c r="AX142" s="23">
        <v>0.22983870967741929</v>
      </c>
      <c r="AY142" s="23">
        <v>0.22580645161290319</v>
      </c>
      <c r="AZ142" s="20">
        <v>0.82</v>
      </c>
      <c r="BA142" s="20">
        <v>3.44</v>
      </c>
      <c r="BB142" s="20">
        <v>2.62</v>
      </c>
      <c r="BC142" s="20">
        <v>2.7971428571428572</v>
      </c>
      <c r="BD142">
        <v>2.7971428571428572</v>
      </c>
      <c r="BE142">
        <v>6.1788927675000007</v>
      </c>
    </row>
    <row r="143" spans="1:57" x14ac:dyDescent="0.3">
      <c r="A143" t="s">
        <v>120</v>
      </c>
      <c r="B143" s="16" t="s">
        <v>922</v>
      </c>
      <c r="C143" s="12"/>
      <c r="F143">
        <v>4</v>
      </c>
      <c r="G143" t="s">
        <v>122</v>
      </c>
      <c r="H143" s="8">
        <v>-1</v>
      </c>
      <c r="I143">
        <v>-1</v>
      </c>
      <c r="N143" s="20">
        <v>0</v>
      </c>
      <c r="O143">
        <v>3.9060000000000001</v>
      </c>
      <c r="P143">
        <v>3.9060000000000001</v>
      </c>
      <c r="Q143">
        <v>9.8840000000000003</v>
      </c>
      <c r="T143" s="20">
        <v>0</v>
      </c>
      <c r="U143" s="20"/>
      <c r="V143" s="20"/>
      <c r="W143"/>
      <c r="Z143">
        <v>3.5</v>
      </c>
      <c r="AA143">
        <v>1</v>
      </c>
      <c r="AF143">
        <v>1</v>
      </c>
      <c r="AG143">
        <v>1</v>
      </c>
      <c r="AO143">
        <v>14</v>
      </c>
      <c r="AP143" s="20">
        <v>0</v>
      </c>
      <c r="AQ143" s="20"/>
      <c r="AR143" s="23">
        <v>1.8135593220338979</v>
      </c>
      <c r="AS143" s="23">
        <v>2.398305084745763</v>
      </c>
      <c r="AT143" s="23">
        <v>0.63559322033898302</v>
      </c>
      <c r="AU143" s="23">
        <v>2.4915254237288131</v>
      </c>
      <c r="AV143" s="23">
        <v>0.24711316397228639</v>
      </c>
      <c r="AW143" s="23">
        <v>0.32678983833718239</v>
      </c>
      <c r="AX143" s="23">
        <v>8.6605080831408776E-2</v>
      </c>
      <c r="AY143" s="23">
        <v>0.33949191685912239</v>
      </c>
      <c r="AZ143" s="20">
        <v>0.82</v>
      </c>
      <c r="BA143" s="20">
        <v>3.44</v>
      </c>
      <c r="BB143" s="20">
        <v>2.62</v>
      </c>
      <c r="BC143" s="20">
        <v>2.733728813559321</v>
      </c>
      <c r="BD143">
        <v>2.7337288135593218</v>
      </c>
      <c r="BE143">
        <v>6.5217336360353304</v>
      </c>
    </row>
    <row r="144" spans="1:57" x14ac:dyDescent="0.3">
      <c r="A144" t="s">
        <v>121</v>
      </c>
      <c r="B144" s="16" t="s">
        <v>923</v>
      </c>
      <c r="C144" s="12"/>
      <c r="F144">
        <v>3.49</v>
      </c>
      <c r="G144" t="s">
        <v>122</v>
      </c>
      <c r="H144" s="8">
        <v>-1</v>
      </c>
      <c r="I144">
        <v>-1</v>
      </c>
      <c r="N144" s="20">
        <v>0</v>
      </c>
      <c r="O144">
        <v>3.903</v>
      </c>
      <c r="P144">
        <v>3.903</v>
      </c>
      <c r="Q144">
        <v>10.050000000000001</v>
      </c>
      <c r="T144" s="20">
        <v>0</v>
      </c>
      <c r="U144" s="20"/>
      <c r="V144" s="20"/>
      <c r="W144"/>
      <c r="Z144">
        <v>7.3</v>
      </c>
      <c r="AA144">
        <v>1</v>
      </c>
      <c r="AF144">
        <v>1</v>
      </c>
      <c r="AG144">
        <v>1</v>
      </c>
      <c r="AO144">
        <v>13</v>
      </c>
      <c r="AP144" s="20">
        <v>0</v>
      </c>
      <c r="AQ144" s="20"/>
      <c r="AR144" s="23">
        <v>1.6448598130841121</v>
      </c>
      <c r="AS144" s="23">
        <v>2.457943925233645</v>
      </c>
      <c r="AT144" s="23">
        <v>0.86915887850467299</v>
      </c>
      <c r="AU144" s="23">
        <v>0.13084112149532709</v>
      </c>
      <c r="AV144" s="23">
        <v>0.32234432234432231</v>
      </c>
      <c r="AW144" s="23">
        <v>0.48168498168498158</v>
      </c>
      <c r="AX144" s="23">
        <v>0.17032967032967031</v>
      </c>
      <c r="AY144" s="23">
        <v>2.564102564102564E-2</v>
      </c>
      <c r="AZ144" s="20">
        <v>0.82</v>
      </c>
      <c r="BA144" s="20">
        <v>3.44</v>
      </c>
      <c r="BB144" s="20">
        <v>2.62</v>
      </c>
      <c r="BC144" s="20">
        <v>2.7828037383177571</v>
      </c>
      <c r="BD144">
        <v>2.782803738317758</v>
      </c>
      <c r="BE144">
        <v>6.5403483343235136</v>
      </c>
    </row>
    <row r="145" spans="1:57" x14ac:dyDescent="0.3">
      <c r="A145" t="s">
        <v>1185</v>
      </c>
      <c r="B145" s="37" t="s">
        <v>1186</v>
      </c>
      <c r="C145" s="12"/>
      <c r="F145">
        <v>4</v>
      </c>
      <c r="G145" t="s">
        <v>122</v>
      </c>
      <c r="H145" s="8" t="s">
        <v>1188</v>
      </c>
      <c r="I145">
        <v>-1</v>
      </c>
      <c r="J145" t="s">
        <v>1187</v>
      </c>
      <c r="N145" s="20">
        <v>0</v>
      </c>
      <c r="O145"/>
      <c r="P145"/>
      <c r="Q145"/>
      <c r="T145" s="20">
        <v>0</v>
      </c>
      <c r="U145" s="20"/>
      <c r="V145" s="20"/>
      <c r="W145"/>
      <c r="Z145">
        <v>2.1</v>
      </c>
      <c r="AA145">
        <v>1</v>
      </c>
      <c r="AF145">
        <v>1</v>
      </c>
      <c r="AG145">
        <v>1</v>
      </c>
      <c r="AO145">
        <v>34</v>
      </c>
      <c r="AP145" s="20">
        <v>0</v>
      </c>
      <c r="AQ145" s="20"/>
      <c r="AR145" s="23">
        <v>1.92</v>
      </c>
      <c r="AS145" s="23">
        <v>2.72</v>
      </c>
      <c r="AT145" s="23">
        <v>0.64</v>
      </c>
      <c r="AU145" s="23">
        <v>2.8</v>
      </c>
      <c r="AV145" s="23">
        <v>0.23762376237623761</v>
      </c>
      <c r="AW145" s="23">
        <v>0.33663366336633671</v>
      </c>
      <c r="AX145" s="23">
        <v>7.9207920792079209E-2</v>
      </c>
      <c r="AY145" s="23">
        <v>0.34653465346534651</v>
      </c>
      <c r="AZ145" s="20">
        <v>0.82</v>
      </c>
      <c r="BA145" s="20">
        <v>3.44</v>
      </c>
      <c r="BB145" s="20">
        <v>2.62</v>
      </c>
      <c r="BC145" s="20">
        <v>2.7488000000000001</v>
      </c>
      <c r="BD145">
        <v>2.7488000000000001</v>
      </c>
      <c r="BE145">
        <v>6.2305574404000001</v>
      </c>
    </row>
    <row r="146" spans="1:57" x14ac:dyDescent="0.3">
      <c r="A146" s="4" t="s">
        <v>123</v>
      </c>
      <c r="B146" s="16" t="s">
        <v>924</v>
      </c>
      <c r="C146" s="12"/>
      <c r="D146" s="4"/>
      <c r="E146" s="4"/>
      <c r="F146" s="4">
        <v>3.7</v>
      </c>
      <c r="G146" s="4" t="s">
        <v>122</v>
      </c>
      <c r="H146" s="30">
        <v>-2</v>
      </c>
      <c r="I146">
        <v>-1</v>
      </c>
      <c r="K146" s="4"/>
      <c r="L146" s="4"/>
      <c r="M146" s="4"/>
      <c r="N146" s="20">
        <v>0</v>
      </c>
      <c r="O146"/>
      <c r="P146"/>
      <c r="Q146"/>
      <c r="T146" s="20">
        <v>0</v>
      </c>
      <c r="U146" s="20"/>
      <c r="V146" s="20"/>
      <c r="W146"/>
      <c r="AO146">
        <v>14</v>
      </c>
      <c r="AP146" s="20">
        <v>0</v>
      </c>
      <c r="AQ146" s="20"/>
      <c r="AR146" s="23">
        <v>1.847457627118644</v>
      </c>
      <c r="AS146" s="23">
        <v>2.4237288135593218</v>
      </c>
      <c r="AT146" s="23">
        <v>0.67796610169491522</v>
      </c>
      <c r="AU146" s="23">
        <v>2.610169491525423</v>
      </c>
      <c r="AV146" s="23">
        <v>0.2443946188340807</v>
      </c>
      <c r="AW146" s="23">
        <v>0.32062780269058289</v>
      </c>
      <c r="AX146" s="23">
        <v>8.9686098654708529E-2</v>
      </c>
      <c r="AY146" s="23">
        <v>0.3452914798206278</v>
      </c>
      <c r="AZ146" s="20">
        <v>1</v>
      </c>
      <c r="BA146" s="20">
        <v>3.44</v>
      </c>
      <c r="BB146" s="20">
        <v>2.44</v>
      </c>
      <c r="BC146" s="20">
        <v>2.732542372881356</v>
      </c>
      <c r="BD146">
        <v>2.732542372881356</v>
      </c>
      <c r="BE146">
        <v>6.5123179483671016</v>
      </c>
    </row>
    <row r="147" spans="1:57" x14ac:dyDescent="0.3">
      <c r="A147" s="4" t="s">
        <v>124</v>
      </c>
      <c r="B147" s="16" t="s">
        <v>925</v>
      </c>
      <c r="C147" s="12"/>
      <c r="D147" s="4"/>
      <c r="E147" s="4"/>
      <c r="F147" s="4">
        <v>3.9</v>
      </c>
      <c r="G147" s="4" t="s">
        <v>122</v>
      </c>
      <c r="H147" s="30">
        <v>-2</v>
      </c>
      <c r="I147">
        <v>-1</v>
      </c>
      <c r="K147" s="4"/>
      <c r="L147" s="4"/>
      <c r="M147" s="4"/>
      <c r="N147" s="20">
        <v>0</v>
      </c>
      <c r="O147"/>
      <c r="P147"/>
      <c r="Q147"/>
      <c r="T147" s="20">
        <v>0</v>
      </c>
      <c r="U147" s="20"/>
      <c r="V147" s="20"/>
      <c r="W147"/>
      <c r="AO147">
        <v>14</v>
      </c>
      <c r="AP147" s="20">
        <v>0</v>
      </c>
      <c r="AQ147" s="20"/>
      <c r="AR147" s="23">
        <v>1.85</v>
      </c>
      <c r="AS147" s="23">
        <v>2.3833333333333329</v>
      </c>
      <c r="AT147" s="23">
        <v>0.66666666666666663</v>
      </c>
      <c r="AU147" s="23">
        <v>2.5666666666666669</v>
      </c>
      <c r="AV147" s="23">
        <v>0.24776785714285721</v>
      </c>
      <c r="AW147" s="23">
        <v>0.3191964285714286</v>
      </c>
      <c r="AX147" s="23">
        <v>8.9285714285714288E-2</v>
      </c>
      <c r="AY147" s="23">
        <v>0.34375000000000011</v>
      </c>
      <c r="AZ147" s="20">
        <v>0.95</v>
      </c>
      <c r="BA147" s="20">
        <v>3.44</v>
      </c>
      <c r="BB147" s="20">
        <v>2.4900000000000002</v>
      </c>
      <c r="BC147" s="20">
        <v>2.6995</v>
      </c>
      <c r="BD147">
        <v>2.6995</v>
      </c>
      <c r="BE147">
        <v>6.4386446606443171</v>
      </c>
    </row>
    <row r="148" spans="1:57" x14ac:dyDescent="0.3">
      <c r="A148" s="4" t="s">
        <v>125</v>
      </c>
      <c r="B148" s="16" t="s">
        <v>926</v>
      </c>
      <c r="C148" s="12"/>
      <c r="D148" s="4"/>
      <c r="E148" s="4"/>
      <c r="F148" s="4">
        <v>4</v>
      </c>
      <c r="G148" s="4" t="s">
        <v>122</v>
      </c>
      <c r="H148" s="30">
        <v>-2</v>
      </c>
      <c r="I148">
        <v>-1</v>
      </c>
      <c r="K148" s="4"/>
      <c r="L148" s="4"/>
      <c r="M148" s="4"/>
      <c r="N148" s="20">
        <v>0</v>
      </c>
      <c r="O148"/>
      <c r="P148"/>
      <c r="Q148"/>
      <c r="T148" s="20">
        <v>0</v>
      </c>
      <c r="U148" s="20"/>
      <c r="V148" s="20"/>
      <c r="W148"/>
      <c r="AO148">
        <v>14</v>
      </c>
      <c r="AP148" s="20">
        <v>0</v>
      </c>
      <c r="AQ148" s="20"/>
      <c r="AR148" s="23">
        <v>1.8389830508474569</v>
      </c>
      <c r="AS148" s="23">
        <v>2.398305084745763</v>
      </c>
      <c r="AT148" s="23">
        <v>0.59322033898305082</v>
      </c>
      <c r="AU148" s="23">
        <v>2.4915254237288131</v>
      </c>
      <c r="AV148" s="23">
        <v>0.25115740740740738</v>
      </c>
      <c r="AW148" s="23">
        <v>0.32754629629629628</v>
      </c>
      <c r="AX148" s="23">
        <v>8.1018518518518517E-2</v>
      </c>
      <c r="AY148" s="23">
        <v>0.34027777777777768</v>
      </c>
      <c r="AZ148" s="20">
        <v>0.89</v>
      </c>
      <c r="BA148" s="20">
        <v>3.44</v>
      </c>
      <c r="BB148" s="20">
        <v>2.5499999999999998</v>
      </c>
      <c r="BC148" s="20">
        <v>2.7266101694915248</v>
      </c>
      <c r="BD148">
        <v>2.7266101694915261</v>
      </c>
      <c r="BE148">
        <v>6.5117833191709238</v>
      </c>
    </row>
    <row r="149" spans="1:57" x14ac:dyDescent="0.3">
      <c r="A149" s="4" t="s">
        <v>120</v>
      </c>
      <c r="B149" s="16" t="s">
        <v>927</v>
      </c>
      <c r="C149" s="12"/>
      <c r="D149" s="4"/>
      <c r="E149" s="4"/>
      <c r="F149" s="4">
        <v>4.3</v>
      </c>
      <c r="G149" s="4" t="s">
        <v>122</v>
      </c>
      <c r="H149" s="30">
        <v>-2</v>
      </c>
      <c r="I149">
        <v>-1</v>
      </c>
      <c r="K149" s="4"/>
      <c r="L149" s="4"/>
      <c r="M149" s="4"/>
      <c r="N149" s="20">
        <v>0</v>
      </c>
      <c r="O149"/>
      <c r="P149"/>
      <c r="Q149"/>
      <c r="T149" s="20">
        <v>0</v>
      </c>
      <c r="U149" s="20"/>
      <c r="V149" s="20"/>
      <c r="W149"/>
      <c r="AO149">
        <v>14</v>
      </c>
      <c r="AP149" s="20">
        <v>0</v>
      </c>
      <c r="AQ149" s="20"/>
      <c r="AR149" s="23">
        <v>1.8135593220338979</v>
      </c>
      <c r="AS149" s="23">
        <v>2.398305084745763</v>
      </c>
      <c r="AT149" s="23">
        <v>0.63559322033898302</v>
      </c>
      <c r="AU149" s="23">
        <v>2.4915254237288131</v>
      </c>
      <c r="AV149" s="23">
        <v>0.24711316397228639</v>
      </c>
      <c r="AW149" s="23">
        <v>0.32678983833718239</v>
      </c>
      <c r="AX149" s="23">
        <v>8.6605080831408776E-2</v>
      </c>
      <c r="AY149" s="23">
        <v>0.33949191685912239</v>
      </c>
      <c r="AZ149" s="20">
        <v>0.82</v>
      </c>
      <c r="BA149" s="20">
        <v>3.44</v>
      </c>
      <c r="BB149" s="20">
        <v>2.62</v>
      </c>
      <c r="BC149" s="20">
        <v>2.733728813559321</v>
      </c>
      <c r="BD149">
        <v>2.7337288135593218</v>
      </c>
      <c r="BE149">
        <v>6.5217336360353304</v>
      </c>
    </row>
    <row r="150" spans="1:57" x14ac:dyDescent="0.3">
      <c r="A150" t="s">
        <v>127</v>
      </c>
      <c r="B150" s="12" t="s">
        <v>754</v>
      </c>
      <c r="C150" s="12"/>
      <c r="F150">
        <v>2.39</v>
      </c>
      <c r="G150" t="s">
        <v>126</v>
      </c>
      <c r="H150" s="8">
        <v>-1</v>
      </c>
      <c r="I150">
        <v>-1</v>
      </c>
      <c r="N150" s="20">
        <v>0</v>
      </c>
      <c r="O150">
        <v>5.4930000000000003</v>
      </c>
      <c r="P150">
        <v>5.4930000000000003</v>
      </c>
      <c r="Q150">
        <v>28.75</v>
      </c>
      <c r="S150">
        <f>Q150/2</f>
        <v>14.375</v>
      </c>
      <c r="T150" s="20">
        <v>0</v>
      </c>
      <c r="U150" s="20"/>
      <c r="V150" s="20"/>
      <c r="W150">
        <v>1</v>
      </c>
      <c r="AA150">
        <v>1</v>
      </c>
      <c r="AE150">
        <v>1</v>
      </c>
      <c r="AF150">
        <v>1</v>
      </c>
      <c r="AG150">
        <v>1</v>
      </c>
      <c r="AO150">
        <v>2</v>
      </c>
      <c r="AP150" s="20">
        <v>0</v>
      </c>
      <c r="AQ150" s="20"/>
      <c r="AR150" s="23">
        <v>1.428571428571429</v>
      </c>
      <c r="AS150" s="23">
        <v>1.5</v>
      </c>
      <c r="AT150" s="23">
        <v>5.1428571428571432</v>
      </c>
      <c r="AU150" s="23">
        <v>4</v>
      </c>
      <c r="AV150" s="23">
        <v>0.1183431952662722</v>
      </c>
      <c r="AW150" s="23">
        <v>0.1242603550295858</v>
      </c>
      <c r="AX150" s="23">
        <v>0.42603550295857989</v>
      </c>
      <c r="AY150" s="23">
        <v>0.33136094674556221</v>
      </c>
      <c r="AZ150" s="20">
        <v>1.6</v>
      </c>
      <c r="BA150" s="20">
        <v>3.44</v>
      </c>
      <c r="BB150" s="20">
        <v>1.84</v>
      </c>
      <c r="BC150" s="20">
        <v>1.9628571428571431</v>
      </c>
      <c r="BD150">
        <v>1.9628571428571431</v>
      </c>
      <c r="BE150">
        <v>4.4993245392857144</v>
      </c>
    </row>
    <row r="151" spans="1:57" x14ac:dyDescent="0.3">
      <c r="A151" t="s">
        <v>128</v>
      </c>
      <c r="B151" s="12" t="s">
        <v>755</v>
      </c>
      <c r="C151" s="12"/>
      <c r="F151">
        <v>3.42</v>
      </c>
      <c r="G151" t="s">
        <v>126</v>
      </c>
      <c r="H151" s="8" t="s">
        <v>571</v>
      </c>
      <c r="I151" t="s">
        <v>649</v>
      </c>
      <c r="N151" s="20">
        <v>2</v>
      </c>
      <c r="O151"/>
      <c r="P151"/>
      <c r="Q151"/>
      <c r="T151" s="20">
        <v>3.8933966999999998</v>
      </c>
      <c r="U151" s="20">
        <v>3.8933966999999998</v>
      </c>
      <c r="V151" s="20">
        <v>7.4931887499999998</v>
      </c>
      <c r="W151"/>
      <c r="AA151">
        <v>1</v>
      </c>
      <c r="AG151">
        <v>1</v>
      </c>
      <c r="AO151">
        <v>2</v>
      </c>
      <c r="AP151" s="20">
        <v>113.5857853857584</v>
      </c>
      <c r="AQ151" s="20">
        <v>3.5215674095268677E-2</v>
      </c>
      <c r="AR151" s="23">
        <v>2</v>
      </c>
      <c r="AS151" s="23">
        <v>4</v>
      </c>
      <c r="AT151" s="23">
        <v>3.333333333333333</v>
      </c>
      <c r="AU151" s="23">
        <v>4.666666666666667</v>
      </c>
      <c r="AV151" s="23">
        <v>0.14285714285714279</v>
      </c>
      <c r="AW151" s="23">
        <v>0.2857142857142857</v>
      </c>
      <c r="AX151" s="23">
        <v>0.23809523809523811</v>
      </c>
      <c r="AY151" s="23">
        <v>0.33333333333333343</v>
      </c>
      <c r="AZ151" s="20">
        <v>2.02</v>
      </c>
      <c r="BA151" s="20">
        <v>3.44</v>
      </c>
      <c r="BB151" s="20">
        <v>1.42</v>
      </c>
      <c r="BC151" s="20">
        <v>2.8733333333333331</v>
      </c>
      <c r="BD151">
        <v>2.8733333333333331</v>
      </c>
      <c r="BE151">
        <v>6.6478994516666674</v>
      </c>
    </row>
    <row r="152" spans="1:57" x14ac:dyDescent="0.3">
      <c r="A152" t="s">
        <v>129</v>
      </c>
      <c r="B152" s="12" t="s">
        <v>756</v>
      </c>
      <c r="C152" s="12"/>
      <c r="F152">
        <v>2.39</v>
      </c>
      <c r="G152" t="s">
        <v>133</v>
      </c>
      <c r="H152" s="8" t="s">
        <v>572</v>
      </c>
      <c r="I152" t="s">
        <v>650</v>
      </c>
      <c r="N152" s="20">
        <v>4</v>
      </c>
      <c r="O152"/>
      <c r="P152"/>
      <c r="Q152"/>
      <c r="T152" s="20">
        <v>5.5026178200000002</v>
      </c>
      <c r="U152" s="20">
        <v>5.5582516699999998</v>
      </c>
      <c r="V152" s="20">
        <v>28.882220520000001</v>
      </c>
      <c r="W152">
        <v>1</v>
      </c>
      <c r="X152" t="s">
        <v>489</v>
      </c>
      <c r="AE152">
        <v>1</v>
      </c>
      <c r="AF152">
        <v>1</v>
      </c>
      <c r="AG152">
        <v>1</v>
      </c>
      <c r="AJ152">
        <v>1</v>
      </c>
      <c r="AO152">
        <v>16</v>
      </c>
      <c r="AP152" s="20">
        <v>883.36082823090169</v>
      </c>
      <c r="AQ152" s="20">
        <v>7.2450575070407169E-2</v>
      </c>
      <c r="AR152" s="23">
        <v>1.928571428571429</v>
      </c>
      <c r="AS152" s="23">
        <v>3.5</v>
      </c>
      <c r="AT152" s="23">
        <v>3.1428571428571428</v>
      </c>
      <c r="AU152" s="23">
        <v>4</v>
      </c>
      <c r="AV152" s="23">
        <v>0.15340909090909091</v>
      </c>
      <c r="AW152" s="23">
        <v>0.27840909090909088</v>
      </c>
      <c r="AX152" s="23">
        <v>0.25</v>
      </c>
      <c r="AY152" s="23">
        <v>0.31818181818181818</v>
      </c>
      <c r="AZ152" s="20">
        <v>1.6</v>
      </c>
      <c r="BA152" s="20">
        <v>3.44</v>
      </c>
      <c r="BB152" s="20">
        <v>1.84</v>
      </c>
      <c r="BC152" s="20">
        <v>2.882857142857143</v>
      </c>
      <c r="BD152">
        <v>2.882857142857143</v>
      </c>
      <c r="BE152">
        <v>6.350050364285714</v>
      </c>
    </row>
    <row r="153" spans="1:57" x14ac:dyDescent="0.3">
      <c r="A153" t="s">
        <v>130</v>
      </c>
      <c r="B153" s="12" t="s">
        <v>757</v>
      </c>
      <c r="C153" s="12"/>
      <c r="F153">
        <v>2.2200000000000002</v>
      </c>
      <c r="G153" t="s">
        <v>133</v>
      </c>
      <c r="H153" s="8" t="s">
        <v>573</v>
      </c>
      <c r="I153">
        <v>-1</v>
      </c>
      <c r="N153" s="20">
        <v>4</v>
      </c>
      <c r="O153"/>
      <c r="P153"/>
      <c r="Q153"/>
      <c r="T153" s="20">
        <v>5.5809040000000003</v>
      </c>
      <c r="U153" s="20">
        <v>5.6539380000000001</v>
      </c>
      <c r="V153" s="20">
        <v>29.812771999999999</v>
      </c>
      <c r="W153">
        <v>1</v>
      </c>
      <c r="X153" t="s">
        <v>490</v>
      </c>
      <c r="AE153">
        <v>1</v>
      </c>
      <c r="AF153">
        <v>1</v>
      </c>
      <c r="AG153">
        <v>1</v>
      </c>
      <c r="AJ153">
        <v>1</v>
      </c>
      <c r="AO153">
        <v>16</v>
      </c>
      <c r="AP153" s="20">
        <v>940.71474773474347</v>
      </c>
      <c r="AQ153" s="20">
        <v>6.8033375849706881E-2</v>
      </c>
      <c r="AR153" s="23">
        <v>1.928571428571429</v>
      </c>
      <c r="AS153" s="23">
        <v>3.5</v>
      </c>
      <c r="AT153" s="23">
        <v>3.8571428571428572</v>
      </c>
      <c r="AU153" s="23">
        <v>4</v>
      </c>
      <c r="AV153" s="23">
        <v>0.1451612903225806</v>
      </c>
      <c r="AW153" s="23">
        <v>0.26344086021505381</v>
      </c>
      <c r="AX153" s="23">
        <v>0.29032258064516131</v>
      </c>
      <c r="AY153" s="23">
        <v>0.30107526881720431</v>
      </c>
      <c r="AZ153" s="20">
        <v>1.6</v>
      </c>
      <c r="BA153" s="20">
        <v>3.44</v>
      </c>
      <c r="BB153" s="20">
        <v>1.84</v>
      </c>
      <c r="BC153" s="20">
        <v>2.8685714285714279</v>
      </c>
      <c r="BD153">
        <v>2.8685714285714279</v>
      </c>
      <c r="BE153">
        <v>6.299944650714286</v>
      </c>
    </row>
    <row r="154" spans="1:57" x14ac:dyDescent="0.3">
      <c r="A154" t="s">
        <v>131</v>
      </c>
      <c r="B154" s="12" t="s">
        <v>758</v>
      </c>
      <c r="C154" s="12"/>
      <c r="F154">
        <v>2.29</v>
      </c>
      <c r="G154" t="s">
        <v>133</v>
      </c>
      <c r="H154" s="8" t="s">
        <v>574</v>
      </c>
      <c r="I154" t="s">
        <v>651</v>
      </c>
      <c r="N154" s="20">
        <v>1</v>
      </c>
      <c r="O154"/>
      <c r="P154"/>
      <c r="Q154"/>
      <c r="T154" s="20">
        <v>3.9070640000000001</v>
      </c>
      <c r="U154" s="20">
        <v>3.9070640000000001</v>
      </c>
      <c r="V154" s="20">
        <v>14.317354999999999</v>
      </c>
      <c r="W154">
        <v>1</v>
      </c>
      <c r="X154" t="s">
        <v>492</v>
      </c>
      <c r="AE154">
        <v>1</v>
      </c>
      <c r="AF154">
        <v>1</v>
      </c>
      <c r="AG154">
        <v>1</v>
      </c>
      <c r="AJ154">
        <v>1</v>
      </c>
      <c r="AO154">
        <v>16</v>
      </c>
      <c r="AP154" s="20">
        <v>218.55655879400501</v>
      </c>
      <c r="AQ154" s="20">
        <v>7.320759481338833E-2</v>
      </c>
      <c r="AR154" s="23">
        <v>2</v>
      </c>
      <c r="AS154" s="23">
        <v>3.5</v>
      </c>
      <c r="AT154" s="23">
        <v>3.0714285714285721</v>
      </c>
      <c r="AU154" s="23">
        <v>5</v>
      </c>
      <c r="AV154" s="23">
        <v>0.14736842105263159</v>
      </c>
      <c r="AW154" s="23">
        <v>0.25789473684210529</v>
      </c>
      <c r="AX154" s="23">
        <v>0.22631578947368419</v>
      </c>
      <c r="AY154" s="23">
        <v>0.36842105263157893</v>
      </c>
      <c r="AZ154" s="20">
        <v>1.5</v>
      </c>
      <c r="BA154" s="20">
        <v>3.44</v>
      </c>
      <c r="BB154" s="20">
        <v>1.94</v>
      </c>
      <c r="BC154" s="20">
        <v>2.875714285714285</v>
      </c>
      <c r="BD154">
        <v>2.875714285714285</v>
      </c>
      <c r="BE154">
        <v>6.3570658642857136</v>
      </c>
    </row>
    <row r="155" spans="1:57" x14ac:dyDescent="0.3">
      <c r="A155" t="s">
        <v>132</v>
      </c>
      <c r="B155" s="12" t="s">
        <v>759</v>
      </c>
      <c r="C155" s="12"/>
      <c r="F155">
        <v>2.27</v>
      </c>
      <c r="G155" t="s">
        <v>133</v>
      </c>
      <c r="H155" s="8" t="s">
        <v>575</v>
      </c>
      <c r="I155">
        <v>-1</v>
      </c>
      <c r="N155" s="20">
        <v>4</v>
      </c>
      <c r="O155"/>
      <c r="P155"/>
      <c r="Q155"/>
      <c r="T155" s="20">
        <v>5.4952131800000004</v>
      </c>
      <c r="U155" s="20">
        <v>5.5421627200000003</v>
      </c>
      <c r="V155" s="20">
        <v>29.451395720000001</v>
      </c>
      <c r="W155">
        <v>1</v>
      </c>
      <c r="X155" t="s">
        <v>491</v>
      </c>
      <c r="AE155">
        <v>1</v>
      </c>
      <c r="AF155">
        <v>1</v>
      </c>
      <c r="AG155">
        <v>1</v>
      </c>
      <c r="AJ155">
        <v>1</v>
      </c>
      <c r="AO155">
        <v>16</v>
      </c>
      <c r="AP155" s="20">
        <v>896.95302480881253</v>
      </c>
      <c r="AQ155" s="20">
        <v>7.1352677598296457E-2</v>
      </c>
      <c r="AR155" s="23">
        <v>2</v>
      </c>
      <c r="AS155" s="23">
        <v>3.5</v>
      </c>
      <c r="AT155" s="23">
        <v>3.785714285714286</v>
      </c>
      <c r="AU155" s="23">
        <v>5</v>
      </c>
      <c r="AV155" s="23">
        <v>0.14000000000000001</v>
      </c>
      <c r="AW155" s="23">
        <v>0.245</v>
      </c>
      <c r="AX155" s="23">
        <v>0.26500000000000001</v>
      </c>
      <c r="AY155" s="23">
        <v>0.35</v>
      </c>
      <c r="AZ155" s="20">
        <v>1.5</v>
      </c>
      <c r="BA155" s="20">
        <v>3.44</v>
      </c>
      <c r="BB155" s="20">
        <v>1.94</v>
      </c>
      <c r="BC155" s="20">
        <v>2.8614285714285721</v>
      </c>
      <c r="BD155">
        <v>2.8614285714285712</v>
      </c>
      <c r="BE155">
        <v>6.3069601507142856</v>
      </c>
    </row>
    <row r="156" spans="1:57" x14ac:dyDescent="0.3">
      <c r="A156" t="s">
        <v>136</v>
      </c>
      <c r="B156" s="12" t="s">
        <v>760</v>
      </c>
      <c r="C156" s="12"/>
      <c r="F156">
        <v>3.8</v>
      </c>
      <c r="G156" t="s">
        <v>135</v>
      </c>
      <c r="H156" s="8">
        <v>-1</v>
      </c>
      <c r="I156">
        <v>-1</v>
      </c>
      <c r="J156" t="s">
        <v>1164</v>
      </c>
      <c r="N156" s="20">
        <v>0</v>
      </c>
      <c r="O156">
        <v>3.89</v>
      </c>
      <c r="P156">
        <v>3.89</v>
      </c>
      <c r="Q156">
        <v>10.34</v>
      </c>
      <c r="R156" t="s">
        <v>440</v>
      </c>
      <c r="T156" s="20">
        <v>0</v>
      </c>
      <c r="U156" s="20"/>
      <c r="V156" s="20"/>
      <c r="W156">
        <v>1</v>
      </c>
      <c r="Y156">
        <v>2</v>
      </c>
      <c r="AO156">
        <v>14</v>
      </c>
      <c r="AP156" s="20">
        <v>0</v>
      </c>
      <c r="AQ156" s="20"/>
      <c r="AR156" s="23">
        <v>1.9090909090909089</v>
      </c>
      <c r="AS156" s="23">
        <v>2.545454545454545</v>
      </c>
      <c r="AT156" s="23">
        <v>0.63636363636363635</v>
      </c>
      <c r="AU156" s="23">
        <v>2.545454545454545</v>
      </c>
      <c r="AV156" s="23">
        <v>0.25</v>
      </c>
      <c r="AW156" s="23">
        <v>0.33333333333333331</v>
      </c>
      <c r="AX156" s="23">
        <v>8.3333333333333329E-2</v>
      </c>
      <c r="AY156" s="23">
        <v>0.33333333333333331</v>
      </c>
      <c r="AZ156" s="20">
        <v>1.1000000000000001</v>
      </c>
      <c r="BA156" s="20">
        <v>3.44</v>
      </c>
      <c r="BB156" s="20">
        <v>2.34</v>
      </c>
      <c r="BC156" s="20">
        <v>2.7618181818181822</v>
      </c>
      <c r="BD156">
        <v>2.7618181818181822</v>
      </c>
      <c r="BE156">
        <v>6.4448628590773636</v>
      </c>
    </row>
    <row r="157" spans="1:57" x14ac:dyDescent="0.3">
      <c r="A157" t="s">
        <v>137</v>
      </c>
      <c r="B157" s="12" t="s">
        <v>761</v>
      </c>
      <c r="C157" s="12"/>
      <c r="F157">
        <v>3.85</v>
      </c>
      <c r="G157" t="s">
        <v>135</v>
      </c>
      <c r="H157" s="8" t="s">
        <v>576</v>
      </c>
      <c r="I157" t="s">
        <v>652</v>
      </c>
      <c r="N157" s="20">
        <v>1</v>
      </c>
      <c r="O157">
        <v>3.85</v>
      </c>
      <c r="P157">
        <v>3.85</v>
      </c>
      <c r="Q157">
        <v>12.77</v>
      </c>
      <c r="R157" t="s">
        <v>440</v>
      </c>
      <c r="T157" s="20">
        <v>11.210029909999999</v>
      </c>
      <c r="U157" s="20">
        <v>11.210029909999999</v>
      </c>
      <c r="V157" s="20">
        <v>11.210029909999999</v>
      </c>
      <c r="W157">
        <v>1</v>
      </c>
      <c r="Y157">
        <v>2</v>
      </c>
      <c r="AA157">
        <v>1</v>
      </c>
      <c r="AO157">
        <v>14</v>
      </c>
      <c r="AP157" s="20">
        <v>167.3639996655379</v>
      </c>
      <c r="AQ157" s="20">
        <v>8.365000853216796E-2</v>
      </c>
      <c r="AR157" s="23">
        <v>1.9090909090909089</v>
      </c>
      <c r="AS157" s="23">
        <v>2.545454545454545</v>
      </c>
      <c r="AT157" s="23">
        <v>0.63636363636363635</v>
      </c>
      <c r="AU157" s="23">
        <v>2.545454545454545</v>
      </c>
      <c r="AV157" s="23">
        <v>0.25</v>
      </c>
      <c r="AW157" s="23">
        <v>0.33333333333333331</v>
      </c>
      <c r="AX157" s="23">
        <v>8.3333333333333329E-2</v>
      </c>
      <c r="AY157" s="23">
        <v>0.33333333333333331</v>
      </c>
      <c r="AZ157" s="20">
        <v>0.93</v>
      </c>
      <c r="BA157" s="20">
        <v>3.44</v>
      </c>
      <c r="BB157" s="20">
        <v>2.5099999999999998</v>
      </c>
      <c r="BC157" s="20">
        <v>2.646363636363636</v>
      </c>
      <c r="BD157">
        <v>2.646363636363636</v>
      </c>
      <c r="BE157">
        <v>6.0509524322727266</v>
      </c>
    </row>
    <row r="158" spans="1:57" x14ac:dyDescent="0.3">
      <c r="A158" t="s">
        <v>10</v>
      </c>
      <c r="B158" s="12" t="s">
        <v>695</v>
      </c>
      <c r="C158" s="12"/>
      <c r="F158">
        <v>3.9</v>
      </c>
      <c r="G158" t="s">
        <v>135</v>
      </c>
      <c r="H158" s="8" t="s">
        <v>531</v>
      </c>
      <c r="I158">
        <v>-1</v>
      </c>
      <c r="N158" s="20">
        <v>1</v>
      </c>
      <c r="O158">
        <v>3.88</v>
      </c>
      <c r="P158">
        <v>3.88</v>
      </c>
      <c r="Q158">
        <v>11.07</v>
      </c>
      <c r="R158" t="s">
        <v>439</v>
      </c>
      <c r="T158" s="20">
        <v>3.9103940000000001</v>
      </c>
      <c r="U158" s="20">
        <v>3.9103940000000001</v>
      </c>
      <c r="V158" s="20">
        <v>11.314458</v>
      </c>
      <c r="W158">
        <v>1</v>
      </c>
      <c r="Y158">
        <v>2</v>
      </c>
      <c r="AA158">
        <v>1</v>
      </c>
      <c r="AO158">
        <v>14</v>
      </c>
      <c r="AP158" s="20">
        <v>173.0114278564659</v>
      </c>
      <c r="AQ158" s="20">
        <v>8.0919510193365449E-2</v>
      </c>
      <c r="AR158" s="23">
        <v>1.9090909090909089</v>
      </c>
      <c r="AS158" s="23">
        <v>2.545454545454545</v>
      </c>
      <c r="AT158" s="23">
        <v>0.63636363636363635</v>
      </c>
      <c r="AU158" s="23">
        <v>2.545454545454545</v>
      </c>
      <c r="AV158" s="23">
        <v>0.25</v>
      </c>
      <c r="AW158" s="23">
        <v>0.33333333333333331</v>
      </c>
      <c r="AX158" s="23">
        <v>8.3333333333333329E-2</v>
      </c>
      <c r="AY158" s="23">
        <v>0.33333333333333331</v>
      </c>
      <c r="AZ158" s="20">
        <v>0.82</v>
      </c>
      <c r="BA158" s="20">
        <v>3.44</v>
      </c>
      <c r="BB158" s="20">
        <v>2.62</v>
      </c>
      <c r="BC158" s="20">
        <v>2.6363636363636358</v>
      </c>
      <c r="BD158">
        <v>2.6363636363636371</v>
      </c>
      <c r="BE158">
        <v>6.0044088459090901</v>
      </c>
    </row>
    <row r="159" spans="1:57" x14ac:dyDescent="0.3">
      <c r="A159" t="s">
        <v>138</v>
      </c>
      <c r="B159" s="12" t="s">
        <v>762</v>
      </c>
      <c r="C159" s="12"/>
      <c r="F159">
        <v>3.95</v>
      </c>
      <c r="G159" t="s">
        <v>135</v>
      </c>
      <c r="H159" s="8">
        <v>-1</v>
      </c>
      <c r="I159">
        <v>-1</v>
      </c>
      <c r="J159" t="s">
        <v>1165</v>
      </c>
      <c r="N159" s="20">
        <v>0</v>
      </c>
      <c r="O159">
        <v>3.88</v>
      </c>
      <c r="P159">
        <v>3.88</v>
      </c>
      <c r="Q159">
        <v>11.07</v>
      </c>
      <c r="R159" t="s">
        <v>439</v>
      </c>
      <c r="T159" s="20">
        <v>0</v>
      </c>
      <c r="U159" s="20"/>
      <c r="V159" s="20"/>
      <c r="W159">
        <v>1</v>
      </c>
      <c r="Y159">
        <v>2</v>
      </c>
      <c r="AA159">
        <v>1</v>
      </c>
      <c r="AO159">
        <v>14</v>
      </c>
      <c r="AP159" s="20">
        <v>0</v>
      </c>
      <c r="AQ159" s="20"/>
      <c r="AR159" s="23">
        <v>1.9090909090909089</v>
      </c>
      <c r="AS159" s="23">
        <v>2.545454545454545</v>
      </c>
      <c r="AT159" s="23">
        <v>0.63636363636363635</v>
      </c>
      <c r="AU159" s="23">
        <v>2.545454545454545</v>
      </c>
      <c r="AV159" s="23">
        <v>0.25</v>
      </c>
      <c r="AW159" s="23">
        <v>0.33333333333333331</v>
      </c>
      <c r="AX159" s="23">
        <v>8.3333333333333329E-2</v>
      </c>
      <c r="AY159" s="23">
        <v>0.33333333333333331</v>
      </c>
      <c r="AZ159" s="20">
        <v>0.79</v>
      </c>
      <c r="BA159" s="20">
        <v>3.44</v>
      </c>
      <c r="BB159" s="20">
        <v>2.65</v>
      </c>
      <c r="BC159" s="20">
        <v>2.6336363636363629</v>
      </c>
      <c r="BD159">
        <v>2.6336363636363642</v>
      </c>
      <c r="BE159">
        <v>5.9908857398831818</v>
      </c>
    </row>
    <row r="160" spans="1:57" x14ac:dyDescent="0.3">
      <c r="A160" t="s">
        <v>139</v>
      </c>
      <c r="B160" s="12" t="s">
        <v>763</v>
      </c>
      <c r="C160" s="12"/>
      <c r="F160">
        <v>3.55</v>
      </c>
      <c r="G160" t="s">
        <v>135</v>
      </c>
      <c r="H160" s="8">
        <v>-1</v>
      </c>
      <c r="I160">
        <v>-1</v>
      </c>
      <c r="N160" s="20">
        <v>0</v>
      </c>
      <c r="O160">
        <v>3.9</v>
      </c>
      <c r="P160">
        <v>3.9</v>
      </c>
      <c r="Q160">
        <v>11.07</v>
      </c>
      <c r="R160" t="s">
        <v>519</v>
      </c>
      <c r="T160" s="20">
        <v>0</v>
      </c>
      <c r="U160" s="20"/>
      <c r="V160" s="20"/>
      <c r="W160">
        <v>1</v>
      </c>
      <c r="Y160">
        <v>2</v>
      </c>
      <c r="AA160">
        <v>1</v>
      </c>
      <c r="AO160">
        <v>14</v>
      </c>
      <c r="AP160" s="20">
        <v>0</v>
      </c>
      <c r="AQ160" s="20"/>
      <c r="AR160" s="23">
        <v>1.9090909090909089</v>
      </c>
      <c r="AS160" s="23">
        <v>2.545454545454545</v>
      </c>
      <c r="AT160" s="23">
        <v>0.54545454545454541</v>
      </c>
      <c r="AU160" s="23">
        <v>2.8181818181818179</v>
      </c>
      <c r="AV160" s="23">
        <v>0.2441860465116279</v>
      </c>
      <c r="AW160" s="23">
        <v>0.32558139534883718</v>
      </c>
      <c r="AX160" s="23">
        <v>6.9767441860465115E-2</v>
      </c>
      <c r="AY160" s="23">
        <v>0.3604651162790698</v>
      </c>
      <c r="AZ160" s="20">
        <v>1.1299999999999999</v>
      </c>
      <c r="BA160" s="20">
        <v>3.44</v>
      </c>
      <c r="BB160" s="20">
        <v>2.31</v>
      </c>
      <c r="BC160" s="20">
        <v>2.7645454545454542</v>
      </c>
      <c r="BD160">
        <v>2.7645454545454551</v>
      </c>
      <c r="BE160">
        <v>6.4196350590773639</v>
      </c>
    </row>
    <row r="161" spans="1:57" x14ac:dyDescent="0.3">
      <c r="A161" t="s">
        <v>140</v>
      </c>
      <c r="B161" s="12" t="s">
        <v>764</v>
      </c>
      <c r="C161" s="12"/>
      <c r="F161">
        <v>3.55</v>
      </c>
      <c r="G161" t="s">
        <v>135</v>
      </c>
      <c r="H161" s="8">
        <v>-1</v>
      </c>
      <c r="I161">
        <v>-1</v>
      </c>
      <c r="N161" s="20">
        <v>0</v>
      </c>
      <c r="O161">
        <v>3.88</v>
      </c>
      <c r="P161">
        <v>3.88</v>
      </c>
      <c r="Q161">
        <v>11.297000000000001</v>
      </c>
      <c r="R161" t="s">
        <v>439</v>
      </c>
      <c r="T161" s="20">
        <v>0</v>
      </c>
      <c r="U161" s="20"/>
      <c r="V161" s="20"/>
      <c r="W161">
        <v>1</v>
      </c>
      <c r="Y161">
        <v>2</v>
      </c>
      <c r="AA161">
        <v>1</v>
      </c>
      <c r="AO161">
        <v>14</v>
      </c>
      <c r="AP161" s="20">
        <v>0</v>
      </c>
      <c r="AQ161" s="20"/>
      <c r="AR161" s="23">
        <v>1.9090909090909089</v>
      </c>
      <c r="AS161" s="23">
        <v>2.545454545454545</v>
      </c>
      <c r="AT161" s="23">
        <v>0.54545454545454541</v>
      </c>
      <c r="AU161" s="23">
        <v>2.8181818181818179</v>
      </c>
      <c r="AV161" s="23">
        <v>0.2441860465116279</v>
      </c>
      <c r="AW161" s="23">
        <v>0.32558139534883718</v>
      </c>
      <c r="AX161" s="23">
        <v>6.9767441860465115E-2</v>
      </c>
      <c r="AY161" s="23">
        <v>0.3604651162790698</v>
      </c>
      <c r="AZ161" s="20">
        <v>0.93</v>
      </c>
      <c r="BA161" s="20">
        <v>3.44</v>
      </c>
      <c r="BB161" s="20">
        <v>2.5099999999999998</v>
      </c>
      <c r="BC161" s="20">
        <v>2.6490909090909089</v>
      </c>
      <c r="BD161">
        <v>2.6490909090909081</v>
      </c>
      <c r="BE161">
        <v>6.0257246322727269</v>
      </c>
    </row>
    <row r="162" spans="1:57" x14ac:dyDescent="0.3">
      <c r="A162" t="s">
        <v>11</v>
      </c>
      <c r="B162" s="12" t="s">
        <v>696</v>
      </c>
      <c r="C162" s="12"/>
      <c r="F162">
        <v>3.55</v>
      </c>
      <c r="G162" t="s">
        <v>135</v>
      </c>
      <c r="H162" s="8">
        <v>-1</v>
      </c>
      <c r="I162">
        <v>-1</v>
      </c>
      <c r="J162" t="s">
        <v>1144</v>
      </c>
      <c r="N162" s="20">
        <v>0</v>
      </c>
      <c r="O162">
        <v>3.88</v>
      </c>
      <c r="P162">
        <v>3.88</v>
      </c>
      <c r="Q162">
        <v>10.647</v>
      </c>
      <c r="R162" t="s">
        <v>439</v>
      </c>
      <c r="T162" s="20">
        <v>0</v>
      </c>
      <c r="U162" s="20"/>
      <c r="V162" s="20"/>
      <c r="W162">
        <v>1</v>
      </c>
      <c r="Y162">
        <v>2</v>
      </c>
      <c r="AA162">
        <v>1</v>
      </c>
      <c r="AO162">
        <v>14</v>
      </c>
      <c r="AP162" s="20">
        <v>0</v>
      </c>
      <c r="AQ162" s="20"/>
      <c r="AR162" s="23">
        <v>1.9090909090909089</v>
      </c>
      <c r="AS162" s="23">
        <v>2.545454545454545</v>
      </c>
      <c r="AT162" s="23">
        <v>0.54545454545454541</v>
      </c>
      <c r="AU162" s="23">
        <v>2.8181818181818179</v>
      </c>
      <c r="AV162" s="23">
        <v>0.2441860465116279</v>
      </c>
      <c r="AW162" s="23">
        <v>0.32558139534883718</v>
      </c>
      <c r="AX162" s="23">
        <v>6.9767441860465115E-2</v>
      </c>
      <c r="AY162" s="23">
        <v>0.3604651162790698</v>
      </c>
      <c r="AZ162" s="20">
        <v>0.82</v>
      </c>
      <c r="BA162" s="20">
        <v>3.44</v>
      </c>
      <c r="BB162" s="20">
        <v>2.62</v>
      </c>
      <c r="BC162" s="20">
        <v>2.6390909090909092</v>
      </c>
      <c r="BD162">
        <v>2.6390909090909092</v>
      </c>
      <c r="BE162">
        <v>5.9791810459090904</v>
      </c>
    </row>
    <row r="163" spans="1:57" x14ac:dyDescent="0.3">
      <c r="A163" t="s">
        <v>141</v>
      </c>
      <c r="B163" s="12" t="s">
        <v>765</v>
      </c>
      <c r="C163" s="12"/>
      <c r="F163">
        <v>3.55</v>
      </c>
      <c r="G163" t="s">
        <v>135</v>
      </c>
      <c r="H163" s="8">
        <v>-1</v>
      </c>
      <c r="I163">
        <v>-1</v>
      </c>
      <c r="N163" s="20">
        <v>0</v>
      </c>
      <c r="O163">
        <v>3.88</v>
      </c>
      <c r="P163">
        <v>3.88</v>
      </c>
      <c r="Q163">
        <v>11.066000000000001</v>
      </c>
      <c r="R163" t="s">
        <v>439</v>
      </c>
      <c r="T163" s="20">
        <v>0</v>
      </c>
      <c r="U163" s="20"/>
      <c r="V163" s="20"/>
      <c r="W163">
        <v>1</v>
      </c>
      <c r="Y163">
        <v>2</v>
      </c>
      <c r="AA163">
        <v>1</v>
      </c>
      <c r="AO163">
        <v>14</v>
      </c>
      <c r="AP163" s="20">
        <v>0</v>
      </c>
      <c r="AQ163" s="20"/>
      <c r="AR163" s="23">
        <v>1.9090909090909089</v>
      </c>
      <c r="AS163" s="23">
        <v>2.545454545454545</v>
      </c>
      <c r="AT163" s="23">
        <v>0.54545454545454541</v>
      </c>
      <c r="AU163" s="23">
        <v>2.8181818181818179</v>
      </c>
      <c r="AV163" s="23">
        <v>0.2441860465116279</v>
      </c>
      <c r="AW163" s="23">
        <v>0.32558139534883718</v>
      </c>
      <c r="AX163" s="23">
        <v>6.9767441860465115E-2</v>
      </c>
      <c r="AY163" s="23">
        <v>0.3604651162790698</v>
      </c>
      <c r="AZ163" s="20">
        <v>0.79</v>
      </c>
      <c r="BA163" s="20">
        <v>3.44</v>
      </c>
      <c r="BB163" s="20">
        <v>2.65</v>
      </c>
      <c r="BC163" s="20">
        <v>2.6363636363636358</v>
      </c>
      <c r="BD163">
        <v>2.6363636363636358</v>
      </c>
      <c r="BE163">
        <v>5.9656579398831813</v>
      </c>
    </row>
    <row r="164" spans="1:57" x14ac:dyDescent="0.3">
      <c r="A164" t="s">
        <v>142</v>
      </c>
      <c r="B164" s="12" t="s">
        <v>766</v>
      </c>
      <c r="C164" s="12"/>
      <c r="F164">
        <v>4.2</v>
      </c>
      <c r="G164" t="s">
        <v>135</v>
      </c>
      <c r="H164" s="8">
        <v>-1</v>
      </c>
      <c r="I164">
        <v>-1</v>
      </c>
      <c r="N164" s="20">
        <v>0</v>
      </c>
      <c r="O164">
        <v>3.92</v>
      </c>
      <c r="P164">
        <v>3.92</v>
      </c>
      <c r="Q164">
        <v>11.065</v>
      </c>
      <c r="R164" t="s">
        <v>439</v>
      </c>
      <c r="T164" s="20">
        <v>0</v>
      </c>
      <c r="U164" s="20"/>
      <c r="V164" s="20"/>
      <c r="W164">
        <v>1</v>
      </c>
      <c r="Y164">
        <v>2</v>
      </c>
      <c r="AA164">
        <v>1</v>
      </c>
      <c r="AO164">
        <v>14</v>
      </c>
      <c r="AP164" s="20">
        <v>0</v>
      </c>
      <c r="AQ164" s="20"/>
      <c r="AR164" s="23">
        <v>1.9090909090909089</v>
      </c>
      <c r="AS164" s="23">
        <v>2.545454545454545</v>
      </c>
      <c r="AT164" s="23">
        <v>0.54545454545454541</v>
      </c>
      <c r="AU164" s="23">
        <v>2.9090909090909092</v>
      </c>
      <c r="AV164" s="23">
        <v>0.2413793103448276</v>
      </c>
      <c r="AW164" s="23">
        <v>0.32183908045977011</v>
      </c>
      <c r="AX164" s="23">
        <v>6.8965517241379309E-2</v>
      </c>
      <c r="AY164" s="23">
        <v>0.36781609195402298</v>
      </c>
      <c r="AZ164" s="20">
        <v>1.1399999999999999</v>
      </c>
      <c r="BA164" s="20">
        <v>3.44</v>
      </c>
      <c r="BB164" s="20">
        <v>2.2999999999999998</v>
      </c>
      <c r="BC164" s="20">
        <v>2.7654545454545452</v>
      </c>
      <c r="BD164">
        <v>2.7654545454545461</v>
      </c>
      <c r="BE164">
        <v>6.4215922727137267</v>
      </c>
    </row>
    <row r="165" spans="1:57" x14ac:dyDescent="0.3">
      <c r="A165" t="s">
        <v>143</v>
      </c>
      <c r="B165" s="12" t="s">
        <v>767</v>
      </c>
      <c r="C165" s="12"/>
      <c r="F165">
        <v>4.1500000000000004</v>
      </c>
      <c r="G165" t="s">
        <v>135</v>
      </c>
      <c r="H165" s="8">
        <v>-1</v>
      </c>
      <c r="I165">
        <v>-1</v>
      </c>
      <c r="N165" s="20">
        <v>0</v>
      </c>
      <c r="O165">
        <v>3.92</v>
      </c>
      <c r="P165">
        <v>3.92</v>
      </c>
      <c r="Q165">
        <v>11.7911</v>
      </c>
      <c r="R165" t="s">
        <v>439</v>
      </c>
      <c r="T165" s="20">
        <v>0</v>
      </c>
      <c r="U165" s="20"/>
      <c r="V165" s="20"/>
      <c r="W165">
        <v>1</v>
      </c>
      <c r="Y165">
        <v>2</v>
      </c>
      <c r="AA165">
        <v>1</v>
      </c>
      <c r="AO165">
        <v>14</v>
      </c>
      <c r="AP165" s="20">
        <v>0</v>
      </c>
      <c r="AQ165" s="20"/>
      <c r="AR165" s="23">
        <v>1.9090909090909089</v>
      </c>
      <c r="AS165" s="23">
        <v>2.545454545454545</v>
      </c>
      <c r="AT165" s="23">
        <v>0.54545454545454541</v>
      </c>
      <c r="AU165" s="23">
        <v>2.9090909090909092</v>
      </c>
      <c r="AV165" s="23">
        <v>0.2413793103448276</v>
      </c>
      <c r="AW165" s="23">
        <v>0.32183908045977011</v>
      </c>
      <c r="AX165" s="23">
        <v>6.8965517241379309E-2</v>
      </c>
      <c r="AY165" s="23">
        <v>0.36781609195402298</v>
      </c>
      <c r="AZ165" s="20">
        <v>0.93</v>
      </c>
      <c r="BA165" s="20">
        <v>3.44</v>
      </c>
      <c r="BB165" s="20">
        <v>2.5099999999999998</v>
      </c>
      <c r="BC165" s="20">
        <v>2.65</v>
      </c>
      <c r="BD165">
        <v>2.649999999999999</v>
      </c>
      <c r="BE165">
        <v>6.0276818459090906</v>
      </c>
    </row>
    <row r="166" spans="1:57" x14ac:dyDescent="0.3">
      <c r="A166" t="s">
        <v>12</v>
      </c>
      <c r="B166" s="12" t="s">
        <v>697</v>
      </c>
      <c r="C166" s="12"/>
      <c r="F166">
        <v>4.1500000000000004</v>
      </c>
      <c r="G166" t="s">
        <v>135</v>
      </c>
      <c r="H166" s="8">
        <v>-1</v>
      </c>
      <c r="I166">
        <v>-1</v>
      </c>
      <c r="N166" s="20">
        <v>0</v>
      </c>
      <c r="O166">
        <v>3.92</v>
      </c>
      <c r="P166">
        <v>3.92</v>
      </c>
      <c r="Q166">
        <v>11.5395</v>
      </c>
      <c r="R166" t="s">
        <v>439</v>
      </c>
      <c r="T166" s="20">
        <v>0</v>
      </c>
      <c r="U166" s="20"/>
      <c r="V166" s="20"/>
      <c r="W166">
        <v>1</v>
      </c>
      <c r="Y166">
        <v>2</v>
      </c>
      <c r="AA166">
        <v>1</v>
      </c>
      <c r="AO166">
        <v>14</v>
      </c>
      <c r="AP166" s="20">
        <v>0</v>
      </c>
      <c r="AQ166" s="20"/>
      <c r="AR166" s="23">
        <v>1.9090909090909089</v>
      </c>
      <c r="AS166" s="23">
        <v>2.545454545454545</v>
      </c>
      <c r="AT166" s="23">
        <v>0.54545454545454541</v>
      </c>
      <c r="AU166" s="23">
        <v>2.9090909090909092</v>
      </c>
      <c r="AV166" s="23">
        <v>0.2413793103448276</v>
      </c>
      <c r="AW166" s="23">
        <v>0.32183908045977011</v>
      </c>
      <c r="AX166" s="23">
        <v>6.8965517241379309E-2</v>
      </c>
      <c r="AY166" s="23">
        <v>0.36781609195402298</v>
      </c>
      <c r="AZ166" s="20">
        <v>0.82</v>
      </c>
      <c r="BA166" s="20">
        <v>3.44</v>
      </c>
      <c r="BB166" s="20">
        <v>2.62</v>
      </c>
      <c r="BC166" s="20">
        <v>2.64</v>
      </c>
      <c r="BD166">
        <v>2.64</v>
      </c>
      <c r="BE166">
        <v>5.9811382595454541</v>
      </c>
    </row>
    <row r="167" spans="1:57" x14ac:dyDescent="0.3">
      <c r="A167" t="s">
        <v>144</v>
      </c>
      <c r="B167" s="12" t="s">
        <v>768</v>
      </c>
      <c r="C167" s="12"/>
      <c r="F167">
        <v>4.1500000000000004</v>
      </c>
      <c r="G167" t="s">
        <v>135</v>
      </c>
      <c r="H167" s="8">
        <v>-1</v>
      </c>
      <c r="I167">
        <v>-1</v>
      </c>
      <c r="N167" s="20">
        <v>0</v>
      </c>
      <c r="O167">
        <v>3.84</v>
      </c>
      <c r="P167">
        <v>3.84</v>
      </c>
      <c r="Q167">
        <v>11.5395</v>
      </c>
      <c r="R167" t="s">
        <v>439</v>
      </c>
      <c r="T167" s="20">
        <v>0</v>
      </c>
      <c r="U167" s="20"/>
      <c r="V167" s="20"/>
      <c r="W167">
        <v>1</v>
      </c>
      <c r="Y167">
        <v>2</v>
      </c>
      <c r="AA167">
        <v>1</v>
      </c>
      <c r="AO167">
        <v>14</v>
      </c>
      <c r="AP167" s="20">
        <v>0</v>
      </c>
      <c r="AQ167" s="20"/>
      <c r="AR167" s="23">
        <v>1.9090909090909089</v>
      </c>
      <c r="AS167" s="23">
        <v>2.545454545454545</v>
      </c>
      <c r="AT167" s="23">
        <v>0.54545454545454541</v>
      </c>
      <c r="AU167" s="23">
        <v>2.9090909090909092</v>
      </c>
      <c r="AV167" s="23">
        <v>0.2413793103448276</v>
      </c>
      <c r="AW167" s="23">
        <v>0.32183908045977011</v>
      </c>
      <c r="AX167" s="23">
        <v>6.8965517241379309E-2</v>
      </c>
      <c r="AY167" s="23">
        <v>0.36781609195402298</v>
      </c>
      <c r="AZ167" s="20">
        <v>0.79</v>
      </c>
      <c r="BA167" s="20">
        <v>3.44</v>
      </c>
      <c r="BB167" s="20">
        <v>2.65</v>
      </c>
      <c r="BC167" s="20">
        <v>2.6372727272727272</v>
      </c>
      <c r="BD167">
        <v>2.6372727272727272</v>
      </c>
      <c r="BE167">
        <v>5.967615153519545</v>
      </c>
    </row>
    <row r="168" spans="1:57" x14ac:dyDescent="0.3">
      <c r="A168" t="s">
        <v>145</v>
      </c>
      <c r="B168" s="12" t="s">
        <v>769</v>
      </c>
      <c r="C168" s="12"/>
      <c r="F168">
        <v>4.1500000000000004</v>
      </c>
      <c r="G168" t="s">
        <v>135</v>
      </c>
      <c r="H168" s="8">
        <v>-1</v>
      </c>
      <c r="I168">
        <v>-1</v>
      </c>
      <c r="N168" s="20">
        <v>0</v>
      </c>
      <c r="O168">
        <v>3.85</v>
      </c>
      <c r="P168">
        <v>3.85</v>
      </c>
      <c r="Q168">
        <v>10.95</v>
      </c>
      <c r="R168" t="s">
        <v>439</v>
      </c>
      <c r="T168" s="20">
        <v>0</v>
      </c>
      <c r="U168" s="20"/>
      <c r="V168" s="20"/>
      <c r="W168">
        <v>1</v>
      </c>
      <c r="Y168">
        <v>2</v>
      </c>
      <c r="AA168">
        <v>1</v>
      </c>
      <c r="AO168">
        <v>14</v>
      </c>
      <c r="AP168" s="20">
        <v>0</v>
      </c>
      <c r="AQ168" s="20"/>
      <c r="AR168" s="23">
        <v>1.9090909090909089</v>
      </c>
      <c r="AS168" s="23">
        <v>2.545454545454545</v>
      </c>
      <c r="AT168" s="23">
        <v>0.54545454545454541</v>
      </c>
      <c r="AU168" s="23">
        <v>3.0909090909090908</v>
      </c>
      <c r="AV168" s="23">
        <v>0.2359550561797753</v>
      </c>
      <c r="AW168" s="23">
        <v>0.3146067415730337</v>
      </c>
      <c r="AX168" s="23">
        <v>6.7415730337078636E-2</v>
      </c>
      <c r="AY168" s="23">
        <v>0.38202247191011229</v>
      </c>
      <c r="AZ168" s="20">
        <v>1.17</v>
      </c>
      <c r="BA168" s="20">
        <v>3.44</v>
      </c>
      <c r="BB168" s="20">
        <v>2.27</v>
      </c>
      <c r="BC168" s="20">
        <v>2.7681818181818181</v>
      </c>
      <c r="BD168">
        <v>2.768181818181819</v>
      </c>
      <c r="BE168">
        <v>6.4299203045319091</v>
      </c>
    </row>
    <row r="169" spans="1:57" x14ac:dyDescent="0.3">
      <c r="A169" t="s">
        <v>146</v>
      </c>
      <c r="B169" s="12" t="s">
        <v>770</v>
      </c>
      <c r="C169" s="12"/>
      <c r="F169">
        <v>4.25</v>
      </c>
      <c r="G169" t="s">
        <v>135</v>
      </c>
      <c r="H169" s="8">
        <v>-1</v>
      </c>
      <c r="I169">
        <v>-1</v>
      </c>
      <c r="N169" s="20">
        <v>0</v>
      </c>
      <c r="O169">
        <v>3.88</v>
      </c>
      <c r="P169">
        <v>3.88</v>
      </c>
      <c r="Q169">
        <v>11.54</v>
      </c>
      <c r="R169" t="s">
        <v>439</v>
      </c>
      <c r="T169" s="20">
        <v>0</v>
      </c>
      <c r="U169" s="20"/>
      <c r="V169" s="20"/>
      <c r="W169">
        <v>1</v>
      </c>
      <c r="Y169">
        <v>2</v>
      </c>
      <c r="AA169">
        <v>1</v>
      </c>
      <c r="AO169">
        <v>14</v>
      </c>
      <c r="AP169" s="20">
        <v>0</v>
      </c>
      <c r="AQ169" s="20"/>
      <c r="AR169" s="23">
        <v>1.9090909090909089</v>
      </c>
      <c r="AS169" s="23">
        <v>2.545454545454545</v>
      </c>
      <c r="AT169" s="23">
        <v>0.54545454545454541</v>
      </c>
      <c r="AU169" s="23">
        <v>3.0909090909090908</v>
      </c>
      <c r="AV169" s="23">
        <v>0.2359550561797753</v>
      </c>
      <c r="AW169" s="23">
        <v>0.3146067415730337</v>
      </c>
      <c r="AX169" s="23">
        <v>6.7415730337078636E-2</v>
      </c>
      <c r="AY169" s="23">
        <v>0.38202247191011229</v>
      </c>
      <c r="AZ169" s="20">
        <v>0.93</v>
      </c>
      <c r="BA169" s="20">
        <v>3.44</v>
      </c>
      <c r="BB169" s="20">
        <v>2.5099999999999998</v>
      </c>
      <c r="BC169" s="20">
        <v>2.6527272727272728</v>
      </c>
      <c r="BD169">
        <v>2.6527272727272719</v>
      </c>
      <c r="BE169">
        <v>6.0360098777272722</v>
      </c>
    </row>
    <row r="170" spans="1:57" x14ac:dyDescent="0.3">
      <c r="A170" t="s">
        <v>13</v>
      </c>
      <c r="B170" s="12" t="s">
        <v>698</v>
      </c>
      <c r="C170" s="12"/>
      <c r="F170">
        <v>4.25</v>
      </c>
      <c r="G170" t="s">
        <v>135</v>
      </c>
      <c r="H170" s="8">
        <v>-1</v>
      </c>
      <c r="I170">
        <v>-1</v>
      </c>
      <c r="N170" s="20">
        <v>0</v>
      </c>
      <c r="O170">
        <v>3.85</v>
      </c>
      <c r="P170">
        <v>3.85</v>
      </c>
      <c r="Q170">
        <v>11.3</v>
      </c>
      <c r="R170" t="s">
        <v>439</v>
      </c>
      <c r="T170" s="20">
        <v>0</v>
      </c>
      <c r="U170" s="20"/>
      <c r="V170" s="20"/>
      <c r="W170">
        <v>1</v>
      </c>
      <c r="Y170">
        <v>2</v>
      </c>
      <c r="AA170">
        <v>1</v>
      </c>
      <c r="AO170">
        <v>14</v>
      </c>
      <c r="AP170" s="20">
        <v>0</v>
      </c>
      <c r="AQ170" s="20"/>
      <c r="AR170" s="23">
        <v>1.9090909090909089</v>
      </c>
      <c r="AS170" s="23">
        <v>2.545454545454545</v>
      </c>
      <c r="AT170" s="23">
        <v>0.54545454545454541</v>
      </c>
      <c r="AU170" s="23">
        <v>3.0909090909090908</v>
      </c>
      <c r="AV170" s="23">
        <v>0.2359550561797753</v>
      </c>
      <c r="AW170" s="23">
        <v>0.3146067415730337</v>
      </c>
      <c r="AX170" s="23">
        <v>6.7415730337078636E-2</v>
      </c>
      <c r="AY170" s="23">
        <v>0.38202247191011229</v>
      </c>
      <c r="AZ170" s="20">
        <v>0.82</v>
      </c>
      <c r="BA170" s="20">
        <v>3.44</v>
      </c>
      <c r="BB170" s="20">
        <v>2.62</v>
      </c>
      <c r="BC170" s="20">
        <v>2.642727272727273</v>
      </c>
      <c r="BD170">
        <v>2.642727272727273</v>
      </c>
      <c r="BE170">
        <v>5.9894662913636356</v>
      </c>
    </row>
    <row r="171" spans="1:57" x14ac:dyDescent="0.3">
      <c r="A171" t="s">
        <v>147</v>
      </c>
      <c r="B171" s="12" t="s">
        <v>771</v>
      </c>
      <c r="C171" s="12"/>
      <c r="F171">
        <v>4.25</v>
      </c>
      <c r="G171" t="s">
        <v>135</v>
      </c>
      <c r="H171" s="8">
        <v>-1</v>
      </c>
      <c r="I171">
        <v>-1</v>
      </c>
      <c r="N171" s="20">
        <v>0</v>
      </c>
      <c r="O171">
        <v>3.76</v>
      </c>
      <c r="P171">
        <v>3.76</v>
      </c>
      <c r="Q171">
        <v>11.41</v>
      </c>
      <c r="R171" t="s">
        <v>439</v>
      </c>
      <c r="T171" s="20">
        <v>0</v>
      </c>
      <c r="U171" s="20"/>
      <c r="V171" s="20"/>
      <c r="W171">
        <v>1</v>
      </c>
      <c r="Y171">
        <v>2</v>
      </c>
      <c r="AA171">
        <v>1</v>
      </c>
      <c r="AO171">
        <v>14</v>
      </c>
      <c r="AP171" s="20">
        <v>0</v>
      </c>
      <c r="AQ171" s="20"/>
      <c r="AR171" s="23">
        <v>1.9090909090909089</v>
      </c>
      <c r="AS171" s="23">
        <v>2.545454545454545</v>
      </c>
      <c r="AT171" s="23">
        <v>0.54545454545454541</v>
      </c>
      <c r="AU171" s="23">
        <v>3.0909090909090908</v>
      </c>
      <c r="AV171" s="23">
        <v>0.2359550561797753</v>
      </c>
      <c r="AW171" s="23">
        <v>0.3146067415730337</v>
      </c>
      <c r="AX171" s="23">
        <v>6.7415730337078636E-2</v>
      </c>
      <c r="AY171" s="23">
        <v>0.38202247191011229</v>
      </c>
      <c r="AZ171" s="20">
        <v>0.79</v>
      </c>
      <c r="BA171" s="20">
        <v>3.44</v>
      </c>
      <c r="BB171" s="20">
        <v>2.65</v>
      </c>
      <c r="BC171" s="20">
        <v>2.64</v>
      </c>
      <c r="BD171">
        <v>2.64</v>
      </c>
      <c r="BE171">
        <v>5.9759431853377274</v>
      </c>
    </row>
    <row r="172" spans="1:57" x14ac:dyDescent="0.3">
      <c r="A172" t="s">
        <v>148</v>
      </c>
      <c r="B172" s="12" t="s">
        <v>772</v>
      </c>
      <c r="C172" s="12"/>
      <c r="F172">
        <v>3.2</v>
      </c>
      <c r="G172" t="s">
        <v>149</v>
      </c>
      <c r="H172" s="8" t="s">
        <v>577</v>
      </c>
      <c r="I172" t="s">
        <v>653</v>
      </c>
      <c r="N172" s="20">
        <v>1</v>
      </c>
      <c r="O172">
        <v>3.85</v>
      </c>
      <c r="P172">
        <v>3.85</v>
      </c>
      <c r="Q172">
        <v>28.361999999999998</v>
      </c>
      <c r="R172" t="s">
        <v>440</v>
      </c>
      <c r="T172" s="20">
        <v>14.183127929999999</v>
      </c>
      <c r="U172" s="20">
        <v>14.183127929999999</v>
      </c>
      <c r="V172" s="20">
        <v>14.183127929999999</v>
      </c>
      <c r="W172">
        <v>1</v>
      </c>
      <c r="AA172">
        <v>1</v>
      </c>
      <c r="AF172">
        <v>1</v>
      </c>
      <c r="AO172">
        <v>20</v>
      </c>
      <c r="AP172" s="20">
        <v>215.8165104701838</v>
      </c>
      <c r="AQ172" s="20">
        <v>9.2671315815585423E-2</v>
      </c>
      <c r="AR172" s="23">
        <v>1.9375</v>
      </c>
      <c r="AS172" s="23">
        <v>2.5</v>
      </c>
      <c r="AT172" s="23">
        <v>0.5625</v>
      </c>
      <c r="AU172" s="23">
        <v>2.625</v>
      </c>
      <c r="AV172" s="23">
        <v>0.25409836065573771</v>
      </c>
      <c r="AW172" s="23">
        <v>0.32786885245901642</v>
      </c>
      <c r="AX172" s="23">
        <v>7.3770491803278687E-2</v>
      </c>
      <c r="AY172" s="23">
        <v>0.34426229508196721</v>
      </c>
      <c r="AZ172" s="20">
        <v>0.98</v>
      </c>
      <c r="BA172" s="20">
        <v>3.44</v>
      </c>
      <c r="BB172" s="20">
        <v>2.46</v>
      </c>
      <c r="BC172" s="20">
        <v>2.6175000000000002</v>
      </c>
      <c r="BD172">
        <v>2.6175000000000002</v>
      </c>
      <c r="BE172">
        <v>6.0217141611250007</v>
      </c>
    </row>
    <row r="173" spans="1:57" x14ac:dyDescent="0.3">
      <c r="A173" t="s">
        <v>63</v>
      </c>
      <c r="B173" s="12" t="s">
        <v>773</v>
      </c>
      <c r="C173" s="12"/>
      <c r="F173">
        <v>3.5</v>
      </c>
      <c r="G173" t="s">
        <v>150</v>
      </c>
      <c r="H173" s="8">
        <v>-1</v>
      </c>
      <c r="I173">
        <v>-1</v>
      </c>
      <c r="J173" t="s">
        <v>1144</v>
      </c>
      <c r="N173" s="20">
        <v>0</v>
      </c>
      <c r="O173"/>
      <c r="P173"/>
      <c r="Q173"/>
      <c r="T173" s="20">
        <v>0</v>
      </c>
      <c r="U173" s="20"/>
      <c r="V173" s="20"/>
      <c r="W173">
        <v>1</v>
      </c>
      <c r="Z173">
        <v>50</v>
      </c>
      <c r="AA173">
        <v>1</v>
      </c>
      <c r="AO173">
        <v>20</v>
      </c>
      <c r="AP173" s="20">
        <v>0</v>
      </c>
      <c r="AQ173" s="20"/>
      <c r="AR173" s="23">
        <v>1.75</v>
      </c>
      <c r="AS173" s="23">
        <v>2.5</v>
      </c>
      <c r="AT173" s="23">
        <v>0.75</v>
      </c>
      <c r="AU173" s="23">
        <v>0</v>
      </c>
      <c r="AV173" s="23">
        <v>0.35</v>
      </c>
      <c r="AW173" s="23">
        <v>0.5</v>
      </c>
      <c r="AX173" s="23">
        <v>0.15</v>
      </c>
      <c r="AY173" s="23">
        <v>0</v>
      </c>
      <c r="AZ173" s="20">
        <v>1</v>
      </c>
      <c r="BA173" s="20">
        <v>3.44</v>
      </c>
      <c r="BB173" s="20">
        <v>2.44</v>
      </c>
      <c r="BC173" s="20">
        <v>2.7124999999999999</v>
      </c>
      <c r="BD173">
        <v>2.7124999999999999</v>
      </c>
      <c r="BE173">
        <v>6.264025610615688</v>
      </c>
    </row>
    <row r="174" spans="1:57" x14ac:dyDescent="0.3">
      <c r="A174" t="s">
        <v>63</v>
      </c>
      <c r="B174" s="12" t="s">
        <v>773</v>
      </c>
      <c r="C174" s="12"/>
      <c r="F174">
        <v>3.5</v>
      </c>
      <c r="G174" t="s">
        <v>152</v>
      </c>
      <c r="H174" s="8">
        <v>-1</v>
      </c>
      <c r="I174">
        <v>-1</v>
      </c>
      <c r="J174" t="s">
        <v>1144</v>
      </c>
      <c r="N174" s="20">
        <v>0</v>
      </c>
      <c r="O174">
        <v>3.85</v>
      </c>
      <c r="P174">
        <v>3.85</v>
      </c>
      <c r="Q174">
        <v>29.296700000000001</v>
      </c>
      <c r="R174" t="s">
        <v>519</v>
      </c>
      <c r="T174" s="20">
        <v>0</v>
      </c>
      <c r="U174" s="20"/>
      <c r="V174" s="20"/>
      <c r="W174">
        <v>1</v>
      </c>
      <c r="Z174">
        <v>50</v>
      </c>
      <c r="AA174">
        <v>1</v>
      </c>
      <c r="AE174">
        <v>1</v>
      </c>
      <c r="AF174">
        <v>1</v>
      </c>
      <c r="AG174">
        <v>1</v>
      </c>
      <c r="AO174">
        <v>20</v>
      </c>
      <c r="AP174" s="20">
        <v>0</v>
      </c>
      <c r="AQ174" s="20"/>
      <c r="AR174" s="23">
        <v>1.75</v>
      </c>
      <c r="AS174" s="23">
        <v>2.5</v>
      </c>
      <c r="AT174" s="23">
        <v>0.75</v>
      </c>
      <c r="AU174" s="23">
        <v>0</v>
      </c>
      <c r="AV174" s="23">
        <v>0.35</v>
      </c>
      <c r="AW174" s="23">
        <v>0.5</v>
      </c>
      <c r="AX174" s="23">
        <v>0.15</v>
      </c>
      <c r="AY174" s="23">
        <v>0</v>
      </c>
      <c r="AZ174" s="20">
        <v>1</v>
      </c>
      <c r="BA174" s="20">
        <v>3.44</v>
      </c>
      <c r="BB174" s="20">
        <v>2.44</v>
      </c>
      <c r="BC174" s="20">
        <v>2.7124999999999999</v>
      </c>
      <c r="BD174">
        <v>2.7124999999999999</v>
      </c>
      <c r="BE174">
        <v>6.264025610615688</v>
      </c>
    </row>
    <row r="175" spans="1:57" x14ac:dyDescent="0.3">
      <c r="A175" t="s">
        <v>151</v>
      </c>
      <c r="B175" s="12" t="s">
        <v>774</v>
      </c>
      <c r="C175" s="12"/>
      <c r="F175">
        <v>3.3</v>
      </c>
      <c r="G175" t="s">
        <v>152</v>
      </c>
      <c r="H175" s="8">
        <v>-1</v>
      </c>
      <c r="I175">
        <v>-1</v>
      </c>
      <c r="N175" s="20">
        <v>0</v>
      </c>
      <c r="O175">
        <v>3.89</v>
      </c>
      <c r="P175">
        <v>3.89</v>
      </c>
      <c r="Q175">
        <v>33.299999999999997</v>
      </c>
      <c r="R175" t="s">
        <v>519</v>
      </c>
      <c r="T175" s="20">
        <v>0</v>
      </c>
      <c r="U175" s="20"/>
      <c r="V175" s="20"/>
      <c r="W175">
        <v>1</v>
      </c>
      <c r="Z175">
        <v>56</v>
      </c>
      <c r="AA175">
        <v>1</v>
      </c>
      <c r="AE175">
        <v>1</v>
      </c>
      <c r="AF175">
        <v>1</v>
      </c>
      <c r="AG175">
        <v>1</v>
      </c>
      <c r="AO175">
        <v>20</v>
      </c>
      <c r="AP175" s="20">
        <v>0</v>
      </c>
      <c r="AQ175" s="20"/>
      <c r="AR175" s="23">
        <v>1.75</v>
      </c>
      <c r="AS175" s="23">
        <v>2.5</v>
      </c>
      <c r="AT175" s="23">
        <v>0.75</v>
      </c>
      <c r="AU175" s="23">
        <v>0</v>
      </c>
      <c r="AV175" s="23">
        <v>0.35</v>
      </c>
      <c r="AW175" s="23">
        <v>0.5</v>
      </c>
      <c r="AX175" s="23">
        <v>0.15</v>
      </c>
      <c r="AY175" s="23">
        <v>0</v>
      </c>
      <c r="AZ175" s="20">
        <v>0.95</v>
      </c>
      <c r="BA175" s="20">
        <v>3.44</v>
      </c>
      <c r="BB175" s="20">
        <v>2.4900000000000002</v>
      </c>
      <c r="BC175" s="20">
        <v>2.7062499999999998</v>
      </c>
      <c r="BD175">
        <v>2.7062499999999998</v>
      </c>
      <c r="BE175">
        <v>6.2396022968656872</v>
      </c>
    </row>
    <row r="176" spans="1:57" x14ac:dyDescent="0.3">
      <c r="A176" t="s">
        <v>153</v>
      </c>
      <c r="B176" s="12" t="s">
        <v>775</v>
      </c>
      <c r="C176" s="12"/>
      <c r="F176">
        <v>3.23</v>
      </c>
      <c r="G176" t="s">
        <v>152</v>
      </c>
      <c r="H176" s="8" t="s">
        <v>578</v>
      </c>
      <c r="I176">
        <v>-1</v>
      </c>
      <c r="J176" t="s">
        <v>1166</v>
      </c>
      <c r="N176" s="20">
        <v>1</v>
      </c>
      <c r="O176">
        <v>3.89</v>
      </c>
      <c r="P176">
        <v>3.89</v>
      </c>
      <c r="Q176">
        <v>21.29</v>
      </c>
      <c r="R176" t="s">
        <v>519</v>
      </c>
      <c r="T176" s="20">
        <v>3.9263319999999999</v>
      </c>
      <c r="U176" s="20">
        <v>3.9263319999999999</v>
      </c>
      <c r="V176" s="20">
        <v>10.74639</v>
      </c>
      <c r="W176">
        <v>1</v>
      </c>
      <c r="Z176">
        <v>68</v>
      </c>
      <c r="AA176">
        <v>1</v>
      </c>
      <c r="AE176">
        <v>1</v>
      </c>
      <c r="AF176">
        <v>1</v>
      </c>
      <c r="AG176">
        <v>1</v>
      </c>
      <c r="AO176">
        <v>14</v>
      </c>
      <c r="AP176" s="20">
        <v>165.66723991337099</v>
      </c>
      <c r="AQ176" s="20">
        <v>8.4506749839743392E-2</v>
      </c>
      <c r="AR176" s="23">
        <v>1.7272727272727271</v>
      </c>
      <c r="AS176" s="23">
        <v>2.545454545454545</v>
      </c>
      <c r="AT176" s="23">
        <v>0.81818181818181823</v>
      </c>
      <c r="AU176" s="23">
        <v>0</v>
      </c>
      <c r="AV176" s="23">
        <v>0.3392857142857143</v>
      </c>
      <c r="AW176" s="23">
        <v>0.5</v>
      </c>
      <c r="AX176" s="23">
        <v>0.1607142857142857</v>
      </c>
      <c r="AY176" s="23">
        <v>0</v>
      </c>
      <c r="AZ176" s="20">
        <v>1.1000000000000001</v>
      </c>
      <c r="BA176" s="20">
        <v>3.44</v>
      </c>
      <c r="BB176" s="20">
        <v>2.34</v>
      </c>
      <c r="BC176" s="20">
        <v>2.78</v>
      </c>
      <c r="BD176">
        <v>2.78</v>
      </c>
      <c r="BE176">
        <v>6.4270052227137269</v>
      </c>
    </row>
    <row r="177" spans="1:57" x14ac:dyDescent="0.3">
      <c r="A177" t="s">
        <v>7</v>
      </c>
      <c r="B177" s="12" t="s">
        <v>692</v>
      </c>
      <c r="C177" s="12"/>
      <c r="F177">
        <v>3.47</v>
      </c>
      <c r="G177" t="s">
        <v>154</v>
      </c>
      <c r="H177" s="8">
        <v>-1</v>
      </c>
      <c r="I177">
        <v>-1</v>
      </c>
      <c r="N177" s="20">
        <v>0</v>
      </c>
      <c r="O177">
        <v>7.8209999999999997</v>
      </c>
      <c r="P177">
        <v>7.7649999999999997</v>
      </c>
      <c r="Q177">
        <v>30.08</v>
      </c>
      <c r="R177" t="s">
        <v>495</v>
      </c>
      <c r="T177" s="20">
        <v>0</v>
      </c>
      <c r="U177" s="20"/>
      <c r="V177" s="20"/>
      <c r="W177">
        <v>1</v>
      </c>
      <c r="X177" t="s">
        <v>493</v>
      </c>
      <c r="AA177">
        <v>1</v>
      </c>
      <c r="AG177">
        <v>1</v>
      </c>
      <c r="AO177">
        <v>20</v>
      </c>
      <c r="AP177" s="20">
        <v>0</v>
      </c>
      <c r="AQ177" s="20"/>
      <c r="AR177" s="23">
        <v>1.75</v>
      </c>
      <c r="AS177" s="23">
        <v>2.5</v>
      </c>
      <c r="AT177" s="23">
        <v>0.75</v>
      </c>
      <c r="AU177" s="23">
        <v>0</v>
      </c>
      <c r="AV177" s="23">
        <v>0.35</v>
      </c>
      <c r="AW177" s="23">
        <v>0.5</v>
      </c>
      <c r="AX177" s="23">
        <v>0.15</v>
      </c>
      <c r="AY177" s="23">
        <v>0</v>
      </c>
      <c r="AZ177" s="20">
        <v>0.82</v>
      </c>
      <c r="BA177" s="20">
        <v>3.44</v>
      </c>
      <c r="BB177" s="20">
        <v>2.62</v>
      </c>
      <c r="BC177" s="20">
        <v>2.62</v>
      </c>
      <c r="BD177">
        <v>2.62</v>
      </c>
      <c r="BE177">
        <v>5.9423863675000002</v>
      </c>
    </row>
    <row r="178" spans="1:57" x14ac:dyDescent="0.3">
      <c r="A178" t="s">
        <v>155</v>
      </c>
      <c r="B178" s="12" t="s">
        <v>776</v>
      </c>
      <c r="C178" s="12"/>
      <c r="F178">
        <v>3.76</v>
      </c>
      <c r="G178" t="s">
        <v>154</v>
      </c>
      <c r="H178" s="8">
        <v>-1</v>
      </c>
      <c r="I178">
        <v>-1</v>
      </c>
      <c r="N178" s="20">
        <v>0</v>
      </c>
      <c r="O178">
        <v>7.8209999999999997</v>
      </c>
      <c r="P178">
        <v>7.7649999999999997</v>
      </c>
      <c r="Q178">
        <v>30.96</v>
      </c>
      <c r="R178" t="s">
        <v>495</v>
      </c>
      <c r="T178" s="20">
        <v>0</v>
      </c>
      <c r="U178" s="20"/>
      <c r="V178" s="20"/>
      <c r="W178">
        <v>1</v>
      </c>
      <c r="AA178">
        <v>1</v>
      </c>
      <c r="AG178">
        <v>1</v>
      </c>
      <c r="AO178">
        <v>20</v>
      </c>
      <c r="AP178" s="20">
        <v>0</v>
      </c>
      <c r="AQ178" s="20"/>
      <c r="AR178" s="23">
        <v>1.8125</v>
      </c>
      <c r="AS178" s="23">
        <v>2.5</v>
      </c>
      <c r="AT178" s="23">
        <v>0.6875</v>
      </c>
      <c r="AU178" s="23">
        <v>0.875</v>
      </c>
      <c r="AV178" s="23">
        <v>0.30851063829787229</v>
      </c>
      <c r="AW178" s="23">
        <v>0.42553191489361702</v>
      </c>
      <c r="AX178" s="23">
        <v>0.1170212765957447</v>
      </c>
      <c r="AY178" s="23">
        <v>0.14893617021276601</v>
      </c>
      <c r="AZ178" s="20">
        <v>0.82</v>
      </c>
      <c r="BA178" s="20">
        <v>3.44</v>
      </c>
      <c r="BB178" s="20">
        <v>2.62</v>
      </c>
      <c r="BC178" s="20">
        <v>2.61375</v>
      </c>
      <c r="BD178">
        <v>2.61375</v>
      </c>
      <c r="BE178">
        <v>5.9485249299999996</v>
      </c>
    </row>
    <row r="179" spans="1:57" x14ac:dyDescent="0.3">
      <c r="A179" t="s">
        <v>156</v>
      </c>
      <c r="B179" s="12" t="s">
        <v>777</v>
      </c>
      <c r="C179" s="12"/>
      <c r="F179">
        <v>3.76</v>
      </c>
      <c r="G179" t="s">
        <v>154</v>
      </c>
      <c r="H179" s="8">
        <v>-1</v>
      </c>
      <c r="I179">
        <v>-1</v>
      </c>
      <c r="N179" s="20">
        <v>0</v>
      </c>
      <c r="O179">
        <v>7.8209999999999997</v>
      </c>
      <c r="P179">
        <v>7.7649999999999997</v>
      </c>
      <c r="Q179">
        <v>29.84</v>
      </c>
      <c r="R179" t="s">
        <v>495</v>
      </c>
      <c r="T179" s="20">
        <v>0</v>
      </c>
      <c r="U179" s="20"/>
      <c r="V179" s="20"/>
      <c r="W179">
        <v>1</v>
      </c>
      <c r="AA179">
        <v>1</v>
      </c>
      <c r="AG179">
        <v>1</v>
      </c>
      <c r="AO179">
        <v>20</v>
      </c>
      <c r="AP179" s="20">
        <v>0</v>
      </c>
      <c r="AQ179" s="20"/>
      <c r="AR179" s="23">
        <v>1.8666666666666669</v>
      </c>
      <c r="AS179" s="23">
        <v>2.666666666666667</v>
      </c>
      <c r="AT179" s="23">
        <v>0.46666666666666667</v>
      </c>
      <c r="AU179" s="23">
        <v>0.93333333333333335</v>
      </c>
      <c r="AV179" s="23">
        <v>0.3146067415730337</v>
      </c>
      <c r="AW179" s="23">
        <v>0.44943820224719089</v>
      </c>
      <c r="AX179" s="23">
        <v>7.8651685393258425E-2</v>
      </c>
      <c r="AY179" s="23">
        <v>0.15730337078651679</v>
      </c>
      <c r="AZ179" s="20">
        <v>0.82</v>
      </c>
      <c r="BA179" s="20">
        <v>3.44</v>
      </c>
      <c r="BB179" s="20">
        <v>2.62</v>
      </c>
      <c r="BC179" s="20">
        <v>2.6813333333333329</v>
      </c>
      <c r="BD179">
        <v>2.6813333333333329</v>
      </c>
      <c r="BE179">
        <v>6.0892180253333326</v>
      </c>
    </row>
    <row r="180" spans="1:57" x14ac:dyDescent="0.3">
      <c r="A180" t="s">
        <v>157</v>
      </c>
      <c r="B180" s="12" t="s">
        <v>778</v>
      </c>
      <c r="C180" s="12"/>
      <c r="F180">
        <v>3.91</v>
      </c>
      <c r="G180" t="s">
        <v>154</v>
      </c>
      <c r="H180" s="8">
        <v>-1</v>
      </c>
      <c r="I180">
        <v>-1</v>
      </c>
      <c r="N180" s="20">
        <v>0</v>
      </c>
      <c r="O180">
        <v>7.8209999999999997</v>
      </c>
      <c r="P180">
        <v>7.7649999999999997</v>
      </c>
      <c r="Q180">
        <v>30.08</v>
      </c>
      <c r="R180" t="s">
        <v>495</v>
      </c>
      <c r="T180" s="20">
        <v>0</v>
      </c>
      <c r="U180" s="20"/>
      <c r="V180" s="20"/>
      <c r="W180">
        <v>1</v>
      </c>
      <c r="AA180">
        <v>1</v>
      </c>
      <c r="AG180">
        <v>1</v>
      </c>
      <c r="AO180">
        <v>20</v>
      </c>
      <c r="AP180" s="20">
        <v>0</v>
      </c>
      <c r="AQ180" s="20"/>
      <c r="AR180" s="23">
        <v>1.875</v>
      </c>
      <c r="AS180" s="23">
        <v>2.5</v>
      </c>
      <c r="AT180" s="23">
        <v>0.625</v>
      </c>
      <c r="AU180" s="23">
        <v>1.75</v>
      </c>
      <c r="AV180" s="23">
        <v>0.27777777777777779</v>
      </c>
      <c r="AW180" s="23">
        <v>0.37037037037037029</v>
      </c>
      <c r="AX180" s="23">
        <v>9.2592592592592587E-2</v>
      </c>
      <c r="AY180" s="23">
        <v>0.25925925925925919</v>
      </c>
      <c r="AZ180" s="20">
        <v>0.82</v>
      </c>
      <c r="BA180" s="20">
        <v>3.44</v>
      </c>
      <c r="BB180" s="20">
        <v>2.62</v>
      </c>
      <c r="BC180" s="20">
        <v>2.6074999999999999</v>
      </c>
      <c r="BD180">
        <v>2.6074999999999999</v>
      </c>
      <c r="BE180">
        <v>5.9546634925000008</v>
      </c>
    </row>
    <row r="181" spans="1:57" x14ac:dyDescent="0.3">
      <c r="A181" t="s">
        <v>158</v>
      </c>
      <c r="B181" s="12" t="s">
        <v>779</v>
      </c>
      <c r="C181" s="12"/>
      <c r="F181">
        <v>4.29</v>
      </c>
      <c r="G181" t="s">
        <v>154</v>
      </c>
      <c r="H181" s="8">
        <v>-1</v>
      </c>
      <c r="I181">
        <v>-1</v>
      </c>
      <c r="N181" s="20">
        <v>0</v>
      </c>
      <c r="O181">
        <v>7.8440000000000003</v>
      </c>
      <c r="P181">
        <v>7.7690000000000001</v>
      </c>
      <c r="Q181">
        <v>29.72</v>
      </c>
      <c r="R181" t="s">
        <v>495</v>
      </c>
      <c r="T181" s="20">
        <v>0</v>
      </c>
      <c r="U181" s="20"/>
      <c r="V181" s="20"/>
      <c r="W181">
        <v>1</v>
      </c>
      <c r="X181" t="s">
        <v>494</v>
      </c>
      <c r="AA181">
        <v>1</v>
      </c>
      <c r="AG181">
        <v>1</v>
      </c>
      <c r="AO181">
        <v>20</v>
      </c>
      <c r="AP181" s="20">
        <v>0</v>
      </c>
      <c r="AQ181" s="20"/>
      <c r="AR181" s="23">
        <v>1.9375</v>
      </c>
      <c r="AS181" s="23">
        <v>2.5</v>
      </c>
      <c r="AT181" s="23">
        <v>0.5625</v>
      </c>
      <c r="AU181" s="23">
        <v>2.625</v>
      </c>
      <c r="AV181" s="23">
        <v>0.25409836065573771</v>
      </c>
      <c r="AW181" s="23">
        <v>0.32786885245901642</v>
      </c>
      <c r="AX181" s="23">
        <v>7.3770491803278687E-2</v>
      </c>
      <c r="AY181" s="23">
        <v>0.34426229508196721</v>
      </c>
      <c r="AZ181" s="20">
        <v>0.82</v>
      </c>
      <c r="BA181" s="20">
        <v>3.44</v>
      </c>
      <c r="BB181" s="20">
        <v>2.62</v>
      </c>
      <c r="BC181" s="20">
        <v>2.6012499999999998</v>
      </c>
      <c r="BD181">
        <v>2.6012499999999998</v>
      </c>
      <c r="BE181">
        <v>5.9608020550000003</v>
      </c>
    </row>
    <row r="182" spans="1:57" x14ac:dyDescent="0.3">
      <c r="A182" t="s">
        <v>151</v>
      </c>
      <c r="B182" s="12" t="s">
        <v>774</v>
      </c>
      <c r="C182" s="12"/>
      <c r="F182">
        <v>3.5</v>
      </c>
      <c r="G182" t="s">
        <v>154</v>
      </c>
      <c r="H182" s="8">
        <v>-1</v>
      </c>
      <c r="I182">
        <v>-1</v>
      </c>
      <c r="N182" s="20">
        <v>0</v>
      </c>
      <c r="O182">
        <f>3.907*2</f>
        <v>7.8140000000000001</v>
      </c>
      <c r="P182">
        <f>3.907*2</f>
        <v>7.8140000000000001</v>
      </c>
      <c r="Q182">
        <v>33.06</v>
      </c>
      <c r="T182" s="20">
        <v>0</v>
      </c>
      <c r="U182" s="20"/>
      <c r="V182" s="20"/>
      <c r="W182">
        <v>1</v>
      </c>
      <c r="AA182">
        <v>1</v>
      </c>
      <c r="AG182">
        <v>1</v>
      </c>
      <c r="AO182">
        <v>20</v>
      </c>
      <c r="AP182" s="20">
        <v>0</v>
      </c>
      <c r="AQ182" s="20"/>
      <c r="AR182" s="23">
        <v>1.75</v>
      </c>
      <c r="AS182" s="23">
        <v>2.5</v>
      </c>
      <c r="AT182" s="23">
        <v>0.75</v>
      </c>
      <c r="AU182" s="23">
        <v>0</v>
      </c>
      <c r="AV182" s="23">
        <v>0.35</v>
      </c>
      <c r="AW182" s="23">
        <v>0.5</v>
      </c>
      <c r="AX182" s="23">
        <v>0.15</v>
      </c>
      <c r="AY182" s="23">
        <v>0</v>
      </c>
      <c r="AZ182" s="20">
        <v>0.95</v>
      </c>
      <c r="BA182" s="20">
        <v>3.44</v>
      </c>
      <c r="BB182" s="20">
        <v>2.4900000000000002</v>
      </c>
      <c r="BC182" s="20">
        <v>2.7062499999999998</v>
      </c>
      <c r="BD182">
        <v>2.7062499999999998</v>
      </c>
      <c r="BE182">
        <v>6.2396022968656872</v>
      </c>
    </row>
    <row r="183" spans="1:57" x14ac:dyDescent="0.3">
      <c r="A183" t="s">
        <v>159</v>
      </c>
      <c r="B183" s="12" t="s">
        <v>780</v>
      </c>
      <c r="C183" s="12"/>
      <c r="F183">
        <v>3.77</v>
      </c>
      <c r="G183" t="s">
        <v>154</v>
      </c>
      <c r="H183" s="8">
        <v>-1</v>
      </c>
      <c r="I183">
        <v>-1</v>
      </c>
      <c r="N183" s="20">
        <v>0</v>
      </c>
      <c r="O183">
        <f t="shared" ref="O183:P186" si="0">3.907*2</f>
        <v>7.8140000000000001</v>
      </c>
      <c r="P183">
        <f t="shared" si="0"/>
        <v>7.8140000000000001</v>
      </c>
      <c r="Q183">
        <v>32.86</v>
      </c>
      <c r="T183" s="20">
        <v>0</v>
      </c>
      <c r="U183" s="20"/>
      <c r="V183" s="20"/>
      <c r="W183">
        <v>1</v>
      </c>
      <c r="AA183">
        <v>1</v>
      </c>
      <c r="AG183">
        <v>1</v>
      </c>
      <c r="AO183">
        <v>20</v>
      </c>
      <c r="AP183" s="20">
        <v>0</v>
      </c>
      <c r="AQ183" s="20"/>
      <c r="AR183" s="23">
        <v>1.8125</v>
      </c>
      <c r="AS183" s="23">
        <v>2.5</v>
      </c>
      <c r="AT183" s="23">
        <v>0.6875</v>
      </c>
      <c r="AU183" s="23">
        <v>0.875</v>
      </c>
      <c r="AV183" s="23">
        <v>0.30851063829787229</v>
      </c>
      <c r="AW183" s="23">
        <v>0.42553191489361702</v>
      </c>
      <c r="AX183" s="23">
        <v>0.1170212765957447</v>
      </c>
      <c r="AY183" s="23">
        <v>0.14893617021276601</v>
      </c>
      <c r="AZ183" s="20">
        <v>0.95</v>
      </c>
      <c r="BA183" s="20">
        <v>3.44</v>
      </c>
      <c r="BB183" s="20">
        <v>2.4900000000000002</v>
      </c>
      <c r="BC183" s="20">
        <v>2.7</v>
      </c>
      <c r="BD183">
        <v>2.7</v>
      </c>
      <c r="BE183">
        <v>6.2457408593656876</v>
      </c>
    </row>
    <row r="184" spans="1:57" x14ac:dyDescent="0.3">
      <c r="A184" t="s">
        <v>160</v>
      </c>
      <c r="B184" s="12" t="s">
        <v>781</v>
      </c>
      <c r="C184" s="12"/>
      <c r="F184">
        <v>3.8</v>
      </c>
      <c r="G184" t="s">
        <v>154</v>
      </c>
      <c r="H184" s="8">
        <v>-1</v>
      </c>
      <c r="I184">
        <v>-1</v>
      </c>
      <c r="N184" s="20">
        <v>0</v>
      </c>
      <c r="O184">
        <f t="shared" si="0"/>
        <v>7.8140000000000001</v>
      </c>
      <c r="P184">
        <f t="shared" si="0"/>
        <v>7.8140000000000001</v>
      </c>
      <c r="Q184">
        <v>32.42</v>
      </c>
      <c r="T184" s="20">
        <v>0</v>
      </c>
      <c r="U184" s="20"/>
      <c r="V184" s="20"/>
      <c r="W184">
        <v>1</v>
      </c>
      <c r="AA184">
        <v>1</v>
      </c>
      <c r="AG184">
        <v>1</v>
      </c>
      <c r="AO184">
        <v>20</v>
      </c>
      <c r="AP184" s="20">
        <v>0</v>
      </c>
      <c r="AQ184" s="20"/>
      <c r="AR184" s="23">
        <v>1.8666666666666669</v>
      </c>
      <c r="AS184" s="23">
        <v>2.666666666666667</v>
      </c>
      <c r="AT184" s="23">
        <v>0.46666666666666667</v>
      </c>
      <c r="AU184" s="23">
        <v>0.93333333333333335</v>
      </c>
      <c r="AV184" s="23">
        <v>0.3146067415730337</v>
      </c>
      <c r="AW184" s="23">
        <v>0.44943820224719089</v>
      </c>
      <c r="AX184" s="23">
        <v>7.8651685393258425E-2</v>
      </c>
      <c r="AY184" s="23">
        <v>0.15730337078651679</v>
      </c>
      <c r="AZ184" s="20">
        <v>0.95</v>
      </c>
      <c r="BA184" s="20">
        <v>3.44</v>
      </c>
      <c r="BB184" s="20">
        <v>2.4900000000000002</v>
      </c>
      <c r="BC184" s="20">
        <v>2.773333333333333</v>
      </c>
      <c r="BD184">
        <v>2.773333333333333</v>
      </c>
      <c r="BE184">
        <v>6.4062483499900669</v>
      </c>
    </row>
    <row r="185" spans="1:57" x14ac:dyDescent="0.3">
      <c r="A185" t="s">
        <v>161</v>
      </c>
      <c r="B185" s="12" t="s">
        <v>782</v>
      </c>
      <c r="C185" s="12"/>
      <c r="F185">
        <v>3.92</v>
      </c>
      <c r="G185" t="s">
        <v>154</v>
      </c>
      <c r="H185" s="8">
        <v>-1</v>
      </c>
      <c r="I185">
        <v>-1</v>
      </c>
      <c r="N185" s="20">
        <v>0</v>
      </c>
      <c r="O185">
        <f t="shared" si="0"/>
        <v>7.8140000000000001</v>
      </c>
      <c r="P185">
        <f t="shared" si="0"/>
        <v>7.8140000000000001</v>
      </c>
      <c r="Q185">
        <v>32.58</v>
      </c>
      <c r="T185" s="20">
        <v>0</v>
      </c>
      <c r="U185" s="20"/>
      <c r="V185" s="20"/>
      <c r="W185">
        <v>1</v>
      </c>
      <c r="AA185">
        <v>1</v>
      </c>
      <c r="AG185">
        <v>1</v>
      </c>
      <c r="AO185">
        <v>20</v>
      </c>
      <c r="AP185" s="20">
        <v>0</v>
      </c>
      <c r="AQ185" s="20"/>
      <c r="AR185" s="23">
        <v>1.875</v>
      </c>
      <c r="AS185" s="23">
        <v>2.5</v>
      </c>
      <c r="AT185" s="23">
        <v>0.625</v>
      </c>
      <c r="AU185" s="23">
        <v>1.75</v>
      </c>
      <c r="AV185" s="23">
        <v>0.27777777777777779</v>
      </c>
      <c r="AW185" s="23">
        <v>0.37037037037037029</v>
      </c>
      <c r="AX185" s="23">
        <v>9.2592592592592587E-2</v>
      </c>
      <c r="AY185" s="23">
        <v>0.25925925925925919</v>
      </c>
      <c r="AZ185" s="20">
        <v>0.95</v>
      </c>
      <c r="BA185" s="20">
        <v>3.44</v>
      </c>
      <c r="BB185" s="20">
        <v>2.4900000000000002</v>
      </c>
      <c r="BC185" s="20">
        <v>2.6937500000000001</v>
      </c>
      <c r="BD185">
        <v>2.6937500000000001</v>
      </c>
      <c r="BE185">
        <v>6.2518794218656879</v>
      </c>
    </row>
    <row r="186" spans="1:57" x14ac:dyDescent="0.3">
      <c r="A186" t="s">
        <v>162</v>
      </c>
      <c r="B186" s="12" t="s">
        <v>783</v>
      </c>
      <c r="C186" s="12"/>
      <c r="F186">
        <v>4.25</v>
      </c>
      <c r="G186" t="s">
        <v>154</v>
      </c>
      <c r="H186" s="8">
        <v>-1</v>
      </c>
      <c r="I186">
        <v>-1</v>
      </c>
      <c r="N186" s="20">
        <v>0</v>
      </c>
      <c r="O186">
        <f t="shared" si="0"/>
        <v>7.8140000000000001</v>
      </c>
      <c r="P186">
        <f t="shared" si="0"/>
        <v>7.8140000000000001</v>
      </c>
      <c r="Q186">
        <v>31.54</v>
      </c>
      <c r="T186" s="20">
        <v>0</v>
      </c>
      <c r="U186" s="20"/>
      <c r="V186" s="20"/>
      <c r="W186">
        <v>1</v>
      </c>
      <c r="AA186">
        <v>1</v>
      </c>
      <c r="AG186">
        <v>1</v>
      </c>
      <c r="AO186">
        <v>20</v>
      </c>
      <c r="AP186" s="20">
        <v>0</v>
      </c>
      <c r="AQ186" s="20"/>
      <c r="AR186" s="23">
        <v>1.9375</v>
      </c>
      <c r="AS186" s="23">
        <v>2.5</v>
      </c>
      <c r="AT186" s="23">
        <v>0.5625</v>
      </c>
      <c r="AU186" s="23">
        <v>2.625</v>
      </c>
      <c r="AV186" s="23">
        <v>0.25409836065573771</v>
      </c>
      <c r="AW186" s="23">
        <v>0.32786885245901642</v>
      </c>
      <c r="AX186" s="23">
        <v>7.3770491803278687E-2</v>
      </c>
      <c r="AY186" s="23">
        <v>0.34426229508196721</v>
      </c>
      <c r="AZ186" s="20">
        <v>0.95</v>
      </c>
      <c r="BA186" s="20">
        <v>3.44</v>
      </c>
      <c r="BB186" s="20">
        <v>2.4900000000000002</v>
      </c>
      <c r="BC186" s="20">
        <v>2.6875</v>
      </c>
      <c r="BD186">
        <v>2.6875</v>
      </c>
      <c r="BE186">
        <v>6.2580179843656882</v>
      </c>
    </row>
    <row r="187" spans="1:57" x14ac:dyDescent="0.3">
      <c r="A187" t="s">
        <v>151</v>
      </c>
      <c r="B187" s="16" t="s">
        <v>774</v>
      </c>
      <c r="C187" s="12"/>
      <c r="D187" t="s">
        <v>863</v>
      </c>
      <c r="E187">
        <v>4</v>
      </c>
      <c r="F187">
        <v>3.35</v>
      </c>
      <c r="G187" t="s">
        <v>154</v>
      </c>
      <c r="H187" s="8">
        <v>-1</v>
      </c>
      <c r="I187">
        <v>-1</v>
      </c>
      <c r="N187" s="20">
        <v>0</v>
      </c>
      <c r="O187">
        <f>3.88*2</f>
        <v>7.76</v>
      </c>
      <c r="P187">
        <f>3.88*2</f>
        <v>7.76</v>
      </c>
      <c r="Q187">
        <v>33</v>
      </c>
      <c r="T187" s="20">
        <v>0</v>
      </c>
      <c r="U187" s="20"/>
      <c r="V187" s="20"/>
      <c r="W187">
        <v>1</v>
      </c>
      <c r="AA187">
        <v>1</v>
      </c>
      <c r="AG187">
        <v>1</v>
      </c>
      <c r="AO187">
        <v>20</v>
      </c>
      <c r="AP187" s="20">
        <v>0</v>
      </c>
      <c r="AQ187" s="20"/>
      <c r="AR187" s="23">
        <v>1.75</v>
      </c>
      <c r="AS187" s="23">
        <v>2.5</v>
      </c>
      <c r="AT187" s="23">
        <v>0.75</v>
      </c>
      <c r="AU187" s="23">
        <v>0</v>
      </c>
      <c r="AV187" s="23">
        <v>0.35</v>
      </c>
      <c r="AW187" s="23">
        <v>0.5</v>
      </c>
      <c r="AX187" s="23">
        <v>0.15</v>
      </c>
      <c r="AY187" s="23">
        <v>0</v>
      </c>
      <c r="AZ187" s="20">
        <v>0.95</v>
      </c>
      <c r="BA187" s="20">
        <v>3.44</v>
      </c>
      <c r="BB187" s="20">
        <v>2.4900000000000002</v>
      </c>
      <c r="BC187" s="20">
        <v>2.7062499999999998</v>
      </c>
      <c r="BD187">
        <v>2.7062499999999998</v>
      </c>
      <c r="BE187">
        <v>6.2396022968656872</v>
      </c>
    </row>
    <row r="188" spans="1:57" x14ac:dyDescent="0.3">
      <c r="A188" t="s">
        <v>159</v>
      </c>
      <c r="B188" s="16" t="s">
        <v>780</v>
      </c>
      <c r="C188" s="12"/>
      <c r="D188" t="s">
        <v>863</v>
      </c>
      <c r="E188">
        <v>4</v>
      </c>
      <c r="F188">
        <v>3.74</v>
      </c>
      <c r="G188" t="s">
        <v>154</v>
      </c>
      <c r="H188" s="8">
        <v>-1</v>
      </c>
      <c r="I188">
        <v>-1</v>
      </c>
      <c r="N188" s="20">
        <v>0</v>
      </c>
      <c r="O188">
        <f t="shared" ref="O188:P191" si="1">3.88*2</f>
        <v>7.76</v>
      </c>
      <c r="P188">
        <f t="shared" si="1"/>
        <v>7.76</v>
      </c>
      <c r="Q188">
        <v>33.08</v>
      </c>
      <c r="T188" s="20">
        <v>0</v>
      </c>
      <c r="U188" s="20"/>
      <c r="V188" s="20"/>
      <c r="W188">
        <v>1</v>
      </c>
      <c r="AA188">
        <v>1</v>
      </c>
      <c r="AG188">
        <v>1</v>
      </c>
      <c r="AO188">
        <v>20</v>
      </c>
      <c r="AP188" s="20">
        <v>0</v>
      </c>
      <c r="AQ188" s="20"/>
      <c r="AR188" s="23">
        <v>1.8125</v>
      </c>
      <c r="AS188" s="23">
        <v>2.5</v>
      </c>
      <c r="AT188" s="23">
        <v>0.6875</v>
      </c>
      <c r="AU188" s="23">
        <v>0.875</v>
      </c>
      <c r="AV188" s="23">
        <v>0.30851063829787229</v>
      </c>
      <c r="AW188" s="23">
        <v>0.42553191489361702</v>
      </c>
      <c r="AX188" s="23">
        <v>0.1170212765957447</v>
      </c>
      <c r="AY188" s="23">
        <v>0.14893617021276601</v>
      </c>
      <c r="AZ188" s="20">
        <v>0.95</v>
      </c>
      <c r="BA188" s="20">
        <v>3.44</v>
      </c>
      <c r="BB188" s="20">
        <v>2.4900000000000002</v>
      </c>
      <c r="BC188" s="20">
        <v>2.7</v>
      </c>
      <c r="BD188">
        <v>2.7</v>
      </c>
      <c r="BE188">
        <v>6.2457408593656876</v>
      </c>
    </row>
    <row r="189" spans="1:57" x14ac:dyDescent="0.3">
      <c r="A189" t="s">
        <v>160</v>
      </c>
      <c r="B189" s="16" t="s">
        <v>781</v>
      </c>
      <c r="C189" s="12"/>
      <c r="D189" t="s">
        <v>863</v>
      </c>
      <c r="E189">
        <v>4</v>
      </c>
      <c r="F189">
        <v>3.74</v>
      </c>
      <c r="G189" t="s">
        <v>154</v>
      </c>
      <c r="H189" s="8">
        <v>-1</v>
      </c>
      <c r="I189">
        <v>-1</v>
      </c>
      <c r="N189" s="20">
        <v>0</v>
      </c>
      <c r="O189">
        <f t="shared" si="1"/>
        <v>7.76</v>
      </c>
      <c r="P189">
        <f t="shared" si="1"/>
        <v>7.76</v>
      </c>
      <c r="Q189">
        <v>33.24</v>
      </c>
      <c r="T189" s="20">
        <v>0</v>
      </c>
      <c r="U189" s="20"/>
      <c r="V189" s="20"/>
      <c r="W189">
        <v>1</v>
      </c>
      <c r="AA189">
        <v>1</v>
      </c>
      <c r="AG189">
        <v>1</v>
      </c>
      <c r="AO189">
        <v>20</v>
      </c>
      <c r="AP189" s="20">
        <v>0</v>
      </c>
      <c r="AQ189" s="20"/>
      <c r="AR189" s="23">
        <v>1.8666666666666669</v>
      </c>
      <c r="AS189" s="23">
        <v>2.666666666666667</v>
      </c>
      <c r="AT189" s="23">
        <v>0.46666666666666667</v>
      </c>
      <c r="AU189" s="23">
        <v>0.93333333333333335</v>
      </c>
      <c r="AV189" s="23">
        <v>0.3146067415730337</v>
      </c>
      <c r="AW189" s="23">
        <v>0.44943820224719089</v>
      </c>
      <c r="AX189" s="23">
        <v>7.8651685393258425E-2</v>
      </c>
      <c r="AY189" s="23">
        <v>0.15730337078651679</v>
      </c>
      <c r="AZ189" s="20">
        <v>0.95</v>
      </c>
      <c r="BA189" s="20">
        <v>3.44</v>
      </c>
      <c r="BB189" s="20">
        <v>2.4900000000000002</v>
      </c>
      <c r="BC189" s="20">
        <v>2.773333333333333</v>
      </c>
      <c r="BD189">
        <v>2.773333333333333</v>
      </c>
      <c r="BE189">
        <v>6.4062483499900669</v>
      </c>
    </row>
    <row r="190" spans="1:57" x14ac:dyDescent="0.3">
      <c r="A190" t="s">
        <v>161</v>
      </c>
      <c r="B190" s="16" t="s">
        <v>782</v>
      </c>
      <c r="C190" s="12"/>
      <c r="D190" t="s">
        <v>863</v>
      </c>
      <c r="E190">
        <v>4</v>
      </c>
      <c r="F190">
        <v>3.78</v>
      </c>
      <c r="G190" t="s">
        <v>154</v>
      </c>
      <c r="H190" s="8">
        <v>-1</v>
      </c>
      <c r="I190">
        <v>-1</v>
      </c>
      <c r="N190" s="20">
        <v>0</v>
      </c>
      <c r="O190">
        <f t="shared" si="1"/>
        <v>7.76</v>
      </c>
      <c r="P190">
        <f t="shared" si="1"/>
        <v>7.76</v>
      </c>
      <c r="Q190">
        <v>33</v>
      </c>
      <c r="T190" s="20">
        <v>0</v>
      </c>
      <c r="U190" s="20"/>
      <c r="V190" s="20"/>
      <c r="W190">
        <v>1</v>
      </c>
      <c r="AA190">
        <v>1</v>
      </c>
      <c r="AG190">
        <v>1</v>
      </c>
      <c r="AO190">
        <v>20</v>
      </c>
      <c r="AP190" s="20">
        <v>0</v>
      </c>
      <c r="AQ190" s="20"/>
      <c r="AR190" s="23">
        <v>1.875</v>
      </c>
      <c r="AS190" s="23">
        <v>2.5</v>
      </c>
      <c r="AT190" s="23">
        <v>0.625</v>
      </c>
      <c r="AU190" s="23">
        <v>1.75</v>
      </c>
      <c r="AV190" s="23">
        <v>0.27777777777777779</v>
      </c>
      <c r="AW190" s="23">
        <v>0.37037037037037029</v>
      </c>
      <c r="AX190" s="23">
        <v>9.2592592592592587E-2</v>
      </c>
      <c r="AY190" s="23">
        <v>0.25925925925925919</v>
      </c>
      <c r="AZ190" s="20">
        <v>0.95</v>
      </c>
      <c r="BA190" s="20">
        <v>3.44</v>
      </c>
      <c r="BB190" s="20">
        <v>2.4900000000000002</v>
      </c>
      <c r="BC190" s="20">
        <v>2.6937500000000001</v>
      </c>
      <c r="BD190">
        <v>2.6937500000000001</v>
      </c>
      <c r="BE190">
        <v>6.2518794218656879</v>
      </c>
    </row>
    <row r="191" spans="1:57" x14ac:dyDescent="0.3">
      <c r="A191" t="s">
        <v>162</v>
      </c>
      <c r="B191" s="16" t="s">
        <v>783</v>
      </c>
      <c r="C191" s="12"/>
      <c r="D191" t="s">
        <v>863</v>
      </c>
      <c r="E191">
        <v>4</v>
      </c>
      <c r="F191">
        <v>3.99</v>
      </c>
      <c r="G191" t="s">
        <v>154</v>
      </c>
      <c r="H191" s="8">
        <v>-1</v>
      </c>
      <c r="I191">
        <v>-1</v>
      </c>
      <c r="N191" s="20">
        <v>0</v>
      </c>
      <c r="O191">
        <f t="shared" si="1"/>
        <v>7.76</v>
      </c>
      <c r="P191">
        <f t="shared" si="1"/>
        <v>7.76</v>
      </c>
      <c r="Q191">
        <v>29.18</v>
      </c>
      <c r="T191" s="20">
        <v>0</v>
      </c>
      <c r="U191" s="20"/>
      <c r="V191" s="20"/>
      <c r="W191">
        <v>1</v>
      </c>
      <c r="AA191">
        <v>1</v>
      </c>
      <c r="AG191">
        <v>1</v>
      </c>
      <c r="AO191">
        <v>20</v>
      </c>
      <c r="AP191" s="20">
        <v>0</v>
      </c>
      <c r="AQ191" s="20"/>
      <c r="AR191" s="23">
        <v>1.9375</v>
      </c>
      <c r="AS191" s="23">
        <v>2.5</v>
      </c>
      <c r="AT191" s="23">
        <v>0.5625</v>
      </c>
      <c r="AU191" s="23">
        <v>2.625</v>
      </c>
      <c r="AV191" s="23">
        <v>0.25409836065573771</v>
      </c>
      <c r="AW191" s="23">
        <v>0.32786885245901642</v>
      </c>
      <c r="AX191" s="23">
        <v>7.3770491803278687E-2</v>
      </c>
      <c r="AY191" s="23">
        <v>0.34426229508196721</v>
      </c>
      <c r="AZ191" s="20">
        <v>0.95</v>
      </c>
      <c r="BA191" s="20">
        <v>3.44</v>
      </c>
      <c r="BB191" s="20">
        <v>2.4900000000000002</v>
      </c>
      <c r="BC191" s="20">
        <v>2.6875</v>
      </c>
      <c r="BD191">
        <v>2.6875</v>
      </c>
      <c r="BE191">
        <v>6.2580179843656882</v>
      </c>
    </row>
    <row r="192" spans="1:57" x14ac:dyDescent="0.3">
      <c r="A192" t="s">
        <v>4</v>
      </c>
      <c r="B192" s="12" t="s">
        <v>689</v>
      </c>
      <c r="C192" s="12"/>
      <c r="F192">
        <v>3.5</v>
      </c>
      <c r="G192" t="s">
        <v>163</v>
      </c>
      <c r="H192" s="8" t="s">
        <v>527</v>
      </c>
      <c r="I192" t="s">
        <v>609</v>
      </c>
      <c r="N192" s="20">
        <v>4</v>
      </c>
      <c r="O192"/>
      <c r="P192"/>
      <c r="Q192"/>
      <c r="T192" s="20">
        <v>7.8084429999999996</v>
      </c>
      <c r="U192" s="20">
        <v>7.8548809999999998</v>
      </c>
      <c r="V192" s="20">
        <v>15.19056011</v>
      </c>
      <c r="W192">
        <v>1</v>
      </c>
      <c r="AA192">
        <v>1</v>
      </c>
      <c r="AF192">
        <v>1</v>
      </c>
      <c r="AJ192">
        <v>1</v>
      </c>
      <c r="AO192">
        <v>20</v>
      </c>
      <c r="AP192" s="20">
        <v>924.74694800021894</v>
      </c>
      <c r="AQ192" s="20">
        <v>8.6510153045653584E-2</v>
      </c>
      <c r="AR192" s="23">
        <v>1.75</v>
      </c>
      <c r="AS192" s="23">
        <v>2.5</v>
      </c>
      <c r="AT192" s="23">
        <v>0.75</v>
      </c>
      <c r="AU192" s="23">
        <v>0</v>
      </c>
      <c r="AV192" s="23">
        <v>0.35</v>
      </c>
      <c r="AW192" s="23">
        <v>0.5</v>
      </c>
      <c r="AX192" s="23">
        <v>0.15</v>
      </c>
      <c r="AY192" s="23">
        <v>0</v>
      </c>
      <c r="AZ192" s="20">
        <v>0.82</v>
      </c>
      <c r="BA192" s="20">
        <v>3.44</v>
      </c>
      <c r="BB192" s="20">
        <v>2.62</v>
      </c>
      <c r="BC192" s="20">
        <v>2.6262500000000002</v>
      </c>
      <c r="BD192">
        <v>2.6262500000000002</v>
      </c>
      <c r="BE192">
        <v>5.96680968125</v>
      </c>
    </row>
    <row r="193" spans="1:57" x14ac:dyDescent="0.3">
      <c r="A193" t="s">
        <v>165</v>
      </c>
      <c r="B193" s="12" t="s">
        <v>784</v>
      </c>
      <c r="C193" s="12"/>
      <c r="F193">
        <v>2.84</v>
      </c>
      <c r="G193" t="s">
        <v>164</v>
      </c>
      <c r="H193" s="8">
        <v>-1</v>
      </c>
      <c r="I193">
        <v>-1</v>
      </c>
      <c r="L193" t="s">
        <v>1189</v>
      </c>
      <c r="N193" s="20">
        <v>0</v>
      </c>
      <c r="O193">
        <v>3.97</v>
      </c>
      <c r="P193">
        <v>3.97</v>
      </c>
      <c r="Q193">
        <v>22.5</v>
      </c>
      <c r="T193" s="20">
        <v>0</v>
      </c>
      <c r="U193" s="20"/>
      <c r="V193" s="20"/>
      <c r="W193"/>
      <c r="Z193">
        <v>1.3</v>
      </c>
      <c r="AE193">
        <v>1</v>
      </c>
      <c r="AF193">
        <v>1</v>
      </c>
      <c r="AG193">
        <v>1</v>
      </c>
      <c r="AO193">
        <v>18</v>
      </c>
      <c r="AP193" s="20">
        <v>0</v>
      </c>
      <c r="AQ193" s="20"/>
      <c r="AR193" s="23">
        <v>1.8</v>
      </c>
      <c r="AS193" s="23">
        <v>2.4</v>
      </c>
      <c r="AT193" s="23">
        <v>1.1333333333333331</v>
      </c>
      <c r="AU193" s="23">
        <v>0</v>
      </c>
      <c r="AV193" s="23">
        <v>0.33750000000000002</v>
      </c>
      <c r="AW193" s="23">
        <v>0.45</v>
      </c>
      <c r="AX193" s="23">
        <v>0.21249999999999999</v>
      </c>
      <c r="AY193" s="23">
        <v>0</v>
      </c>
      <c r="AZ193" s="20">
        <v>0.93</v>
      </c>
      <c r="BA193" s="20">
        <v>3.44</v>
      </c>
      <c r="BB193" s="20">
        <v>2.5099999999999998</v>
      </c>
      <c r="BC193" s="20">
        <v>2.6033333333333331</v>
      </c>
      <c r="BD193">
        <v>2.6033333333333331</v>
      </c>
      <c r="BE193">
        <v>5.9143459586666669</v>
      </c>
    </row>
    <row r="194" spans="1:57" x14ac:dyDescent="0.3">
      <c r="A194" t="s">
        <v>166</v>
      </c>
      <c r="B194" s="12" t="s">
        <v>785</v>
      </c>
      <c r="C194" s="12"/>
      <c r="F194">
        <v>3.48</v>
      </c>
      <c r="G194" t="s">
        <v>164</v>
      </c>
      <c r="H194" s="8">
        <v>-1</v>
      </c>
      <c r="I194">
        <v>-1</v>
      </c>
      <c r="L194" t="s">
        <v>1189</v>
      </c>
      <c r="N194" s="20">
        <v>0</v>
      </c>
      <c r="O194">
        <v>3.97</v>
      </c>
      <c r="P194">
        <v>3.97</v>
      </c>
      <c r="Q194">
        <v>22.5</v>
      </c>
      <c r="T194" s="20">
        <v>0</v>
      </c>
      <c r="U194" s="20"/>
      <c r="V194" s="20"/>
      <c r="W194"/>
      <c r="Y194">
        <v>3</v>
      </c>
      <c r="Z194">
        <v>6.1</v>
      </c>
      <c r="AE194">
        <v>1</v>
      </c>
      <c r="AF194">
        <v>1</v>
      </c>
      <c r="AG194">
        <v>1</v>
      </c>
      <c r="AO194">
        <v>18</v>
      </c>
      <c r="AP194" s="20">
        <v>0</v>
      </c>
      <c r="AQ194" s="20"/>
      <c r="AR194" s="23">
        <v>1.8</v>
      </c>
      <c r="AS194" s="23">
        <v>2.4</v>
      </c>
      <c r="AT194" s="23">
        <v>1.1333333333333331</v>
      </c>
      <c r="AU194" s="23">
        <v>0</v>
      </c>
      <c r="AV194" s="23">
        <v>0.33750000000000002</v>
      </c>
      <c r="AW194" s="23">
        <v>0.45</v>
      </c>
      <c r="AX194" s="23">
        <v>0.21249999999999999</v>
      </c>
      <c r="AY194" s="23">
        <v>0</v>
      </c>
      <c r="AZ194" s="20">
        <v>0.79</v>
      </c>
      <c r="BA194" s="20">
        <v>3.44</v>
      </c>
      <c r="BB194" s="20">
        <v>2.65</v>
      </c>
      <c r="BC194" s="20">
        <v>2.5939999999999999</v>
      </c>
      <c r="BD194">
        <v>2.5939999999999999</v>
      </c>
      <c r="BE194">
        <v>5.870297050914334</v>
      </c>
    </row>
    <row r="195" spans="1:57" s="4" customFormat="1" x14ac:dyDescent="0.3">
      <c r="A195" s="4" t="s">
        <v>167</v>
      </c>
      <c r="B195" s="29" t="s">
        <v>786</v>
      </c>
      <c r="C195" s="29"/>
      <c r="F195" s="4">
        <v>3.49</v>
      </c>
      <c r="G195" s="4" t="s">
        <v>164</v>
      </c>
      <c r="H195" s="30">
        <v>-2</v>
      </c>
      <c r="I195" s="4">
        <v>-1</v>
      </c>
      <c r="L195" s="4" t="s">
        <v>1189</v>
      </c>
      <c r="N195" s="31">
        <v>0</v>
      </c>
      <c r="T195" s="31">
        <v>0</v>
      </c>
      <c r="U195" s="31"/>
      <c r="V195" s="31"/>
      <c r="Z195" s="4">
        <v>26.7</v>
      </c>
      <c r="AE195" s="4">
        <v>1</v>
      </c>
      <c r="AF195" s="4">
        <v>1</v>
      </c>
      <c r="AG195" s="4">
        <v>1</v>
      </c>
      <c r="AO195" s="4">
        <v>18</v>
      </c>
      <c r="AP195" s="31">
        <v>0</v>
      </c>
      <c r="AQ195" s="31"/>
      <c r="AR195" s="4">
        <v>1.8</v>
      </c>
      <c r="AS195" s="4">
        <v>2.4</v>
      </c>
      <c r="AT195" s="4">
        <v>1.1333333333333331</v>
      </c>
      <c r="AU195" s="4">
        <v>0</v>
      </c>
      <c r="AV195" s="4">
        <v>0.33750000000000002</v>
      </c>
      <c r="AW195" s="4">
        <v>0.45</v>
      </c>
      <c r="AX195" s="4">
        <v>0.21249999999999999</v>
      </c>
      <c r="AY195" s="4">
        <v>0</v>
      </c>
      <c r="AZ195" s="31">
        <v>0.95</v>
      </c>
      <c r="BA195" s="31">
        <v>3.44</v>
      </c>
      <c r="BB195" s="31">
        <v>2.4900000000000002</v>
      </c>
      <c r="BC195" s="31">
        <v>2.6880000000000011</v>
      </c>
      <c r="BD195" s="4">
        <v>2.6880000000000002</v>
      </c>
      <c r="BE195" s="4">
        <v>6.2032136049900668</v>
      </c>
    </row>
    <row r="196" spans="1:57" x14ac:dyDescent="0.3">
      <c r="A196" t="s">
        <v>169</v>
      </c>
      <c r="B196" s="12" t="s">
        <v>787</v>
      </c>
      <c r="C196" s="12"/>
      <c r="F196">
        <v>3.75</v>
      </c>
      <c r="G196" t="s">
        <v>168</v>
      </c>
      <c r="H196" s="8">
        <v>-1</v>
      </c>
      <c r="I196">
        <v>-1</v>
      </c>
      <c r="N196" s="20">
        <v>0</v>
      </c>
      <c r="O196">
        <v>3.8530000000000002</v>
      </c>
      <c r="P196">
        <v>3.8530000000000002</v>
      </c>
      <c r="Q196">
        <v>29</v>
      </c>
      <c r="T196" s="20">
        <v>0</v>
      </c>
      <c r="U196" s="20"/>
      <c r="V196" s="20"/>
      <c r="W196">
        <v>1</v>
      </c>
      <c r="Y196">
        <v>3</v>
      </c>
      <c r="Z196">
        <v>2.83</v>
      </c>
      <c r="AA196">
        <v>1</v>
      </c>
      <c r="AO196">
        <v>40</v>
      </c>
      <c r="AP196" s="20">
        <v>0</v>
      </c>
      <c r="AQ196" s="20"/>
      <c r="AR196" s="23">
        <v>1.75</v>
      </c>
      <c r="AS196" s="23">
        <v>2.5</v>
      </c>
      <c r="AT196" s="23">
        <v>0.75</v>
      </c>
      <c r="AU196" s="23">
        <v>0</v>
      </c>
      <c r="AV196" s="23">
        <v>0.35</v>
      </c>
      <c r="AW196" s="23">
        <v>0.5</v>
      </c>
      <c r="AX196" s="23">
        <v>0.15</v>
      </c>
      <c r="AY196" s="23">
        <v>0</v>
      </c>
      <c r="AZ196" s="20">
        <v>1</v>
      </c>
      <c r="BA196" s="20">
        <v>3.44</v>
      </c>
      <c r="BB196" s="20">
        <v>2.44</v>
      </c>
      <c r="BC196" s="20">
        <v>2.7124999999999999</v>
      </c>
      <c r="BD196">
        <v>2.7124999999999999</v>
      </c>
      <c r="BE196">
        <v>6.264025610615688</v>
      </c>
    </row>
    <row r="197" spans="1:57" x14ac:dyDescent="0.3">
      <c r="A197" t="s">
        <v>170</v>
      </c>
      <c r="B197" s="12" t="s">
        <v>788</v>
      </c>
      <c r="C197" s="12"/>
      <c r="F197">
        <v>3.86</v>
      </c>
      <c r="G197" t="s">
        <v>168</v>
      </c>
      <c r="H197" s="8">
        <v>-1</v>
      </c>
      <c r="I197">
        <v>-1</v>
      </c>
      <c r="N197" s="20">
        <v>0</v>
      </c>
      <c r="O197">
        <v>3.8530000000000002</v>
      </c>
      <c r="P197">
        <v>3.8530000000000002</v>
      </c>
      <c r="Q197">
        <v>31.24</v>
      </c>
      <c r="T197" s="20">
        <v>0</v>
      </c>
      <c r="U197" s="20"/>
      <c r="V197" s="20"/>
      <c r="W197">
        <v>1</v>
      </c>
      <c r="Y197">
        <v>3</v>
      </c>
      <c r="Z197">
        <v>6.46</v>
      </c>
      <c r="AA197">
        <v>1</v>
      </c>
      <c r="AO197">
        <v>40</v>
      </c>
      <c r="AP197" s="20">
        <v>0</v>
      </c>
      <c r="AQ197" s="20"/>
      <c r="AR197" s="23">
        <v>1.8125</v>
      </c>
      <c r="AS197" s="23">
        <v>2.5</v>
      </c>
      <c r="AT197" s="23">
        <v>0.6875</v>
      </c>
      <c r="AU197" s="23">
        <v>0.875</v>
      </c>
      <c r="AV197" s="23">
        <v>0.30851063829787229</v>
      </c>
      <c r="AW197" s="23">
        <v>0.42553191489361702</v>
      </c>
      <c r="AX197" s="23">
        <v>0.1170212765957447</v>
      </c>
      <c r="AY197" s="23">
        <v>0.14893617021276601</v>
      </c>
      <c r="AZ197" s="20">
        <v>1</v>
      </c>
      <c r="BA197" s="20">
        <v>3.44</v>
      </c>
      <c r="BB197" s="20">
        <v>2.44</v>
      </c>
      <c r="BC197" s="20">
        <v>2.7062499999999998</v>
      </c>
      <c r="BD197">
        <v>2.7062499999999998</v>
      </c>
      <c r="BE197">
        <v>6.2701641731156874</v>
      </c>
    </row>
    <row r="198" spans="1:57" x14ac:dyDescent="0.3">
      <c r="A198" t="s">
        <v>171</v>
      </c>
      <c r="B198" s="12" t="s">
        <v>789</v>
      </c>
      <c r="C198" s="12"/>
      <c r="F198">
        <v>4.01</v>
      </c>
      <c r="G198" t="s">
        <v>168</v>
      </c>
      <c r="H198" s="8">
        <v>-1</v>
      </c>
      <c r="I198">
        <v>-1</v>
      </c>
      <c r="N198" s="20">
        <v>0</v>
      </c>
      <c r="O198">
        <v>3.8530000000000002</v>
      </c>
      <c r="P198">
        <v>3.8530000000000002</v>
      </c>
      <c r="Q198">
        <v>31.54</v>
      </c>
      <c r="T198" s="20">
        <v>0</v>
      </c>
      <c r="U198" s="20"/>
      <c r="V198" s="20"/>
      <c r="W198">
        <v>1</v>
      </c>
      <c r="Y198">
        <v>3</v>
      </c>
      <c r="Z198">
        <v>6.64</v>
      </c>
      <c r="AA198">
        <v>1</v>
      </c>
      <c r="AO198">
        <v>40</v>
      </c>
      <c r="AP198" s="20">
        <v>0</v>
      </c>
      <c r="AQ198" s="20"/>
      <c r="AR198" s="23">
        <v>1.84375</v>
      </c>
      <c r="AS198" s="23">
        <v>2.5</v>
      </c>
      <c r="AT198" s="23">
        <v>0.65625</v>
      </c>
      <c r="AU198" s="23">
        <v>1.3125</v>
      </c>
      <c r="AV198" s="23">
        <v>0.29207920792079212</v>
      </c>
      <c r="AW198" s="23">
        <v>0.39603960396039611</v>
      </c>
      <c r="AX198" s="23">
        <v>0.103960396039604</v>
      </c>
      <c r="AY198" s="23">
        <v>0.20792079207920791</v>
      </c>
      <c r="AZ198" s="20">
        <v>1</v>
      </c>
      <c r="BA198" s="20">
        <v>3.44</v>
      </c>
      <c r="BB198" s="20">
        <v>2.44</v>
      </c>
      <c r="BC198" s="20">
        <v>2.703125</v>
      </c>
      <c r="BD198">
        <v>2.703125</v>
      </c>
      <c r="BE198">
        <v>6.2732334543656876</v>
      </c>
    </row>
    <row r="199" spans="1:57" x14ac:dyDescent="0.3">
      <c r="A199" t="s">
        <v>172</v>
      </c>
      <c r="B199" s="12" t="s">
        <v>790</v>
      </c>
      <c r="C199" s="12"/>
      <c r="F199">
        <v>4.16</v>
      </c>
      <c r="G199" t="s">
        <v>168</v>
      </c>
      <c r="H199" s="8">
        <v>-1</v>
      </c>
      <c r="I199">
        <v>-1</v>
      </c>
      <c r="N199" s="20">
        <v>0</v>
      </c>
      <c r="O199">
        <v>3.8530000000000002</v>
      </c>
      <c r="P199">
        <v>3.8530000000000002</v>
      </c>
      <c r="Q199">
        <v>32.4</v>
      </c>
      <c r="T199" s="20">
        <v>0</v>
      </c>
      <c r="U199" s="20"/>
      <c r="V199" s="20"/>
      <c r="W199">
        <v>1</v>
      </c>
      <c r="Y199">
        <v>3</v>
      </c>
      <c r="Z199">
        <v>5.75</v>
      </c>
      <c r="AA199">
        <v>1</v>
      </c>
      <c r="AO199">
        <v>40</v>
      </c>
      <c r="AP199" s="20">
        <v>0</v>
      </c>
      <c r="AQ199" s="20"/>
      <c r="AR199" s="23">
        <v>1.875</v>
      </c>
      <c r="AS199" s="23">
        <v>2.5</v>
      </c>
      <c r="AT199" s="23">
        <v>0.625</v>
      </c>
      <c r="AU199" s="23">
        <v>1.75</v>
      </c>
      <c r="AV199" s="23">
        <v>0.27777777777777779</v>
      </c>
      <c r="AW199" s="23">
        <v>0.37037037037037029</v>
      </c>
      <c r="AX199" s="23">
        <v>9.2592592592592587E-2</v>
      </c>
      <c r="AY199" s="23">
        <v>0.25925925925925919</v>
      </c>
      <c r="AZ199" s="20">
        <v>1</v>
      </c>
      <c r="BA199" s="20">
        <v>3.44</v>
      </c>
      <c r="BB199" s="20">
        <v>2.44</v>
      </c>
      <c r="BC199" s="20">
        <v>2.7</v>
      </c>
      <c r="BD199">
        <v>2.7</v>
      </c>
      <c r="BE199">
        <v>6.2763027356156877</v>
      </c>
    </row>
    <row r="200" spans="1:57" x14ac:dyDescent="0.3">
      <c r="A200" t="s">
        <v>173</v>
      </c>
      <c r="B200" s="12" t="s">
        <v>791</v>
      </c>
      <c r="C200" s="12"/>
      <c r="F200">
        <v>4.59</v>
      </c>
      <c r="G200" t="s">
        <v>168</v>
      </c>
      <c r="H200" s="8">
        <v>-1</v>
      </c>
      <c r="I200">
        <v>-1</v>
      </c>
      <c r="N200" s="20">
        <v>0</v>
      </c>
      <c r="O200">
        <v>3.8530000000000002</v>
      </c>
      <c r="P200">
        <v>3.8530000000000002</v>
      </c>
      <c r="Q200">
        <v>32.64</v>
      </c>
      <c r="R200" t="s">
        <v>496</v>
      </c>
      <c r="T200" s="20">
        <v>0</v>
      </c>
      <c r="U200" s="20"/>
      <c r="V200" s="20"/>
      <c r="W200">
        <v>1</v>
      </c>
      <c r="Y200">
        <v>3</v>
      </c>
      <c r="Z200">
        <v>7.41</v>
      </c>
      <c r="AA200">
        <v>1</v>
      </c>
      <c r="AO200">
        <v>40</v>
      </c>
      <c r="AP200" s="20">
        <v>0</v>
      </c>
      <c r="AQ200" s="20"/>
      <c r="AR200" s="23">
        <v>1.9375</v>
      </c>
      <c r="AS200" s="23">
        <v>2.5</v>
      </c>
      <c r="AT200" s="23">
        <v>0.5625</v>
      </c>
      <c r="AU200" s="23">
        <v>2.625</v>
      </c>
      <c r="AV200" s="23">
        <v>0.25409836065573771</v>
      </c>
      <c r="AW200" s="23">
        <v>0.32786885245901642</v>
      </c>
      <c r="AX200" s="23">
        <v>7.3770491803278687E-2</v>
      </c>
      <c r="AY200" s="23">
        <v>0.34426229508196721</v>
      </c>
      <c r="AZ200" s="20">
        <v>1</v>
      </c>
      <c r="BA200" s="20">
        <v>3.44</v>
      </c>
      <c r="BB200" s="20">
        <v>2.44</v>
      </c>
      <c r="BC200" s="20">
        <v>2.6937500000000001</v>
      </c>
      <c r="BD200">
        <v>2.6937500000000001</v>
      </c>
      <c r="BE200">
        <v>6.2824412981156881</v>
      </c>
    </row>
    <row r="201" spans="1:57" x14ac:dyDescent="0.3">
      <c r="A201" t="s">
        <v>2</v>
      </c>
      <c r="B201" s="12" t="s">
        <v>687</v>
      </c>
      <c r="C201" s="12"/>
      <c r="F201">
        <v>3.3</v>
      </c>
      <c r="G201" t="s">
        <v>174</v>
      </c>
      <c r="H201" s="8" t="s">
        <v>525</v>
      </c>
      <c r="I201">
        <v>-1</v>
      </c>
      <c r="K201">
        <v>1</v>
      </c>
      <c r="N201" s="20">
        <v>2</v>
      </c>
      <c r="O201">
        <v>5.4763999999999999</v>
      </c>
      <c r="P201">
        <v>22.404199999999999</v>
      </c>
      <c r="Q201">
        <v>5.1576000000000004</v>
      </c>
      <c r="R201" t="s">
        <v>515</v>
      </c>
      <c r="T201" s="20">
        <v>11.92921406</v>
      </c>
      <c r="U201" s="20">
        <v>11.92921406</v>
      </c>
      <c r="V201" s="20">
        <v>11.92921406</v>
      </c>
      <c r="W201"/>
      <c r="AO201">
        <v>14</v>
      </c>
      <c r="AP201" s="20">
        <v>349.00875366799971</v>
      </c>
      <c r="AQ201" s="20">
        <v>8.0227214090553903E-2</v>
      </c>
      <c r="AR201" s="23">
        <v>1.7272727272727271</v>
      </c>
      <c r="AS201" s="23">
        <v>2.545454545454545</v>
      </c>
      <c r="AT201" s="23">
        <v>0.81818181818181823</v>
      </c>
      <c r="AU201" s="23">
        <v>0</v>
      </c>
      <c r="AV201" s="23">
        <v>0.3392857142857143</v>
      </c>
      <c r="AW201" s="23">
        <v>0.5</v>
      </c>
      <c r="AX201" s="23">
        <v>0.1607142857142857</v>
      </c>
      <c r="AY201" s="23">
        <v>0</v>
      </c>
      <c r="AZ201" s="20">
        <v>0.82</v>
      </c>
      <c r="BA201" s="20">
        <v>3.44</v>
      </c>
      <c r="BB201" s="20">
        <v>2.62</v>
      </c>
      <c r="BC201" s="20">
        <v>2.6545454545454539</v>
      </c>
      <c r="BD201">
        <v>2.6545454545454552</v>
      </c>
      <c r="BE201">
        <v>5.9865512095454543</v>
      </c>
    </row>
    <row r="202" spans="1:57" x14ac:dyDescent="0.3">
      <c r="A202" t="s">
        <v>175</v>
      </c>
      <c r="B202" s="12" t="s">
        <v>792</v>
      </c>
      <c r="C202" s="12"/>
      <c r="F202">
        <v>2.98</v>
      </c>
      <c r="G202" t="s">
        <v>174</v>
      </c>
      <c r="H202" s="8" t="s">
        <v>579</v>
      </c>
      <c r="I202" t="s">
        <v>654</v>
      </c>
      <c r="K202">
        <v>1</v>
      </c>
      <c r="N202" s="20">
        <v>1</v>
      </c>
      <c r="O202">
        <v>7.7803000000000004</v>
      </c>
      <c r="P202">
        <v>7.7803000000000004</v>
      </c>
      <c r="Q202">
        <v>42.569200000000002</v>
      </c>
      <c r="R202" t="s">
        <v>516</v>
      </c>
      <c r="T202" s="20">
        <v>11.30538971</v>
      </c>
      <c r="U202" s="20">
        <v>11.30538971</v>
      </c>
      <c r="V202" s="20">
        <v>11.30538971</v>
      </c>
      <c r="W202" t="s">
        <v>517</v>
      </c>
      <c r="X202">
        <v>1</v>
      </c>
      <c r="AO202">
        <v>14</v>
      </c>
      <c r="AP202" s="20">
        <v>169.7295487154349</v>
      </c>
      <c r="AQ202" s="20">
        <v>8.248416440128592E-2</v>
      </c>
      <c r="AR202" s="23">
        <v>1.7272727272727271</v>
      </c>
      <c r="AS202" s="23">
        <v>2.545454545454545</v>
      </c>
      <c r="AT202" s="23">
        <v>1.7272727272727271</v>
      </c>
      <c r="AU202" s="23">
        <v>0</v>
      </c>
      <c r="AV202" s="23">
        <v>0.2878787878787879</v>
      </c>
      <c r="AW202" s="23">
        <v>0.42424242424242431</v>
      </c>
      <c r="AX202" s="23">
        <v>0.2878787878787879</v>
      </c>
      <c r="AY202" s="23">
        <v>0</v>
      </c>
      <c r="AZ202" s="20">
        <v>1.1000000000000001</v>
      </c>
      <c r="BA202" s="20">
        <v>3.44</v>
      </c>
      <c r="BB202" s="20">
        <v>2.34</v>
      </c>
      <c r="BC202" s="20">
        <v>2.7554545454545449</v>
      </c>
      <c r="BD202">
        <v>2.7554545454545449</v>
      </c>
      <c r="BE202">
        <v>6.1782631499999994</v>
      </c>
    </row>
    <row r="203" spans="1:57" x14ac:dyDescent="0.3">
      <c r="A203" t="s">
        <v>2</v>
      </c>
      <c r="B203" s="12" t="s">
        <v>687</v>
      </c>
      <c r="C203" s="12"/>
      <c r="F203">
        <v>3.3</v>
      </c>
      <c r="G203" t="s">
        <v>176</v>
      </c>
      <c r="H203" s="8" t="s">
        <v>525</v>
      </c>
      <c r="I203">
        <v>-1</v>
      </c>
      <c r="K203">
        <v>1</v>
      </c>
      <c r="N203" s="20">
        <v>2</v>
      </c>
      <c r="O203">
        <v>5.5339999999999998</v>
      </c>
      <c r="P203">
        <v>22.083300000000001</v>
      </c>
      <c r="Q203">
        <v>5.5033000000000003</v>
      </c>
      <c r="R203" t="s">
        <v>515</v>
      </c>
      <c r="T203" s="20">
        <v>11.92921406</v>
      </c>
      <c r="U203" s="20">
        <v>11.92921406</v>
      </c>
      <c r="V203" s="20">
        <v>11.92921406</v>
      </c>
      <c r="W203">
        <v>1</v>
      </c>
      <c r="Z203">
        <v>1.5</v>
      </c>
      <c r="AA203" s="1"/>
      <c r="AO203">
        <v>14</v>
      </c>
      <c r="AP203" s="20">
        <v>349.00875366799971</v>
      </c>
      <c r="AQ203" s="20">
        <v>8.0227214090553903E-2</v>
      </c>
      <c r="AR203" s="23">
        <v>1.7272727272727271</v>
      </c>
      <c r="AS203" s="23">
        <v>2.545454545454545</v>
      </c>
      <c r="AT203" s="23">
        <v>0.81818181818181823</v>
      </c>
      <c r="AU203" s="23">
        <v>0</v>
      </c>
      <c r="AV203" s="23">
        <v>0.3392857142857143</v>
      </c>
      <c r="AW203" s="23">
        <v>0.5</v>
      </c>
      <c r="AX203" s="23">
        <v>0.1607142857142857</v>
      </c>
      <c r="AY203" s="23">
        <v>0</v>
      </c>
      <c r="AZ203" s="20">
        <v>0.82</v>
      </c>
      <c r="BA203" s="20">
        <v>3.44</v>
      </c>
      <c r="BB203" s="20">
        <v>2.62</v>
      </c>
      <c r="BC203" s="20">
        <v>2.6545454545454539</v>
      </c>
      <c r="BD203">
        <v>2.6545454545454552</v>
      </c>
      <c r="BE203">
        <v>5.9865512095454543</v>
      </c>
    </row>
    <row r="204" spans="1:57" x14ac:dyDescent="0.3">
      <c r="A204" t="s">
        <v>175</v>
      </c>
      <c r="B204" s="12" t="s">
        <v>792</v>
      </c>
      <c r="C204" s="12"/>
      <c r="F204">
        <v>2.85</v>
      </c>
      <c r="G204" t="s">
        <v>176</v>
      </c>
      <c r="H204" s="8" t="s">
        <v>579</v>
      </c>
      <c r="I204" t="s">
        <v>654</v>
      </c>
      <c r="K204">
        <v>1</v>
      </c>
      <c r="N204" s="20">
        <v>1</v>
      </c>
      <c r="O204">
        <v>3.9045000000000001</v>
      </c>
      <c r="P204">
        <v>3.9045000000000001</v>
      </c>
      <c r="Q204">
        <v>21.652100000000001</v>
      </c>
      <c r="R204" t="s">
        <v>516</v>
      </c>
      <c r="T204" s="20">
        <v>11.30538971</v>
      </c>
      <c r="U204" s="20">
        <v>11.30538971</v>
      </c>
      <c r="V204" s="20">
        <v>11.30538971</v>
      </c>
      <c r="W204">
        <v>1</v>
      </c>
      <c r="Z204">
        <v>4.2</v>
      </c>
      <c r="AA204" s="1"/>
      <c r="AO204">
        <v>14</v>
      </c>
      <c r="AP204" s="20">
        <v>169.7295487154349</v>
      </c>
      <c r="AQ204" s="20">
        <v>8.248416440128592E-2</v>
      </c>
      <c r="AR204" s="23">
        <v>1.7272727272727271</v>
      </c>
      <c r="AS204" s="23">
        <v>2.545454545454545</v>
      </c>
      <c r="AT204" s="23">
        <v>1.7272727272727271</v>
      </c>
      <c r="AU204" s="23">
        <v>0</v>
      </c>
      <c r="AV204" s="23">
        <v>0.2878787878787879</v>
      </c>
      <c r="AW204" s="23">
        <v>0.42424242424242431</v>
      </c>
      <c r="AX204" s="23">
        <v>0.2878787878787879</v>
      </c>
      <c r="AY204" s="23">
        <v>0</v>
      </c>
      <c r="AZ204" s="20">
        <v>1.1000000000000001</v>
      </c>
      <c r="BA204" s="20">
        <v>3.44</v>
      </c>
      <c r="BB204" s="20">
        <v>2.34</v>
      </c>
      <c r="BC204" s="20">
        <v>2.7554545454545449</v>
      </c>
      <c r="BD204">
        <v>2.7554545454545449</v>
      </c>
      <c r="BE204">
        <v>6.1782631499999994</v>
      </c>
    </row>
    <row r="205" spans="1:57" x14ac:dyDescent="0.3">
      <c r="A205" t="s">
        <v>5</v>
      </c>
      <c r="B205" s="12" t="s">
        <v>690</v>
      </c>
      <c r="C205" s="12"/>
      <c r="F205">
        <v>3.5</v>
      </c>
      <c r="G205" t="s">
        <v>176</v>
      </c>
      <c r="H205" s="8" t="s">
        <v>528</v>
      </c>
      <c r="I205" t="s">
        <v>610</v>
      </c>
      <c r="K205">
        <v>1</v>
      </c>
      <c r="N205" s="20">
        <v>1</v>
      </c>
      <c r="O205">
        <v>3.8650000000000002</v>
      </c>
      <c r="P205">
        <v>3.8650000000000002</v>
      </c>
      <c r="Q205">
        <v>14.974299999999999</v>
      </c>
      <c r="R205" t="s">
        <v>439</v>
      </c>
      <c r="T205" s="20">
        <v>3.9661010000000001</v>
      </c>
      <c r="U205" s="20">
        <v>3.9661010000000001</v>
      </c>
      <c r="V205" s="20">
        <v>15.283337</v>
      </c>
      <c r="W205">
        <v>1</v>
      </c>
      <c r="Z205">
        <v>1.9</v>
      </c>
      <c r="AA205" s="1"/>
      <c r="AF205">
        <v>1</v>
      </c>
      <c r="AG205">
        <v>1</v>
      </c>
      <c r="AI205">
        <v>1</v>
      </c>
      <c r="AO205">
        <v>20</v>
      </c>
      <c r="AP205" s="20">
        <v>240.40623599981481</v>
      </c>
      <c r="AQ205" s="20">
        <v>8.3192517518619641E-2</v>
      </c>
      <c r="AR205" s="23">
        <v>1.75</v>
      </c>
      <c r="AS205" s="23">
        <v>2.5</v>
      </c>
      <c r="AT205" s="23">
        <v>0.75</v>
      </c>
      <c r="AU205" s="23">
        <v>0</v>
      </c>
      <c r="AV205" s="23">
        <v>0.35</v>
      </c>
      <c r="AW205" s="23">
        <v>0.5</v>
      </c>
      <c r="AX205" s="23">
        <v>0.15</v>
      </c>
      <c r="AY205" s="23">
        <v>0</v>
      </c>
      <c r="AZ205" s="20">
        <v>0.82</v>
      </c>
      <c r="BA205" s="20">
        <v>3.44</v>
      </c>
      <c r="BB205" s="20">
        <v>2.62</v>
      </c>
      <c r="BC205" s="20">
        <v>2.6262500000000002</v>
      </c>
      <c r="BD205">
        <v>2.6262500000000002</v>
      </c>
      <c r="BE205">
        <v>5.9612134765624996</v>
      </c>
    </row>
    <row r="206" spans="1:57" s="4" customFormat="1" x14ac:dyDescent="0.3">
      <c r="A206" s="4" t="s">
        <v>177</v>
      </c>
      <c r="B206" s="29" t="s">
        <v>793</v>
      </c>
      <c r="C206" s="29"/>
      <c r="F206" s="4">
        <v>2.65</v>
      </c>
      <c r="G206" s="4" t="s">
        <v>176</v>
      </c>
      <c r="H206" s="30">
        <v>-2</v>
      </c>
      <c r="I206" s="4">
        <v>-1</v>
      </c>
      <c r="K206" s="4">
        <v>1</v>
      </c>
      <c r="N206" s="31">
        <v>0</v>
      </c>
      <c r="T206" s="31">
        <v>0</v>
      </c>
      <c r="U206" s="31"/>
      <c r="V206" s="31"/>
      <c r="W206" s="4">
        <v>1</v>
      </c>
      <c r="Z206" s="4">
        <v>2.1</v>
      </c>
      <c r="AA206" s="4">
        <v>2030</v>
      </c>
      <c r="AF206" s="4">
        <v>1</v>
      </c>
      <c r="AG206" s="4">
        <v>1</v>
      </c>
      <c r="AI206" s="4">
        <v>1</v>
      </c>
      <c r="AO206" s="4">
        <v>20</v>
      </c>
      <c r="AP206" s="31">
        <v>0</v>
      </c>
      <c r="AQ206" s="31"/>
      <c r="AR206" s="4">
        <v>1.75</v>
      </c>
      <c r="AS206" s="4">
        <v>2.5</v>
      </c>
      <c r="AT206" s="4">
        <v>1.375</v>
      </c>
      <c r="AU206" s="4">
        <v>0</v>
      </c>
      <c r="AV206" s="4">
        <v>0.31111111111111112</v>
      </c>
      <c r="AW206" s="4">
        <v>0.44444444444444442</v>
      </c>
      <c r="AX206" s="4">
        <v>0.24444444444444441</v>
      </c>
      <c r="AY206" s="4">
        <v>0</v>
      </c>
      <c r="AZ206" s="31">
        <v>1</v>
      </c>
      <c r="BA206" s="31">
        <v>3.44</v>
      </c>
      <c r="BB206" s="31">
        <v>2.44</v>
      </c>
      <c r="BC206" s="31">
        <v>2.6956250000000002</v>
      </c>
      <c r="BD206" s="4">
        <v>2.6956250000000002</v>
      </c>
      <c r="BE206" s="4">
        <v>6.0930154356250004</v>
      </c>
    </row>
    <row r="207" spans="1:57" x14ac:dyDescent="0.3">
      <c r="A207" t="s">
        <v>178</v>
      </c>
      <c r="B207" s="12" t="s">
        <v>794</v>
      </c>
      <c r="C207" s="12"/>
      <c r="F207">
        <v>3.1</v>
      </c>
      <c r="G207" t="s">
        <v>176</v>
      </c>
      <c r="H207" s="8" t="s">
        <v>580</v>
      </c>
      <c r="I207" t="s">
        <v>655</v>
      </c>
      <c r="K207">
        <v>1</v>
      </c>
      <c r="N207" s="20">
        <v>1</v>
      </c>
      <c r="O207">
        <v>3.9007999999999998</v>
      </c>
      <c r="P207">
        <v>3.9007999999999998</v>
      </c>
      <c r="Q207">
        <v>15.317</v>
      </c>
      <c r="R207" t="s">
        <v>439</v>
      </c>
      <c r="T207" s="20">
        <v>3.9860820000000001</v>
      </c>
      <c r="U207" s="20">
        <v>3.9860820000000001</v>
      </c>
      <c r="V207" s="20">
        <v>15.440419</v>
      </c>
      <c r="W207">
        <v>1</v>
      </c>
      <c r="Z207">
        <v>2.7</v>
      </c>
      <c r="AF207">
        <v>1</v>
      </c>
      <c r="AG207">
        <v>1</v>
      </c>
      <c r="AI207">
        <v>1</v>
      </c>
      <c r="AO207">
        <v>20</v>
      </c>
      <c r="AP207" s="20">
        <v>245.33049696160739</v>
      </c>
      <c r="AQ207" s="20">
        <v>8.1522681638434333E-2</v>
      </c>
      <c r="AR207" s="23">
        <v>1.75</v>
      </c>
      <c r="AS207" s="23">
        <v>2.5</v>
      </c>
      <c r="AT207" s="23">
        <v>0.75</v>
      </c>
      <c r="AU207" s="23">
        <v>0</v>
      </c>
      <c r="AV207" s="23">
        <v>0.35</v>
      </c>
      <c r="AW207" s="23">
        <v>0.5</v>
      </c>
      <c r="AX207" s="23">
        <v>0.15</v>
      </c>
      <c r="AY207" s="23">
        <v>0</v>
      </c>
      <c r="AZ207" s="20">
        <v>0.82</v>
      </c>
      <c r="BA207" s="20">
        <v>3.44</v>
      </c>
      <c r="BB207" s="20">
        <v>2.62</v>
      </c>
      <c r="BC207" s="20">
        <v>2.62</v>
      </c>
      <c r="BD207">
        <v>2.62</v>
      </c>
      <c r="BE207">
        <v>5.9367901628125006</v>
      </c>
    </row>
    <row r="208" spans="1:57" s="4" customFormat="1" x14ac:dyDescent="0.3">
      <c r="A208" s="4" t="s">
        <v>179</v>
      </c>
      <c r="B208" s="29" t="s">
        <v>795</v>
      </c>
      <c r="C208" s="29"/>
      <c r="F208" s="4">
        <v>2.66</v>
      </c>
      <c r="G208" s="4" t="s">
        <v>176</v>
      </c>
      <c r="H208" s="30">
        <v>-2</v>
      </c>
      <c r="I208" s="4">
        <v>-1</v>
      </c>
      <c r="K208" s="4">
        <v>1</v>
      </c>
      <c r="N208" s="31">
        <v>0</v>
      </c>
      <c r="T208" s="31">
        <v>0</v>
      </c>
      <c r="U208" s="31"/>
      <c r="V208" s="31"/>
      <c r="W208" s="4">
        <v>1</v>
      </c>
      <c r="Z208" s="4">
        <v>3</v>
      </c>
      <c r="AA208" s="4">
        <v>1256</v>
      </c>
      <c r="AF208" s="4">
        <v>1</v>
      </c>
      <c r="AG208" s="4">
        <v>1</v>
      </c>
      <c r="AI208" s="4">
        <v>1</v>
      </c>
      <c r="AO208" s="4">
        <v>20</v>
      </c>
      <c r="AP208" s="31">
        <v>0</v>
      </c>
      <c r="AQ208" s="31"/>
      <c r="AR208" s="4">
        <v>1.75</v>
      </c>
      <c r="AS208" s="4">
        <v>2.5</v>
      </c>
      <c r="AT208" s="4">
        <v>1.375</v>
      </c>
      <c r="AU208" s="4">
        <v>0</v>
      </c>
      <c r="AV208" s="4">
        <v>0.31111111111111112</v>
      </c>
      <c r="AW208" s="4">
        <v>0.44444444444444442</v>
      </c>
      <c r="AX208" s="4">
        <v>0.24444444444444441</v>
      </c>
      <c r="AY208" s="4">
        <v>0</v>
      </c>
      <c r="AZ208" s="31">
        <v>0.95</v>
      </c>
      <c r="BA208" s="31">
        <v>3.44</v>
      </c>
      <c r="BB208" s="31">
        <v>2.4900000000000002</v>
      </c>
      <c r="BC208" s="31">
        <v>2.6893750000000001</v>
      </c>
      <c r="BD208" s="4">
        <v>2.6893750000000001</v>
      </c>
      <c r="BE208" s="4">
        <v>6.0685921218750014</v>
      </c>
    </row>
    <row r="209" spans="1:57" x14ac:dyDescent="0.3">
      <c r="A209" t="s">
        <v>180</v>
      </c>
      <c r="B209" s="12" t="s">
        <v>796</v>
      </c>
      <c r="C209" s="12"/>
      <c r="F209">
        <v>3.6</v>
      </c>
      <c r="G209" t="s">
        <v>176</v>
      </c>
      <c r="H209" s="8">
        <v>-1</v>
      </c>
      <c r="I209">
        <v>-1</v>
      </c>
      <c r="K209">
        <v>1</v>
      </c>
      <c r="N209" s="20">
        <v>0</v>
      </c>
      <c r="O209">
        <v>3.9287999999999998</v>
      </c>
      <c r="P209">
        <v>3.9287999999999998</v>
      </c>
      <c r="Q209">
        <v>30.2698</v>
      </c>
      <c r="R209" t="s">
        <v>439</v>
      </c>
      <c r="T209" s="20">
        <v>0</v>
      </c>
      <c r="U209" s="20"/>
      <c r="V209" s="20"/>
      <c r="W209">
        <v>1</v>
      </c>
      <c r="Z209">
        <v>2.2999999999999998</v>
      </c>
      <c r="AF209">
        <v>1</v>
      </c>
      <c r="AG209">
        <v>1</v>
      </c>
      <c r="AI209">
        <v>1</v>
      </c>
      <c r="AO209">
        <v>20</v>
      </c>
      <c r="AP209" s="20">
        <v>0</v>
      </c>
      <c r="AQ209" s="20"/>
      <c r="AR209" s="23">
        <v>1.882352941176471</v>
      </c>
      <c r="AS209" s="23">
        <v>2.3529411764705879</v>
      </c>
      <c r="AT209" s="23">
        <v>0.47058823529411759</v>
      </c>
      <c r="AU209" s="23">
        <v>0</v>
      </c>
      <c r="AV209" s="23">
        <v>0.4</v>
      </c>
      <c r="AW209" s="23">
        <v>0.5</v>
      </c>
      <c r="AX209" s="23">
        <v>9.9999999999999992E-2</v>
      </c>
      <c r="AY209" s="23">
        <v>0</v>
      </c>
      <c r="AZ209" s="20">
        <v>0.82</v>
      </c>
      <c r="BA209" s="20">
        <v>3.44</v>
      </c>
      <c r="BB209" s="20">
        <v>2.62</v>
      </c>
      <c r="BC209" s="20">
        <v>2.5211764705882351</v>
      </c>
      <c r="BD209">
        <v>2.521176470588236</v>
      </c>
      <c r="BE209">
        <v>5.6793405594117647</v>
      </c>
    </row>
    <row r="210" spans="1:57" x14ac:dyDescent="0.3">
      <c r="A210" t="s">
        <v>181</v>
      </c>
      <c r="B210" s="12" t="s">
        <v>797</v>
      </c>
      <c r="C210" s="12"/>
      <c r="F210">
        <v>2.4</v>
      </c>
      <c r="G210" t="s">
        <v>176</v>
      </c>
      <c r="H210" s="8" t="s">
        <v>581</v>
      </c>
      <c r="I210" t="s">
        <v>656</v>
      </c>
      <c r="K210">
        <v>1</v>
      </c>
      <c r="N210" s="20">
        <v>1</v>
      </c>
      <c r="O210">
        <v>3.8313999999999999</v>
      </c>
      <c r="P210">
        <v>3.8313999999999999</v>
      </c>
      <c r="Q210">
        <v>28.871400000000001</v>
      </c>
      <c r="R210" t="s">
        <v>440</v>
      </c>
      <c r="T210" s="20">
        <v>14.88329339</v>
      </c>
      <c r="U210" s="20">
        <v>14.88329339</v>
      </c>
      <c r="V210" s="20">
        <v>14.88329339</v>
      </c>
      <c r="W210">
        <v>1</v>
      </c>
      <c r="Z210">
        <v>3.1</v>
      </c>
      <c r="AA210">
        <v>230</v>
      </c>
      <c r="AF210">
        <v>1</v>
      </c>
      <c r="AG210">
        <v>1</v>
      </c>
      <c r="AI210">
        <v>1</v>
      </c>
      <c r="AO210">
        <v>20</v>
      </c>
      <c r="AP210" s="20">
        <v>218.43262216091571</v>
      </c>
      <c r="AQ210" s="20">
        <v>9.1561415150097566E-2</v>
      </c>
      <c r="AR210" s="23">
        <v>1.882352941176471</v>
      </c>
      <c r="AS210" s="23">
        <v>2.3529411764705879</v>
      </c>
      <c r="AT210" s="23">
        <v>1.6470588235294119</v>
      </c>
      <c r="AU210" s="23">
        <v>0</v>
      </c>
      <c r="AV210" s="23">
        <v>0.32</v>
      </c>
      <c r="AW210" s="23">
        <v>0.4</v>
      </c>
      <c r="AX210" s="23">
        <v>0.28000000000000003</v>
      </c>
      <c r="AY210" s="23">
        <v>0</v>
      </c>
      <c r="AZ210" s="20">
        <v>1.1000000000000001</v>
      </c>
      <c r="BA210" s="20">
        <v>3.44</v>
      </c>
      <c r="BB210" s="20">
        <v>2.34</v>
      </c>
      <c r="BC210" s="20">
        <v>2.651764705882353</v>
      </c>
      <c r="BD210">
        <v>2.651764705882353</v>
      </c>
      <c r="BE210">
        <v>5.9274383647058819</v>
      </c>
    </row>
    <row r="211" spans="1:57" x14ac:dyDescent="0.3">
      <c r="A211" t="s">
        <v>175</v>
      </c>
      <c r="B211" s="16" t="s">
        <v>792</v>
      </c>
      <c r="C211" s="12"/>
      <c r="D211" t="s">
        <v>863</v>
      </c>
      <c r="E211">
        <v>1</v>
      </c>
      <c r="F211">
        <v>3.15</v>
      </c>
      <c r="G211" t="s">
        <v>176</v>
      </c>
      <c r="H211" s="8" t="s">
        <v>579</v>
      </c>
      <c r="I211" t="s">
        <v>654</v>
      </c>
      <c r="K211">
        <v>1</v>
      </c>
      <c r="N211" s="20">
        <v>1</v>
      </c>
      <c r="O211">
        <v>7.7803000000000004</v>
      </c>
      <c r="P211">
        <v>7.7803000000000004</v>
      </c>
      <c r="Q211">
        <v>42.569200000000002</v>
      </c>
      <c r="R211" t="s">
        <v>516</v>
      </c>
      <c r="T211" s="20">
        <v>11.30538971</v>
      </c>
      <c r="U211" s="20">
        <v>11.30538971</v>
      </c>
      <c r="V211" s="20">
        <v>11.30538971</v>
      </c>
      <c r="W211"/>
      <c r="AA211">
        <v>1445</v>
      </c>
      <c r="AO211">
        <v>14</v>
      </c>
      <c r="AP211" s="20">
        <v>169.7295487154349</v>
      </c>
      <c r="AQ211" s="20">
        <v>8.248416440128592E-2</v>
      </c>
      <c r="AR211" s="23">
        <v>1.7272727272727271</v>
      </c>
      <c r="AS211" s="23">
        <v>2.545454545454545</v>
      </c>
      <c r="AT211" s="23">
        <v>1.7272727272727271</v>
      </c>
      <c r="AU211" s="23">
        <v>0</v>
      </c>
      <c r="AV211" s="23">
        <v>0.2878787878787879</v>
      </c>
      <c r="AW211" s="23">
        <v>0.42424242424242431</v>
      </c>
      <c r="AX211" s="23">
        <v>0.2878787878787879</v>
      </c>
      <c r="AY211" s="23">
        <v>0</v>
      </c>
      <c r="AZ211" s="20">
        <v>1.1000000000000001</v>
      </c>
      <c r="BA211" s="20">
        <v>3.44</v>
      </c>
      <c r="BB211" s="20">
        <v>2.34</v>
      </c>
      <c r="BC211" s="20">
        <v>2.7554545454545449</v>
      </c>
      <c r="BD211">
        <v>2.7554545454545449</v>
      </c>
      <c r="BE211">
        <v>6.1782631499999994</v>
      </c>
    </row>
    <row r="212" spans="1:57" x14ac:dyDescent="0.3">
      <c r="A212" t="s">
        <v>177</v>
      </c>
      <c r="B212" s="16" t="s">
        <v>793</v>
      </c>
      <c r="C212" s="12"/>
      <c r="D212" t="s">
        <v>863</v>
      </c>
      <c r="E212">
        <v>1</v>
      </c>
      <c r="F212">
        <v>3.14</v>
      </c>
      <c r="G212" t="s">
        <v>176</v>
      </c>
      <c r="H212" s="8">
        <v>-1</v>
      </c>
      <c r="I212">
        <v>-1</v>
      </c>
      <c r="K212">
        <v>1</v>
      </c>
      <c r="N212" s="20">
        <v>0</v>
      </c>
      <c r="O212">
        <v>3.84</v>
      </c>
      <c r="P212">
        <v>3.84</v>
      </c>
      <c r="Q212">
        <v>15.007</v>
      </c>
      <c r="T212" s="20">
        <v>0</v>
      </c>
      <c r="U212" s="20"/>
      <c r="V212" s="20"/>
      <c r="W212"/>
      <c r="AA212">
        <v>13616</v>
      </c>
      <c r="AO212">
        <v>20</v>
      </c>
      <c r="AP212" s="20">
        <v>0</v>
      </c>
      <c r="AQ212" s="20"/>
      <c r="AR212" s="23">
        <v>1.75</v>
      </c>
      <c r="AS212" s="23">
        <v>2.5</v>
      </c>
      <c r="AT212" s="23">
        <v>1.375</v>
      </c>
      <c r="AU212" s="23">
        <v>0</v>
      </c>
      <c r="AV212" s="23">
        <v>0.31111111111111112</v>
      </c>
      <c r="AW212" s="23">
        <v>0.44444444444444442</v>
      </c>
      <c r="AX212" s="23">
        <v>0.24444444444444441</v>
      </c>
      <c r="AY212" s="23">
        <v>0</v>
      </c>
      <c r="AZ212" s="20">
        <v>1</v>
      </c>
      <c r="BA212" s="20">
        <v>3.44</v>
      </c>
      <c r="BB212" s="20">
        <v>2.44</v>
      </c>
      <c r="BC212" s="20">
        <v>2.6956250000000002</v>
      </c>
      <c r="BD212">
        <v>2.6956250000000002</v>
      </c>
      <c r="BE212">
        <v>6.0930154356250004</v>
      </c>
    </row>
    <row r="213" spans="1:57" s="4" customFormat="1" x14ac:dyDescent="0.3">
      <c r="A213" s="4" t="s">
        <v>179</v>
      </c>
      <c r="B213" s="36" t="s">
        <v>795</v>
      </c>
      <c r="C213" s="29"/>
      <c r="D213" s="4" t="s">
        <v>863</v>
      </c>
      <c r="E213" s="4">
        <v>1</v>
      </c>
      <c r="F213" s="4">
        <v>3.22</v>
      </c>
      <c r="G213" s="4" t="s">
        <v>176</v>
      </c>
      <c r="H213" s="30">
        <v>-2</v>
      </c>
      <c r="I213" s="4">
        <v>-1</v>
      </c>
      <c r="K213" s="4">
        <v>1</v>
      </c>
      <c r="N213" s="31">
        <v>0</v>
      </c>
      <c r="T213" s="31">
        <v>0</v>
      </c>
      <c r="U213" s="31"/>
      <c r="V213" s="31"/>
      <c r="AA213" s="4">
        <v>3265</v>
      </c>
      <c r="AO213" s="4">
        <v>20</v>
      </c>
      <c r="AP213" s="31">
        <v>0</v>
      </c>
      <c r="AQ213" s="31"/>
      <c r="AR213" s="4">
        <v>1.75</v>
      </c>
      <c r="AS213" s="4">
        <v>2.5</v>
      </c>
      <c r="AT213" s="4">
        <v>1.375</v>
      </c>
      <c r="AU213" s="4">
        <v>0</v>
      </c>
      <c r="AV213" s="4">
        <v>0.31111111111111112</v>
      </c>
      <c r="AW213" s="4">
        <v>0.44444444444444442</v>
      </c>
      <c r="AX213" s="4">
        <v>0.24444444444444441</v>
      </c>
      <c r="AY213" s="4">
        <v>0</v>
      </c>
      <c r="AZ213" s="31">
        <v>0.95</v>
      </c>
      <c r="BA213" s="31">
        <v>3.44</v>
      </c>
      <c r="BB213" s="31">
        <v>2.4900000000000002</v>
      </c>
      <c r="BC213" s="31">
        <v>2.6893750000000001</v>
      </c>
      <c r="BD213" s="4">
        <v>2.6893750000000001</v>
      </c>
      <c r="BE213" s="4">
        <v>6.0685921218750014</v>
      </c>
    </row>
    <row r="214" spans="1:57" x14ac:dyDescent="0.3">
      <c r="A214" t="s">
        <v>181</v>
      </c>
      <c r="B214" s="16" t="s">
        <v>797</v>
      </c>
      <c r="C214" s="12"/>
      <c r="D214" t="s">
        <v>863</v>
      </c>
      <c r="E214">
        <v>1</v>
      </c>
      <c r="F214">
        <v>3.42</v>
      </c>
      <c r="G214" t="s">
        <v>176</v>
      </c>
      <c r="H214" s="8" t="s">
        <v>581</v>
      </c>
      <c r="I214" t="s">
        <v>656</v>
      </c>
      <c r="K214">
        <v>1</v>
      </c>
      <c r="N214" s="20">
        <v>1</v>
      </c>
      <c r="O214">
        <v>7.7803000000000004</v>
      </c>
      <c r="P214">
        <v>7.7803000000000004</v>
      </c>
      <c r="Q214">
        <v>42.569200000000002</v>
      </c>
      <c r="R214" t="s">
        <v>516</v>
      </c>
      <c r="T214" s="20">
        <v>14.88329339</v>
      </c>
      <c r="U214" s="20">
        <v>14.88329339</v>
      </c>
      <c r="V214" s="20">
        <v>14.88329339</v>
      </c>
      <c r="W214"/>
      <c r="AA214">
        <v>763</v>
      </c>
      <c r="AO214">
        <v>20</v>
      </c>
      <c r="AP214" s="20">
        <v>218.43262216091571</v>
      </c>
      <c r="AQ214" s="20">
        <v>9.1561415150097566E-2</v>
      </c>
      <c r="AR214" s="23">
        <v>1.882352941176471</v>
      </c>
      <c r="AS214" s="23">
        <v>2.3529411764705879</v>
      </c>
      <c r="AT214" s="23">
        <v>1.6470588235294119</v>
      </c>
      <c r="AU214" s="23">
        <v>0</v>
      </c>
      <c r="AV214" s="23">
        <v>0.32</v>
      </c>
      <c r="AW214" s="23">
        <v>0.4</v>
      </c>
      <c r="AX214" s="23">
        <v>0.28000000000000003</v>
      </c>
      <c r="AY214" s="23">
        <v>0</v>
      </c>
      <c r="AZ214" s="20">
        <v>1.1000000000000001</v>
      </c>
      <c r="BA214" s="20">
        <v>3.44</v>
      </c>
      <c r="BB214" s="20">
        <v>2.34</v>
      </c>
      <c r="BC214" s="20">
        <v>2.651764705882353</v>
      </c>
      <c r="BD214">
        <v>2.651764705882353</v>
      </c>
      <c r="BE214">
        <v>5.9274383647058819</v>
      </c>
    </row>
    <row r="215" spans="1:57" x14ac:dyDescent="0.3">
      <c r="A215" t="s">
        <v>38</v>
      </c>
      <c r="B215" s="12" t="s">
        <v>714</v>
      </c>
      <c r="C215" s="12"/>
      <c r="F215">
        <v>3.9</v>
      </c>
      <c r="G215" t="s">
        <v>182</v>
      </c>
      <c r="H215" s="8" t="s">
        <v>545</v>
      </c>
      <c r="I215" t="s">
        <v>626</v>
      </c>
      <c r="K215">
        <v>1</v>
      </c>
      <c r="N215" s="20">
        <v>1</v>
      </c>
      <c r="O215"/>
      <c r="P215"/>
      <c r="Q215"/>
      <c r="T215" s="20">
        <v>5.8532381300000003</v>
      </c>
      <c r="U215" s="20">
        <v>5.8532371599999999</v>
      </c>
      <c r="V215" s="20">
        <v>11.912811489999999</v>
      </c>
      <c r="W215"/>
      <c r="Z215">
        <v>0.7</v>
      </c>
      <c r="AF215">
        <v>1</v>
      </c>
      <c r="AG215">
        <v>1</v>
      </c>
      <c r="AO215">
        <v>30</v>
      </c>
      <c r="AP215" s="20">
        <v>353.45760058531442</v>
      </c>
      <c r="AQ215" s="20">
        <v>8.487580957467307E-2</v>
      </c>
      <c r="AR215" s="23">
        <v>1.833333333333333</v>
      </c>
      <c r="AS215" s="23">
        <v>2.5</v>
      </c>
      <c r="AT215" s="23">
        <v>0.66666666666666663</v>
      </c>
      <c r="AU215" s="23">
        <v>0</v>
      </c>
      <c r="AV215" s="23">
        <v>0.36666666666666659</v>
      </c>
      <c r="AW215" s="23">
        <v>0.5</v>
      </c>
      <c r="AX215" s="23">
        <v>0.1333333333333333</v>
      </c>
      <c r="AY215" s="23">
        <v>0</v>
      </c>
      <c r="AZ215" s="20">
        <v>0.89</v>
      </c>
      <c r="BA215" s="20">
        <v>3.44</v>
      </c>
      <c r="BB215" s="20">
        <v>2.5499999999999998</v>
      </c>
      <c r="BC215" s="20">
        <v>2.6020833333333329</v>
      </c>
      <c r="BD215">
        <v>2.6020833333333329</v>
      </c>
      <c r="BE215">
        <v>5.9098726145833336</v>
      </c>
    </row>
    <row r="216" spans="1:57" x14ac:dyDescent="0.3">
      <c r="A216" t="s">
        <v>48</v>
      </c>
      <c r="B216" s="12" t="s">
        <v>724</v>
      </c>
      <c r="C216" s="12"/>
      <c r="F216">
        <v>4.3</v>
      </c>
      <c r="G216" t="s">
        <v>183</v>
      </c>
      <c r="H216" s="8" t="s">
        <v>552</v>
      </c>
      <c r="I216" t="s">
        <v>630</v>
      </c>
      <c r="K216">
        <v>1</v>
      </c>
      <c r="N216" s="20">
        <v>2</v>
      </c>
      <c r="O216"/>
      <c r="P216"/>
      <c r="Q216"/>
      <c r="T216" s="20">
        <v>7.4836094600000003</v>
      </c>
      <c r="U216" s="20">
        <v>7.4836094600000003</v>
      </c>
      <c r="V216" s="20">
        <v>7.4836094600000003</v>
      </c>
      <c r="W216"/>
      <c r="Z216">
        <v>4.2</v>
      </c>
      <c r="AA216">
        <v>1</v>
      </c>
      <c r="AO216">
        <v>14</v>
      </c>
      <c r="AP216" s="20">
        <v>296.35915518228359</v>
      </c>
      <c r="AQ216" s="20">
        <v>9.4479956196318104E-2</v>
      </c>
      <c r="AR216" s="23">
        <v>1.8181818181818179</v>
      </c>
      <c r="AS216" s="23">
        <v>2.545454545454545</v>
      </c>
      <c r="AT216" s="23">
        <v>0.72727272727272729</v>
      </c>
      <c r="AU216" s="23">
        <v>0</v>
      </c>
      <c r="AV216" s="23">
        <v>0.35714285714285721</v>
      </c>
      <c r="AW216" s="23">
        <v>0.5</v>
      </c>
      <c r="AX216" s="23">
        <v>0.1428571428571429</v>
      </c>
      <c r="AY216" s="23">
        <v>0</v>
      </c>
      <c r="AZ216" s="20">
        <v>1</v>
      </c>
      <c r="BA216" s="20">
        <v>3.44</v>
      </c>
      <c r="BB216" s="20">
        <v>2.44</v>
      </c>
      <c r="BC216" s="20">
        <v>2.6618181818181821</v>
      </c>
      <c r="BD216">
        <v>2.6618181818181821</v>
      </c>
      <c r="BE216">
        <v>6.0537295018181814</v>
      </c>
    </row>
    <row r="217" spans="1:57" x14ac:dyDescent="0.3">
      <c r="A217" t="s">
        <v>49</v>
      </c>
      <c r="B217" s="12" t="s">
        <v>725</v>
      </c>
      <c r="C217" s="12"/>
      <c r="F217">
        <v>4.0999999999999996</v>
      </c>
      <c r="G217" t="s">
        <v>183</v>
      </c>
      <c r="H217" s="8" t="s">
        <v>553</v>
      </c>
      <c r="I217" t="s">
        <v>631</v>
      </c>
      <c r="K217">
        <v>1</v>
      </c>
      <c r="N217" s="20">
        <v>8</v>
      </c>
      <c r="O217"/>
      <c r="P217"/>
      <c r="Q217"/>
      <c r="T217" s="20">
        <v>5.8017180100000001</v>
      </c>
      <c r="U217" s="20">
        <v>7.9756520899999996</v>
      </c>
      <c r="V217" s="20">
        <v>27.352093400000001</v>
      </c>
      <c r="W217"/>
      <c r="Z217">
        <v>5.0999999999999996</v>
      </c>
      <c r="AA217">
        <v>1</v>
      </c>
      <c r="AO217">
        <v>14</v>
      </c>
      <c r="AP217" s="20">
        <v>1265.6493143942739</v>
      </c>
      <c r="AQ217" s="20">
        <v>8.8492127105210025E-2</v>
      </c>
      <c r="AR217" s="23">
        <v>1.8181818181818179</v>
      </c>
      <c r="AS217" s="23">
        <v>2.545454545454545</v>
      </c>
      <c r="AT217" s="23">
        <v>0.72727272727272729</v>
      </c>
      <c r="AU217" s="23">
        <v>0</v>
      </c>
      <c r="AV217" s="23">
        <v>0.35714285714285721</v>
      </c>
      <c r="AW217" s="23">
        <v>0.5</v>
      </c>
      <c r="AX217" s="23">
        <v>0.1428571428571429</v>
      </c>
      <c r="AY217" s="23">
        <v>0</v>
      </c>
      <c r="AZ217" s="20">
        <v>0.95</v>
      </c>
      <c r="BA217" s="20">
        <v>3.44</v>
      </c>
      <c r="BB217" s="20">
        <v>2.4900000000000002</v>
      </c>
      <c r="BC217" s="20">
        <v>2.6527272727272719</v>
      </c>
      <c r="BD217">
        <v>2.6527272727272728</v>
      </c>
      <c r="BE217">
        <v>6.0182046818181814</v>
      </c>
    </row>
    <row r="218" spans="1:57" x14ac:dyDescent="0.3">
      <c r="A218" t="s">
        <v>46</v>
      </c>
      <c r="B218" s="12" t="s">
        <v>722</v>
      </c>
      <c r="C218" s="12"/>
      <c r="F218">
        <v>3.2</v>
      </c>
      <c r="G218" t="s">
        <v>183</v>
      </c>
      <c r="H218" s="8" t="s">
        <v>551</v>
      </c>
      <c r="I218" t="s">
        <v>629</v>
      </c>
      <c r="K218">
        <v>1</v>
      </c>
      <c r="N218" s="20">
        <v>2</v>
      </c>
      <c r="O218"/>
      <c r="P218"/>
      <c r="Q218"/>
      <c r="T218" s="20">
        <v>7.41544296</v>
      </c>
      <c r="U218" s="20">
        <v>7.4154429599999991</v>
      </c>
      <c r="V218" s="20">
        <v>7.41544296</v>
      </c>
      <c r="W218"/>
      <c r="Z218">
        <v>5.2</v>
      </c>
      <c r="AA218">
        <v>1</v>
      </c>
      <c r="AO218">
        <v>14</v>
      </c>
      <c r="AP218" s="20">
        <v>288.33429290182369</v>
      </c>
      <c r="AQ218" s="20">
        <v>9.7109503410799117E-2</v>
      </c>
      <c r="AR218" s="23">
        <v>2</v>
      </c>
      <c r="AS218" s="23">
        <v>2.545454545454545</v>
      </c>
      <c r="AT218" s="23">
        <v>0.54545454545454541</v>
      </c>
      <c r="AU218" s="23">
        <v>0</v>
      </c>
      <c r="AV218" s="23">
        <v>0.39285714285714279</v>
      </c>
      <c r="AW218" s="23">
        <v>0.5</v>
      </c>
      <c r="AX218" s="23">
        <v>0.1071428571428571</v>
      </c>
      <c r="AY218" s="23">
        <v>0</v>
      </c>
      <c r="AZ218" s="20">
        <v>1.1000000000000001</v>
      </c>
      <c r="BA218" s="20">
        <v>3.44</v>
      </c>
      <c r="BB218" s="20">
        <v>2.34</v>
      </c>
      <c r="BC218" s="20">
        <v>2.669090909090909</v>
      </c>
      <c r="BD218">
        <v>2.669090909090909</v>
      </c>
      <c r="BE218">
        <v>5.9831974772727277</v>
      </c>
    </row>
    <row r="219" spans="1:57" x14ac:dyDescent="0.3">
      <c r="A219" t="s">
        <v>47</v>
      </c>
      <c r="B219" s="12" t="s">
        <v>723</v>
      </c>
      <c r="C219" s="12"/>
      <c r="F219">
        <v>3.8</v>
      </c>
      <c r="G219" t="s">
        <v>183</v>
      </c>
      <c r="H219" s="8">
        <v>-1</v>
      </c>
      <c r="I219">
        <v>-1</v>
      </c>
      <c r="J219" t="s">
        <v>1152</v>
      </c>
      <c r="K219">
        <v>1</v>
      </c>
      <c r="N219" s="20">
        <v>0</v>
      </c>
      <c r="O219"/>
      <c r="P219"/>
      <c r="Q219"/>
      <c r="T219" s="20">
        <v>0</v>
      </c>
      <c r="U219" s="20"/>
      <c r="V219" s="20"/>
      <c r="W219"/>
      <c r="Z219">
        <v>4.9000000000000004</v>
      </c>
      <c r="AA219">
        <v>1</v>
      </c>
      <c r="AO219">
        <v>34</v>
      </c>
      <c r="AP219" s="20">
        <v>0</v>
      </c>
      <c r="AQ219" s="20"/>
      <c r="AR219" s="23">
        <v>2</v>
      </c>
      <c r="AS219" s="23">
        <v>2.518518518518519</v>
      </c>
      <c r="AT219" s="23">
        <v>0.51851851851851849</v>
      </c>
      <c r="AU219" s="23">
        <v>0</v>
      </c>
      <c r="AV219" s="23">
        <v>0.39705882352941169</v>
      </c>
      <c r="AW219" s="23">
        <v>0.5</v>
      </c>
      <c r="AX219" s="23">
        <v>0.1029411764705882</v>
      </c>
      <c r="AY219" s="23">
        <v>0</v>
      </c>
      <c r="AZ219" s="20">
        <v>1</v>
      </c>
      <c r="BA219" s="20">
        <v>3.44</v>
      </c>
      <c r="BB219" s="20">
        <v>2.44</v>
      </c>
      <c r="BC219" s="20">
        <v>2.6511111111111112</v>
      </c>
      <c r="BD219">
        <v>2.6511111111111112</v>
      </c>
      <c r="BE219">
        <v>5.9544359512962952</v>
      </c>
    </row>
    <row r="220" spans="1:57" x14ac:dyDescent="0.3">
      <c r="A220" t="s">
        <v>8</v>
      </c>
      <c r="B220" s="12" t="s">
        <v>694</v>
      </c>
      <c r="C220" s="12"/>
      <c r="F220">
        <v>3.1</v>
      </c>
      <c r="G220" t="s">
        <v>183</v>
      </c>
      <c r="H220" s="8" t="s">
        <v>530</v>
      </c>
      <c r="I220" t="s">
        <v>612</v>
      </c>
      <c r="K220">
        <v>1</v>
      </c>
      <c r="N220" s="20">
        <v>30</v>
      </c>
      <c r="O220"/>
      <c r="P220"/>
      <c r="Q220"/>
      <c r="T220" s="20">
        <v>10.59112378</v>
      </c>
      <c r="U220" s="20">
        <v>10.784736629999999</v>
      </c>
      <c r="V220" s="20">
        <v>10.486176179999999</v>
      </c>
      <c r="W220"/>
      <c r="Z220">
        <v>50</v>
      </c>
      <c r="AA220">
        <v>1</v>
      </c>
      <c r="AO220">
        <v>4</v>
      </c>
      <c r="AP220" s="20">
        <v>1182.741260108548</v>
      </c>
      <c r="AQ220" s="20">
        <v>0.1014592151701775</v>
      </c>
      <c r="AR220" s="23">
        <v>2</v>
      </c>
      <c r="AS220" s="23">
        <v>2.666666666666667</v>
      </c>
      <c r="AT220" s="23">
        <v>0.66666666666666663</v>
      </c>
      <c r="AU220" s="23">
        <v>0</v>
      </c>
      <c r="AV220" s="23">
        <v>0.375</v>
      </c>
      <c r="AW220" s="23">
        <v>0.5</v>
      </c>
      <c r="AX220" s="23">
        <v>0.125</v>
      </c>
      <c r="AY220" s="23">
        <v>0</v>
      </c>
      <c r="AZ220" s="20">
        <v>1.54</v>
      </c>
      <c r="BA220" s="20">
        <v>3.44</v>
      </c>
      <c r="BB220" s="20">
        <v>1.9</v>
      </c>
      <c r="BC220" s="20">
        <v>2.8066666666666671</v>
      </c>
      <c r="BD220">
        <v>2.8066666666666662</v>
      </c>
      <c r="BE220">
        <v>6.1769976</v>
      </c>
    </row>
    <row r="221" spans="1:57" x14ac:dyDescent="0.3">
      <c r="A221" t="s">
        <v>0</v>
      </c>
      <c r="B221" s="12" t="s">
        <v>685</v>
      </c>
      <c r="C221" s="12"/>
      <c r="F221">
        <v>3.3</v>
      </c>
      <c r="G221" t="s">
        <v>183</v>
      </c>
      <c r="H221" s="8" t="s">
        <v>523</v>
      </c>
      <c r="I221" t="s">
        <v>606</v>
      </c>
      <c r="K221">
        <v>1</v>
      </c>
      <c r="N221" s="20">
        <v>4</v>
      </c>
      <c r="O221"/>
      <c r="P221"/>
      <c r="Q221"/>
      <c r="T221" s="20">
        <v>6.6040679999999998</v>
      </c>
      <c r="U221" s="20">
        <v>7.9389519999999996</v>
      </c>
      <c r="V221" s="20">
        <v>33.703336</v>
      </c>
      <c r="W221"/>
      <c r="Z221">
        <v>4.5</v>
      </c>
      <c r="AA221">
        <v>1</v>
      </c>
      <c r="AO221">
        <v>34</v>
      </c>
      <c r="AP221" s="20">
        <v>1767.0449718798691</v>
      </c>
      <c r="AQ221" s="20">
        <v>7.6964651247849417E-2</v>
      </c>
      <c r="AR221" s="23">
        <v>1.62962962962963</v>
      </c>
      <c r="AS221" s="23">
        <v>2.518518518518519</v>
      </c>
      <c r="AT221" s="23">
        <v>0.88888888888888884</v>
      </c>
      <c r="AU221" s="23">
        <v>0</v>
      </c>
      <c r="AV221" s="23">
        <v>0.32352941176470579</v>
      </c>
      <c r="AW221" s="23">
        <v>0.5</v>
      </c>
      <c r="AX221" s="23">
        <v>0.1764705882352941</v>
      </c>
      <c r="AY221" s="23">
        <v>0</v>
      </c>
      <c r="AZ221" s="20">
        <v>0.82</v>
      </c>
      <c r="BA221" s="20">
        <v>3.44</v>
      </c>
      <c r="BB221" s="20">
        <v>2.62</v>
      </c>
      <c r="BC221" s="20">
        <v>2.642962962962963</v>
      </c>
      <c r="BD221">
        <v>2.642962962962963</v>
      </c>
      <c r="BE221">
        <v>5.9587362692592576</v>
      </c>
    </row>
    <row r="222" spans="1:57" s="4" customFormat="1" x14ac:dyDescent="0.3">
      <c r="A222" s="4" t="s">
        <v>184</v>
      </c>
      <c r="B222" s="29" t="s">
        <v>798</v>
      </c>
      <c r="C222" s="29"/>
      <c r="F222" s="4">
        <v>3.5</v>
      </c>
      <c r="G222" s="4" t="s">
        <v>183</v>
      </c>
      <c r="H222" s="30">
        <v>-2</v>
      </c>
      <c r="I222" s="4">
        <v>-1</v>
      </c>
      <c r="K222" s="4">
        <v>1</v>
      </c>
      <c r="N222" s="31">
        <v>0</v>
      </c>
      <c r="T222" s="31">
        <v>0</v>
      </c>
      <c r="U222" s="31"/>
      <c r="V222" s="31"/>
      <c r="Z222" s="4">
        <v>4.2</v>
      </c>
      <c r="AA222" s="4">
        <v>1</v>
      </c>
      <c r="AO222" s="4">
        <v>20</v>
      </c>
      <c r="AP222" s="31">
        <v>0</v>
      </c>
      <c r="AQ222" s="31"/>
      <c r="AR222" s="4">
        <v>1.9375</v>
      </c>
      <c r="AS222" s="4">
        <v>2.5</v>
      </c>
      <c r="AT222" s="4">
        <v>0.5625</v>
      </c>
      <c r="AU222" s="4">
        <v>2.625</v>
      </c>
      <c r="AV222" s="4">
        <v>0.25409836065573771</v>
      </c>
      <c r="AW222" s="4">
        <v>0.32786885245901642</v>
      </c>
      <c r="AX222" s="4">
        <v>7.3770491803278687E-2</v>
      </c>
      <c r="AY222" s="4">
        <v>0.34426229508196721</v>
      </c>
      <c r="AZ222" s="31">
        <v>0.82</v>
      </c>
      <c r="BA222" s="31">
        <v>3.44</v>
      </c>
      <c r="BB222" s="31">
        <v>2.62</v>
      </c>
      <c r="BC222" s="31">
        <v>2.59375</v>
      </c>
      <c r="BD222" s="4">
        <v>2.59375</v>
      </c>
      <c r="BE222" s="4">
        <v>5.9363868768750008</v>
      </c>
    </row>
    <row r="223" spans="1:57" x14ac:dyDescent="0.3">
      <c r="A223" t="s">
        <v>185</v>
      </c>
      <c r="B223" s="12" t="s">
        <v>729</v>
      </c>
      <c r="C223" s="12"/>
      <c r="F223">
        <v>4.55</v>
      </c>
      <c r="G223" t="s">
        <v>192</v>
      </c>
      <c r="H223" s="8" t="s">
        <v>556</v>
      </c>
      <c r="I223" t="s">
        <v>633</v>
      </c>
      <c r="K223">
        <v>1</v>
      </c>
      <c r="N223" s="20">
        <v>2</v>
      </c>
      <c r="O223">
        <v>3.9369999999999998</v>
      </c>
      <c r="P223">
        <v>27.198</v>
      </c>
      <c r="Q223">
        <v>5.6920000000000002</v>
      </c>
      <c r="T223" s="20">
        <v>13.81974189</v>
      </c>
      <c r="U223" s="20">
        <v>13.81974189</v>
      </c>
      <c r="V223" s="20">
        <v>5.7110870199999999</v>
      </c>
      <c r="W223">
        <v>1</v>
      </c>
      <c r="Z223">
        <v>0.9</v>
      </c>
      <c r="AA223">
        <v>1</v>
      </c>
      <c r="AO223">
        <v>14</v>
      </c>
      <c r="AP223" s="20">
        <v>309.44138863753989</v>
      </c>
      <c r="AQ223" s="20">
        <v>9.0485633235046756E-2</v>
      </c>
      <c r="AR223" s="23">
        <v>2</v>
      </c>
      <c r="AS223" s="23">
        <v>2.545454545454545</v>
      </c>
      <c r="AT223" s="23">
        <v>0.54545454545454541</v>
      </c>
      <c r="AU223" s="23">
        <v>2.545454545454545</v>
      </c>
      <c r="AV223" s="23">
        <v>0.26190476190476192</v>
      </c>
      <c r="AW223" s="23">
        <v>0.33333333333333331</v>
      </c>
      <c r="AX223" s="23">
        <v>7.1428571428571425E-2</v>
      </c>
      <c r="AY223" s="23">
        <v>0.33333333333333331</v>
      </c>
      <c r="AZ223" s="20">
        <v>0.95</v>
      </c>
      <c r="BA223" s="20">
        <v>3.44</v>
      </c>
      <c r="BB223" s="20">
        <v>2.4900000000000002</v>
      </c>
      <c r="BC223" s="20">
        <v>2.6345454545454539</v>
      </c>
      <c r="BD223">
        <v>2.6345454545454552</v>
      </c>
      <c r="BE223">
        <v>6.036062318181818</v>
      </c>
    </row>
    <row r="224" spans="1:57" x14ac:dyDescent="0.3">
      <c r="A224" t="s">
        <v>186</v>
      </c>
      <c r="B224" s="16" t="s">
        <v>928</v>
      </c>
      <c r="C224" s="12"/>
      <c r="F224">
        <v>4.43</v>
      </c>
      <c r="G224" t="s">
        <v>192</v>
      </c>
      <c r="H224" s="8">
        <v>-1</v>
      </c>
      <c r="I224">
        <v>-1</v>
      </c>
      <c r="K224">
        <v>1</v>
      </c>
      <c r="N224" s="20">
        <v>0</v>
      </c>
      <c r="O224" s="1">
        <v>3.9369999999999998</v>
      </c>
      <c r="P224" s="1">
        <v>27.198</v>
      </c>
      <c r="Q224" s="1">
        <v>5.6920000000000002</v>
      </c>
      <c r="T224" s="20">
        <v>0</v>
      </c>
      <c r="U224" s="20"/>
      <c r="V224" s="20"/>
      <c r="W224">
        <v>1</v>
      </c>
      <c r="Z224">
        <v>1.2</v>
      </c>
      <c r="AA224">
        <v>1</v>
      </c>
      <c r="AG224">
        <v>1</v>
      </c>
      <c r="AO224">
        <v>14</v>
      </c>
      <c r="AP224" s="20">
        <v>0</v>
      </c>
      <c r="AQ224" s="20"/>
      <c r="AR224" s="23">
        <v>1.9950000000000001</v>
      </c>
      <c r="AS224" s="23">
        <v>2.8</v>
      </c>
      <c r="AT224" s="23">
        <v>0.30499999999999999</v>
      </c>
      <c r="AU224" s="23">
        <v>1.33</v>
      </c>
      <c r="AV224" s="23">
        <v>0.31026438569206838</v>
      </c>
      <c r="AW224" s="23">
        <v>0.43545878693623641</v>
      </c>
      <c r="AX224" s="23">
        <v>4.7433903576982892E-2</v>
      </c>
      <c r="AY224" s="23">
        <v>0.20684292379471231</v>
      </c>
      <c r="AZ224" s="20">
        <v>0.95</v>
      </c>
      <c r="BA224" s="20">
        <v>3.44</v>
      </c>
      <c r="BB224" s="20">
        <v>2.4900000000000002</v>
      </c>
      <c r="BC224" s="20">
        <v>2.7484999999999991</v>
      </c>
      <c r="BD224">
        <v>2.7484999999999999</v>
      </c>
      <c r="BE224">
        <v>6.2455429149999997</v>
      </c>
    </row>
    <row r="225" spans="1:57" x14ac:dyDescent="0.3">
      <c r="A225" t="s">
        <v>866</v>
      </c>
      <c r="B225" s="16" t="s">
        <v>929</v>
      </c>
      <c r="C225" s="12"/>
      <c r="F225">
        <v>4.34</v>
      </c>
      <c r="G225" t="s">
        <v>192</v>
      </c>
      <c r="H225" s="8">
        <v>-1</v>
      </c>
      <c r="I225">
        <v>-1</v>
      </c>
      <c r="K225">
        <v>1</v>
      </c>
      <c r="N225" s="20">
        <v>0</v>
      </c>
      <c r="O225" s="1">
        <v>3.9369999999999998</v>
      </c>
      <c r="P225" s="1">
        <v>27.198</v>
      </c>
      <c r="Q225" s="1">
        <v>5.6920000000000002</v>
      </c>
      <c r="T225" s="20">
        <v>0</v>
      </c>
      <c r="U225" s="20"/>
      <c r="V225" s="20"/>
      <c r="W225">
        <v>1</v>
      </c>
      <c r="Z225">
        <v>1.3</v>
      </c>
      <c r="AA225">
        <v>1</v>
      </c>
      <c r="AG225">
        <v>1</v>
      </c>
      <c r="AO225">
        <v>14</v>
      </c>
      <c r="AP225" s="20">
        <v>0</v>
      </c>
      <c r="AQ225" s="20"/>
      <c r="AR225" s="23">
        <v>1.99</v>
      </c>
      <c r="AS225" s="23">
        <v>2.8</v>
      </c>
      <c r="AT225" s="23">
        <v>0.31</v>
      </c>
      <c r="AU225" s="23">
        <v>1.26</v>
      </c>
      <c r="AV225" s="23">
        <v>0.31289308176100628</v>
      </c>
      <c r="AW225" s="23">
        <v>0.44025157232704398</v>
      </c>
      <c r="AX225" s="23">
        <v>4.874213836477987E-2</v>
      </c>
      <c r="AY225" s="23">
        <v>0.1981132075471698</v>
      </c>
      <c r="AZ225" s="20">
        <v>0.95</v>
      </c>
      <c r="BA225" s="20">
        <v>3.44</v>
      </c>
      <c r="BB225" s="20">
        <v>2.4900000000000002</v>
      </c>
      <c r="BC225" s="20">
        <v>2.7490000000000001</v>
      </c>
      <c r="BD225">
        <v>2.7490000000000001</v>
      </c>
      <c r="BE225">
        <v>6.2450518300000004</v>
      </c>
    </row>
    <row r="226" spans="1:57" x14ac:dyDescent="0.3">
      <c r="A226" t="s">
        <v>187</v>
      </c>
      <c r="B226" s="16" t="s">
        <v>930</v>
      </c>
      <c r="C226" s="12"/>
      <c r="F226">
        <v>4.2699999999999996</v>
      </c>
      <c r="G226" t="s">
        <v>192</v>
      </c>
      <c r="H226" s="8">
        <v>-1</v>
      </c>
      <c r="I226">
        <v>-1</v>
      </c>
      <c r="K226">
        <v>1</v>
      </c>
      <c r="N226" s="20">
        <v>0</v>
      </c>
      <c r="O226" s="1">
        <v>3.9369999999999998</v>
      </c>
      <c r="P226" s="1">
        <v>27.198</v>
      </c>
      <c r="Q226" s="1">
        <v>5.6920000000000002</v>
      </c>
      <c r="T226" s="20">
        <v>0</v>
      </c>
      <c r="U226" s="20"/>
      <c r="V226" s="20"/>
      <c r="W226">
        <v>1</v>
      </c>
      <c r="Z226">
        <v>1</v>
      </c>
      <c r="AA226">
        <v>1</v>
      </c>
      <c r="AG226">
        <v>1</v>
      </c>
      <c r="AO226">
        <v>14</v>
      </c>
      <c r="AP226" s="20">
        <v>0</v>
      </c>
      <c r="AQ226" s="20"/>
      <c r="AR226" s="23">
        <v>1.9850000000000001</v>
      </c>
      <c r="AS226" s="23">
        <v>2.8</v>
      </c>
      <c r="AT226" s="23">
        <v>0.315</v>
      </c>
      <c r="AU226" s="23">
        <v>1.19</v>
      </c>
      <c r="AV226" s="23">
        <v>0.31558028616852152</v>
      </c>
      <c r="AW226" s="23">
        <v>0.4451510333863275</v>
      </c>
      <c r="AX226" s="23">
        <v>5.0079491255961853E-2</v>
      </c>
      <c r="AY226" s="23">
        <v>0.1891891891891892</v>
      </c>
      <c r="AZ226" s="20">
        <v>0.95</v>
      </c>
      <c r="BA226" s="20">
        <v>3.44</v>
      </c>
      <c r="BB226" s="20">
        <v>2.4900000000000002</v>
      </c>
      <c r="BC226" s="20">
        <v>2.7494999999999989</v>
      </c>
      <c r="BD226">
        <v>2.7494999999999998</v>
      </c>
      <c r="BE226">
        <v>6.2445607449999994</v>
      </c>
    </row>
    <row r="227" spans="1:57" x14ac:dyDescent="0.3">
      <c r="A227" t="s">
        <v>188</v>
      </c>
      <c r="B227" s="16" t="s">
        <v>931</v>
      </c>
      <c r="C227" s="12"/>
      <c r="F227">
        <v>4.13</v>
      </c>
      <c r="G227" t="s">
        <v>192</v>
      </c>
      <c r="H227" s="8">
        <v>-1</v>
      </c>
      <c r="I227">
        <v>-1</v>
      </c>
      <c r="K227">
        <v>1</v>
      </c>
      <c r="N227" s="20">
        <v>0</v>
      </c>
      <c r="O227" s="1">
        <v>3.9369999999999998</v>
      </c>
      <c r="P227" s="1">
        <v>27.198</v>
      </c>
      <c r="Q227" s="1">
        <v>5.6920000000000002</v>
      </c>
      <c r="T227" s="20">
        <v>0</v>
      </c>
      <c r="U227" s="20"/>
      <c r="V227" s="20"/>
      <c r="W227">
        <v>1</v>
      </c>
      <c r="Z227">
        <v>1.2</v>
      </c>
      <c r="AA227">
        <v>1</v>
      </c>
      <c r="AG227">
        <v>1</v>
      </c>
      <c r="AO227">
        <v>14</v>
      </c>
      <c r="AP227" s="20">
        <v>0</v>
      </c>
      <c r="AQ227" s="20"/>
      <c r="AR227" s="23">
        <v>1.9750000000000001</v>
      </c>
      <c r="AS227" s="23">
        <v>2.8</v>
      </c>
      <c r="AT227" s="23">
        <v>0.32500000000000001</v>
      </c>
      <c r="AU227" s="23">
        <v>1.05</v>
      </c>
      <c r="AV227" s="23">
        <v>0.32113821138211379</v>
      </c>
      <c r="AW227" s="23">
        <v>0.45528455284552838</v>
      </c>
      <c r="AX227" s="23">
        <v>5.2845528455284549E-2</v>
      </c>
      <c r="AY227" s="23">
        <v>0.17073170731707321</v>
      </c>
      <c r="AZ227" s="20">
        <v>0.95</v>
      </c>
      <c r="BA227" s="20">
        <v>3.44</v>
      </c>
      <c r="BB227" s="20">
        <v>2.4900000000000002</v>
      </c>
      <c r="BC227" s="20">
        <v>2.7505000000000002</v>
      </c>
      <c r="BD227">
        <v>2.7505000000000002</v>
      </c>
      <c r="BE227">
        <v>6.2435785749999999</v>
      </c>
    </row>
    <row r="228" spans="1:57" x14ac:dyDescent="0.3">
      <c r="A228" t="s">
        <v>189</v>
      </c>
      <c r="B228" s="16" t="s">
        <v>932</v>
      </c>
      <c r="C228" s="12"/>
      <c r="F228">
        <v>4.07</v>
      </c>
      <c r="G228" t="s">
        <v>192</v>
      </c>
      <c r="H228" s="8">
        <v>-1</v>
      </c>
      <c r="I228">
        <v>-1</v>
      </c>
      <c r="K228">
        <v>1</v>
      </c>
      <c r="N228" s="20">
        <v>0</v>
      </c>
      <c r="O228" s="1">
        <v>3.9369999999999998</v>
      </c>
      <c r="P228" s="1">
        <v>27.198</v>
      </c>
      <c r="Q228" s="1">
        <v>5.6920000000000002</v>
      </c>
      <c r="T228" s="20">
        <v>0</v>
      </c>
      <c r="U228" s="20"/>
      <c r="V228" s="20"/>
      <c r="W228">
        <v>1</v>
      </c>
      <c r="Z228">
        <v>1</v>
      </c>
      <c r="AA228">
        <v>1</v>
      </c>
      <c r="AG228">
        <v>1</v>
      </c>
      <c r="AO228">
        <v>14</v>
      </c>
      <c r="AP228" s="20">
        <v>0</v>
      </c>
      <c r="AQ228" s="20"/>
      <c r="AR228" s="23">
        <v>1.9650000000000001</v>
      </c>
      <c r="AS228" s="23">
        <v>2.8</v>
      </c>
      <c r="AT228" s="23">
        <v>0.33500000000000002</v>
      </c>
      <c r="AU228" s="23">
        <v>0.90999999999999992</v>
      </c>
      <c r="AV228" s="23">
        <v>0.32695507487520797</v>
      </c>
      <c r="AW228" s="23">
        <v>0.46589018302828622</v>
      </c>
      <c r="AX228" s="23">
        <v>5.5740432612312818E-2</v>
      </c>
      <c r="AY228" s="23">
        <v>0.15141430948419299</v>
      </c>
      <c r="AZ228" s="20">
        <v>0.95</v>
      </c>
      <c r="BA228" s="20">
        <v>3.44</v>
      </c>
      <c r="BB228" s="20">
        <v>2.4900000000000002</v>
      </c>
      <c r="BC228" s="20">
        <v>2.7515000000000001</v>
      </c>
      <c r="BD228">
        <v>2.7515000000000001</v>
      </c>
      <c r="BE228">
        <v>6.2425964049999996</v>
      </c>
    </row>
    <row r="229" spans="1:57" x14ac:dyDescent="0.3">
      <c r="A229" t="s">
        <v>190</v>
      </c>
      <c r="B229" s="16" t="s">
        <v>933</v>
      </c>
      <c r="C229" s="12"/>
      <c r="F229">
        <v>4.03</v>
      </c>
      <c r="G229" t="s">
        <v>192</v>
      </c>
      <c r="H229" s="8">
        <v>-1</v>
      </c>
      <c r="I229">
        <v>-1</v>
      </c>
      <c r="K229">
        <v>1</v>
      </c>
      <c r="N229" s="20">
        <v>0</v>
      </c>
      <c r="O229" s="1">
        <v>3.9369999999999998</v>
      </c>
      <c r="P229" s="1">
        <v>27.198</v>
      </c>
      <c r="Q229" s="1">
        <v>5.6920000000000002</v>
      </c>
      <c r="T229" s="20">
        <v>0</v>
      </c>
      <c r="U229" s="20"/>
      <c r="V229" s="20"/>
      <c r="W229">
        <v>1</v>
      </c>
      <c r="Z229">
        <v>1.2</v>
      </c>
      <c r="AA229">
        <v>1</v>
      </c>
      <c r="AG229">
        <v>1</v>
      </c>
      <c r="AO229">
        <v>14</v>
      </c>
      <c r="AP229" s="20">
        <v>0</v>
      </c>
      <c r="AQ229" s="20"/>
      <c r="AR229" s="23">
        <v>1.95</v>
      </c>
      <c r="AS229" s="23">
        <v>2.8</v>
      </c>
      <c r="AT229" s="23">
        <v>0.35</v>
      </c>
      <c r="AU229" s="23">
        <v>0.7</v>
      </c>
      <c r="AV229" s="23">
        <v>0.33620689655172409</v>
      </c>
      <c r="AW229" s="23">
        <v>0.48275862068965508</v>
      </c>
      <c r="AX229" s="23">
        <v>6.0344827586206892E-2</v>
      </c>
      <c r="AY229" s="23">
        <v>0.1206896551724138</v>
      </c>
      <c r="AZ229" s="20">
        <v>0.95</v>
      </c>
      <c r="BA229" s="20">
        <v>3.44</v>
      </c>
      <c r="BB229" s="20">
        <v>2.4900000000000002</v>
      </c>
      <c r="BC229" s="20">
        <v>2.7530000000000001</v>
      </c>
      <c r="BD229">
        <v>2.7530000000000001</v>
      </c>
      <c r="BE229">
        <v>6.24112315</v>
      </c>
    </row>
    <row r="230" spans="1:57" x14ac:dyDescent="0.3">
      <c r="A230" t="s">
        <v>191</v>
      </c>
      <c r="B230" s="16" t="s">
        <v>934</v>
      </c>
      <c r="C230" s="12"/>
      <c r="F230">
        <v>3.96</v>
      </c>
      <c r="G230" t="s">
        <v>192</v>
      </c>
      <c r="H230" s="8">
        <v>-1</v>
      </c>
      <c r="I230">
        <v>-1</v>
      </c>
      <c r="K230">
        <v>1</v>
      </c>
      <c r="N230" s="20">
        <v>0</v>
      </c>
      <c r="O230" s="1">
        <v>3.9369999999999998</v>
      </c>
      <c r="P230" s="1">
        <v>27.198</v>
      </c>
      <c r="Q230" s="1">
        <v>5.6920000000000002</v>
      </c>
      <c r="T230" s="20">
        <v>0</v>
      </c>
      <c r="U230" s="20"/>
      <c r="V230" s="20"/>
      <c r="W230">
        <v>1</v>
      </c>
      <c r="Z230">
        <v>0.8</v>
      </c>
      <c r="AA230">
        <v>1</v>
      </c>
      <c r="AG230">
        <v>1</v>
      </c>
      <c r="AO230">
        <v>14</v>
      </c>
      <c r="AP230" s="20">
        <v>0</v>
      </c>
      <c r="AQ230" s="20"/>
      <c r="AR230" s="23">
        <v>1.92</v>
      </c>
      <c r="AS230" s="23">
        <v>2.8</v>
      </c>
      <c r="AT230" s="23">
        <v>0.38</v>
      </c>
      <c r="AU230" s="23">
        <v>0.28000000000000003</v>
      </c>
      <c r="AV230" s="23">
        <v>0.35687732342007428</v>
      </c>
      <c r="AW230" s="23">
        <v>0.5204460966542751</v>
      </c>
      <c r="AX230" s="23">
        <v>7.0631970260223054E-2</v>
      </c>
      <c r="AY230" s="23">
        <v>5.2044609665427517E-2</v>
      </c>
      <c r="AZ230" s="20">
        <v>0.95</v>
      </c>
      <c r="BA230" s="20">
        <v>3.44</v>
      </c>
      <c r="BB230" s="20">
        <v>2.4900000000000002</v>
      </c>
      <c r="BC230" s="20">
        <v>2.7559999999999998</v>
      </c>
      <c r="BD230">
        <v>2.7559999999999998</v>
      </c>
      <c r="BE230">
        <v>6.2381766400000007</v>
      </c>
    </row>
    <row r="231" spans="1:57" x14ac:dyDescent="0.3">
      <c r="A231" t="s">
        <v>49</v>
      </c>
      <c r="B231" s="12" t="s">
        <v>725</v>
      </c>
      <c r="C231" s="12"/>
      <c r="F231">
        <v>3.92</v>
      </c>
      <c r="G231" t="s">
        <v>192</v>
      </c>
      <c r="H231" s="8" t="s">
        <v>553</v>
      </c>
      <c r="I231" t="s">
        <v>631</v>
      </c>
      <c r="K231">
        <v>1</v>
      </c>
      <c r="N231" s="20">
        <v>8</v>
      </c>
      <c r="O231">
        <v>3.9329999999999998</v>
      </c>
      <c r="P231">
        <v>26.725999999999999</v>
      </c>
      <c r="Q231">
        <v>5.8630000000000004</v>
      </c>
      <c r="R231" t="s">
        <v>1095</v>
      </c>
      <c r="T231" s="20">
        <v>5.8017180100000001</v>
      </c>
      <c r="U231" s="20">
        <v>7.9756520899999996</v>
      </c>
      <c r="V231" s="20">
        <v>27.352093400000001</v>
      </c>
      <c r="W231">
        <v>1</v>
      </c>
      <c r="Z231">
        <v>0.6</v>
      </c>
      <c r="AA231">
        <v>1</v>
      </c>
      <c r="AG231">
        <v>1</v>
      </c>
      <c r="AO231">
        <v>14</v>
      </c>
      <c r="AP231" s="20">
        <v>1265.6493143942739</v>
      </c>
      <c r="AQ231" s="20">
        <v>8.8492127105210025E-2</v>
      </c>
      <c r="AR231" s="23">
        <v>1.8181818181818179</v>
      </c>
      <c r="AS231" s="23">
        <v>2.545454545454545</v>
      </c>
      <c r="AT231" s="23">
        <v>0.72727272727272729</v>
      </c>
      <c r="AU231" s="23">
        <v>0</v>
      </c>
      <c r="AV231" s="23">
        <v>0.35714285714285721</v>
      </c>
      <c r="AW231" s="23">
        <v>0.5</v>
      </c>
      <c r="AX231" s="23">
        <v>0.1428571428571429</v>
      </c>
      <c r="AY231" s="23">
        <v>0</v>
      </c>
      <c r="AZ231" s="20">
        <v>0.95</v>
      </c>
      <c r="BA231" s="20">
        <v>3.44</v>
      </c>
      <c r="BB231" s="20">
        <v>2.4900000000000002</v>
      </c>
      <c r="BC231" s="20">
        <v>2.6527272727272719</v>
      </c>
      <c r="BD231">
        <v>2.6527272727272728</v>
      </c>
      <c r="BE231">
        <v>6.0182046818181814</v>
      </c>
    </row>
    <row r="232" spans="1:57" x14ac:dyDescent="0.3">
      <c r="A232" t="s">
        <v>46</v>
      </c>
      <c r="B232" s="12" t="s">
        <v>722</v>
      </c>
      <c r="C232" s="12"/>
      <c r="F232">
        <v>3.82</v>
      </c>
      <c r="G232" t="s">
        <v>197</v>
      </c>
      <c r="H232" s="8" t="s">
        <v>551</v>
      </c>
      <c r="I232" t="s">
        <v>629</v>
      </c>
      <c r="N232" s="20">
        <v>2</v>
      </c>
      <c r="O232">
        <v>13.01</v>
      </c>
      <c r="P232">
        <v>5.5439999999999996</v>
      </c>
      <c r="Q232">
        <v>7.81</v>
      </c>
      <c r="R232" t="s">
        <v>1095</v>
      </c>
      <c r="T232" s="20">
        <v>7.41544296</v>
      </c>
      <c r="U232" s="20">
        <v>7.4154429599999991</v>
      </c>
      <c r="V232" s="20">
        <v>7.41544296</v>
      </c>
      <c r="W232"/>
      <c r="AO232">
        <v>14</v>
      </c>
      <c r="AP232" s="20">
        <v>288.33429290182369</v>
      </c>
      <c r="AQ232" s="20">
        <v>9.7109503410799117E-2</v>
      </c>
      <c r="AR232" s="23">
        <v>2</v>
      </c>
      <c r="AS232" s="23">
        <v>2.545454545454545</v>
      </c>
      <c r="AT232" s="23">
        <v>0.54545454545454541</v>
      </c>
      <c r="AU232" s="23">
        <v>0</v>
      </c>
      <c r="AV232" s="23">
        <v>0.39285714285714279</v>
      </c>
      <c r="AW232" s="23">
        <v>0.5</v>
      </c>
      <c r="AX232" s="23">
        <v>0.1071428571428571</v>
      </c>
      <c r="AY232" s="23">
        <v>0</v>
      </c>
      <c r="AZ232" s="20">
        <v>1.1000000000000001</v>
      </c>
      <c r="BA232" s="20">
        <v>3.44</v>
      </c>
      <c r="BB232" s="20">
        <v>2.34</v>
      </c>
      <c r="BC232" s="20">
        <v>2.669090909090909</v>
      </c>
      <c r="BD232">
        <v>2.669090909090909</v>
      </c>
      <c r="BE232">
        <v>5.9831974772727277</v>
      </c>
    </row>
    <row r="233" spans="1:57" x14ac:dyDescent="0.3">
      <c r="A233" t="s">
        <v>193</v>
      </c>
      <c r="B233" s="12" t="s">
        <v>799</v>
      </c>
      <c r="C233" s="12"/>
      <c r="F233">
        <v>3.68</v>
      </c>
      <c r="G233" t="s">
        <v>197</v>
      </c>
      <c r="H233" s="8">
        <v>-1</v>
      </c>
      <c r="I233">
        <v>-1</v>
      </c>
      <c r="N233" s="20">
        <v>0</v>
      </c>
      <c r="O233">
        <v>13.02</v>
      </c>
      <c r="P233">
        <v>5.5119999999999996</v>
      </c>
      <c r="Q233">
        <v>7.7450000000000001</v>
      </c>
      <c r="R233" t="s">
        <v>1095</v>
      </c>
      <c r="T233" s="20">
        <v>0</v>
      </c>
      <c r="U233" s="20"/>
      <c r="V233" s="20"/>
      <c r="W233"/>
      <c r="AO233">
        <v>14</v>
      </c>
      <c r="AP233" s="20">
        <v>0</v>
      </c>
      <c r="AQ233" s="20"/>
      <c r="AR233" s="23">
        <v>2</v>
      </c>
      <c r="AS233" s="23">
        <v>2.545454545454545</v>
      </c>
      <c r="AT233" s="23">
        <v>0.45454545454545447</v>
      </c>
      <c r="AU233" s="23">
        <v>0.36363636363636359</v>
      </c>
      <c r="AV233" s="23">
        <v>0.3728813559322034</v>
      </c>
      <c r="AW233" s="23">
        <v>0.47457627118644069</v>
      </c>
      <c r="AX233" s="23">
        <v>8.4745762711864403E-2</v>
      </c>
      <c r="AY233" s="23">
        <v>6.7796610169491525E-2</v>
      </c>
      <c r="AZ233" s="20">
        <v>1.1000000000000001</v>
      </c>
      <c r="BA233" s="20">
        <v>3.44</v>
      </c>
      <c r="BB233" s="20">
        <v>2.34</v>
      </c>
      <c r="BC233" s="20">
        <v>2.672727272727272</v>
      </c>
      <c r="BD233">
        <v>2.6727272727272728</v>
      </c>
      <c r="BE233">
        <v>5.9599268909090908</v>
      </c>
    </row>
    <row r="234" spans="1:57" x14ac:dyDescent="0.3">
      <c r="A234" t="s">
        <v>194</v>
      </c>
      <c r="B234" s="12" t="s">
        <v>800</v>
      </c>
      <c r="C234" s="12"/>
      <c r="F234">
        <v>3.65</v>
      </c>
      <c r="G234" t="s">
        <v>197</v>
      </c>
      <c r="H234" s="8" t="s">
        <v>582</v>
      </c>
      <c r="I234" t="s">
        <v>657</v>
      </c>
      <c r="N234" s="20">
        <v>2</v>
      </c>
      <c r="O234">
        <v>13.02</v>
      </c>
      <c r="P234">
        <v>5.48</v>
      </c>
      <c r="Q234">
        <v>7.68</v>
      </c>
      <c r="R234" t="s">
        <v>1095</v>
      </c>
      <c r="T234" s="20">
        <v>7.2854997800000012</v>
      </c>
      <c r="U234" s="20">
        <v>7.2855000099999998</v>
      </c>
      <c r="V234" s="20">
        <v>7.28550129</v>
      </c>
      <c r="W234"/>
      <c r="AO234">
        <v>14</v>
      </c>
      <c r="AP234" s="20">
        <v>273.44070809730869</v>
      </c>
      <c r="AQ234" s="20">
        <v>0.1023987986091511</v>
      </c>
      <c r="AR234" s="23">
        <v>2</v>
      </c>
      <c r="AS234" s="23">
        <v>2.545454545454545</v>
      </c>
      <c r="AT234" s="23">
        <v>0.36363636363636359</v>
      </c>
      <c r="AU234" s="23">
        <v>0.72727272727272729</v>
      </c>
      <c r="AV234" s="23">
        <v>0.35483870967741932</v>
      </c>
      <c r="AW234" s="23">
        <v>0.45161290322580638</v>
      </c>
      <c r="AX234" s="23">
        <v>6.4516129032258063E-2</v>
      </c>
      <c r="AY234" s="23">
        <v>0.1290322580645161</v>
      </c>
      <c r="AZ234" s="20">
        <v>1.1399999999999999</v>
      </c>
      <c r="BA234" s="20">
        <v>3.44</v>
      </c>
      <c r="BB234" s="20">
        <v>2.2999999999999998</v>
      </c>
      <c r="BC234" s="20">
        <v>2.6763636363636358</v>
      </c>
      <c r="BD234">
        <v>2.6763636363636358</v>
      </c>
      <c r="BE234">
        <v>5.9366563045454548</v>
      </c>
    </row>
    <row r="235" spans="1:57" x14ac:dyDescent="0.3">
      <c r="A235" t="s">
        <v>195</v>
      </c>
      <c r="B235" s="12" t="s">
        <v>801</v>
      </c>
      <c r="C235" s="12"/>
      <c r="F235">
        <v>2.99</v>
      </c>
      <c r="G235" t="s">
        <v>197</v>
      </c>
      <c r="H235" s="8" t="s">
        <v>583</v>
      </c>
      <c r="I235">
        <v>-1</v>
      </c>
      <c r="N235" s="20">
        <v>4</v>
      </c>
      <c r="O235">
        <v>12.996</v>
      </c>
      <c r="P235">
        <v>5.4850000000000003</v>
      </c>
      <c r="Q235">
        <v>7.7039999999999997</v>
      </c>
      <c r="R235" t="s">
        <v>1095</v>
      </c>
      <c r="T235" s="20">
        <v>5.5191434299999997</v>
      </c>
      <c r="U235" s="20">
        <v>7.7203982699999987</v>
      </c>
      <c r="V235" s="20">
        <v>13.117043880000001</v>
      </c>
      <c r="W235"/>
      <c r="AO235">
        <v>14</v>
      </c>
      <c r="AP235" s="20">
        <v>552.74712386171507</v>
      </c>
      <c r="AQ235" s="20">
        <v>0.1013121508598025</v>
      </c>
      <c r="AR235" s="23">
        <v>2</v>
      </c>
      <c r="AS235" s="23">
        <v>2.545454545454545</v>
      </c>
      <c r="AT235" s="23">
        <v>0.36363636363636359</v>
      </c>
      <c r="AU235" s="23">
        <v>0.54545454545454541</v>
      </c>
      <c r="AV235" s="23">
        <v>0.3666666666666667</v>
      </c>
      <c r="AW235" s="23">
        <v>0.46666666666666667</v>
      </c>
      <c r="AX235" s="23">
        <v>6.666666666666668E-2</v>
      </c>
      <c r="AY235" s="23">
        <v>0.1</v>
      </c>
      <c r="AZ235" s="20">
        <v>1.1299999999999999</v>
      </c>
      <c r="BA235" s="20">
        <v>3.44</v>
      </c>
      <c r="BB235" s="20">
        <v>2.31</v>
      </c>
      <c r="BC235" s="20">
        <v>2.6745454545454539</v>
      </c>
      <c r="BD235">
        <v>2.6745454545454548</v>
      </c>
      <c r="BE235">
        <v>5.9327418772727274</v>
      </c>
    </row>
    <row r="236" spans="1:57" x14ac:dyDescent="0.3">
      <c r="A236" t="s">
        <v>196</v>
      </c>
      <c r="B236" s="12" t="s">
        <v>802</v>
      </c>
      <c r="C236" s="12"/>
      <c r="F236">
        <v>2.98</v>
      </c>
      <c r="G236" t="s">
        <v>197</v>
      </c>
      <c r="H236" s="8">
        <v>-1</v>
      </c>
      <c r="I236">
        <v>-1</v>
      </c>
      <c r="N236" s="20">
        <v>0</v>
      </c>
      <c r="O236">
        <v>13.003</v>
      </c>
      <c r="P236">
        <v>5.5149999999999997</v>
      </c>
      <c r="Q236">
        <v>7.7569999999999997</v>
      </c>
      <c r="R236" t="s">
        <v>1095</v>
      </c>
      <c r="T236" s="20">
        <v>0</v>
      </c>
      <c r="U236" s="20"/>
      <c r="V236" s="20"/>
      <c r="W236"/>
      <c r="AO236">
        <v>14</v>
      </c>
      <c r="AP236" s="20">
        <v>0</v>
      </c>
      <c r="AQ236" s="20"/>
      <c r="AR236" s="23">
        <v>2</v>
      </c>
      <c r="AS236" s="23">
        <v>2.545454545454545</v>
      </c>
      <c r="AT236" s="23">
        <v>0.45454545454545447</v>
      </c>
      <c r="AU236" s="23">
        <v>0.27272727272727271</v>
      </c>
      <c r="AV236" s="23">
        <v>0.37931034482758619</v>
      </c>
      <c r="AW236" s="23">
        <v>0.48275862068965519</v>
      </c>
      <c r="AX236" s="23">
        <v>8.6206896551724144E-2</v>
      </c>
      <c r="AY236" s="23">
        <v>5.1724137931034482E-2</v>
      </c>
      <c r="AZ236" s="20">
        <v>1.1000000000000001</v>
      </c>
      <c r="BA236" s="20">
        <v>3.44</v>
      </c>
      <c r="BB236" s="20">
        <v>2.34</v>
      </c>
      <c r="BC236" s="20">
        <v>2.6718181818181819</v>
      </c>
      <c r="BD236">
        <v>2.6718181818181819</v>
      </c>
      <c r="BE236">
        <v>5.9579696772727271</v>
      </c>
    </row>
    <row r="237" spans="1:57" x14ac:dyDescent="0.3">
      <c r="A237" t="s">
        <v>44</v>
      </c>
      <c r="B237" s="12" t="s">
        <v>720</v>
      </c>
      <c r="C237" s="12"/>
      <c r="F237">
        <v>2.1</v>
      </c>
      <c r="G237" t="s">
        <v>198</v>
      </c>
      <c r="H237" s="8" t="s">
        <v>549</v>
      </c>
      <c r="I237">
        <v>-1</v>
      </c>
      <c r="N237" s="20">
        <v>1</v>
      </c>
      <c r="O237">
        <v>3.871</v>
      </c>
      <c r="P237">
        <v>3.871</v>
      </c>
      <c r="Q237">
        <v>29.783999999999999</v>
      </c>
      <c r="R237" t="s">
        <v>440</v>
      </c>
      <c r="T237" s="20">
        <v>15.28115725</v>
      </c>
      <c r="U237" s="20">
        <v>15.28115725</v>
      </c>
      <c r="V237" s="20">
        <v>15.28115725</v>
      </c>
      <c r="W237"/>
      <c r="AO237">
        <v>20</v>
      </c>
      <c r="AP237" s="20">
        <v>229.90248606119221</v>
      </c>
      <c r="AQ237" s="20">
        <v>8.6993404650164072E-2</v>
      </c>
      <c r="AR237" s="23">
        <v>1.882352941176471</v>
      </c>
      <c r="AS237" s="23">
        <v>2.3529411764705879</v>
      </c>
      <c r="AT237" s="23">
        <v>0.47058823529411759</v>
      </c>
      <c r="AU237" s="23">
        <v>0</v>
      </c>
      <c r="AV237" s="23">
        <v>0.4</v>
      </c>
      <c r="AW237" s="23">
        <v>0.5</v>
      </c>
      <c r="AX237" s="23">
        <v>9.9999999999999992E-2</v>
      </c>
      <c r="AY237" s="23">
        <v>0</v>
      </c>
      <c r="AZ237" s="20">
        <v>0.82</v>
      </c>
      <c r="BA237" s="20">
        <v>3.44</v>
      </c>
      <c r="BB237" s="20">
        <v>2.62</v>
      </c>
      <c r="BC237" s="20">
        <v>2.5211764705882351</v>
      </c>
      <c r="BD237">
        <v>2.521176470588236</v>
      </c>
      <c r="BE237">
        <v>5.6898745917647062</v>
      </c>
    </row>
    <row r="238" spans="1:57" x14ac:dyDescent="0.3">
      <c r="A238" t="s">
        <v>199</v>
      </c>
      <c r="B238" s="12" t="s">
        <v>867</v>
      </c>
      <c r="C238" s="12"/>
      <c r="F238">
        <v>2</v>
      </c>
      <c r="G238" t="s">
        <v>207</v>
      </c>
      <c r="H238" s="8">
        <v>-1</v>
      </c>
      <c r="I238">
        <v>-1</v>
      </c>
      <c r="N238" s="20">
        <v>0</v>
      </c>
      <c r="O238" s="1">
        <v>3.871</v>
      </c>
      <c r="P238" s="1">
        <v>3.871</v>
      </c>
      <c r="Q238">
        <v>29.297000000000001</v>
      </c>
      <c r="T238" s="20">
        <v>0</v>
      </c>
      <c r="U238" s="20"/>
      <c r="V238" s="20"/>
      <c r="W238"/>
      <c r="AO238">
        <v>20</v>
      </c>
      <c r="AP238" s="20">
        <v>0</v>
      </c>
      <c r="AQ238" s="20"/>
      <c r="AR238" s="23">
        <v>1.882352941176471</v>
      </c>
      <c r="AS238" s="23">
        <v>2.3529411764705879</v>
      </c>
      <c r="AT238" s="23">
        <v>1.6470588235294119</v>
      </c>
      <c r="AU238" s="23">
        <v>0</v>
      </c>
      <c r="AV238" s="23">
        <v>0.32</v>
      </c>
      <c r="AW238" s="23">
        <v>0.4</v>
      </c>
      <c r="AX238" s="23">
        <v>0.28000000000000003</v>
      </c>
      <c r="AY238" s="23">
        <v>0</v>
      </c>
      <c r="AZ238" s="20">
        <v>1.1000000000000001</v>
      </c>
      <c r="BA238" s="20">
        <v>3.44</v>
      </c>
      <c r="BB238" s="20">
        <v>2.34</v>
      </c>
      <c r="BC238" s="20">
        <v>2.6482352941176468</v>
      </c>
      <c r="BD238">
        <v>2.6482352941176468</v>
      </c>
      <c r="BE238">
        <v>5.9322299529411762</v>
      </c>
    </row>
    <row r="239" spans="1:57" x14ac:dyDescent="0.3">
      <c r="A239" t="s">
        <v>200</v>
      </c>
      <c r="B239" s="12" t="s">
        <v>868</v>
      </c>
      <c r="C239" s="12"/>
      <c r="F239">
        <v>2.2000000000000002</v>
      </c>
      <c r="G239" t="s">
        <v>207</v>
      </c>
      <c r="H239" s="8">
        <v>-1</v>
      </c>
      <c r="I239">
        <v>-1</v>
      </c>
      <c r="N239" s="20">
        <v>0</v>
      </c>
      <c r="O239" s="1">
        <v>6.6040679999999998</v>
      </c>
      <c r="P239" s="1">
        <v>7.93</v>
      </c>
      <c r="Q239">
        <v>31.28</v>
      </c>
      <c r="T239" s="20">
        <v>0</v>
      </c>
      <c r="U239" s="20"/>
      <c r="V239" s="20"/>
      <c r="W239"/>
      <c r="AO239">
        <v>34</v>
      </c>
      <c r="AP239" s="20">
        <v>0</v>
      </c>
      <c r="AQ239" s="20"/>
      <c r="AR239" s="23">
        <v>1.62962962962963</v>
      </c>
      <c r="AS239" s="23">
        <v>2.518518518518519</v>
      </c>
      <c r="AT239" s="23">
        <v>1.911111111111111</v>
      </c>
      <c r="AU239" s="23">
        <v>0</v>
      </c>
      <c r="AV239" s="23">
        <v>0.26894865525672368</v>
      </c>
      <c r="AW239" s="23">
        <v>0.41564792176039123</v>
      </c>
      <c r="AX239" s="23">
        <v>0.31540342298288498</v>
      </c>
      <c r="AY239" s="23">
        <v>0</v>
      </c>
      <c r="AZ239" s="20">
        <v>0.82</v>
      </c>
      <c r="BA239" s="20">
        <v>3.44</v>
      </c>
      <c r="BB239" s="20">
        <v>2.62</v>
      </c>
      <c r="BC239" s="20">
        <v>2.7533629629629628</v>
      </c>
      <c r="BD239">
        <v>2.7533629629629628</v>
      </c>
      <c r="BE239">
        <v>6.1693161497481483</v>
      </c>
    </row>
    <row r="240" spans="1:57" x14ac:dyDescent="0.3">
      <c r="A240" t="s">
        <v>0</v>
      </c>
      <c r="B240" s="12" t="s">
        <v>685</v>
      </c>
      <c r="C240" s="12"/>
      <c r="F240">
        <v>3.3</v>
      </c>
      <c r="G240" t="s">
        <v>207</v>
      </c>
      <c r="H240" s="8" t="s">
        <v>523</v>
      </c>
      <c r="I240" t="s">
        <v>606</v>
      </c>
      <c r="N240" s="20">
        <v>4</v>
      </c>
      <c r="O240" s="1">
        <v>6.6040679999999998</v>
      </c>
      <c r="P240" s="1">
        <v>7.93</v>
      </c>
      <c r="Q240">
        <v>32.700000000000003</v>
      </c>
      <c r="T240" s="20">
        <v>6.6040679999999998</v>
      </c>
      <c r="U240" s="20">
        <v>7.9389519999999996</v>
      </c>
      <c r="V240" s="20">
        <v>33.703336</v>
      </c>
      <c r="W240"/>
      <c r="AO240">
        <v>34</v>
      </c>
      <c r="AP240" s="20">
        <v>1767.0449718798691</v>
      </c>
      <c r="AQ240" s="20">
        <v>7.6964651247849417E-2</v>
      </c>
      <c r="AR240" s="23">
        <v>1.62962962962963</v>
      </c>
      <c r="AS240" s="23">
        <v>2.518518518518519</v>
      </c>
      <c r="AT240" s="23">
        <v>0.88888888888888884</v>
      </c>
      <c r="AU240" s="23">
        <v>0</v>
      </c>
      <c r="AV240" s="23">
        <v>0.32352941176470579</v>
      </c>
      <c r="AW240" s="23">
        <v>0.5</v>
      </c>
      <c r="AX240" s="23">
        <v>0.1764705882352941</v>
      </c>
      <c r="AY240" s="23">
        <v>0</v>
      </c>
      <c r="AZ240" s="20">
        <v>0.82</v>
      </c>
      <c r="BA240" s="20">
        <v>3.44</v>
      </c>
      <c r="BB240" s="20">
        <v>2.62</v>
      </c>
      <c r="BC240" s="20">
        <v>2.642962962962963</v>
      </c>
      <c r="BD240">
        <v>2.642962962962963</v>
      </c>
      <c r="BE240">
        <v>5.9587362692592576</v>
      </c>
    </row>
    <row r="241" spans="1:57" x14ac:dyDescent="0.3">
      <c r="A241" t="s">
        <v>201</v>
      </c>
      <c r="B241" s="12" t="s">
        <v>869</v>
      </c>
      <c r="C241" s="12"/>
      <c r="F241">
        <v>2.2999999999999998</v>
      </c>
      <c r="G241" t="s">
        <v>207</v>
      </c>
      <c r="H241" s="25" t="s">
        <v>524</v>
      </c>
      <c r="I241" s="1" t="s">
        <v>607</v>
      </c>
      <c r="N241" s="20">
        <v>0</v>
      </c>
      <c r="O241">
        <v>-1</v>
      </c>
      <c r="P241"/>
      <c r="Q241"/>
      <c r="T241" s="20">
        <v>0</v>
      </c>
      <c r="U241" s="20"/>
      <c r="V241" s="20"/>
      <c r="W241"/>
      <c r="AO241">
        <v>14</v>
      </c>
      <c r="AP241" s="20">
        <v>0</v>
      </c>
      <c r="AQ241" s="20"/>
      <c r="AR241" s="23">
        <v>1.7272727272727271</v>
      </c>
      <c r="AS241" s="23">
        <v>2.545454545454545</v>
      </c>
      <c r="AT241" s="23">
        <v>1.4090909090909089</v>
      </c>
      <c r="AU241" s="23">
        <v>0</v>
      </c>
      <c r="AV241" s="23">
        <v>0.30399999999999999</v>
      </c>
      <c r="AW241" s="23">
        <v>0.44800000000000001</v>
      </c>
      <c r="AX241" s="23">
        <v>0.248</v>
      </c>
      <c r="AY241" s="23">
        <v>0</v>
      </c>
      <c r="AZ241" s="20">
        <v>0.82</v>
      </c>
      <c r="BA241" s="20">
        <v>3.44</v>
      </c>
      <c r="BB241" s="20">
        <v>2.62</v>
      </c>
      <c r="BC241" s="20">
        <v>2.7183636363636361</v>
      </c>
      <c r="BD241">
        <v>2.718363636363637</v>
      </c>
      <c r="BE241">
        <v>6.1164196318636357</v>
      </c>
    </row>
    <row r="242" spans="1:57" x14ac:dyDescent="0.3">
      <c r="A242" t="s">
        <v>1</v>
      </c>
      <c r="B242" s="12" t="s">
        <v>686</v>
      </c>
      <c r="C242" s="12"/>
      <c r="F242">
        <v>3.2</v>
      </c>
      <c r="G242" t="s">
        <v>207</v>
      </c>
      <c r="H242" s="8" t="s">
        <v>524</v>
      </c>
      <c r="I242" t="s">
        <v>607</v>
      </c>
      <c r="N242" s="20">
        <v>1</v>
      </c>
      <c r="O242">
        <v>-1</v>
      </c>
      <c r="P242"/>
      <c r="Q242"/>
      <c r="T242" s="20">
        <v>3.9327019999999999</v>
      </c>
      <c r="U242" s="20">
        <v>3.9458000000000002</v>
      </c>
      <c r="V242" s="20">
        <v>11.356398779999999</v>
      </c>
      <c r="W242"/>
      <c r="AO242">
        <v>14</v>
      </c>
      <c r="AP242" s="20">
        <v>173.54502164551991</v>
      </c>
      <c r="AQ242" s="20">
        <v>8.0670709348241429E-2</v>
      </c>
      <c r="AR242" s="23">
        <v>1.7272727272727271</v>
      </c>
      <c r="AS242" s="23">
        <v>2.545454545454545</v>
      </c>
      <c r="AT242" s="23">
        <v>0.81818181818181823</v>
      </c>
      <c r="AU242" s="23">
        <v>0</v>
      </c>
      <c r="AV242" s="23">
        <v>0.3392857142857143</v>
      </c>
      <c r="AW242" s="23">
        <v>0.5</v>
      </c>
      <c r="AX242" s="23">
        <v>0.1607142857142857</v>
      </c>
      <c r="AY242" s="23">
        <v>0</v>
      </c>
      <c r="AZ242" s="20">
        <v>0.82</v>
      </c>
      <c r="BA242" s="20">
        <v>3.44</v>
      </c>
      <c r="BB242" s="20">
        <v>2.62</v>
      </c>
      <c r="BC242" s="20">
        <v>2.6545454545454539</v>
      </c>
      <c r="BD242">
        <v>2.6545454545454539</v>
      </c>
      <c r="BE242">
        <v>5.9946911436363637</v>
      </c>
    </row>
    <row r="243" spans="1:57" x14ac:dyDescent="0.3">
      <c r="A243" t="s">
        <v>202</v>
      </c>
      <c r="B243" s="12" t="s">
        <v>870</v>
      </c>
      <c r="C243" s="12"/>
      <c r="F243">
        <v>2.8</v>
      </c>
      <c r="G243" t="s">
        <v>207</v>
      </c>
      <c r="H243" s="25" t="s">
        <v>584</v>
      </c>
      <c r="I243" s="1" t="s">
        <v>658</v>
      </c>
      <c r="N243" s="20">
        <v>0</v>
      </c>
      <c r="O243">
        <v>-1</v>
      </c>
      <c r="P243"/>
      <c r="Q243"/>
      <c r="T243" s="20">
        <v>0</v>
      </c>
      <c r="U243" s="20"/>
      <c r="V243" s="20"/>
      <c r="W243"/>
      <c r="AO243">
        <v>20</v>
      </c>
      <c r="AP243" s="20">
        <v>0</v>
      </c>
      <c r="AQ243" s="20"/>
      <c r="AR243" s="23">
        <v>1.9375</v>
      </c>
      <c r="AS243" s="23">
        <v>2.5</v>
      </c>
      <c r="AT243" s="23">
        <v>0.625</v>
      </c>
      <c r="AU243" s="23">
        <v>2.625</v>
      </c>
      <c r="AV243" s="23">
        <v>0.25203252032520318</v>
      </c>
      <c r="AW243" s="23">
        <v>0.32520325203252032</v>
      </c>
      <c r="AX243" s="23">
        <v>8.1300813008130079E-2</v>
      </c>
      <c r="AY243" s="23">
        <v>0.34146341463414642</v>
      </c>
      <c r="AZ243" s="20">
        <v>0.82</v>
      </c>
      <c r="BA243" s="20">
        <v>3.44</v>
      </c>
      <c r="BB243" s="20">
        <v>2.62</v>
      </c>
      <c r="BC243" s="20">
        <v>2.6142500000000002</v>
      </c>
      <c r="BD243">
        <v>2.6142500000000002</v>
      </c>
      <c r="BE243">
        <v>5.9930639130937511</v>
      </c>
    </row>
    <row r="244" spans="1:57" x14ac:dyDescent="0.3">
      <c r="A244" t="s">
        <v>203</v>
      </c>
      <c r="B244" s="12" t="s">
        <v>803</v>
      </c>
      <c r="C244" s="12"/>
      <c r="F244">
        <v>4.5</v>
      </c>
      <c r="G244" t="s">
        <v>207</v>
      </c>
      <c r="H244" s="8" t="s">
        <v>584</v>
      </c>
      <c r="I244" t="s">
        <v>658</v>
      </c>
      <c r="N244" s="20">
        <v>1</v>
      </c>
      <c r="O244">
        <v>-1</v>
      </c>
      <c r="P244"/>
      <c r="Q244">
        <v>15.05</v>
      </c>
      <c r="T244" s="20">
        <v>3.9414189999999998</v>
      </c>
      <c r="U244" s="20">
        <v>3.9414189999999998</v>
      </c>
      <c r="V244" s="20">
        <v>15.312718</v>
      </c>
      <c r="W244"/>
      <c r="AO244">
        <v>20</v>
      </c>
      <c r="AP244" s="20">
        <v>237.8797625030067</v>
      </c>
      <c r="AQ244" s="20">
        <v>8.4076088648975381E-2</v>
      </c>
      <c r="AR244" s="23">
        <v>1.9375</v>
      </c>
      <c r="AS244" s="23">
        <v>2.5</v>
      </c>
      <c r="AT244" s="23">
        <v>0.5625</v>
      </c>
      <c r="AU244" s="23">
        <v>2.625</v>
      </c>
      <c r="AV244" s="23">
        <v>0.25409836065573771</v>
      </c>
      <c r="AW244" s="23">
        <v>0.32786885245901642</v>
      </c>
      <c r="AX244" s="23">
        <v>7.3770491803278687E-2</v>
      </c>
      <c r="AY244" s="23">
        <v>0.34426229508196721</v>
      </c>
      <c r="AZ244" s="20">
        <v>0.82</v>
      </c>
      <c r="BA244" s="20">
        <v>3.44</v>
      </c>
      <c r="BB244" s="20">
        <v>2.62</v>
      </c>
      <c r="BC244" s="20">
        <v>2.6074999999999999</v>
      </c>
      <c r="BD244">
        <v>2.6074999999999999</v>
      </c>
      <c r="BE244">
        <v>5.9796291640625006</v>
      </c>
    </row>
    <row r="245" spans="1:57" x14ac:dyDescent="0.3">
      <c r="A245" t="s">
        <v>204</v>
      </c>
      <c r="B245" s="12" t="s">
        <v>804</v>
      </c>
      <c r="C245" s="12"/>
      <c r="F245">
        <v>4.8</v>
      </c>
      <c r="G245" t="s">
        <v>207</v>
      </c>
      <c r="H245" s="8" t="s">
        <v>585</v>
      </c>
      <c r="I245" t="s">
        <v>659</v>
      </c>
      <c r="N245" s="20">
        <v>2</v>
      </c>
      <c r="O245">
        <v>-1</v>
      </c>
      <c r="P245"/>
      <c r="Q245"/>
      <c r="T245" s="20">
        <v>5.4445069999999998</v>
      </c>
      <c r="U245" s="20">
        <v>5.4445069999999998</v>
      </c>
      <c r="V245" s="20">
        <v>3.9426230000000002</v>
      </c>
      <c r="W245"/>
      <c r="AO245">
        <v>6</v>
      </c>
      <c r="AP245" s="20">
        <v>116.8698191917419</v>
      </c>
      <c r="AQ245" s="20">
        <v>0.10267834829377349</v>
      </c>
      <c r="AR245" s="23">
        <v>1.8</v>
      </c>
      <c r="AS245" s="23">
        <v>2.4</v>
      </c>
      <c r="AT245" s="23">
        <v>0.6</v>
      </c>
      <c r="AU245" s="23">
        <v>2.8</v>
      </c>
      <c r="AV245" s="23">
        <v>0.23684210526315791</v>
      </c>
      <c r="AW245" s="23">
        <v>0.31578947368421051</v>
      </c>
      <c r="AX245" s="23">
        <v>7.8947368421052627E-2</v>
      </c>
      <c r="AY245" s="23">
        <v>0.36842105263157893</v>
      </c>
      <c r="AZ245" s="20">
        <v>0.98</v>
      </c>
      <c r="BA245" s="20">
        <v>3.44</v>
      </c>
      <c r="BB245" s="20">
        <v>2.46</v>
      </c>
      <c r="BC245" s="20">
        <v>2.56</v>
      </c>
      <c r="BD245">
        <v>2.56</v>
      </c>
      <c r="BE245">
        <v>5.9119936115999998</v>
      </c>
    </row>
    <row r="246" spans="1:57" x14ac:dyDescent="0.3">
      <c r="A246" t="s">
        <v>28</v>
      </c>
      <c r="B246" s="12" t="s">
        <v>805</v>
      </c>
      <c r="C246" s="12"/>
      <c r="F246">
        <v>4</v>
      </c>
      <c r="G246" t="s">
        <v>207</v>
      </c>
      <c r="H246" s="8" t="s">
        <v>586</v>
      </c>
      <c r="I246" t="s">
        <v>660</v>
      </c>
      <c r="N246" s="20">
        <v>8</v>
      </c>
      <c r="O246">
        <v>-1</v>
      </c>
      <c r="P246"/>
      <c r="Q246"/>
      <c r="T246" s="20">
        <v>7.5714817599999993</v>
      </c>
      <c r="U246" s="20">
        <v>7.4441355800000002</v>
      </c>
      <c r="V246" s="20">
        <v>14.785262019999999</v>
      </c>
      <c r="W246"/>
      <c r="AO246">
        <v>6</v>
      </c>
      <c r="AP246" s="20">
        <v>583.54908217201648</v>
      </c>
      <c r="AQ246" s="20">
        <v>8.2255291742281814E-2</v>
      </c>
      <c r="AR246" s="23">
        <v>1.8</v>
      </c>
      <c r="AS246" s="23">
        <v>2.4</v>
      </c>
      <c r="AT246" s="23">
        <v>0.6</v>
      </c>
      <c r="AU246" s="23">
        <v>2.8</v>
      </c>
      <c r="AV246" s="23">
        <v>0.23684210526315791</v>
      </c>
      <c r="AW246" s="23">
        <v>0.31578947368421051</v>
      </c>
      <c r="AX246" s="23">
        <v>7.8947368421052627E-2</v>
      </c>
      <c r="AY246" s="23">
        <v>0.36842105263157893</v>
      </c>
      <c r="AZ246" s="20">
        <v>0.93</v>
      </c>
      <c r="BA246" s="20">
        <v>3.44</v>
      </c>
      <c r="BB246" s="20">
        <v>2.5099999999999998</v>
      </c>
      <c r="BC246" s="20">
        <v>2.5499999999999998</v>
      </c>
      <c r="BD246">
        <v>2.5499999999999998</v>
      </c>
      <c r="BE246">
        <v>5.8797175109999991</v>
      </c>
    </row>
    <row r="247" spans="1:57" x14ac:dyDescent="0.3">
      <c r="A247" t="s">
        <v>205</v>
      </c>
      <c r="B247" s="12" t="s">
        <v>871</v>
      </c>
      <c r="C247" s="12"/>
      <c r="F247">
        <v>2.8</v>
      </c>
      <c r="G247" t="s">
        <v>207</v>
      </c>
      <c r="H247" s="25" t="s">
        <v>585</v>
      </c>
      <c r="I247" s="1" t="s">
        <v>659</v>
      </c>
      <c r="N247" s="20">
        <v>0</v>
      </c>
      <c r="O247">
        <v>-1</v>
      </c>
      <c r="P247"/>
      <c r="Q247"/>
      <c r="T247" s="20">
        <v>0</v>
      </c>
      <c r="U247" s="20"/>
      <c r="V247" s="20"/>
      <c r="W247"/>
      <c r="AO247">
        <v>6</v>
      </c>
      <c r="AP247" s="20">
        <v>0</v>
      </c>
      <c r="AQ247" s="20"/>
      <c r="AR247" s="23">
        <v>1.8</v>
      </c>
      <c r="AS247" s="23">
        <v>2.4</v>
      </c>
      <c r="AT247" s="23">
        <v>0.64</v>
      </c>
      <c r="AU247" s="23">
        <v>2.8</v>
      </c>
      <c r="AV247" s="23">
        <v>0.2356020942408377</v>
      </c>
      <c r="AW247" s="23">
        <v>0.3141361256544502</v>
      </c>
      <c r="AX247" s="23">
        <v>8.3769633507853394E-2</v>
      </c>
      <c r="AY247" s="23">
        <v>0.36649214659685858</v>
      </c>
      <c r="AZ247" s="20">
        <v>0.98</v>
      </c>
      <c r="BA247" s="20">
        <v>3.44</v>
      </c>
      <c r="BB247" s="20">
        <v>2.46</v>
      </c>
      <c r="BC247" s="20">
        <v>2.5636800000000002</v>
      </c>
      <c r="BD247">
        <v>2.5636800000000002</v>
      </c>
      <c r="BE247">
        <v>5.9178984111680002</v>
      </c>
    </row>
    <row r="248" spans="1:57" x14ac:dyDescent="0.3">
      <c r="A248" t="s">
        <v>206</v>
      </c>
      <c r="B248" s="12" t="s">
        <v>872</v>
      </c>
      <c r="C248" s="12"/>
      <c r="F248">
        <v>2</v>
      </c>
      <c r="G248" t="s">
        <v>207</v>
      </c>
      <c r="H248" s="25" t="s">
        <v>586</v>
      </c>
      <c r="I248" s="1" t="s">
        <v>660</v>
      </c>
      <c r="N248" s="20">
        <v>0</v>
      </c>
      <c r="O248">
        <v>-1</v>
      </c>
      <c r="P248"/>
      <c r="Q248"/>
      <c r="T248" s="20">
        <v>0</v>
      </c>
      <c r="U248" s="20"/>
      <c r="V248" s="20"/>
      <c r="W248"/>
      <c r="AO248">
        <v>6</v>
      </c>
      <c r="AP248" s="20">
        <v>0</v>
      </c>
      <c r="AQ248" s="20"/>
      <c r="AR248" s="23">
        <v>1.8</v>
      </c>
      <c r="AS248" s="23">
        <v>2.4</v>
      </c>
      <c r="AT248" s="23">
        <v>0.78</v>
      </c>
      <c r="AU248" s="23">
        <v>2.8</v>
      </c>
      <c r="AV248" s="23">
        <v>0.23136246786632389</v>
      </c>
      <c r="AW248" s="23">
        <v>0.30848329048843193</v>
      </c>
      <c r="AX248" s="23">
        <v>0.10025706940874041</v>
      </c>
      <c r="AY248" s="23">
        <v>0.35989717223650391</v>
      </c>
      <c r="AZ248" s="20">
        <v>0.93</v>
      </c>
      <c r="BA248" s="20">
        <v>3.44</v>
      </c>
      <c r="BB248" s="20">
        <v>2.5099999999999998</v>
      </c>
      <c r="BC248" s="20">
        <v>2.5674600000000001</v>
      </c>
      <c r="BD248">
        <v>2.5674600000000001</v>
      </c>
      <c r="BE248">
        <v>5.9091939581100004</v>
      </c>
    </row>
    <row r="249" spans="1:57" x14ac:dyDescent="0.3">
      <c r="A249" t="s">
        <v>153</v>
      </c>
      <c r="B249" s="12" t="s">
        <v>775</v>
      </c>
      <c r="C249" s="12"/>
      <c r="F249">
        <v>3.36</v>
      </c>
      <c r="G249" t="s">
        <v>208</v>
      </c>
      <c r="H249" s="8" t="s">
        <v>578</v>
      </c>
      <c r="I249">
        <v>-1</v>
      </c>
      <c r="M249">
        <v>1</v>
      </c>
      <c r="N249" s="20">
        <v>1</v>
      </c>
      <c r="O249">
        <v>3.8860000000000001</v>
      </c>
      <c r="P249">
        <v>3.8860000000000001</v>
      </c>
      <c r="Q249">
        <v>10.548299999999999</v>
      </c>
      <c r="R249" t="s">
        <v>1097</v>
      </c>
      <c r="T249" s="20">
        <v>3.9263319999999999</v>
      </c>
      <c r="U249" s="20">
        <v>3.9263319999999999</v>
      </c>
      <c r="V249" s="20">
        <v>10.74639</v>
      </c>
      <c r="W249"/>
      <c r="AO249">
        <v>14</v>
      </c>
      <c r="AP249" s="20">
        <v>165.66723991337099</v>
      </c>
      <c r="AQ249" s="20">
        <v>8.4506749839743392E-2</v>
      </c>
      <c r="AR249" s="23">
        <v>1.7272727272727271</v>
      </c>
      <c r="AS249" s="23">
        <v>2.545454545454545</v>
      </c>
      <c r="AT249" s="23">
        <v>0.81818181818181823</v>
      </c>
      <c r="AU249" s="23">
        <v>0</v>
      </c>
      <c r="AV249" s="23">
        <v>0.3392857142857143</v>
      </c>
      <c r="AW249" s="23">
        <v>0.5</v>
      </c>
      <c r="AX249" s="23">
        <v>0.1607142857142857</v>
      </c>
      <c r="AY249" s="23">
        <v>0</v>
      </c>
      <c r="AZ249" s="20">
        <v>1.1000000000000001</v>
      </c>
      <c r="BA249" s="20">
        <v>3.44</v>
      </c>
      <c r="BB249" s="20">
        <v>2.34</v>
      </c>
      <c r="BC249" s="20">
        <v>2.78</v>
      </c>
      <c r="BD249">
        <v>2.78</v>
      </c>
      <c r="BE249">
        <v>6.4270052227137269</v>
      </c>
    </row>
    <row r="250" spans="1:57" x14ac:dyDescent="0.3">
      <c r="A250" t="s">
        <v>153</v>
      </c>
      <c r="B250" s="12" t="s">
        <v>775</v>
      </c>
      <c r="C250" s="12"/>
      <c r="D250" t="s">
        <v>964</v>
      </c>
      <c r="E250">
        <v>0.66</v>
      </c>
      <c r="F250">
        <v>3.48</v>
      </c>
      <c r="G250" t="s">
        <v>208</v>
      </c>
      <c r="H250" s="8" t="s">
        <v>578</v>
      </c>
      <c r="I250">
        <v>-1</v>
      </c>
      <c r="M250">
        <v>1</v>
      </c>
      <c r="N250" s="20">
        <v>1</v>
      </c>
      <c r="O250">
        <v>3.8860000000000001</v>
      </c>
      <c r="P250">
        <v>3.8860000000000001</v>
      </c>
      <c r="Q250">
        <v>10.548299999999999</v>
      </c>
      <c r="R250" t="s">
        <v>1097</v>
      </c>
      <c r="T250" s="20">
        <v>3.9263319999999999</v>
      </c>
      <c r="U250" s="20">
        <v>3.9263319999999999</v>
      </c>
      <c r="V250" s="20">
        <v>10.74639</v>
      </c>
      <c r="W250"/>
      <c r="AO250">
        <v>14</v>
      </c>
      <c r="AP250" s="20">
        <v>165.66723991337099</v>
      </c>
      <c r="AQ250" s="20">
        <v>8.4506749839743392E-2</v>
      </c>
      <c r="AR250" s="23">
        <v>1.7272727272727271</v>
      </c>
      <c r="AS250" s="23">
        <v>2.545454545454545</v>
      </c>
      <c r="AT250" s="23">
        <v>0.81818181818181823</v>
      </c>
      <c r="AU250" s="23">
        <v>0</v>
      </c>
      <c r="AV250" s="23">
        <v>0.3392857142857143</v>
      </c>
      <c r="AW250" s="23">
        <v>0.5</v>
      </c>
      <c r="AX250" s="23">
        <v>0.1607142857142857</v>
      </c>
      <c r="AY250" s="23">
        <v>0</v>
      </c>
      <c r="AZ250" s="20">
        <v>1.1000000000000001</v>
      </c>
      <c r="BA250" s="20">
        <v>3.44</v>
      </c>
      <c r="BB250" s="20">
        <v>2.34</v>
      </c>
      <c r="BC250" s="20">
        <v>2.78</v>
      </c>
      <c r="BD250">
        <v>2.78</v>
      </c>
      <c r="BE250">
        <v>6.4270052227137269</v>
      </c>
    </row>
    <row r="251" spans="1:57" x14ac:dyDescent="0.3">
      <c r="A251" t="s">
        <v>153</v>
      </c>
      <c r="B251" s="12" t="s">
        <v>775</v>
      </c>
      <c r="C251" s="12"/>
      <c r="D251" t="s">
        <v>964</v>
      </c>
      <c r="E251">
        <f>E250*2</f>
        <v>1.32</v>
      </c>
      <c r="F251">
        <v>3.47</v>
      </c>
      <c r="G251" t="s">
        <v>208</v>
      </c>
      <c r="H251" s="8" t="s">
        <v>578</v>
      </c>
      <c r="I251">
        <v>-1</v>
      </c>
      <c r="M251">
        <v>1</v>
      </c>
      <c r="N251" s="20">
        <v>1</v>
      </c>
      <c r="O251">
        <v>3.8860000000000001</v>
      </c>
      <c r="P251">
        <v>3.8860000000000001</v>
      </c>
      <c r="Q251">
        <v>10.548299999999999</v>
      </c>
      <c r="R251" t="s">
        <v>1097</v>
      </c>
      <c r="T251" s="20">
        <v>3.9263319999999999</v>
      </c>
      <c r="U251" s="20">
        <v>3.9263319999999999</v>
      </c>
      <c r="V251" s="20">
        <v>10.74639</v>
      </c>
      <c r="W251"/>
      <c r="AO251">
        <v>14</v>
      </c>
      <c r="AP251" s="20">
        <v>165.66723991337099</v>
      </c>
      <c r="AQ251" s="20">
        <v>8.4506749839743392E-2</v>
      </c>
      <c r="AR251" s="23">
        <v>1.7272727272727271</v>
      </c>
      <c r="AS251" s="23">
        <v>2.545454545454545</v>
      </c>
      <c r="AT251" s="23">
        <v>0.81818181818181823</v>
      </c>
      <c r="AU251" s="23">
        <v>0</v>
      </c>
      <c r="AV251" s="23">
        <v>0.3392857142857143</v>
      </c>
      <c r="AW251" s="23">
        <v>0.5</v>
      </c>
      <c r="AX251" s="23">
        <v>0.1607142857142857</v>
      </c>
      <c r="AY251" s="23">
        <v>0</v>
      </c>
      <c r="AZ251" s="20">
        <v>1.1000000000000001</v>
      </c>
      <c r="BA251" s="20">
        <v>3.44</v>
      </c>
      <c r="BB251" s="20">
        <v>2.34</v>
      </c>
      <c r="BC251" s="20">
        <v>2.78</v>
      </c>
      <c r="BD251">
        <v>2.78</v>
      </c>
      <c r="BE251">
        <v>6.4270052227137269</v>
      </c>
    </row>
    <row r="252" spans="1:57" x14ac:dyDescent="0.3">
      <c r="A252" t="s">
        <v>153</v>
      </c>
      <c r="B252" s="12" t="s">
        <v>775</v>
      </c>
      <c r="C252" s="12"/>
      <c r="D252" t="s">
        <v>964</v>
      </c>
      <c r="E252">
        <f>E250*3</f>
        <v>1.98</v>
      </c>
      <c r="F252">
        <v>3.41</v>
      </c>
      <c r="G252" t="s">
        <v>208</v>
      </c>
      <c r="H252" s="8" t="s">
        <v>578</v>
      </c>
      <c r="I252">
        <v>-1</v>
      </c>
      <c r="M252">
        <v>1</v>
      </c>
      <c r="N252" s="20">
        <v>1</v>
      </c>
      <c r="O252">
        <v>3.8860000000000001</v>
      </c>
      <c r="P252">
        <v>3.8860000000000001</v>
      </c>
      <c r="Q252">
        <v>10.548299999999999</v>
      </c>
      <c r="R252" t="s">
        <v>1097</v>
      </c>
      <c r="T252" s="20">
        <v>3.9263319999999999</v>
      </c>
      <c r="U252" s="20">
        <v>3.9263319999999999</v>
      </c>
      <c r="V252" s="20">
        <v>10.74639</v>
      </c>
      <c r="W252"/>
      <c r="AO252">
        <v>14</v>
      </c>
      <c r="AP252" s="20">
        <v>165.66723991337099</v>
      </c>
      <c r="AQ252" s="20">
        <v>8.4506749839743392E-2</v>
      </c>
      <c r="AR252" s="23">
        <v>1.7272727272727271</v>
      </c>
      <c r="AS252" s="23">
        <v>2.545454545454545</v>
      </c>
      <c r="AT252" s="23">
        <v>0.81818181818181823</v>
      </c>
      <c r="AU252" s="23">
        <v>0</v>
      </c>
      <c r="AV252" s="23">
        <v>0.3392857142857143</v>
      </c>
      <c r="AW252" s="23">
        <v>0.5</v>
      </c>
      <c r="AX252" s="23">
        <v>0.1607142857142857</v>
      </c>
      <c r="AY252" s="23">
        <v>0</v>
      </c>
      <c r="AZ252" s="20">
        <v>1.1000000000000001</v>
      </c>
      <c r="BA252" s="20">
        <v>3.44</v>
      </c>
      <c r="BB252" s="20">
        <v>2.34</v>
      </c>
      <c r="BC252" s="20">
        <v>2.78</v>
      </c>
      <c r="BD252">
        <v>2.78</v>
      </c>
      <c r="BE252">
        <v>6.4270052227137269</v>
      </c>
    </row>
    <row r="253" spans="1:57" x14ac:dyDescent="0.3">
      <c r="A253" t="s">
        <v>153</v>
      </c>
      <c r="B253" s="12" t="s">
        <v>775</v>
      </c>
      <c r="C253" s="12"/>
      <c r="D253" t="s">
        <v>964</v>
      </c>
      <c r="E253">
        <f>E250*4</f>
        <v>2.64</v>
      </c>
      <c r="F253">
        <v>3.42</v>
      </c>
      <c r="G253" t="s">
        <v>208</v>
      </c>
      <c r="H253" s="8" t="s">
        <v>578</v>
      </c>
      <c r="I253">
        <v>-1</v>
      </c>
      <c r="M253">
        <v>1</v>
      </c>
      <c r="N253" s="20">
        <v>1</v>
      </c>
      <c r="O253">
        <v>3.8860000000000001</v>
      </c>
      <c r="P253">
        <v>3.8860000000000001</v>
      </c>
      <c r="Q253">
        <v>10.548299999999999</v>
      </c>
      <c r="R253" t="s">
        <v>1097</v>
      </c>
      <c r="T253" s="20">
        <v>3.9263319999999999</v>
      </c>
      <c r="U253" s="20">
        <v>3.9263319999999999</v>
      </c>
      <c r="V253" s="20">
        <v>10.74639</v>
      </c>
      <c r="W253"/>
      <c r="AO253">
        <v>14</v>
      </c>
      <c r="AP253" s="20">
        <v>165.66723991337099</v>
      </c>
      <c r="AQ253" s="20">
        <v>8.4506749839743392E-2</v>
      </c>
      <c r="AR253" s="23">
        <v>1.7272727272727271</v>
      </c>
      <c r="AS253" s="23">
        <v>2.545454545454545</v>
      </c>
      <c r="AT253" s="23">
        <v>0.81818181818181823</v>
      </c>
      <c r="AU253" s="23">
        <v>0</v>
      </c>
      <c r="AV253" s="23">
        <v>0.3392857142857143</v>
      </c>
      <c r="AW253" s="23">
        <v>0.5</v>
      </c>
      <c r="AX253" s="23">
        <v>0.1607142857142857</v>
      </c>
      <c r="AY253" s="23">
        <v>0</v>
      </c>
      <c r="AZ253" s="20">
        <v>1.1000000000000001</v>
      </c>
      <c r="BA253" s="20">
        <v>3.44</v>
      </c>
      <c r="BB253" s="20">
        <v>2.34</v>
      </c>
      <c r="BC253" s="20">
        <v>2.78</v>
      </c>
      <c r="BD253">
        <v>2.78</v>
      </c>
      <c r="BE253">
        <v>6.4270052227137269</v>
      </c>
    </row>
    <row r="254" spans="1:57" x14ac:dyDescent="0.3">
      <c r="A254" t="s">
        <v>153</v>
      </c>
      <c r="B254" s="12" t="s">
        <v>775</v>
      </c>
      <c r="C254" s="12"/>
      <c r="D254" t="s">
        <v>964</v>
      </c>
      <c r="E254">
        <f>E250*6</f>
        <v>3.96</v>
      </c>
      <c r="F254">
        <v>3.44</v>
      </c>
      <c r="G254" t="s">
        <v>208</v>
      </c>
      <c r="H254" s="8" t="s">
        <v>578</v>
      </c>
      <c r="I254">
        <v>-1</v>
      </c>
      <c r="M254">
        <v>1</v>
      </c>
      <c r="N254" s="20">
        <v>1</v>
      </c>
      <c r="O254">
        <v>3.8860000000000001</v>
      </c>
      <c r="P254">
        <v>3.8860000000000001</v>
      </c>
      <c r="Q254">
        <v>10.548299999999999</v>
      </c>
      <c r="R254" t="s">
        <v>1097</v>
      </c>
      <c r="T254" s="20">
        <v>3.9263319999999999</v>
      </c>
      <c r="U254" s="20">
        <v>3.9263319999999999</v>
      </c>
      <c r="V254" s="20">
        <v>10.74639</v>
      </c>
      <c r="W254"/>
      <c r="AO254">
        <v>14</v>
      </c>
      <c r="AP254" s="20">
        <v>165.66723991337099</v>
      </c>
      <c r="AQ254" s="20">
        <v>8.4506749839743392E-2</v>
      </c>
      <c r="AR254" s="23">
        <v>1.7272727272727271</v>
      </c>
      <c r="AS254" s="23">
        <v>2.545454545454545</v>
      </c>
      <c r="AT254" s="23">
        <v>0.81818181818181823</v>
      </c>
      <c r="AU254" s="23">
        <v>0</v>
      </c>
      <c r="AV254" s="23">
        <v>0.3392857142857143</v>
      </c>
      <c r="AW254" s="23">
        <v>0.5</v>
      </c>
      <c r="AX254" s="23">
        <v>0.1607142857142857</v>
      </c>
      <c r="AY254" s="23">
        <v>0</v>
      </c>
      <c r="AZ254" s="20">
        <v>1.1000000000000001</v>
      </c>
      <c r="BA254" s="20">
        <v>3.44</v>
      </c>
      <c r="BB254" s="20">
        <v>2.34</v>
      </c>
      <c r="BC254" s="20">
        <v>2.78</v>
      </c>
      <c r="BD254">
        <v>2.78</v>
      </c>
      <c r="BE254">
        <v>6.4270052227137269</v>
      </c>
    </row>
    <row r="255" spans="1:57" x14ac:dyDescent="0.3">
      <c r="A255" t="s">
        <v>8</v>
      </c>
      <c r="B255" s="12" t="s">
        <v>694</v>
      </c>
      <c r="C255" s="12"/>
      <c r="F255">
        <v>3.2</v>
      </c>
      <c r="G255" t="s">
        <v>208</v>
      </c>
      <c r="H255" s="8" t="s">
        <v>530</v>
      </c>
      <c r="I255" t="s">
        <v>612</v>
      </c>
      <c r="N255" s="20">
        <v>30</v>
      </c>
      <c r="O255">
        <v>-2</v>
      </c>
      <c r="P255"/>
      <c r="Q255"/>
      <c r="T255" s="20">
        <v>10.59112378</v>
      </c>
      <c r="U255" s="20">
        <v>10.784736629999999</v>
      </c>
      <c r="V255" s="20">
        <v>10.486176179999999</v>
      </c>
      <c r="W255"/>
      <c r="AO255">
        <v>4</v>
      </c>
      <c r="AP255" s="20">
        <v>1182.741260108548</v>
      </c>
      <c r="AQ255" s="20">
        <v>0.1014592151701775</v>
      </c>
      <c r="AR255" s="23">
        <v>2</v>
      </c>
      <c r="AS255" s="23">
        <v>2.666666666666667</v>
      </c>
      <c r="AT255" s="23">
        <v>0.66666666666666663</v>
      </c>
      <c r="AU255" s="23">
        <v>0</v>
      </c>
      <c r="AV255" s="23">
        <v>0.375</v>
      </c>
      <c r="AW255" s="23">
        <v>0.5</v>
      </c>
      <c r="AX255" s="23">
        <v>0.125</v>
      </c>
      <c r="AY255" s="23">
        <v>0</v>
      </c>
      <c r="AZ255" s="20">
        <v>1.54</v>
      </c>
      <c r="BA255" s="20">
        <v>3.44</v>
      </c>
      <c r="BB255" s="20">
        <v>1.9</v>
      </c>
      <c r="BC255" s="20">
        <v>2.8066666666666671</v>
      </c>
      <c r="BD255">
        <v>2.8066666666666662</v>
      </c>
      <c r="BE255">
        <v>6.1769976</v>
      </c>
    </row>
    <row r="256" spans="1:57" x14ac:dyDescent="0.3">
      <c r="A256" t="s">
        <v>153</v>
      </c>
      <c r="B256" s="12" t="s">
        <v>775</v>
      </c>
      <c r="C256" s="12"/>
      <c r="F256">
        <v>3.1</v>
      </c>
      <c r="G256" t="s">
        <v>209</v>
      </c>
      <c r="H256" s="8" t="s">
        <v>578</v>
      </c>
      <c r="I256">
        <v>-1</v>
      </c>
      <c r="M256">
        <v>1</v>
      </c>
      <c r="N256" s="20">
        <v>1</v>
      </c>
      <c r="O256">
        <v>3.8860000000000001</v>
      </c>
      <c r="P256">
        <v>3.8860000000000001</v>
      </c>
      <c r="Q256">
        <v>10.548299999999999</v>
      </c>
      <c r="R256" t="s">
        <v>1097</v>
      </c>
      <c r="T256" s="20">
        <v>3.9263319999999999</v>
      </c>
      <c r="U256" s="20">
        <v>3.9263319999999999</v>
      </c>
      <c r="V256" s="20">
        <v>10.74639</v>
      </c>
      <c r="W256"/>
      <c r="AO256">
        <v>14</v>
      </c>
      <c r="AP256" s="20">
        <v>165.66723991337099</v>
      </c>
      <c r="AQ256" s="20">
        <v>8.4506749839743392E-2</v>
      </c>
      <c r="AR256" s="23">
        <v>1.7272727272727271</v>
      </c>
      <c r="AS256" s="23">
        <v>2.545454545454545</v>
      </c>
      <c r="AT256" s="23">
        <v>0.81818181818181823</v>
      </c>
      <c r="AU256" s="23">
        <v>0</v>
      </c>
      <c r="AV256" s="23">
        <v>0.3392857142857143</v>
      </c>
      <c r="AW256" s="23">
        <v>0.5</v>
      </c>
      <c r="AX256" s="23">
        <v>0.1607142857142857</v>
      </c>
      <c r="AY256" s="23">
        <v>0</v>
      </c>
      <c r="AZ256" s="20">
        <v>1.1000000000000001</v>
      </c>
      <c r="BA256" s="20">
        <v>3.44</v>
      </c>
      <c r="BB256" s="20">
        <v>2.34</v>
      </c>
      <c r="BC256" s="20">
        <v>2.78</v>
      </c>
      <c r="BD256">
        <v>2.78</v>
      </c>
      <c r="BE256">
        <v>6.4270052227137269</v>
      </c>
    </row>
    <row r="257" spans="1:57" x14ac:dyDescent="0.3">
      <c r="A257" t="s">
        <v>210</v>
      </c>
      <c r="B257" s="16" t="s">
        <v>935</v>
      </c>
      <c r="C257" s="12"/>
      <c r="F257">
        <v>3.1</v>
      </c>
      <c r="G257" t="s">
        <v>209</v>
      </c>
      <c r="H257" s="25" t="s">
        <v>578</v>
      </c>
      <c r="I257">
        <v>-1</v>
      </c>
      <c r="N257" s="20">
        <v>0</v>
      </c>
      <c r="O257" s="1">
        <v>3.8860000000000001</v>
      </c>
      <c r="P257" s="1">
        <v>3.8860000000000001</v>
      </c>
      <c r="Q257" s="1">
        <v>10.548299999999999</v>
      </c>
      <c r="R257" s="1" t="s">
        <v>1097</v>
      </c>
      <c r="T257" s="20">
        <v>0</v>
      </c>
      <c r="U257" s="20"/>
      <c r="V257" s="20"/>
      <c r="W257"/>
      <c r="AO257">
        <v>14</v>
      </c>
      <c r="AP257" s="20">
        <v>0</v>
      </c>
      <c r="AQ257" s="20"/>
      <c r="AR257" s="23">
        <v>1.7285974499089249</v>
      </c>
      <c r="AS257" s="23">
        <v>2.5500910746812391</v>
      </c>
      <c r="AT257" s="23">
        <v>0.82149362477231325</v>
      </c>
      <c r="AU257" s="23">
        <v>0</v>
      </c>
      <c r="AV257" s="23">
        <v>0.33892857142857141</v>
      </c>
      <c r="AW257" s="23">
        <v>0.5</v>
      </c>
      <c r="AX257" s="23">
        <v>0.16107142857142859</v>
      </c>
      <c r="AY257" s="23">
        <v>0</v>
      </c>
      <c r="AZ257" s="20">
        <v>1.1000000000000001</v>
      </c>
      <c r="BA257" s="20">
        <v>3.44</v>
      </c>
      <c r="BB257" s="20">
        <v>2.34</v>
      </c>
      <c r="BC257" s="20">
        <v>2.7820765027322398</v>
      </c>
      <c r="BD257">
        <v>2.7820765027322398</v>
      </c>
      <c r="BE257">
        <v>6.4257889029010924</v>
      </c>
    </row>
    <row r="258" spans="1:57" x14ac:dyDescent="0.3">
      <c r="A258" t="s">
        <v>211</v>
      </c>
      <c r="B258" s="16" t="s">
        <v>936</v>
      </c>
      <c r="C258" s="12"/>
      <c r="F258">
        <v>3.1</v>
      </c>
      <c r="G258" t="s">
        <v>209</v>
      </c>
      <c r="H258" s="25" t="s">
        <v>578</v>
      </c>
      <c r="I258">
        <v>-1</v>
      </c>
      <c r="N258" s="20">
        <v>0</v>
      </c>
      <c r="O258" s="1">
        <v>3.8860000000000001</v>
      </c>
      <c r="P258" s="1">
        <v>3.8860000000000001</v>
      </c>
      <c r="Q258" s="1">
        <v>10.548299999999999</v>
      </c>
      <c r="R258" s="1" t="s">
        <v>1097</v>
      </c>
      <c r="T258" s="20">
        <v>0</v>
      </c>
      <c r="U258" s="20"/>
      <c r="V258" s="20"/>
      <c r="W258"/>
      <c r="AO258">
        <v>14</v>
      </c>
      <c r="AP258" s="20">
        <v>0</v>
      </c>
      <c r="AQ258" s="20"/>
      <c r="AR258" s="23">
        <v>1.730593607305936</v>
      </c>
      <c r="AS258" s="23">
        <v>2.557077625570777</v>
      </c>
      <c r="AT258" s="23">
        <v>0.8264840182648403</v>
      </c>
      <c r="AU258" s="23">
        <v>0</v>
      </c>
      <c r="AV258" s="23">
        <v>0.33839285714285711</v>
      </c>
      <c r="AW258" s="23">
        <v>0.5</v>
      </c>
      <c r="AX258" s="23">
        <v>0.16160714285714289</v>
      </c>
      <c r="AY258" s="23">
        <v>0</v>
      </c>
      <c r="AZ258" s="20">
        <v>1.1000000000000001</v>
      </c>
      <c r="BA258" s="20">
        <v>3.44</v>
      </c>
      <c r="BB258" s="20">
        <v>2.34</v>
      </c>
      <c r="BC258" s="20">
        <v>2.7852054794520549</v>
      </c>
      <c r="BD258">
        <v>2.7852054794520549</v>
      </c>
      <c r="BE258">
        <v>6.4239560922245156</v>
      </c>
    </row>
    <row r="259" spans="1:57" x14ac:dyDescent="0.3">
      <c r="A259" t="s">
        <v>212</v>
      </c>
      <c r="B259" s="16" t="s">
        <v>937</v>
      </c>
      <c r="C259" s="12"/>
      <c r="F259">
        <v>3.1</v>
      </c>
      <c r="G259" t="s">
        <v>209</v>
      </c>
      <c r="H259" s="25" t="s">
        <v>578</v>
      </c>
      <c r="I259">
        <v>-1</v>
      </c>
      <c r="N259" s="20">
        <v>0</v>
      </c>
      <c r="O259" s="1">
        <v>3.8860000000000001</v>
      </c>
      <c r="P259" s="1">
        <v>3.8860000000000001</v>
      </c>
      <c r="Q259" s="1">
        <v>10.548299999999999</v>
      </c>
      <c r="R259" s="1" t="s">
        <v>1097</v>
      </c>
      <c r="T259" s="20">
        <v>0</v>
      </c>
      <c r="U259" s="20"/>
      <c r="V259" s="20"/>
      <c r="W259"/>
      <c r="AO259">
        <v>14</v>
      </c>
      <c r="AP259" s="20">
        <v>0</v>
      </c>
      <c r="AQ259" s="20"/>
      <c r="AR259" s="23">
        <v>1.7373271889400921</v>
      </c>
      <c r="AS259" s="23">
        <v>2.580645161290323</v>
      </c>
      <c r="AT259" s="23">
        <v>0.84331797235023043</v>
      </c>
      <c r="AU259" s="23">
        <v>0</v>
      </c>
      <c r="AV259" s="23">
        <v>0.33660714285714288</v>
      </c>
      <c r="AW259" s="23">
        <v>0.5</v>
      </c>
      <c r="AX259" s="23">
        <v>0.16339285714285709</v>
      </c>
      <c r="AY259" s="23">
        <v>0</v>
      </c>
      <c r="AZ259" s="20">
        <v>1.1000000000000001</v>
      </c>
      <c r="BA259" s="20">
        <v>3.44</v>
      </c>
      <c r="BB259" s="20">
        <v>2.34</v>
      </c>
      <c r="BC259" s="20">
        <v>2.7957603686635939</v>
      </c>
      <c r="BD259">
        <v>2.7957603686635939</v>
      </c>
      <c r="BE259">
        <v>6.4177735234906308</v>
      </c>
    </row>
    <row r="260" spans="1:57" x14ac:dyDescent="0.3">
      <c r="A260" t="s">
        <v>153</v>
      </c>
      <c r="B260" s="16" t="s">
        <v>775</v>
      </c>
      <c r="C260" s="12"/>
      <c r="D260" t="s">
        <v>863</v>
      </c>
      <c r="E260">
        <v>1.34</v>
      </c>
      <c r="F260">
        <v>3.1</v>
      </c>
      <c r="G260" t="s">
        <v>209</v>
      </c>
      <c r="H260" s="8" t="s">
        <v>578</v>
      </c>
      <c r="I260">
        <v>-1</v>
      </c>
      <c r="M260">
        <v>1</v>
      </c>
      <c r="N260" s="20">
        <v>1</v>
      </c>
      <c r="O260">
        <v>3.8860000000000001</v>
      </c>
      <c r="P260">
        <v>3.8860000000000001</v>
      </c>
      <c r="Q260">
        <v>10.548299999999999</v>
      </c>
      <c r="R260" t="s">
        <v>1097</v>
      </c>
      <c r="T260" s="20">
        <v>3.9263319999999999</v>
      </c>
      <c r="U260" s="20">
        <v>3.9263319999999999</v>
      </c>
      <c r="V260" s="20">
        <v>10.74639</v>
      </c>
      <c r="W260"/>
      <c r="AO260">
        <v>14</v>
      </c>
      <c r="AP260" s="20">
        <v>165.66723991337099</v>
      </c>
      <c r="AQ260" s="20">
        <v>8.4506749839743392E-2</v>
      </c>
      <c r="AR260" s="23">
        <v>1.7272727272727271</v>
      </c>
      <c r="AS260" s="23">
        <v>2.545454545454545</v>
      </c>
      <c r="AT260" s="23">
        <v>0.81818181818181823</v>
      </c>
      <c r="AU260" s="23">
        <v>0</v>
      </c>
      <c r="AV260" s="23">
        <v>0.3392857142857143</v>
      </c>
      <c r="AW260" s="23">
        <v>0.5</v>
      </c>
      <c r="AX260" s="23">
        <v>0.1607142857142857</v>
      </c>
      <c r="AY260" s="23">
        <v>0</v>
      </c>
      <c r="AZ260" s="20">
        <v>1.1000000000000001</v>
      </c>
      <c r="BA260" s="20">
        <v>3.44</v>
      </c>
      <c r="BB260" s="20">
        <v>2.34</v>
      </c>
      <c r="BC260" s="20">
        <v>2.78</v>
      </c>
      <c r="BD260">
        <v>2.78</v>
      </c>
      <c r="BE260">
        <v>6.4270052227137269</v>
      </c>
    </row>
    <row r="261" spans="1:57" x14ac:dyDescent="0.3">
      <c r="A261" t="s">
        <v>210</v>
      </c>
      <c r="B261" s="16" t="s">
        <v>935</v>
      </c>
      <c r="C261" s="12"/>
      <c r="D261" t="s">
        <v>863</v>
      </c>
      <c r="E261">
        <v>1.04</v>
      </c>
      <c r="F261">
        <v>3.1</v>
      </c>
      <c r="G261" t="s">
        <v>209</v>
      </c>
      <c r="H261" s="25" t="s">
        <v>578</v>
      </c>
      <c r="I261">
        <v>-1</v>
      </c>
      <c r="M261">
        <v>1</v>
      </c>
      <c r="N261" s="20">
        <v>0</v>
      </c>
      <c r="O261" s="1">
        <v>3.8860000000000001</v>
      </c>
      <c r="P261" s="1">
        <v>3.8860000000000001</v>
      </c>
      <c r="Q261" s="1">
        <v>10.548299999999999</v>
      </c>
      <c r="R261" s="1" t="s">
        <v>1097</v>
      </c>
      <c r="T261" s="20">
        <v>0</v>
      </c>
      <c r="U261" s="20"/>
      <c r="V261" s="20"/>
      <c r="W261"/>
      <c r="AO261">
        <v>14</v>
      </c>
      <c r="AP261" s="20">
        <v>0</v>
      </c>
      <c r="AQ261" s="20"/>
      <c r="AR261" s="23">
        <v>1.7285974499089249</v>
      </c>
      <c r="AS261" s="23">
        <v>2.5500910746812391</v>
      </c>
      <c r="AT261" s="23">
        <v>0.82149362477231325</v>
      </c>
      <c r="AU261" s="23">
        <v>0</v>
      </c>
      <c r="AV261" s="23">
        <v>0.33892857142857141</v>
      </c>
      <c r="AW261" s="23">
        <v>0.5</v>
      </c>
      <c r="AX261" s="23">
        <v>0.16107142857142859</v>
      </c>
      <c r="AY261" s="23">
        <v>0</v>
      </c>
      <c r="AZ261" s="20">
        <v>1.1000000000000001</v>
      </c>
      <c r="BA261" s="20">
        <v>3.44</v>
      </c>
      <c r="BB261" s="20">
        <v>2.34</v>
      </c>
      <c r="BC261" s="20">
        <v>2.7820765027322398</v>
      </c>
      <c r="BD261">
        <v>2.7820765027322398</v>
      </c>
      <c r="BE261">
        <v>6.4257889029010924</v>
      </c>
    </row>
    <row r="262" spans="1:57" x14ac:dyDescent="0.3">
      <c r="A262" t="s">
        <v>211</v>
      </c>
      <c r="B262" s="16" t="s">
        <v>936</v>
      </c>
      <c r="C262" s="12"/>
      <c r="D262" t="s">
        <v>863</v>
      </c>
      <c r="E262">
        <v>1.19</v>
      </c>
      <c r="F262">
        <v>3.1</v>
      </c>
      <c r="G262" t="s">
        <v>209</v>
      </c>
      <c r="H262" s="25" t="s">
        <v>578</v>
      </c>
      <c r="I262">
        <v>-1</v>
      </c>
      <c r="M262">
        <v>1</v>
      </c>
      <c r="N262" s="20">
        <v>0</v>
      </c>
      <c r="O262" s="1">
        <v>3.8860000000000001</v>
      </c>
      <c r="P262" s="1">
        <v>3.8860000000000001</v>
      </c>
      <c r="Q262" s="1">
        <v>10.548299999999999</v>
      </c>
      <c r="R262" s="1" t="s">
        <v>1097</v>
      </c>
      <c r="T262" s="20">
        <v>0</v>
      </c>
      <c r="U262" s="20"/>
      <c r="V262" s="20"/>
      <c r="W262"/>
      <c r="AO262">
        <v>14</v>
      </c>
      <c r="AP262" s="20">
        <v>0</v>
      </c>
      <c r="AQ262" s="20"/>
      <c r="AR262" s="23">
        <v>1.730593607305936</v>
      </c>
      <c r="AS262" s="23">
        <v>2.557077625570777</v>
      </c>
      <c r="AT262" s="23">
        <v>0.8264840182648403</v>
      </c>
      <c r="AU262" s="23">
        <v>0</v>
      </c>
      <c r="AV262" s="23">
        <v>0.33839285714285711</v>
      </c>
      <c r="AW262" s="23">
        <v>0.5</v>
      </c>
      <c r="AX262" s="23">
        <v>0.16160714285714289</v>
      </c>
      <c r="AY262" s="23">
        <v>0</v>
      </c>
      <c r="AZ262" s="20">
        <v>1.1000000000000001</v>
      </c>
      <c r="BA262" s="20">
        <v>3.44</v>
      </c>
      <c r="BB262" s="20">
        <v>2.34</v>
      </c>
      <c r="BC262" s="20">
        <v>2.7852054794520549</v>
      </c>
      <c r="BD262">
        <v>2.7852054794520549</v>
      </c>
      <c r="BE262">
        <v>6.4239560922245156</v>
      </c>
    </row>
    <row r="263" spans="1:57" x14ac:dyDescent="0.3">
      <c r="A263" t="s">
        <v>212</v>
      </c>
      <c r="B263" s="16" t="s">
        <v>937</v>
      </c>
      <c r="C263" s="12"/>
      <c r="D263" t="s">
        <v>863</v>
      </c>
      <c r="E263">
        <v>1.61</v>
      </c>
      <c r="F263">
        <v>3.1</v>
      </c>
      <c r="G263" t="s">
        <v>209</v>
      </c>
      <c r="H263" s="25" t="s">
        <v>578</v>
      </c>
      <c r="I263">
        <v>-1</v>
      </c>
      <c r="M263">
        <v>1</v>
      </c>
      <c r="N263" s="20">
        <v>0</v>
      </c>
      <c r="O263" s="1">
        <v>3.8860000000000001</v>
      </c>
      <c r="P263" s="1">
        <v>3.8860000000000001</v>
      </c>
      <c r="Q263" s="1">
        <v>10.548299999999999</v>
      </c>
      <c r="R263" s="1" t="s">
        <v>1097</v>
      </c>
      <c r="T263" s="20">
        <v>0</v>
      </c>
      <c r="U263" s="20"/>
      <c r="V263" s="20"/>
      <c r="W263"/>
      <c r="AO263">
        <v>14</v>
      </c>
      <c r="AP263" s="20">
        <v>0</v>
      </c>
      <c r="AQ263" s="20"/>
      <c r="AR263" s="23">
        <v>1.7373271889400921</v>
      </c>
      <c r="AS263" s="23">
        <v>2.580645161290323</v>
      </c>
      <c r="AT263" s="23">
        <v>0.84331797235023043</v>
      </c>
      <c r="AU263" s="23">
        <v>0</v>
      </c>
      <c r="AV263" s="23">
        <v>0.33660714285714288</v>
      </c>
      <c r="AW263" s="23">
        <v>0.5</v>
      </c>
      <c r="AX263" s="23">
        <v>0.16339285714285709</v>
      </c>
      <c r="AY263" s="23">
        <v>0</v>
      </c>
      <c r="AZ263" s="20">
        <v>1.1000000000000001</v>
      </c>
      <c r="BA263" s="20">
        <v>3.44</v>
      </c>
      <c r="BB263" s="20">
        <v>2.34</v>
      </c>
      <c r="BC263" s="20">
        <v>2.7957603686635939</v>
      </c>
      <c r="BD263">
        <v>2.7957603686635939</v>
      </c>
      <c r="BE263">
        <v>6.4177735234906308</v>
      </c>
    </row>
    <row r="264" spans="1:57" x14ac:dyDescent="0.3">
      <c r="A264" t="s">
        <v>22</v>
      </c>
      <c r="B264" s="16" t="s">
        <v>876</v>
      </c>
      <c r="C264" s="12"/>
      <c r="F264">
        <v>2.74</v>
      </c>
      <c r="G264" t="s">
        <v>213</v>
      </c>
      <c r="H264" s="25" t="s">
        <v>541</v>
      </c>
      <c r="I264" s="1" t="s">
        <v>621</v>
      </c>
      <c r="N264" s="20">
        <v>0</v>
      </c>
      <c r="O264" s="1">
        <v>5.4960000000000004</v>
      </c>
      <c r="P264" s="1">
        <v>5.4960000000000004</v>
      </c>
      <c r="Q264" s="1">
        <v>25.55</v>
      </c>
      <c r="R264" s="1" t="s">
        <v>450</v>
      </c>
      <c r="T264" s="20">
        <v>0</v>
      </c>
      <c r="U264" s="20"/>
      <c r="V264" s="20"/>
      <c r="W264"/>
      <c r="AO264">
        <v>18</v>
      </c>
      <c r="AP264" s="20">
        <v>0</v>
      </c>
      <c r="AQ264" s="20"/>
      <c r="AR264" s="23">
        <v>1.871428571428571</v>
      </c>
      <c r="AS264" s="23">
        <v>3.1428571428571428</v>
      </c>
      <c r="AT264" s="23">
        <v>2.714285714285714</v>
      </c>
      <c r="AU264" s="23">
        <v>3.2</v>
      </c>
      <c r="AV264" s="23">
        <v>0.17124183006535951</v>
      </c>
      <c r="AW264" s="23">
        <v>0.28758169934640521</v>
      </c>
      <c r="AX264" s="23">
        <v>0.2483660130718954</v>
      </c>
      <c r="AY264" s="23">
        <v>0.29281045751633977</v>
      </c>
      <c r="AZ264" s="20">
        <v>1.6</v>
      </c>
      <c r="BA264" s="20">
        <v>3.44</v>
      </c>
      <c r="BB264" s="20">
        <v>1.84</v>
      </c>
      <c r="BC264" s="20">
        <v>2.9058571428571431</v>
      </c>
      <c r="BD264">
        <v>2.9058571428571431</v>
      </c>
      <c r="BE264">
        <v>6.2676757950000006</v>
      </c>
    </row>
    <row r="265" spans="1:57" x14ac:dyDescent="0.3">
      <c r="A265" t="s">
        <v>23</v>
      </c>
      <c r="B265" s="16" t="s">
        <v>877</v>
      </c>
      <c r="C265" s="12"/>
      <c r="F265">
        <v>2.74</v>
      </c>
      <c r="G265" t="s">
        <v>213</v>
      </c>
      <c r="H265" s="25" t="s">
        <v>541</v>
      </c>
      <c r="I265" s="1" t="s">
        <v>621</v>
      </c>
      <c r="N265" s="20">
        <v>0</v>
      </c>
      <c r="O265" s="1">
        <v>5.4960000000000004</v>
      </c>
      <c r="P265" s="1">
        <v>5.4960000000000004</v>
      </c>
      <c r="Q265" s="1">
        <v>25.55</v>
      </c>
      <c r="R265" s="1" t="s">
        <v>450</v>
      </c>
      <c r="T265" s="20">
        <v>0</v>
      </c>
      <c r="U265" s="20"/>
      <c r="V265" s="20"/>
      <c r="W265"/>
      <c r="AO265">
        <v>18</v>
      </c>
      <c r="AP265" s="20">
        <v>0</v>
      </c>
      <c r="AQ265" s="20"/>
      <c r="AR265" s="23">
        <v>1.8678571428571431</v>
      </c>
      <c r="AS265" s="23">
        <v>3.1428571428571428</v>
      </c>
      <c r="AT265" s="23">
        <v>2.714285714285714</v>
      </c>
      <c r="AU265" s="23">
        <v>3.15</v>
      </c>
      <c r="AV265" s="23">
        <v>0.1717569786535304</v>
      </c>
      <c r="AW265" s="23">
        <v>0.28899835796387519</v>
      </c>
      <c r="AX265" s="23">
        <v>0.24958949096880129</v>
      </c>
      <c r="AY265" s="23">
        <v>0.28965517241379313</v>
      </c>
      <c r="AZ265" s="20">
        <v>1.6</v>
      </c>
      <c r="BA265" s="20">
        <v>3.44</v>
      </c>
      <c r="BB265" s="20">
        <v>1.84</v>
      </c>
      <c r="BC265" s="20">
        <v>2.903142857142857</v>
      </c>
      <c r="BD265">
        <v>2.903142857142857</v>
      </c>
      <c r="BE265">
        <v>6.2658828646428582</v>
      </c>
    </row>
    <row r="266" spans="1:57" x14ac:dyDescent="0.3">
      <c r="A266" t="s">
        <v>24</v>
      </c>
      <c r="B266" s="16" t="s">
        <v>878</v>
      </c>
      <c r="C266" s="12"/>
      <c r="F266">
        <v>2.75</v>
      </c>
      <c r="G266" t="s">
        <v>213</v>
      </c>
      <c r="H266" s="25" t="s">
        <v>541</v>
      </c>
      <c r="I266" s="1" t="s">
        <v>621</v>
      </c>
      <c r="N266" s="20">
        <v>0</v>
      </c>
      <c r="O266" s="1">
        <v>5.4960000000000004</v>
      </c>
      <c r="P266" s="1">
        <v>5.4960000000000004</v>
      </c>
      <c r="Q266" s="1">
        <v>25.55</v>
      </c>
      <c r="R266" s="1" t="s">
        <v>450</v>
      </c>
      <c r="T266" s="20">
        <v>0</v>
      </c>
      <c r="U266" s="20"/>
      <c r="V266" s="20"/>
      <c r="W266"/>
      <c r="AO266">
        <v>18</v>
      </c>
      <c r="AP266" s="20">
        <v>0</v>
      </c>
      <c r="AQ266" s="20"/>
      <c r="AR266" s="23">
        <v>1.8642857142857141</v>
      </c>
      <c r="AS266" s="23">
        <v>3.1428571428571428</v>
      </c>
      <c r="AT266" s="23">
        <v>2.714285714285714</v>
      </c>
      <c r="AU266" s="23">
        <v>3.1</v>
      </c>
      <c r="AV266" s="23">
        <v>0.17227722772277229</v>
      </c>
      <c r="AW266" s="23">
        <v>0.29042904290429039</v>
      </c>
      <c r="AX266" s="23">
        <v>0.25082508250825092</v>
      </c>
      <c r="AY266" s="23">
        <v>0.28646864686468648</v>
      </c>
      <c r="AZ266" s="20">
        <v>1.6</v>
      </c>
      <c r="BA266" s="20">
        <v>3.44</v>
      </c>
      <c r="BB266" s="20">
        <v>1.84</v>
      </c>
      <c r="BC266" s="20">
        <v>2.9004285714285709</v>
      </c>
      <c r="BD266">
        <v>2.9004285714285718</v>
      </c>
      <c r="BE266">
        <v>6.2640899342857157</v>
      </c>
    </row>
    <row r="267" spans="1:57" x14ac:dyDescent="0.3">
      <c r="A267" t="s">
        <v>25</v>
      </c>
      <c r="B267" s="12" t="s">
        <v>708</v>
      </c>
      <c r="C267" s="12"/>
      <c r="F267">
        <v>2.88</v>
      </c>
      <c r="G267" t="s">
        <v>213</v>
      </c>
      <c r="H267" s="8" t="s">
        <v>541</v>
      </c>
      <c r="I267" t="s">
        <v>621</v>
      </c>
      <c r="N267" s="20">
        <v>1</v>
      </c>
      <c r="O267">
        <v>5.4960000000000004</v>
      </c>
      <c r="P267">
        <v>5.4960000000000004</v>
      </c>
      <c r="Q267">
        <v>25.55</v>
      </c>
      <c r="R267" t="s">
        <v>450</v>
      </c>
      <c r="T267" s="20">
        <v>12.868820120000001</v>
      </c>
      <c r="U267" s="20">
        <v>12.868820120000001</v>
      </c>
      <c r="V267" s="20">
        <v>12.868820120000001</v>
      </c>
      <c r="W267"/>
      <c r="AO267">
        <v>18</v>
      </c>
      <c r="AP267" s="20">
        <v>197.4403766939285</v>
      </c>
      <c r="AQ267" s="20">
        <v>9.1166762854710051E-2</v>
      </c>
      <c r="AR267" s="23">
        <v>1.857142857142857</v>
      </c>
      <c r="AS267" s="23">
        <v>3.1428571428571428</v>
      </c>
      <c r="AT267" s="23">
        <v>2.714285714285714</v>
      </c>
      <c r="AU267" s="23">
        <v>3</v>
      </c>
      <c r="AV267" s="23">
        <v>0.17333333333333331</v>
      </c>
      <c r="AW267" s="23">
        <v>0.29333333333333328</v>
      </c>
      <c r="AX267" s="23">
        <v>0.25333333333333341</v>
      </c>
      <c r="AY267" s="23">
        <v>0.28000000000000003</v>
      </c>
      <c r="AZ267" s="20">
        <v>1.6</v>
      </c>
      <c r="BA267" s="20">
        <v>3.44</v>
      </c>
      <c r="BB267" s="20">
        <v>1.84</v>
      </c>
      <c r="BC267" s="20">
        <v>2.895</v>
      </c>
      <c r="BD267">
        <v>2.895</v>
      </c>
      <c r="BE267">
        <v>6.260504073571429</v>
      </c>
    </row>
    <row r="268" spans="1:57" x14ac:dyDescent="0.3">
      <c r="A268" t="s">
        <v>26</v>
      </c>
      <c r="B268" s="16" t="s">
        <v>879</v>
      </c>
      <c r="C268" s="12"/>
      <c r="F268">
        <v>2.91</v>
      </c>
      <c r="G268" t="s">
        <v>213</v>
      </c>
      <c r="H268" s="25" t="s">
        <v>541</v>
      </c>
      <c r="I268" s="1" t="s">
        <v>621</v>
      </c>
      <c r="J268" s="1"/>
      <c r="K268" s="1"/>
      <c r="L268" s="1"/>
      <c r="M268" s="1"/>
      <c r="N268" s="26">
        <v>0</v>
      </c>
      <c r="O268" s="1">
        <v>5.4960000000000004</v>
      </c>
      <c r="P268" s="1">
        <v>5.4960000000000004</v>
      </c>
      <c r="Q268" s="1">
        <v>25.55</v>
      </c>
      <c r="R268" s="1" t="s">
        <v>450</v>
      </c>
      <c r="T268" s="20">
        <v>0</v>
      </c>
      <c r="U268" s="20"/>
      <c r="V268" s="20"/>
      <c r="W268"/>
      <c r="AO268">
        <v>18</v>
      </c>
      <c r="AP268" s="20">
        <v>0</v>
      </c>
      <c r="AQ268" s="20"/>
      <c r="AR268" s="23">
        <v>1.8642857142857141</v>
      </c>
      <c r="AS268" s="23">
        <v>3.1428571428571428</v>
      </c>
      <c r="AT268" s="23">
        <v>2.7</v>
      </c>
      <c r="AU268" s="23">
        <v>3</v>
      </c>
      <c r="AV268" s="23">
        <v>0.1741160773849233</v>
      </c>
      <c r="AW268" s="23">
        <v>0.29352901934623082</v>
      </c>
      <c r="AX268" s="23">
        <v>0.25216811207471651</v>
      </c>
      <c r="AY268" s="23">
        <v>0.28018679119412943</v>
      </c>
      <c r="AZ268" s="20">
        <v>1.54</v>
      </c>
      <c r="BA268" s="20">
        <v>3.44</v>
      </c>
      <c r="BB268" s="20">
        <v>1.9</v>
      </c>
      <c r="BC268" s="20">
        <v>2.894571428571429</v>
      </c>
      <c r="BD268">
        <v>2.894571428571429</v>
      </c>
      <c r="BE268">
        <v>6.2577448164285716</v>
      </c>
    </row>
    <row r="269" spans="1:57" x14ac:dyDescent="0.3">
      <c r="A269" t="s">
        <v>107</v>
      </c>
      <c r="B269" s="12" t="s">
        <v>727</v>
      </c>
      <c r="C269" s="12"/>
      <c r="F269">
        <v>3.08</v>
      </c>
      <c r="G269" t="s">
        <v>214</v>
      </c>
      <c r="H269" s="8" t="s">
        <v>555</v>
      </c>
      <c r="I269" t="s">
        <v>632</v>
      </c>
      <c r="N269" s="20">
        <v>1</v>
      </c>
      <c r="O269"/>
      <c r="P269"/>
      <c r="Q269"/>
      <c r="T269" s="20">
        <v>3.86469438</v>
      </c>
      <c r="U269" s="20">
        <v>3.86469438</v>
      </c>
      <c r="V269" s="20">
        <v>16.978874730000001</v>
      </c>
      <c r="W269"/>
      <c r="AO269">
        <v>24</v>
      </c>
      <c r="AP269" s="20">
        <v>251.01098912285789</v>
      </c>
      <c r="AQ269" s="20">
        <v>9.5613343797681868E-2</v>
      </c>
      <c r="AR269" s="23">
        <v>2</v>
      </c>
      <c r="AS269" s="23">
        <v>3.1578947368421049</v>
      </c>
      <c r="AT269" s="23">
        <v>2.4210526315789469</v>
      </c>
      <c r="AU269" s="23">
        <v>2.947368421052631</v>
      </c>
      <c r="AV269" s="23">
        <v>0.19</v>
      </c>
      <c r="AW269" s="23">
        <v>0.3</v>
      </c>
      <c r="AX269" s="23">
        <v>0.23</v>
      </c>
      <c r="AY269" s="23">
        <v>0.28000000000000003</v>
      </c>
      <c r="AZ269" s="20">
        <v>1.54</v>
      </c>
      <c r="BA269" s="20">
        <v>3.44</v>
      </c>
      <c r="BB269" s="20">
        <v>1.9</v>
      </c>
      <c r="BC269" s="20">
        <v>2.8410526315789468</v>
      </c>
      <c r="BD269">
        <v>2.8410526315789468</v>
      </c>
      <c r="BE269">
        <v>6.1729587136842099</v>
      </c>
    </row>
    <row r="270" spans="1:57" x14ac:dyDescent="0.3">
      <c r="A270" t="s">
        <v>215</v>
      </c>
      <c r="B270" s="12" t="s">
        <v>734</v>
      </c>
      <c r="C270" s="12"/>
      <c r="F270">
        <v>3.8</v>
      </c>
      <c r="G270" t="s">
        <v>216</v>
      </c>
      <c r="H270" s="8" t="s">
        <v>587</v>
      </c>
      <c r="I270" t="s">
        <v>636</v>
      </c>
      <c r="N270" s="20">
        <v>1</v>
      </c>
      <c r="O270"/>
      <c r="P270"/>
      <c r="Q270"/>
      <c r="T270" s="20">
        <v>3.950634</v>
      </c>
      <c r="U270" s="20">
        <v>3.950634</v>
      </c>
      <c r="V270" s="20">
        <v>15.513552000000001</v>
      </c>
      <c r="W270"/>
      <c r="AO270">
        <v>20</v>
      </c>
      <c r="AP270" s="20">
        <v>242.1279024923125</v>
      </c>
      <c r="AQ270" s="20">
        <v>8.2600971611006269E-2</v>
      </c>
      <c r="AR270" s="23">
        <v>1.9375</v>
      </c>
      <c r="AS270" s="23">
        <v>2.5</v>
      </c>
      <c r="AT270" s="23">
        <v>0.5625</v>
      </c>
      <c r="AU270" s="23">
        <v>2.625</v>
      </c>
      <c r="AV270" s="23">
        <v>0.25409836065573771</v>
      </c>
      <c r="AW270" s="23">
        <v>0.32786885245901642</v>
      </c>
      <c r="AX270" s="23">
        <v>7.3770491803278687E-2</v>
      </c>
      <c r="AY270" s="23">
        <v>0.34426229508196721</v>
      </c>
      <c r="AZ270" s="20">
        <v>0.79</v>
      </c>
      <c r="BA270" s="20">
        <v>3.44</v>
      </c>
      <c r="BB270" s="20">
        <v>2.65</v>
      </c>
      <c r="BC270" s="20">
        <v>2.6056249999999999</v>
      </c>
      <c r="BD270">
        <v>2.6056249999999999</v>
      </c>
      <c r="BE270">
        <v>5.9703320286696879</v>
      </c>
    </row>
    <row r="271" spans="1:57" x14ac:dyDescent="0.3">
      <c r="A271" t="s">
        <v>215</v>
      </c>
      <c r="B271" s="12" t="s">
        <v>734</v>
      </c>
      <c r="C271" s="12"/>
      <c r="D271" t="s">
        <v>676</v>
      </c>
      <c r="E271">
        <v>0.44</v>
      </c>
      <c r="F271">
        <v>2</v>
      </c>
      <c r="G271" t="s">
        <v>216</v>
      </c>
      <c r="H271" s="8" t="s">
        <v>587</v>
      </c>
      <c r="I271" t="s">
        <v>636</v>
      </c>
      <c r="N271" s="20">
        <v>1</v>
      </c>
      <c r="O271"/>
      <c r="P271"/>
      <c r="Q271"/>
      <c r="T271" s="20">
        <v>3.950634</v>
      </c>
      <c r="U271" s="20">
        <v>3.950634</v>
      </c>
      <c r="V271" s="20">
        <v>15.513552000000001</v>
      </c>
      <c r="W271"/>
      <c r="AO271">
        <v>20</v>
      </c>
      <c r="AP271" s="20">
        <v>242.1279024923125</v>
      </c>
      <c r="AQ271" s="20">
        <v>8.2600971611006269E-2</v>
      </c>
      <c r="AR271" s="23">
        <v>1.9375</v>
      </c>
      <c r="AS271" s="23">
        <v>2.5</v>
      </c>
      <c r="AT271" s="23">
        <v>0.5625</v>
      </c>
      <c r="AU271" s="23">
        <v>2.625</v>
      </c>
      <c r="AV271" s="23">
        <v>0.25409836065573771</v>
      </c>
      <c r="AW271" s="23">
        <v>0.32786885245901642</v>
      </c>
      <c r="AX271" s="23">
        <v>7.3770491803278687E-2</v>
      </c>
      <c r="AY271" s="23">
        <v>0.34426229508196721</v>
      </c>
      <c r="AZ271" s="20">
        <v>0.79</v>
      </c>
      <c r="BA271" s="20">
        <v>3.44</v>
      </c>
      <c r="BB271" s="20">
        <v>2.65</v>
      </c>
      <c r="BC271" s="20">
        <v>2.6056249999999999</v>
      </c>
      <c r="BD271">
        <v>2.6056249999999999</v>
      </c>
      <c r="BE271">
        <v>5.9703320286696879</v>
      </c>
    </row>
    <row r="272" spans="1:57" x14ac:dyDescent="0.3">
      <c r="A272" t="s">
        <v>217</v>
      </c>
      <c r="B272" s="12" t="s">
        <v>806</v>
      </c>
      <c r="C272" s="12"/>
      <c r="F272">
        <v>2.58</v>
      </c>
      <c r="G272" t="s">
        <v>218</v>
      </c>
      <c r="H272" s="8">
        <v>-1</v>
      </c>
      <c r="I272">
        <v>-1</v>
      </c>
      <c r="N272" s="20">
        <v>0</v>
      </c>
      <c r="O272">
        <v>3.93</v>
      </c>
      <c r="P272">
        <v>3.93</v>
      </c>
      <c r="Q272">
        <v>15.3</v>
      </c>
      <c r="T272" s="20">
        <v>0</v>
      </c>
      <c r="U272" s="20"/>
      <c r="V272" s="20"/>
      <c r="W272"/>
      <c r="AO272">
        <v>20</v>
      </c>
      <c r="AP272" s="20">
        <v>0</v>
      </c>
      <c r="AQ272" s="20"/>
      <c r="AR272" s="23">
        <v>1.75</v>
      </c>
      <c r="AS272" s="23">
        <v>2.75</v>
      </c>
      <c r="AT272" s="23">
        <v>2</v>
      </c>
      <c r="AU272" s="23">
        <v>1.75</v>
      </c>
      <c r="AV272" s="23">
        <v>0.2121212121212121</v>
      </c>
      <c r="AW272" s="23">
        <v>0.33333333333333331</v>
      </c>
      <c r="AX272" s="23">
        <v>0.2424242424242424</v>
      </c>
      <c r="AY272" s="23">
        <v>0.2121212121212121</v>
      </c>
      <c r="AZ272" s="20">
        <v>1.6</v>
      </c>
      <c r="BA272" s="20">
        <v>3.44</v>
      </c>
      <c r="BB272" s="20">
        <v>1.84</v>
      </c>
      <c r="BC272" s="20">
        <v>2.8787500000000001</v>
      </c>
      <c r="BD272">
        <v>2.8787500000000001</v>
      </c>
      <c r="BE272">
        <v>6.3662565249906873</v>
      </c>
    </row>
    <row r="273" spans="1:57" x14ac:dyDescent="0.3">
      <c r="A273" t="s">
        <v>873</v>
      </c>
      <c r="B273" s="12" t="s">
        <v>874</v>
      </c>
      <c r="C273" s="12"/>
      <c r="F273">
        <v>2.29</v>
      </c>
      <c r="G273" t="s">
        <v>218</v>
      </c>
      <c r="H273" s="8">
        <v>-1</v>
      </c>
      <c r="I273">
        <v>-1</v>
      </c>
      <c r="N273" s="20">
        <v>0</v>
      </c>
      <c r="O273">
        <v>3.93</v>
      </c>
      <c r="P273">
        <v>3.93</v>
      </c>
      <c r="Q273">
        <v>15.3</v>
      </c>
      <c r="T273" s="20">
        <v>0</v>
      </c>
      <c r="U273" s="20"/>
      <c r="V273" s="20"/>
      <c r="W273"/>
      <c r="AO273">
        <v>20</v>
      </c>
      <c r="AP273" s="20">
        <v>0</v>
      </c>
      <c r="AQ273" s="20"/>
      <c r="AR273" s="23">
        <v>1.714285714285714</v>
      </c>
      <c r="AS273" s="23">
        <v>2.6190476190476191</v>
      </c>
      <c r="AT273" s="23">
        <v>1.9285714285714279</v>
      </c>
      <c r="AU273" s="23">
        <v>1.666666666666667</v>
      </c>
      <c r="AV273" s="23">
        <v>0.2162162162162162</v>
      </c>
      <c r="AW273" s="23">
        <v>0.33033033033033038</v>
      </c>
      <c r="AX273" s="23">
        <v>0.2432432432432432</v>
      </c>
      <c r="AY273" s="23">
        <v>0.21021021021021019</v>
      </c>
      <c r="AZ273" s="20">
        <v>1.6</v>
      </c>
      <c r="BA273" s="20">
        <v>3.44</v>
      </c>
      <c r="BB273" s="20">
        <v>1.84</v>
      </c>
      <c r="BC273" s="20">
        <v>2.847857142857142</v>
      </c>
      <c r="BD273">
        <v>2.8478571428571429</v>
      </c>
      <c r="BE273">
        <v>6.402055730936417</v>
      </c>
    </row>
    <row r="274" spans="1:57" x14ac:dyDescent="0.3">
      <c r="A274" t="s">
        <v>220</v>
      </c>
      <c r="B274" s="12" t="s">
        <v>807</v>
      </c>
      <c r="C274" s="12"/>
      <c r="F274">
        <v>4.05</v>
      </c>
      <c r="G274" t="s">
        <v>219</v>
      </c>
      <c r="H274" s="8" t="s">
        <v>588</v>
      </c>
      <c r="I274" t="s">
        <v>661</v>
      </c>
      <c r="N274" s="20">
        <v>1</v>
      </c>
      <c r="O274"/>
      <c r="P274"/>
      <c r="Q274"/>
      <c r="T274" s="20">
        <v>5.81978595</v>
      </c>
      <c r="U274" s="20">
        <v>5.81978595</v>
      </c>
      <c r="V274" s="20">
        <v>11.88463337</v>
      </c>
      <c r="W274"/>
      <c r="AO274">
        <v>30</v>
      </c>
      <c r="AP274" s="20">
        <v>348.60249769877402</v>
      </c>
      <c r="AQ274" s="20">
        <v>8.6057903193576313E-2</v>
      </c>
      <c r="AR274" s="23">
        <v>2</v>
      </c>
      <c r="AS274" s="23">
        <v>2.5</v>
      </c>
      <c r="AT274" s="23">
        <v>0.5</v>
      </c>
      <c r="AU274" s="23">
        <v>2.333333333333333</v>
      </c>
      <c r="AV274" s="23">
        <v>0.27272727272727282</v>
      </c>
      <c r="AW274" s="23">
        <v>0.34090909090909088</v>
      </c>
      <c r="AX274" s="23">
        <v>6.8181818181818191E-2</v>
      </c>
      <c r="AY274" s="23">
        <v>0.31818181818181818</v>
      </c>
      <c r="AZ274" s="20">
        <v>0.89</v>
      </c>
      <c r="BA274" s="20">
        <v>3.44</v>
      </c>
      <c r="BB274" s="20">
        <v>2.5499999999999998</v>
      </c>
      <c r="BC274" s="20">
        <v>2.5854166666666671</v>
      </c>
      <c r="BD274">
        <v>2.5854166666666671</v>
      </c>
      <c r="BE274">
        <v>5.9262421145833333</v>
      </c>
    </row>
    <row r="275" spans="1:57" x14ac:dyDescent="0.3">
      <c r="A275" t="s">
        <v>220</v>
      </c>
      <c r="B275" s="12" t="s">
        <v>807</v>
      </c>
      <c r="C275" s="12"/>
      <c r="D275" t="s">
        <v>676</v>
      </c>
      <c r="E275">
        <v>0.3</v>
      </c>
      <c r="F275">
        <v>1.75</v>
      </c>
      <c r="G275" t="s">
        <v>219</v>
      </c>
      <c r="H275" s="8" t="s">
        <v>588</v>
      </c>
      <c r="I275" t="s">
        <v>661</v>
      </c>
      <c r="N275" s="20">
        <v>1</v>
      </c>
      <c r="O275"/>
      <c r="P275"/>
      <c r="Q275"/>
      <c r="T275" s="20">
        <v>5.81978595</v>
      </c>
      <c r="U275" s="20">
        <v>5.81978595</v>
      </c>
      <c r="V275" s="20">
        <v>11.88463337</v>
      </c>
      <c r="W275"/>
      <c r="AO275">
        <v>30</v>
      </c>
      <c r="AP275" s="20">
        <v>348.60249769877402</v>
      </c>
      <c r="AQ275" s="20">
        <v>8.6057903193576313E-2</v>
      </c>
      <c r="AR275" s="23">
        <v>2</v>
      </c>
      <c r="AS275" s="23">
        <v>2.5</v>
      </c>
      <c r="AT275" s="23">
        <v>0.5</v>
      </c>
      <c r="AU275" s="23">
        <v>2.333333333333333</v>
      </c>
      <c r="AV275" s="23">
        <v>0.27272727272727282</v>
      </c>
      <c r="AW275" s="23">
        <v>0.34090909090909088</v>
      </c>
      <c r="AX275" s="23">
        <v>6.8181818181818191E-2</v>
      </c>
      <c r="AY275" s="23">
        <v>0.31818181818181818</v>
      </c>
      <c r="AZ275" s="20">
        <v>0.89</v>
      </c>
      <c r="BA275" s="20">
        <v>3.44</v>
      </c>
      <c r="BB275" s="20">
        <v>2.5499999999999998</v>
      </c>
      <c r="BC275" s="20">
        <v>2.5854166666666671</v>
      </c>
      <c r="BD275">
        <v>2.5854166666666671</v>
      </c>
      <c r="BE275">
        <v>5.9262421145833333</v>
      </c>
    </row>
    <row r="276" spans="1:57" x14ac:dyDescent="0.3">
      <c r="A276" t="s">
        <v>221</v>
      </c>
      <c r="B276" s="12" t="s">
        <v>808</v>
      </c>
      <c r="C276" s="12"/>
      <c r="F276">
        <v>4.51</v>
      </c>
      <c r="G276" t="s">
        <v>222</v>
      </c>
      <c r="H276" s="8" t="s">
        <v>589</v>
      </c>
      <c r="I276">
        <v>-1</v>
      </c>
      <c r="N276" s="20">
        <v>1</v>
      </c>
      <c r="O276"/>
      <c r="P276"/>
      <c r="Q276"/>
      <c r="T276" s="20">
        <v>5.6694849300000003</v>
      </c>
      <c r="U276" s="20">
        <v>5.6694842000000003</v>
      </c>
      <c r="V276" s="20">
        <v>11.54266629</v>
      </c>
      <c r="W276"/>
      <c r="AO276">
        <v>30</v>
      </c>
      <c r="AP276" s="20">
        <v>321.30962315738361</v>
      </c>
      <c r="AQ276" s="20">
        <v>9.3367885173191417E-2</v>
      </c>
      <c r="AR276" s="23">
        <v>2</v>
      </c>
      <c r="AS276" s="23">
        <v>2.5</v>
      </c>
      <c r="AT276" s="23">
        <v>0.5</v>
      </c>
      <c r="AU276" s="23">
        <v>2.333333333333333</v>
      </c>
      <c r="AV276" s="23">
        <v>0.27272727272727282</v>
      </c>
      <c r="AW276" s="23">
        <v>0.34090909090909088</v>
      </c>
      <c r="AX276" s="23">
        <v>6.8181818181818191E-2</v>
      </c>
      <c r="AY276" s="23">
        <v>0.31818181818181818</v>
      </c>
      <c r="AZ276" s="20">
        <v>0.95</v>
      </c>
      <c r="BA276" s="20">
        <v>3.44</v>
      </c>
      <c r="BB276" s="20">
        <v>2.4900000000000002</v>
      </c>
      <c r="BC276" s="20">
        <v>2.5979166666666669</v>
      </c>
      <c r="BD276">
        <v>2.597916666666666</v>
      </c>
      <c r="BE276">
        <v>5.966934078125</v>
      </c>
    </row>
    <row r="277" spans="1:57" x14ac:dyDescent="0.3">
      <c r="A277" t="s">
        <v>221</v>
      </c>
      <c r="B277" s="12" t="s">
        <v>808</v>
      </c>
      <c r="C277" s="12"/>
      <c r="D277" t="s">
        <v>676</v>
      </c>
      <c r="E277">
        <v>0.63</v>
      </c>
      <c r="F277">
        <v>2.2000000000000002</v>
      </c>
      <c r="G277" t="s">
        <v>222</v>
      </c>
      <c r="H277" s="8" t="s">
        <v>589</v>
      </c>
      <c r="I277">
        <v>-1</v>
      </c>
      <c r="N277" s="20">
        <v>1</v>
      </c>
      <c r="O277"/>
      <c r="P277"/>
      <c r="Q277"/>
      <c r="T277" s="20">
        <v>5.6694849300000003</v>
      </c>
      <c r="U277" s="20">
        <v>5.6694842000000003</v>
      </c>
      <c r="V277" s="20">
        <v>11.54266629</v>
      </c>
      <c r="W277"/>
      <c r="AO277">
        <v>30</v>
      </c>
      <c r="AP277" s="20">
        <v>321.30962315738361</v>
      </c>
      <c r="AQ277" s="20">
        <v>9.3367885173191417E-2</v>
      </c>
      <c r="AR277" s="23">
        <v>2</v>
      </c>
      <c r="AS277" s="23">
        <v>2.5</v>
      </c>
      <c r="AT277" s="23">
        <v>0.5</v>
      </c>
      <c r="AU277" s="23">
        <v>2.333333333333333</v>
      </c>
      <c r="AV277" s="23">
        <v>0.27272727272727282</v>
      </c>
      <c r="AW277" s="23">
        <v>0.34090909090909088</v>
      </c>
      <c r="AX277" s="23">
        <v>6.8181818181818191E-2</v>
      </c>
      <c r="AY277" s="23">
        <v>0.31818181818181818</v>
      </c>
      <c r="AZ277" s="20">
        <v>0.95</v>
      </c>
      <c r="BA277" s="20">
        <v>3.44</v>
      </c>
      <c r="BB277" s="20">
        <v>2.4900000000000002</v>
      </c>
      <c r="BC277" s="20">
        <v>2.5979166666666669</v>
      </c>
      <c r="BD277">
        <v>2.597916666666666</v>
      </c>
      <c r="BE277">
        <v>5.966934078125</v>
      </c>
    </row>
    <row r="278" spans="1:57" x14ac:dyDescent="0.3">
      <c r="A278" t="s">
        <v>185</v>
      </c>
      <c r="B278" s="12" t="s">
        <v>729</v>
      </c>
      <c r="C278" s="12"/>
      <c r="F278">
        <v>4.2</v>
      </c>
      <c r="G278" t="s">
        <v>223</v>
      </c>
      <c r="H278" s="8" t="s">
        <v>556</v>
      </c>
      <c r="I278" t="s">
        <v>633</v>
      </c>
      <c r="N278" s="20">
        <v>2</v>
      </c>
      <c r="O278"/>
      <c r="P278"/>
      <c r="Q278"/>
      <c r="T278" s="20">
        <v>13.81974189</v>
      </c>
      <c r="U278" s="20">
        <v>13.81974189</v>
      </c>
      <c r="V278" s="20">
        <v>5.7110870199999999</v>
      </c>
      <c r="W278"/>
      <c r="AO278">
        <v>14</v>
      </c>
      <c r="AP278" s="20">
        <v>309.44138863753989</v>
      </c>
      <c r="AQ278" s="20">
        <v>9.0485633235046756E-2</v>
      </c>
      <c r="AR278" s="23">
        <v>2</v>
      </c>
      <c r="AS278" s="23">
        <v>2.545454545454545</v>
      </c>
      <c r="AT278" s="23">
        <v>0.54545454545454541</v>
      </c>
      <c r="AU278" s="23">
        <v>2.545454545454545</v>
      </c>
      <c r="AV278" s="23">
        <v>0.26190476190476192</v>
      </c>
      <c r="AW278" s="23">
        <v>0.33333333333333331</v>
      </c>
      <c r="AX278" s="23">
        <v>7.1428571428571425E-2</v>
      </c>
      <c r="AY278" s="23">
        <v>0.33333333333333331</v>
      </c>
      <c r="AZ278" s="20">
        <v>0.95</v>
      </c>
      <c r="BA278" s="20">
        <v>3.44</v>
      </c>
      <c r="BB278" s="20">
        <v>2.4900000000000002</v>
      </c>
      <c r="BC278" s="20">
        <v>2.6345454545454539</v>
      </c>
      <c r="BD278">
        <v>2.6345454545454552</v>
      </c>
      <c r="BE278">
        <v>6.036062318181818</v>
      </c>
    </row>
    <row r="279" spans="1:57" x14ac:dyDescent="0.3">
      <c r="A279" t="s">
        <v>185</v>
      </c>
      <c r="B279" s="12" t="s">
        <v>729</v>
      </c>
      <c r="C279" s="12"/>
      <c r="D279" t="s">
        <v>676</v>
      </c>
      <c r="E279">
        <v>0.90500000000000003</v>
      </c>
      <c r="F279">
        <v>2.2999999999999998</v>
      </c>
      <c r="G279" t="s">
        <v>223</v>
      </c>
      <c r="H279" s="8" t="s">
        <v>556</v>
      </c>
      <c r="I279" t="s">
        <v>633</v>
      </c>
      <c r="N279" s="20">
        <v>2</v>
      </c>
      <c r="O279"/>
      <c r="P279"/>
      <c r="Q279"/>
      <c r="T279" s="20">
        <v>13.81974189</v>
      </c>
      <c r="U279" s="20">
        <v>13.81974189</v>
      </c>
      <c r="V279" s="20">
        <v>5.7110870199999999</v>
      </c>
      <c r="W279"/>
      <c r="AO279">
        <v>14</v>
      </c>
      <c r="AP279" s="20">
        <v>309.44138863753989</v>
      </c>
      <c r="AQ279" s="20">
        <v>9.0485633235046756E-2</v>
      </c>
      <c r="AR279" s="23">
        <v>2</v>
      </c>
      <c r="AS279" s="23">
        <v>2.545454545454545</v>
      </c>
      <c r="AT279" s="23">
        <v>0.54545454545454541</v>
      </c>
      <c r="AU279" s="23">
        <v>2.545454545454545</v>
      </c>
      <c r="AV279" s="23">
        <v>0.26190476190476192</v>
      </c>
      <c r="AW279" s="23">
        <v>0.33333333333333331</v>
      </c>
      <c r="AX279" s="23">
        <v>7.1428571428571425E-2</v>
      </c>
      <c r="AY279" s="23">
        <v>0.33333333333333331</v>
      </c>
      <c r="AZ279" s="20">
        <v>0.95</v>
      </c>
      <c r="BA279" s="20">
        <v>3.44</v>
      </c>
      <c r="BB279" s="20">
        <v>2.4900000000000002</v>
      </c>
      <c r="BC279" s="20">
        <v>2.6345454545454539</v>
      </c>
      <c r="BD279">
        <v>2.6345454545454552</v>
      </c>
      <c r="BE279">
        <v>6.036062318181818</v>
      </c>
    </row>
    <row r="280" spans="1:57" x14ac:dyDescent="0.3">
      <c r="A280" t="s">
        <v>46</v>
      </c>
      <c r="B280" s="12" t="s">
        <v>722</v>
      </c>
      <c r="C280" s="12"/>
      <c r="F280">
        <v>3.82</v>
      </c>
      <c r="G280" t="s">
        <v>224</v>
      </c>
      <c r="H280" s="8" t="s">
        <v>551</v>
      </c>
      <c r="I280" t="s">
        <v>629</v>
      </c>
      <c r="N280" s="20">
        <v>2</v>
      </c>
      <c r="O280"/>
      <c r="P280"/>
      <c r="Q280"/>
      <c r="T280" s="20">
        <v>7.41544296</v>
      </c>
      <c r="U280" s="20">
        <v>7.4154429599999991</v>
      </c>
      <c r="V280" s="20">
        <v>7.41544296</v>
      </c>
      <c r="W280"/>
      <c r="AO280">
        <v>14</v>
      </c>
      <c r="AP280" s="20">
        <v>288.33429290182369</v>
      </c>
      <c r="AQ280" s="20">
        <v>9.7109503410799117E-2</v>
      </c>
      <c r="AR280" s="23">
        <v>2</v>
      </c>
      <c r="AS280" s="23">
        <v>2.545454545454545</v>
      </c>
      <c r="AT280" s="23">
        <v>0.54545454545454541</v>
      </c>
      <c r="AU280" s="23">
        <v>0</v>
      </c>
      <c r="AV280" s="23">
        <v>0.39285714285714279</v>
      </c>
      <c r="AW280" s="23">
        <v>0.5</v>
      </c>
      <c r="AX280" s="23">
        <v>0.1071428571428571</v>
      </c>
      <c r="AY280" s="23">
        <v>0</v>
      </c>
      <c r="AZ280" s="20">
        <v>1.1000000000000001</v>
      </c>
      <c r="BA280" s="20">
        <v>3.44</v>
      </c>
      <c r="BB280" s="20">
        <v>2.34</v>
      </c>
      <c r="BC280" s="20">
        <v>2.669090909090909</v>
      </c>
      <c r="BD280">
        <v>2.669090909090909</v>
      </c>
      <c r="BE280">
        <v>5.9831974772727277</v>
      </c>
    </row>
    <row r="281" spans="1:57" x14ac:dyDescent="0.3">
      <c r="A281" t="s">
        <v>46</v>
      </c>
      <c r="B281" s="12" t="s">
        <v>722</v>
      </c>
      <c r="C281" s="12"/>
      <c r="F281">
        <v>3.82</v>
      </c>
      <c r="G281" t="s">
        <v>225</v>
      </c>
      <c r="H281" s="8" t="s">
        <v>551</v>
      </c>
      <c r="I281" t="s">
        <v>629</v>
      </c>
      <c r="N281" s="20">
        <v>2</v>
      </c>
      <c r="O281"/>
      <c r="P281"/>
      <c r="Q281"/>
      <c r="T281" s="20">
        <v>7.41544296</v>
      </c>
      <c r="U281" s="20">
        <v>7.4154429599999991</v>
      </c>
      <c r="V281" s="20">
        <v>7.41544296</v>
      </c>
      <c r="W281"/>
      <c r="AO281">
        <v>14</v>
      </c>
      <c r="AP281" s="20">
        <v>288.33429290182369</v>
      </c>
      <c r="AQ281" s="20">
        <v>9.7109503410799117E-2</v>
      </c>
      <c r="AR281" s="23">
        <v>2</v>
      </c>
      <c r="AS281" s="23">
        <v>2.545454545454545</v>
      </c>
      <c r="AT281" s="23">
        <v>0.54545454545454541</v>
      </c>
      <c r="AU281" s="23">
        <v>0</v>
      </c>
      <c r="AV281" s="23">
        <v>0.39285714285714279</v>
      </c>
      <c r="AW281" s="23">
        <v>0.5</v>
      </c>
      <c r="AX281" s="23">
        <v>0.1071428571428571</v>
      </c>
      <c r="AY281" s="23">
        <v>0</v>
      </c>
      <c r="AZ281" s="20">
        <v>1.1000000000000001</v>
      </c>
      <c r="BA281" s="20">
        <v>3.44</v>
      </c>
      <c r="BB281" s="20">
        <v>2.34</v>
      </c>
      <c r="BC281" s="20">
        <v>2.669090909090909</v>
      </c>
      <c r="BD281">
        <v>2.669090909090909</v>
      </c>
      <c r="BE281">
        <v>5.9831974772727277</v>
      </c>
    </row>
    <row r="282" spans="1:57" x14ac:dyDescent="0.3">
      <c r="A282" t="s">
        <v>226</v>
      </c>
      <c r="B282" s="27" t="s">
        <v>938</v>
      </c>
      <c r="C282" s="12"/>
      <c r="F282">
        <v>2.6</v>
      </c>
      <c r="G282" t="s">
        <v>225</v>
      </c>
      <c r="H282" s="25" t="s">
        <v>551</v>
      </c>
      <c r="I282" s="1" t="s">
        <v>629</v>
      </c>
      <c r="N282" s="20">
        <v>0</v>
      </c>
      <c r="O282">
        <v>-1</v>
      </c>
      <c r="P282"/>
      <c r="Q282"/>
      <c r="T282" s="20">
        <v>0</v>
      </c>
      <c r="U282" s="20"/>
      <c r="V282" s="20"/>
      <c r="W282"/>
      <c r="AO282">
        <v>14</v>
      </c>
      <c r="AP282" s="20">
        <v>0</v>
      </c>
      <c r="AQ282" s="20"/>
      <c r="AR282" s="23">
        <v>2</v>
      </c>
      <c r="AS282" s="23">
        <v>2.545454545454545</v>
      </c>
      <c r="AT282" s="23">
        <v>0.55454545454545456</v>
      </c>
      <c r="AU282" s="23">
        <v>0</v>
      </c>
      <c r="AV282" s="23">
        <v>0.39215686274509798</v>
      </c>
      <c r="AW282" s="23">
        <v>0.49910873440285197</v>
      </c>
      <c r="AX282" s="23">
        <v>0.1087344028520499</v>
      </c>
      <c r="AY282" s="23">
        <v>0</v>
      </c>
      <c r="AZ282" s="20">
        <v>1.1000000000000001</v>
      </c>
      <c r="BA282" s="20">
        <v>3.44</v>
      </c>
      <c r="BB282" s="20">
        <v>2.34</v>
      </c>
      <c r="BC282" s="20">
        <v>2.670418181818182</v>
      </c>
      <c r="BD282">
        <v>2.670418181818182</v>
      </c>
      <c r="BE282">
        <v>5.9849440756727272</v>
      </c>
    </row>
    <row r="283" spans="1:57" x14ac:dyDescent="0.3">
      <c r="A283" t="s">
        <v>227</v>
      </c>
      <c r="B283" s="16" t="s">
        <v>939</v>
      </c>
      <c r="C283" s="12"/>
      <c r="F283">
        <v>2.2000000000000002</v>
      </c>
      <c r="G283" t="s">
        <v>225</v>
      </c>
      <c r="H283" s="25" t="s">
        <v>551</v>
      </c>
      <c r="I283" s="1" t="s">
        <v>629</v>
      </c>
      <c r="N283" s="20">
        <v>0</v>
      </c>
      <c r="O283">
        <v>-1</v>
      </c>
      <c r="P283"/>
      <c r="Q283"/>
      <c r="T283" s="20">
        <v>0</v>
      </c>
      <c r="U283" s="20"/>
      <c r="V283" s="20"/>
      <c r="W283"/>
      <c r="AO283">
        <v>14</v>
      </c>
      <c r="AP283" s="20">
        <v>0</v>
      </c>
      <c r="AQ283" s="20"/>
      <c r="AR283" s="23">
        <v>1.9981818181818181</v>
      </c>
      <c r="AS283" s="23">
        <v>2.545454545454545</v>
      </c>
      <c r="AT283" s="23">
        <v>0.55272727272727273</v>
      </c>
      <c r="AU283" s="23">
        <v>0</v>
      </c>
      <c r="AV283" s="23">
        <v>0.39207991437745271</v>
      </c>
      <c r="AW283" s="23">
        <v>0.49946485907955762</v>
      </c>
      <c r="AX283" s="23">
        <v>0.1084552265429897</v>
      </c>
      <c r="AY283" s="23">
        <v>0</v>
      </c>
      <c r="AZ283" s="20">
        <v>1.1000000000000001</v>
      </c>
      <c r="BA283" s="20">
        <v>3.44</v>
      </c>
      <c r="BB283" s="20">
        <v>2.34</v>
      </c>
      <c r="BC283" s="20">
        <v>2.670109090909091</v>
      </c>
      <c r="BD283">
        <v>2.670109090909091</v>
      </c>
      <c r="BE283">
        <v>5.9843864818181816</v>
      </c>
    </row>
    <row r="284" spans="1:57" x14ac:dyDescent="0.3">
      <c r="A284" t="s">
        <v>49</v>
      </c>
      <c r="B284" s="12" t="s">
        <v>725</v>
      </c>
      <c r="C284" s="12"/>
      <c r="F284">
        <v>4</v>
      </c>
      <c r="G284" t="s">
        <v>228</v>
      </c>
      <c r="H284" s="8" t="s">
        <v>553</v>
      </c>
      <c r="I284" t="s">
        <v>631</v>
      </c>
      <c r="N284" s="20">
        <v>8</v>
      </c>
      <c r="O284"/>
      <c r="P284"/>
      <c r="Q284"/>
      <c r="T284" s="20">
        <v>5.8017180100000001</v>
      </c>
      <c r="U284" s="20">
        <v>7.9756520899999996</v>
      </c>
      <c r="V284" s="20">
        <v>27.352093400000001</v>
      </c>
      <c r="W284"/>
      <c r="AO284">
        <v>14</v>
      </c>
      <c r="AP284" s="20">
        <v>1265.6493143942739</v>
      </c>
      <c r="AQ284" s="20">
        <v>8.8492127105210025E-2</v>
      </c>
      <c r="AR284" s="23">
        <v>1.8181818181818179</v>
      </c>
      <c r="AS284" s="23">
        <v>2.545454545454545</v>
      </c>
      <c r="AT284" s="23">
        <v>0.72727272727272729</v>
      </c>
      <c r="AU284" s="23">
        <v>0</v>
      </c>
      <c r="AV284" s="23">
        <v>0.35714285714285721</v>
      </c>
      <c r="AW284" s="23">
        <v>0.5</v>
      </c>
      <c r="AX284" s="23">
        <v>0.1428571428571429</v>
      </c>
      <c r="AY284" s="23">
        <v>0</v>
      </c>
      <c r="AZ284" s="20">
        <v>0.95</v>
      </c>
      <c r="BA284" s="20">
        <v>3.44</v>
      </c>
      <c r="BB284" s="20">
        <v>2.4900000000000002</v>
      </c>
      <c r="BC284" s="20">
        <v>2.6527272727272719</v>
      </c>
      <c r="BD284">
        <v>2.6527272727272728</v>
      </c>
      <c r="BE284">
        <v>6.0182046818181814</v>
      </c>
    </row>
    <row r="285" spans="1:57" x14ac:dyDescent="0.3">
      <c r="A285" t="s">
        <v>46</v>
      </c>
      <c r="B285" s="12" t="s">
        <v>722</v>
      </c>
      <c r="C285" s="12"/>
      <c r="F285">
        <v>3.9</v>
      </c>
      <c r="G285" t="s">
        <v>229</v>
      </c>
      <c r="H285" s="11" t="s">
        <v>551</v>
      </c>
      <c r="I285" t="s">
        <v>629</v>
      </c>
      <c r="N285" s="20">
        <v>2</v>
      </c>
      <c r="O285"/>
      <c r="P285"/>
      <c r="Q285"/>
      <c r="T285" s="20">
        <v>7.41544296</v>
      </c>
      <c r="U285" s="20">
        <v>7.4154429599999991</v>
      </c>
      <c r="V285" s="20">
        <v>7.41544296</v>
      </c>
      <c r="W285"/>
      <c r="AO285">
        <v>14</v>
      </c>
      <c r="AP285" s="20">
        <v>288.33429290182369</v>
      </c>
      <c r="AQ285" s="20">
        <v>9.7109503410799117E-2</v>
      </c>
      <c r="AR285" s="23">
        <v>2</v>
      </c>
      <c r="AS285" s="23">
        <v>2.545454545454545</v>
      </c>
      <c r="AT285" s="23">
        <v>0.54545454545454541</v>
      </c>
      <c r="AU285" s="23">
        <v>0</v>
      </c>
      <c r="AV285" s="23">
        <v>0.39285714285714279</v>
      </c>
      <c r="AW285" s="23">
        <v>0.5</v>
      </c>
      <c r="AX285" s="23">
        <v>0.1071428571428571</v>
      </c>
      <c r="AY285" s="23">
        <v>0</v>
      </c>
      <c r="AZ285" s="20">
        <v>1.1000000000000001</v>
      </c>
      <c r="BA285" s="20">
        <v>3.44</v>
      </c>
      <c r="BB285" s="20">
        <v>2.34</v>
      </c>
      <c r="BC285" s="20">
        <v>2.669090909090909</v>
      </c>
      <c r="BD285">
        <v>2.669090909090909</v>
      </c>
      <c r="BE285">
        <v>5.9831974772727277</v>
      </c>
    </row>
    <row r="286" spans="1:57" x14ac:dyDescent="0.3">
      <c r="A286" t="s">
        <v>46</v>
      </c>
      <c r="B286" s="12" t="s">
        <v>722</v>
      </c>
      <c r="C286" s="12"/>
      <c r="D286" t="s">
        <v>890</v>
      </c>
      <c r="E286">
        <v>0.42</v>
      </c>
      <c r="F286">
        <v>3.78</v>
      </c>
      <c r="G286" t="s">
        <v>229</v>
      </c>
      <c r="H286" s="11" t="s">
        <v>551</v>
      </c>
      <c r="I286" t="s">
        <v>629</v>
      </c>
      <c r="N286" s="20">
        <v>2</v>
      </c>
      <c r="O286"/>
      <c r="P286"/>
      <c r="Q286"/>
      <c r="T286" s="20">
        <v>7.41544296</v>
      </c>
      <c r="U286" s="20">
        <v>7.4154429599999991</v>
      </c>
      <c r="V286" s="20">
        <v>7.41544296</v>
      </c>
      <c r="W286"/>
      <c r="AO286">
        <v>14</v>
      </c>
      <c r="AP286" s="20">
        <v>288.33429290182369</v>
      </c>
      <c r="AQ286" s="20">
        <v>9.7109503410799117E-2</v>
      </c>
      <c r="AR286" s="23">
        <v>2</v>
      </c>
      <c r="AS286" s="23">
        <v>2.545454545454545</v>
      </c>
      <c r="AT286" s="23">
        <v>0.54545454545454541</v>
      </c>
      <c r="AU286" s="23">
        <v>0</v>
      </c>
      <c r="AV286" s="23">
        <v>0.39285714285714279</v>
      </c>
      <c r="AW286" s="23">
        <v>0.5</v>
      </c>
      <c r="AX286" s="23">
        <v>0.1071428571428571</v>
      </c>
      <c r="AY286" s="23">
        <v>0</v>
      </c>
      <c r="AZ286" s="20">
        <v>1.1000000000000001</v>
      </c>
      <c r="BA286" s="20">
        <v>3.44</v>
      </c>
      <c r="BB286" s="20">
        <v>2.34</v>
      </c>
      <c r="BC286" s="20">
        <v>2.669090909090909</v>
      </c>
      <c r="BD286">
        <v>2.669090909090909</v>
      </c>
      <c r="BE286">
        <v>5.9831974772727277</v>
      </c>
    </row>
    <row r="287" spans="1:57" x14ac:dyDescent="0.3">
      <c r="A287" t="s">
        <v>44</v>
      </c>
      <c r="B287" s="12" t="s">
        <v>720</v>
      </c>
      <c r="C287" s="12"/>
      <c r="F287">
        <v>3.5</v>
      </c>
      <c r="G287" s="6" t="s">
        <v>230</v>
      </c>
      <c r="H287" s="11" t="s">
        <v>549</v>
      </c>
      <c r="I287">
        <v>-1</v>
      </c>
      <c r="K287" s="6"/>
      <c r="L287" s="6"/>
      <c r="M287" s="6"/>
      <c r="N287" s="20">
        <v>1</v>
      </c>
      <c r="O287"/>
      <c r="P287"/>
      <c r="Q287"/>
      <c r="T287" s="20">
        <v>15.28115725</v>
      </c>
      <c r="U287" s="20">
        <v>15.28115725</v>
      </c>
      <c r="V287" s="20">
        <v>15.28115725</v>
      </c>
      <c r="W287"/>
      <c r="AO287">
        <v>20</v>
      </c>
      <c r="AP287" s="20">
        <v>229.90248606119221</v>
      </c>
      <c r="AQ287" s="20">
        <v>8.6993404650164072E-2</v>
      </c>
      <c r="AR287" s="23">
        <v>1.882352941176471</v>
      </c>
      <c r="AS287" s="23">
        <v>2.3529411764705879</v>
      </c>
      <c r="AT287" s="23">
        <v>0.47058823529411759</v>
      </c>
      <c r="AU287" s="23">
        <v>0</v>
      </c>
      <c r="AV287" s="23">
        <v>0.4</v>
      </c>
      <c r="AW287" s="23">
        <v>0.5</v>
      </c>
      <c r="AX287" s="23">
        <v>9.9999999999999992E-2</v>
      </c>
      <c r="AY287" s="23">
        <v>0</v>
      </c>
      <c r="AZ287" s="20">
        <v>0.82</v>
      </c>
      <c r="BA287" s="20">
        <v>3.44</v>
      </c>
      <c r="BB287" s="20">
        <v>2.62</v>
      </c>
      <c r="BC287" s="20">
        <v>2.5211764705882351</v>
      </c>
      <c r="BD287">
        <v>2.521176470588236</v>
      </c>
      <c r="BE287">
        <v>5.6898745917647062</v>
      </c>
    </row>
    <row r="288" spans="1:57" x14ac:dyDescent="0.3">
      <c r="A288" t="s">
        <v>44</v>
      </c>
      <c r="B288" s="12" t="s">
        <v>720</v>
      </c>
      <c r="C288" s="12"/>
      <c r="D288" t="s">
        <v>875</v>
      </c>
      <c r="E288" t="s">
        <v>1067</v>
      </c>
      <c r="F288">
        <v>3.06</v>
      </c>
      <c r="G288" s="6" t="s">
        <v>230</v>
      </c>
      <c r="H288" s="11" t="s">
        <v>549</v>
      </c>
      <c r="I288">
        <v>-1</v>
      </c>
      <c r="K288" s="6"/>
      <c r="L288" s="6"/>
      <c r="M288" s="6"/>
      <c r="N288" s="20">
        <v>1</v>
      </c>
      <c r="O288"/>
      <c r="P288"/>
      <c r="Q288"/>
      <c r="T288" s="20">
        <v>15.28115725</v>
      </c>
      <c r="U288" s="20">
        <v>15.28115725</v>
      </c>
      <c r="V288" s="20">
        <v>15.28115725</v>
      </c>
      <c r="W288"/>
      <c r="AO288">
        <v>20</v>
      </c>
      <c r="AP288" s="20">
        <v>229.90248606119221</v>
      </c>
      <c r="AQ288" s="20">
        <v>8.6993404650164072E-2</v>
      </c>
      <c r="AR288" s="23">
        <v>1.882352941176471</v>
      </c>
      <c r="AS288" s="23">
        <v>2.3529411764705879</v>
      </c>
      <c r="AT288" s="23">
        <v>0.47058823529411759</v>
      </c>
      <c r="AU288" s="23">
        <v>0</v>
      </c>
      <c r="AV288" s="23">
        <v>0.4</v>
      </c>
      <c r="AW288" s="23">
        <v>0.5</v>
      </c>
      <c r="AX288" s="23">
        <v>9.9999999999999992E-2</v>
      </c>
      <c r="AY288" s="23">
        <v>0</v>
      </c>
      <c r="AZ288" s="20">
        <v>0.82</v>
      </c>
      <c r="BA288" s="20">
        <v>3.44</v>
      </c>
      <c r="BB288" s="20">
        <v>2.62</v>
      </c>
      <c r="BC288" s="20">
        <v>2.5211764705882351</v>
      </c>
      <c r="BD288">
        <v>2.521176470588236</v>
      </c>
      <c r="BE288">
        <v>5.6898745917647062</v>
      </c>
    </row>
    <row r="289" spans="1:57" x14ac:dyDescent="0.3">
      <c r="A289" t="s">
        <v>8</v>
      </c>
      <c r="B289" s="12" t="s">
        <v>694</v>
      </c>
      <c r="C289" s="12"/>
      <c r="F289">
        <v>3.26</v>
      </c>
      <c r="G289" t="s">
        <v>231</v>
      </c>
      <c r="H289" s="8" t="s">
        <v>530</v>
      </c>
      <c r="I289" t="s">
        <v>612</v>
      </c>
      <c r="N289" s="20">
        <v>30</v>
      </c>
      <c r="O289"/>
      <c r="P289"/>
      <c r="Q289"/>
      <c r="T289" s="20">
        <v>10.59112378</v>
      </c>
      <c r="U289" s="20">
        <v>10.784736629999999</v>
      </c>
      <c r="V289" s="20">
        <v>10.486176179999999</v>
      </c>
      <c r="W289"/>
      <c r="AO289">
        <v>4</v>
      </c>
      <c r="AP289" s="20">
        <v>1182.741260108548</v>
      </c>
      <c r="AQ289" s="20">
        <v>0.1014592151701775</v>
      </c>
      <c r="AR289" s="23">
        <v>2</v>
      </c>
      <c r="AS289" s="23">
        <v>2.666666666666667</v>
      </c>
      <c r="AT289" s="23">
        <v>0.66666666666666663</v>
      </c>
      <c r="AU289" s="23">
        <v>0</v>
      </c>
      <c r="AV289" s="23">
        <v>0.375</v>
      </c>
      <c r="AW289" s="23">
        <v>0.5</v>
      </c>
      <c r="AX289" s="23">
        <v>0.125</v>
      </c>
      <c r="AY289" s="23">
        <v>0</v>
      </c>
      <c r="AZ289" s="20">
        <v>1.54</v>
      </c>
      <c r="BA289" s="20">
        <v>3.44</v>
      </c>
      <c r="BB289" s="20">
        <v>1.9</v>
      </c>
      <c r="BC289" s="20">
        <v>2.8066666666666671</v>
      </c>
      <c r="BD289">
        <v>2.8066666666666662</v>
      </c>
      <c r="BE289">
        <v>6.1769976</v>
      </c>
    </row>
    <row r="290" spans="1:57" x14ac:dyDescent="0.3">
      <c r="A290" t="s">
        <v>153</v>
      </c>
      <c r="B290" s="12" t="s">
        <v>775</v>
      </c>
      <c r="C290" s="12"/>
      <c r="F290">
        <v>3.1</v>
      </c>
      <c r="G290" t="s">
        <v>231</v>
      </c>
      <c r="H290" s="8" t="s">
        <v>578</v>
      </c>
      <c r="I290">
        <v>-1</v>
      </c>
      <c r="N290" s="20">
        <v>1</v>
      </c>
      <c r="O290"/>
      <c r="P290"/>
      <c r="Q290"/>
      <c r="T290" s="20">
        <v>3.9263319999999999</v>
      </c>
      <c r="U290" s="20">
        <v>3.9263319999999999</v>
      </c>
      <c r="V290" s="20">
        <v>10.74639</v>
      </c>
      <c r="W290"/>
      <c r="AO290">
        <v>14</v>
      </c>
      <c r="AP290" s="20">
        <v>165.66723991337099</v>
      </c>
      <c r="AQ290" s="20">
        <v>8.4506749839743392E-2</v>
      </c>
      <c r="AR290" s="23">
        <v>1.7272727272727271</v>
      </c>
      <c r="AS290" s="23">
        <v>2.545454545454545</v>
      </c>
      <c r="AT290" s="23">
        <v>0.81818181818181823</v>
      </c>
      <c r="AU290" s="23">
        <v>0</v>
      </c>
      <c r="AV290" s="23">
        <v>0.3392857142857143</v>
      </c>
      <c r="AW290" s="23">
        <v>0.5</v>
      </c>
      <c r="AX290" s="23">
        <v>0.1607142857142857</v>
      </c>
      <c r="AY290" s="23">
        <v>0</v>
      </c>
      <c r="AZ290" s="20">
        <v>1.1000000000000001</v>
      </c>
      <c r="BA290" s="20">
        <v>3.44</v>
      </c>
      <c r="BB290" s="20">
        <v>2.34</v>
      </c>
      <c r="BC290" s="20">
        <v>2.78</v>
      </c>
      <c r="BD290">
        <v>2.78</v>
      </c>
      <c r="BE290">
        <v>6.4270052227137269</v>
      </c>
    </row>
    <row r="291" spans="1:57" x14ac:dyDescent="0.3">
      <c r="A291" t="s">
        <v>153</v>
      </c>
      <c r="B291" s="12" t="s">
        <v>775</v>
      </c>
      <c r="C291" s="12"/>
      <c r="D291" t="s">
        <v>863</v>
      </c>
      <c r="E291">
        <v>0.8</v>
      </c>
      <c r="F291">
        <v>3.1</v>
      </c>
      <c r="G291" t="s">
        <v>231</v>
      </c>
      <c r="H291" s="8" t="s">
        <v>578</v>
      </c>
      <c r="I291">
        <v>-1</v>
      </c>
      <c r="N291" s="20">
        <v>1</v>
      </c>
      <c r="O291"/>
      <c r="P291"/>
      <c r="Q291"/>
      <c r="T291" s="20">
        <v>3.9263319999999999</v>
      </c>
      <c r="U291" s="20">
        <v>3.9263319999999999</v>
      </c>
      <c r="V291" s="20">
        <v>10.74639</v>
      </c>
      <c r="W291"/>
      <c r="AO291">
        <v>14</v>
      </c>
      <c r="AP291" s="20">
        <v>165.66723991337099</v>
      </c>
      <c r="AQ291" s="20">
        <v>8.4506749839743392E-2</v>
      </c>
      <c r="AR291" s="23">
        <v>1.7272727272727271</v>
      </c>
      <c r="AS291" s="23">
        <v>2.545454545454545</v>
      </c>
      <c r="AT291" s="23">
        <v>0.81818181818181823</v>
      </c>
      <c r="AU291" s="23">
        <v>0</v>
      </c>
      <c r="AV291" s="23">
        <v>0.3392857142857143</v>
      </c>
      <c r="AW291" s="23">
        <v>0.5</v>
      </c>
      <c r="AX291" s="23">
        <v>0.1607142857142857</v>
      </c>
      <c r="AY291" s="23">
        <v>0</v>
      </c>
      <c r="AZ291" s="20">
        <v>1.1000000000000001</v>
      </c>
      <c r="BA291" s="20">
        <v>3.44</v>
      </c>
      <c r="BB291" s="20">
        <v>2.34</v>
      </c>
      <c r="BC291" s="20">
        <v>2.78</v>
      </c>
      <c r="BD291">
        <v>2.78</v>
      </c>
      <c r="BE291">
        <v>6.4270052227137269</v>
      </c>
    </row>
    <row r="292" spans="1:57" x14ac:dyDescent="0.3">
      <c r="A292" t="s">
        <v>153</v>
      </c>
      <c r="B292" s="12" t="s">
        <v>775</v>
      </c>
      <c r="C292" s="12"/>
      <c r="D292" t="s">
        <v>8</v>
      </c>
      <c r="E292">
        <v>4.3</v>
      </c>
      <c r="F292">
        <v>3.1</v>
      </c>
      <c r="G292" t="s">
        <v>231</v>
      </c>
      <c r="H292" s="8" t="s">
        <v>578</v>
      </c>
      <c r="I292">
        <v>-1</v>
      </c>
      <c r="N292" s="20">
        <v>1</v>
      </c>
      <c r="O292"/>
      <c r="P292"/>
      <c r="Q292"/>
      <c r="T292" s="20">
        <v>3.9263319999999999</v>
      </c>
      <c r="U292" s="20">
        <v>3.9263319999999999</v>
      </c>
      <c r="V292" s="20">
        <v>10.74639</v>
      </c>
      <c r="W292"/>
      <c r="AO292">
        <v>14</v>
      </c>
      <c r="AP292" s="20">
        <v>165.66723991337099</v>
      </c>
      <c r="AQ292" s="20">
        <v>8.4506749839743392E-2</v>
      </c>
      <c r="AR292" s="23">
        <v>1.7272727272727271</v>
      </c>
      <c r="AS292" s="23">
        <v>2.545454545454545</v>
      </c>
      <c r="AT292" s="23">
        <v>0.81818181818181823</v>
      </c>
      <c r="AU292" s="23">
        <v>0</v>
      </c>
      <c r="AV292" s="23">
        <v>0.3392857142857143</v>
      </c>
      <c r="AW292" s="23">
        <v>0.5</v>
      </c>
      <c r="AX292" s="23">
        <v>0.1607142857142857</v>
      </c>
      <c r="AY292" s="23">
        <v>0</v>
      </c>
      <c r="AZ292" s="20">
        <v>1.1000000000000001</v>
      </c>
      <c r="BA292" s="20">
        <v>3.44</v>
      </c>
      <c r="BB292" s="20">
        <v>2.34</v>
      </c>
      <c r="BC292" s="20">
        <v>2.78</v>
      </c>
      <c r="BD292">
        <v>2.78</v>
      </c>
      <c r="BE292">
        <v>6.4270052227137269</v>
      </c>
    </row>
    <row r="293" spans="1:57" x14ac:dyDescent="0.3">
      <c r="A293" t="s">
        <v>63</v>
      </c>
      <c r="B293" s="12" t="s">
        <v>773</v>
      </c>
      <c r="C293" s="12"/>
      <c r="F293">
        <v>3.66</v>
      </c>
      <c r="G293" t="s">
        <v>233</v>
      </c>
      <c r="H293" s="8">
        <v>-1</v>
      </c>
      <c r="I293">
        <v>-1</v>
      </c>
      <c r="N293" s="20">
        <v>0</v>
      </c>
      <c r="O293">
        <v>3.85</v>
      </c>
      <c r="P293">
        <v>3.85</v>
      </c>
      <c r="Q293">
        <v>14.379</v>
      </c>
      <c r="T293" s="20">
        <v>0</v>
      </c>
      <c r="U293" s="20"/>
      <c r="V293" s="20"/>
      <c r="W293"/>
      <c r="AO293">
        <v>20</v>
      </c>
      <c r="AP293" s="20">
        <v>0</v>
      </c>
      <c r="AQ293" s="20"/>
      <c r="AR293" s="23">
        <v>1.75</v>
      </c>
      <c r="AS293" s="23">
        <v>2.5</v>
      </c>
      <c r="AT293" s="23">
        <v>0.75</v>
      </c>
      <c r="AU293" s="23">
        <v>0</v>
      </c>
      <c r="AV293" s="23">
        <v>0.35</v>
      </c>
      <c r="AW293" s="23">
        <v>0.5</v>
      </c>
      <c r="AX293" s="23">
        <v>0.15</v>
      </c>
      <c r="AY293" s="23">
        <v>0</v>
      </c>
      <c r="AZ293" s="20">
        <v>1</v>
      </c>
      <c r="BA293" s="20">
        <v>3.44</v>
      </c>
      <c r="BB293" s="20">
        <v>2.44</v>
      </c>
      <c r="BC293" s="20">
        <v>2.7124999999999999</v>
      </c>
      <c r="BD293">
        <v>2.7124999999999999</v>
      </c>
      <c r="BE293">
        <v>6.264025610615688</v>
      </c>
    </row>
    <row r="294" spans="1:57" x14ac:dyDescent="0.3">
      <c r="A294" t="s">
        <v>232</v>
      </c>
      <c r="B294" s="12" t="s">
        <v>809</v>
      </c>
      <c r="C294" s="12"/>
      <c r="F294">
        <v>3.65</v>
      </c>
      <c r="G294" t="s">
        <v>233</v>
      </c>
      <c r="H294" s="8">
        <v>-1</v>
      </c>
      <c r="I294">
        <v>-1</v>
      </c>
      <c r="N294" s="20">
        <v>0</v>
      </c>
      <c r="O294" s="1">
        <v>3.85</v>
      </c>
      <c r="P294" s="1">
        <v>3.85</v>
      </c>
      <c r="Q294" s="1">
        <v>14.379</v>
      </c>
      <c r="T294" s="20">
        <v>0</v>
      </c>
      <c r="U294" s="20"/>
      <c r="V294" s="20"/>
      <c r="W294"/>
      <c r="AO294">
        <v>20</v>
      </c>
      <c r="AP294" s="20">
        <v>0</v>
      </c>
      <c r="AQ294" s="20"/>
      <c r="AR294" s="23">
        <v>1.8125</v>
      </c>
      <c r="AS294" s="23">
        <v>2.5</v>
      </c>
      <c r="AT294" s="23">
        <v>0.6875</v>
      </c>
      <c r="AU294" s="23">
        <v>0.875</v>
      </c>
      <c r="AV294" s="23">
        <v>0.30851063829787229</v>
      </c>
      <c r="AW294" s="23">
        <v>0.42553191489361702</v>
      </c>
      <c r="AX294" s="23">
        <v>0.1170212765957447</v>
      </c>
      <c r="AY294" s="23">
        <v>0.14893617021276601</v>
      </c>
      <c r="AZ294" s="20">
        <v>1</v>
      </c>
      <c r="BA294" s="20">
        <v>3.44</v>
      </c>
      <c r="BB294" s="20">
        <v>2.44</v>
      </c>
      <c r="BC294" s="20">
        <v>2.7062499999999998</v>
      </c>
      <c r="BD294">
        <v>2.7062499999999998</v>
      </c>
      <c r="BE294">
        <v>6.2701641731156874</v>
      </c>
    </row>
    <row r="295" spans="1:57" x14ac:dyDescent="0.3">
      <c r="A295" t="s">
        <v>63</v>
      </c>
      <c r="B295" s="12" t="s">
        <v>773</v>
      </c>
      <c r="C295" s="12"/>
      <c r="D295" t="s">
        <v>887</v>
      </c>
      <c r="E295" t="s">
        <v>1067</v>
      </c>
      <c r="F295">
        <v>3.54</v>
      </c>
      <c r="G295" t="s">
        <v>233</v>
      </c>
      <c r="H295" s="8">
        <v>-1</v>
      </c>
      <c r="I295">
        <v>-1</v>
      </c>
      <c r="N295" s="20">
        <v>0</v>
      </c>
      <c r="O295" s="1">
        <v>3.85</v>
      </c>
      <c r="P295" s="1">
        <v>3.85</v>
      </c>
      <c r="Q295" s="1">
        <v>14.379</v>
      </c>
      <c r="T295" s="20">
        <v>0</v>
      </c>
      <c r="U295" s="20"/>
      <c r="V295" s="20"/>
      <c r="W295"/>
      <c r="AO295">
        <v>20</v>
      </c>
      <c r="AP295" s="20">
        <v>0</v>
      </c>
      <c r="AQ295" s="20"/>
      <c r="AR295" s="23">
        <v>1.75</v>
      </c>
      <c r="AS295" s="23">
        <v>2.5</v>
      </c>
      <c r="AT295" s="23">
        <v>0.75</v>
      </c>
      <c r="AU295" s="23">
        <v>0</v>
      </c>
      <c r="AV295" s="23">
        <v>0.35</v>
      </c>
      <c r="AW295" s="23">
        <v>0.5</v>
      </c>
      <c r="AX295" s="23">
        <v>0.15</v>
      </c>
      <c r="AY295" s="23">
        <v>0</v>
      </c>
      <c r="AZ295" s="20">
        <v>1</v>
      </c>
      <c r="BA295" s="20">
        <v>3.44</v>
      </c>
      <c r="BB295" s="20">
        <v>2.44</v>
      </c>
      <c r="BC295" s="20">
        <v>2.7124999999999999</v>
      </c>
      <c r="BD295">
        <v>2.7124999999999999</v>
      </c>
      <c r="BE295">
        <v>6.264025610615688</v>
      </c>
    </row>
    <row r="296" spans="1:57" x14ac:dyDescent="0.3">
      <c r="A296" t="s">
        <v>232</v>
      </c>
      <c r="B296" s="12" t="s">
        <v>809</v>
      </c>
      <c r="C296" s="12"/>
      <c r="D296" t="s">
        <v>887</v>
      </c>
      <c r="E296" t="s">
        <v>1067</v>
      </c>
      <c r="F296">
        <v>3.54</v>
      </c>
      <c r="G296" t="s">
        <v>233</v>
      </c>
      <c r="H296" s="8">
        <v>-1</v>
      </c>
      <c r="I296">
        <v>-1</v>
      </c>
      <c r="N296" s="20">
        <v>0</v>
      </c>
      <c r="O296" s="1">
        <v>3.85</v>
      </c>
      <c r="P296" s="1">
        <v>3.85</v>
      </c>
      <c r="Q296" s="1">
        <v>14.379</v>
      </c>
      <c r="T296" s="20">
        <v>0</v>
      </c>
      <c r="U296" s="20"/>
      <c r="V296" s="20"/>
      <c r="W296"/>
      <c r="AO296">
        <v>20</v>
      </c>
      <c r="AP296" s="20">
        <v>0</v>
      </c>
      <c r="AQ296" s="20"/>
      <c r="AR296" s="23">
        <v>1.8125</v>
      </c>
      <c r="AS296" s="23">
        <v>2.5</v>
      </c>
      <c r="AT296" s="23">
        <v>0.6875</v>
      </c>
      <c r="AU296" s="23">
        <v>0.875</v>
      </c>
      <c r="AV296" s="23">
        <v>0.30851063829787229</v>
      </c>
      <c r="AW296" s="23">
        <v>0.42553191489361702</v>
      </c>
      <c r="AX296" s="23">
        <v>0.1170212765957447</v>
      </c>
      <c r="AY296" s="23">
        <v>0.14893617021276601</v>
      </c>
      <c r="AZ296" s="20">
        <v>1</v>
      </c>
      <c r="BA296" s="20">
        <v>3.44</v>
      </c>
      <c r="BB296" s="20">
        <v>2.44</v>
      </c>
      <c r="BC296" s="20">
        <v>2.7062499999999998</v>
      </c>
      <c r="BD296">
        <v>2.7062499999999998</v>
      </c>
      <c r="BE296">
        <v>6.2701641731156874</v>
      </c>
    </row>
    <row r="297" spans="1:57" x14ac:dyDescent="0.3">
      <c r="A297" t="s">
        <v>46</v>
      </c>
      <c r="B297" s="12" t="s">
        <v>722</v>
      </c>
      <c r="C297" s="12"/>
      <c r="F297">
        <v>3.87</v>
      </c>
      <c r="G297" t="s">
        <v>234</v>
      </c>
      <c r="H297" s="8" t="s">
        <v>551</v>
      </c>
      <c r="I297" t="s">
        <v>629</v>
      </c>
      <c r="N297" s="20">
        <v>2</v>
      </c>
      <c r="O297"/>
      <c r="P297"/>
      <c r="Q297"/>
      <c r="T297" s="20">
        <v>7.41544296</v>
      </c>
      <c r="U297" s="20">
        <v>7.4154429599999991</v>
      </c>
      <c r="V297" s="20">
        <v>7.41544296</v>
      </c>
      <c r="W297"/>
      <c r="AO297">
        <v>14</v>
      </c>
      <c r="AP297" s="20">
        <v>288.33429290182369</v>
      </c>
      <c r="AQ297" s="20">
        <v>9.7109503410799117E-2</v>
      </c>
      <c r="AR297" s="23">
        <v>2</v>
      </c>
      <c r="AS297" s="23">
        <v>2.545454545454545</v>
      </c>
      <c r="AT297" s="23">
        <v>0.54545454545454541</v>
      </c>
      <c r="AU297" s="23">
        <v>0</v>
      </c>
      <c r="AV297" s="23">
        <v>0.39285714285714279</v>
      </c>
      <c r="AW297" s="23">
        <v>0.5</v>
      </c>
      <c r="AX297" s="23">
        <v>0.1071428571428571</v>
      </c>
      <c r="AY297" s="23">
        <v>0</v>
      </c>
      <c r="AZ297" s="20">
        <v>1.1000000000000001</v>
      </c>
      <c r="BA297" s="20">
        <v>3.44</v>
      </c>
      <c r="BB297" s="20">
        <v>2.34</v>
      </c>
      <c r="BC297" s="20">
        <v>2.669090909090909</v>
      </c>
      <c r="BD297">
        <v>2.669090909090909</v>
      </c>
      <c r="BE297">
        <v>5.9831974772727277</v>
      </c>
    </row>
    <row r="298" spans="1:57" s="4" customFormat="1" x14ac:dyDescent="0.3">
      <c r="A298" s="4" t="s">
        <v>19</v>
      </c>
      <c r="B298" s="28" t="s">
        <v>705</v>
      </c>
      <c r="C298" s="29"/>
      <c r="F298" s="4">
        <v>3.53</v>
      </c>
      <c r="G298" s="4" t="s">
        <v>235</v>
      </c>
      <c r="H298" s="30">
        <v>-2</v>
      </c>
      <c r="I298" s="4" t="s">
        <v>1167</v>
      </c>
      <c r="L298" s="4" t="s">
        <v>1099</v>
      </c>
      <c r="N298" s="31">
        <v>0</v>
      </c>
      <c r="R298" s="4" t="s">
        <v>450</v>
      </c>
      <c r="T298" s="31">
        <v>0</v>
      </c>
      <c r="U298" s="31"/>
      <c r="V298" s="31"/>
      <c r="AO298" s="4">
        <v>18</v>
      </c>
      <c r="AP298" s="31">
        <v>0</v>
      </c>
      <c r="AQ298" s="31"/>
      <c r="AR298" s="4">
        <v>1.8666666666666669</v>
      </c>
      <c r="AS298" s="4">
        <v>2.8</v>
      </c>
      <c r="AT298" s="4">
        <v>1.8666666666666669</v>
      </c>
      <c r="AU298" s="4">
        <v>1.8666666666666669</v>
      </c>
      <c r="AV298" s="4">
        <v>0.22222222222222221</v>
      </c>
      <c r="AW298" s="4">
        <v>0.33333333333333331</v>
      </c>
      <c r="AX298" s="4">
        <v>0.22222222222222221</v>
      </c>
      <c r="AY298" s="4">
        <v>0.22222222222222221</v>
      </c>
      <c r="AZ298" s="31">
        <v>1</v>
      </c>
      <c r="BA298" s="31">
        <v>3.44</v>
      </c>
      <c r="BB298" s="31">
        <v>2.44</v>
      </c>
      <c r="BC298" s="31">
        <v>2.68</v>
      </c>
      <c r="BD298" s="4">
        <v>2.68</v>
      </c>
      <c r="BE298" s="4">
        <v>5.9932041966666656</v>
      </c>
    </row>
    <row r="299" spans="1:57" s="4" customFormat="1" x14ac:dyDescent="0.3">
      <c r="A299" s="4" t="s">
        <v>20</v>
      </c>
      <c r="B299" s="28" t="s">
        <v>706</v>
      </c>
      <c r="C299" s="29"/>
      <c r="F299" s="4">
        <v>3.42</v>
      </c>
      <c r="G299" s="4" t="s">
        <v>235</v>
      </c>
      <c r="H299" s="30">
        <v>-2</v>
      </c>
      <c r="I299" s="4" t="s">
        <v>1168</v>
      </c>
      <c r="L299" s="4" t="s">
        <v>1100</v>
      </c>
      <c r="N299" s="31">
        <v>0</v>
      </c>
      <c r="R299" s="4" t="s">
        <v>450</v>
      </c>
      <c r="T299" s="31">
        <v>0</v>
      </c>
      <c r="U299" s="31"/>
      <c r="V299" s="31"/>
      <c r="AO299" s="4">
        <v>18</v>
      </c>
      <c r="AP299" s="31">
        <v>0</v>
      </c>
      <c r="AQ299" s="31"/>
      <c r="AR299" s="4">
        <v>1.8666666666666669</v>
      </c>
      <c r="AS299" s="4">
        <v>2.8</v>
      </c>
      <c r="AT299" s="4">
        <v>1.8666666666666669</v>
      </c>
      <c r="AU299" s="4">
        <v>1.8666666666666669</v>
      </c>
      <c r="AV299" s="4">
        <v>0.22222222222222221</v>
      </c>
      <c r="AW299" s="4">
        <v>0.33333333333333331</v>
      </c>
      <c r="AX299" s="4">
        <v>0.22222222222222221</v>
      </c>
      <c r="AY299" s="4">
        <v>0.22222222222222221</v>
      </c>
      <c r="AZ299" s="31">
        <v>0.95</v>
      </c>
      <c r="BA299" s="31">
        <v>3.44</v>
      </c>
      <c r="BB299" s="31">
        <v>2.4900000000000002</v>
      </c>
      <c r="BC299" s="31">
        <v>2.6733333333333329</v>
      </c>
      <c r="BD299" s="4">
        <v>2.6733333333333329</v>
      </c>
      <c r="BE299" s="4">
        <v>5.9671526619999993</v>
      </c>
    </row>
    <row r="300" spans="1:57" s="4" customFormat="1" x14ac:dyDescent="0.3">
      <c r="A300" s="4" t="s">
        <v>21</v>
      </c>
      <c r="B300" s="28" t="s">
        <v>707</v>
      </c>
      <c r="C300" s="29"/>
      <c r="F300" s="4">
        <v>2.82</v>
      </c>
      <c r="G300" s="4" t="s">
        <v>235</v>
      </c>
      <c r="H300" s="30">
        <v>-2</v>
      </c>
      <c r="I300" s="4" t="s">
        <v>1169</v>
      </c>
      <c r="L300" s="4" t="s">
        <v>1098</v>
      </c>
      <c r="N300" s="31">
        <v>0</v>
      </c>
      <c r="R300" s="4" t="s">
        <v>440</v>
      </c>
      <c r="T300" s="31">
        <v>0</v>
      </c>
      <c r="U300" s="31"/>
      <c r="V300" s="31"/>
      <c r="AO300" s="4">
        <v>18</v>
      </c>
      <c r="AP300" s="31">
        <v>0</v>
      </c>
      <c r="AQ300" s="31"/>
      <c r="AR300" s="4">
        <v>1.8666666666666669</v>
      </c>
      <c r="AS300" s="4">
        <v>2.8</v>
      </c>
      <c r="AT300" s="4">
        <v>1.8666666666666669</v>
      </c>
      <c r="AU300" s="4">
        <v>1.8666666666666669</v>
      </c>
      <c r="AV300" s="4">
        <v>0.22222222222222221</v>
      </c>
      <c r="AW300" s="4">
        <v>0.33333333333333331</v>
      </c>
      <c r="AX300" s="4">
        <v>0.22222222222222221</v>
      </c>
      <c r="AY300" s="4">
        <v>0.22222222222222221</v>
      </c>
      <c r="AZ300" s="31">
        <v>0.89</v>
      </c>
      <c r="BA300" s="31">
        <v>3.44</v>
      </c>
      <c r="BB300" s="31">
        <v>2.5499999999999998</v>
      </c>
      <c r="BC300" s="31">
        <v>2.6653333333333342</v>
      </c>
      <c r="BD300" s="4">
        <v>2.6653333333333329</v>
      </c>
      <c r="BE300" s="4">
        <v>5.9411098053333333</v>
      </c>
    </row>
    <row r="301" spans="1:57" x14ac:dyDescent="0.3">
      <c r="A301" t="s">
        <v>19</v>
      </c>
      <c r="B301" s="27" t="s">
        <v>705</v>
      </c>
      <c r="C301" s="12"/>
      <c r="F301">
        <v>3.51</v>
      </c>
      <c r="G301" t="s">
        <v>235</v>
      </c>
      <c r="H301" s="8">
        <v>-1</v>
      </c>
      <c r="I301" t="s">
        <v>1167</v>
      </c>
      <c r="L301" t="s">
        <v>1099</v>
      </c>
      <c r="N301" s="20">
        <v>0</v>
      </c>
      <c r="O301"/>
      <c r="P301"/>
      <c r="Q301"/>
      <c r="R301" t="s">
        <v>450</v>
      </c>
      <c r="T301" s="20">
        <v>0</v>
      </c>
      <c r="U301" s="20"/>
      <c r="V301" s="20"/>
      <c r="W301"/>
      <c r="AO301">
        <v>18</v>
      </c>
      <c r="AP301" s="20">
        <v>0</v>
      </c>
      <c r="AQ301" s="20"/>
      <c r="AR301" s="23">
        <v>1.8666666666666669</v>
      </c>
      <c r="AS301" s="23">
        <v>2.8</v>
      </c>
      <c r="AT301" s="23">
        <v>1.8666666666666669</v>
      </c>
      <c r="AU301" s="23">
        <v>1.8666666666666669</v>
      </c>
      <c r="AV301" s="23">
        <v>0.22222222222222221</v>
      </c>
      <c r="AW301" s="23">
        <v>0.33333333333333331</v>
      </c>
      <c r="AX301" s="23">
        <v>0.22222222222222221</v>
      </c>
      <c r="AY301" s="23">
        <v>0.22222222222222221</v>
      </c>
      <c r="AZ301" s="20">
        <v>1</v>
      </c>
      <c r="BA301" s="20">
        <v>3.44</v>
      </c>
      <c r="BB301" s="20">
        <v>2.44</v>
      </c>
      <c r="BC301" s="20">
        <v>2.68</v>
      </c>
      <c r="BD301">
        <v>2.68</v>
      </c>
      <c r="BE301">
        <v>5.9932041966666656</v>
      </c>
    </row>
    <row r="302" spans="1:57" x14ac:dyDescent="0.3">
      <c r="A302" t="s">
        <v>20</v>
      </c>
      <c r="B302" s="27" t="s">
        <v>706</v>
      </c>
      <c r="C302" s="12"/>
      <c r="F302">
        <v>3.48</v>
      </c>
      <c r="G302" t="s">
        <v>235</v>
      </c>
      <c r="H302" s="8">
        <v>-1</v>
      </c>
      <c r="I302" t="s">
        <v>1168</v>
      </c>
      <c r="L302" t="s">
        <v>1100</v>
      </c>
      <c r="N302" s="20">
        <v>0</v>
      </c>
      <c r="O302"/>
      <c r="P302"/>
      <c r="Q302"/>
      <c r="R302" t="s">
        <v>450</v>
      </c>
      <c r="T302" s="20">
        <v>0</v>
      </c>
      <c r="U302" s="20"/>
      <c r="V302" s="20"/>
      <c r="W302"/>
      <c r="AO302">
        <v>18</v>
      </c>
      <c r="AP302" s="20">
        <v>0</v>
      </c>
      <c r="AQ302" s="20"/>
      <c r="AR302" s="23">
        <v>1.8666666666666669</v>
      </c>
      <c r="AS302" s="23">
        <v>2.8</v>
      </c>
      <c r="AT302" s="23">
        <v>1.8666666666666669</v>
      </c>
      <c r="AU302" s="23">
        <v>1.8666666666666669</v>
      </c>
      <c r="AV302" s="23">
        <v>0.22222222222222221</v>
      </c>
      <c r="AW302" s="23">
        <v>0.33333333333333331</v>
      </c>
      <c r="AX302" s="23">
        <v>0.22222222222222221</v>
      </c>
      <c r="AY302" s="23">
        <v>0.22222222222222221</v>
      </c>
      <c r="AZ302" s="20">
        <v>0.95</v>
      </c>
      <c r="BA302" s="20">
        <v>3.44</v>
      </c>
      <c r="BB302" s="20">
        <v>2.4900000000000002</v>
      </c>
      <c r="BC302" s="20">
        <v>2.6733333333333329</v>
      </c>
      <c r="BD302">
        <v>2.6733333333333329</v>
      </c>
      <c r="BE302">
        <v>5.9671526619999993</v>
      </c>
    </row>
    <row r="303" spans="1:57" x14ac:dyDescent="0.3">
      <c r="A303" t="s">
        <v>21</v>
      </c>
      <c r="B303" s="27" t="s">
        <v>707</v>
      </c>
      <c r="C303" s="12"/>
      <c r="F303">
        <v>3.08</v>
      </c>
      <c r="G303" t="s">
        <v>235</v>
      </c>
      <c r="H303" s="8">
        <v>-1</v>
      </c>
      <c r="I303" t="s">
        <v>1169</v>
      </c>
      <c r="L303" t="s">
        <v>1098</v>
      </c>
      <c r="N303" s="20">
        <v>0</v>
      </c>
      <c r="O303"/>
      <c r="P303"/>
      <c r="Q303"/>
      <c r="R303" t="s">
        <v>440</v>
      </c>
      <c r="T303" s="20">
        <v>0</v>
      </c>
      <c r="U303" s="20"/>
      <c r="V303" s="20"/>
      <c r="W303"/>
      <c r="AO303">
        <v>18</v>
      </c>
      <c r="AP303" s="20">
        <v>0</v>
      </c>
      <c r="AQ303" s="20"/>
      <c r="AR303" s="23">
        <v>1.8666666666666669</v>
      </c>
      <c r="AS303" s="23">
        <v>2.8</v>
      </c>
      <c r="AT303" s="23">
        <v>1.8666666666666669</v>
      </c>
      <c r="AU303" s="23">
        <v>1.8666666666666669</v>
      </c>
      <c r="AV303" s="23">
        <v>0.22222222222222221</v>
      </c>
      <c r="AW303" s="23">
        <v>0.33333333333333331</v>
      </c>
      <c r="AX303" s="23">
        <v>0.22222222222222221</v>
      </c>
      <c r="AY303" s="23">
        <v>0.22222222222222221</v>
      </c>
      <c r="AZ303" s="20">
        <v>0.89</v>
      </c>
      <c r="BA303" s="20">
        <v>3.44</v>
      </c>
      <c r="BB303" s="20">
        <v>2.5499999999999998</v>
      </c>
      <c r="BC303" s="20">
        <v>2.6653333333333342</v>
      </c>
      <c r="BD303">
        <v>2.6653333333333329</v>
      </c>
      <c r="BE303">
        <v>5.9411098053333333</v>
      </c>
    </row>
    <row r="304" spans="1:57" x14ac:dyDescent="0.3">
      <c r="A304" t="s">
        <v>236</v>
      </c>
      <c r="B304" s="12" t="s">
        <v>810</v>
      </c>
      <c r="C304" s="12"/>
      <c r="F304">
        <v>4.5999999999999996</v>
      </c>
      <c r="G304" t="s">
        <v>238</v>
      </c>
      <c r="H304" s="8" t="s">
        <v>586</v>
      </c>
      <c r="I304" t="s">
        <v>662</v>
      </c>
      <c r="N304" s="20">
        <v>8</v>
      </c>
      <c r="O304"/>
      <c r="P304"/>
      <c r="Q304"/>
      <c r="T304" s="20">
        <v>7.5714817599999993</v>
      </c>
      <c r="U304" s="20">
        <v>7.4441355800000002</v>
      </c>
      <c r="V304" s="20">
        <v>14.785262019999999</v>
      </c>
      <c r="W304"/>
      <c r="AO304">
        <v>12</v>
      </c>
      <c r="AP304" s="20">
        <v>583.54908217201648</v>
      </c>
      <c r="AQ304" s="20">
        <v>0.1645105834845636</v>
      </c>
      <c r="AR304" s="23">
        <v>1.8</v>
      </c>
      <c r="AS304" s="23">
        <v>2.4</v>
      </c>
      <c r="AT304" s="23">
        <v>0.6</v>
      </c>
      <c r="AU304" s="23">
        <v>2.8</v>
      </c>
      <c r="AV304" s="23">
        <v>0.23684210526315791</v>
      </c>
      <c r="AW304" s="23">
        <v>0.31578947368421051</v>
      </c>
      <c r="AX304" s="23">
        <v>7.8947368421052627E-2</v>
      </c>
      <c r="AY304" s="23">
        <v>0.36842105263157893</v>
      </c>
      <c r="AZ304" s="20">
        <v>0.93</v>
      </c>
      <c r="BA304" s="20">
        <v>3.44</v>
      </c>
      <c r="BB304" s="20">
        <v>2.5099999999999998</v>
      </c>
      <c r="BC304" s="20">
        <v>2.5499999999999998</v>
      </c>
      <c r="BD304">
        <v>2.5499999999999998</v>
      </c>
      <c r="BE304">
        <v>5.8797175109999991</v>
      </c>
    </row>
    <row r="305" spans="1:57" x14ac:dyDescent="0.3">
      <c r="A305" t="s">
        <v>237</v>
      </c>
      <c r="B305" s="12" t="s">
        <v>811</v>
      </c>
      <c r="C305" s="12"/>
      <c r="F305">
        <v>4.5</v>
      </c>
      <c r="G305" t="s">
        <v>238</v>
      </c>
      <c r="H305" s="8" t="s">
        <v>563</v>
      </c>
      <c r="I305">
        <v>-1</v>
      </c>
      <c r="N305" s="20">
        <v>1</v>
      </c>
      <c r="O305"/>
      <c r="P305"/>
      <c r="Q305"/>
      <c r="T305" s="20">
        <v>3.9948813699999999</v>
      </c>
      <c r="U305" s="20">
        <v>3.9948813699999999</v>
      </c>
      <c r="V305" s="20">
        <v>3.9948813699999999</v>
      </c>
      <c r="W305"/>
      <c r="AO305">
        <v>12</v>
      </c>
      <c r="AP305" s="20">
        <v>63.754620030366901</v>
      </c>
      <c r="AQ305" s="20">
        <v>0.18822165349404149</v>
      </c>
      <c r="AR305" s="23">
        <v>1.8</v>
      </c>
      <c r="AS305" s="23">
        <v>2.4</v>
      </c>
      <c r="AT305" s="23">
        <v>0.6</v>
      </c>
      <c r="AU305" s="23">
        <v>2.8</v>
      </c>
      <c r="AV305" s="23">
        <v>0.23684210526315791</v>
      </c>
      <c r="AW305" s="23">
        <v>0.31578947368421051</v>
      </c>
      <c r="AX305" s="23">
        <v>7.8947368421052627E-2</v>
      </c>
      <c r="AY305" s="23">
        <v>0.36842105263157893</v>
      </c>
      <c r="AZ305" s="20">
        <v>0.82</v>
      </c>
      <c r="BA305" s="20">
        <v>3.44</v>
      </c>
      <c r="BB305" s="20">
        <v>2.62</v>
      </c>
      <c r="BC305" s="20">
        <v>2.528</v>
      </c>
      <c r="BD305">
        <v>2.528</v>
      </c>
      <c r="BE305">
        <v>5.7952294759999994</v>
      </c>
    </row>
    <row r="306" spans="1:57" x14ac:dyDescent="0.3">
      <c r="A306" t="s">
        <v>239</v>
      </c>
      <c r="B306" s="12" t="s">
        <v>812</v>
      </c>
      <c r="C306" s="12"/>
      <c r="F306">
        <v>4.4000000000000004</v>
      </c>
      <c r="G306" t="s">
        <v>238</v>
      </c>
      <c r="H306" s="8" t="s">
        <v>590</v>
      </c>
      <c r="I306" t="s">
        <v>663</v>
      </c>
      <c r="N306" s="20">
        <v>16</v>
      </c>
      <c r="O306"/>
      <c r="P306"/>
      <c r="Q306"/>
      <c r="T306" s="20">
        <v>7.4248940299999999</v>
      </c>
      <c r="U306" s="20">
        <v>7.4248940300000008</v>
      </c>
      <c r="V306" s="20">
        <v>48.809404000000001</v>
      </c>
      <c r="W306"/>
      <c r="AO306">
        <v>14</v>
      </c>
      <c r="AP306" s="20">
        <v>2333.5692942103669</v>
      </c>
      <c r="AQ306" s="20">
        <v>9.5990292876988306E-2</v>
      </c>
      <c r="AR306" s="23">
        <v>2</v>
      </c>
      <c r="AS306" s="23">
        <v>2.545454545454545</v>
      </c>
      <c r="AT306" s="23">
        <v>0.54545454545454541</v>
      </c>
      <c r="AU306" s="23">
        <v>2.545454545454545</v>
      </c>
      <c r="AV306" s="23">
        <v>0.26190476190476192</v>
      </c>
      <c r="AW306" s="23">
        <v>0.33333333333333331</v>
      </c>
      <c r="AX306" s="23">
        <v>7.1428571428571425E-2</v>
      </c>
      <c r="AY306" s="23">
        <v>0.33333333333333331</v>
      </c>
      <c r="AZ306" s="20">
        <v>1</v>
      </c>
      <c r="BA306" s="20">
        <v>3.44</v>
      </c>
      <c r="BB306" s="20">
        <v>2.44</v>
      </c>
      <c r="BC306" s="20">
        <v>2.643636363636364</v>
      </c>
      <c r="BD306">
        <v>2.643636363636364</v>
      </c>
      <c r="BE306">
        <v>6.0715871381818181</v>
      </c>
    </row>
    <row r="307" spans="1:57" x14ac:dyDescent="0.3">
      <c r="A307" t="s">
        <v>48</v>
      </c>
      <c r="B307" s="12" t="s">
        <v>724</v>
      </c>
      <c r="C307" s="12"/>
      <c r="F307">
        <v>4.0999999999999996</v>
      </c>
      <c r="G307" t="s">
        <v>238</v>
      </c>
      <c r="H307" s="8" t="s">
        <v>552</v>
      </c>
      <c r="I307" t="s">
        <v>630</v>
      </c>
      <c r="N307" s="20">
        <v>2</v>
      </c>
      <c r="O307"/>
      <c r="P307"/>
      <c r="Q307"/>
      <c r="T307" s="20">
        <v>7.4836094600000003</v>
      </c>
      <c r="U307" s="20">
        <v>7.4836094600000003</v>
      </c>
      <c r="V307" s="20">
        <v>7.4836094600000003</v>
      </c>
      <c r="W307"/>
      <c r="AO307">
        <v>14</v>
      </c>
      <c r="AP307" s="20">
        <v>296.35915518228359</v>
      </c>
      <c r="AQ307" s="20">
        <v>9.4479956196318104E-2</v>
      </c>
      <c r="AR307" s="23">
        <v>1.8181818181818179</v>
      </c>
      <c r="AS307" s="23">
        <v>2.545454545454545</v>
      </c>
      <c r="AT307" s="23">
        <v>0.72727272727272729</v>
      </c>
      <c r="AU307" s="23">
        <v>0</v>
      </c>
      <c r="AV307" s="23">
        <v>0.35714285714285721</v>
      </c>
      <c r="AW307" s="23">
        <v>0.5</v>
      </c>
      <c r="AX307" s="23">
        <v>0.1428571428571429</v>
      </c>
      <c r="AY307" s="23">
        <v>0</v>
      </c>
      <c r="AZ307" s="20">
        <v>1</v>
      </c>
      <c r="BA307" s="20">
        <v>3.44</v>
      </c>
      <c r="BB307" s="20">
        <v>2.44</v>
      </c>
      <c r="BC307" s="20">
        <v>2.6618181818181821</v>
      </c>
      <c r="BD307">
        <v>2.6618181818181821</v>
      </c>
      <c r="BE307">
        <v>6.0537295018181814</v>
      </c>
    </row>
    <row r="308" spans="1:57" x14ac:dyDescent="0.3">
      <c r="A308" t="s">
        <v>46</v>
      </c>
      <c r="B308" s="12" t="s">
        <v>722</v>
      </c>
      <c r="C308" s="12"/>
      <c r="F308">
        <v>3.31</v>
      </c>
      <c r="G308" t="s">
        <v>240</v>
      </c>
      <c r="H308" s="8" t="s">
        <v>551</v>
      </c>
      <c r="I308" t="s">
        <v>629</v>
      </c>
      <c r="N308" s="20">
        <v>2</v>
      </c>
      <c r="O308"/>
      <c r="P308"/>
      <c r="Q308"/>
      <c r="T308" s="20">
        <v>7.41544296</v>
      </c>
      <c r="U308" s="20">
        <v>7.4154429599999991</v>
      </c>
      <c r="V308" s="20">
        <v>7.41544296</v>
      </c>
      <c r="W308"/>
      <c r="AO308">
        <v>14</v>
      </c>
      <c r="AP308" s="20">
        <v>288.33429290182369</v>
      </c>
      <c r="AQ308" s="20">
        <v>9.7109503410799117E-2</v>
      </c>
      <c r="AR308" s="23">
        <v>2</v>
      </c>
      <c r="AS308" s="23">
        <v>2.545454545454545</v>
      </c>
      <c r="AT308" s="23">
        <v>0.54545454545454541</v>
      </c>
      <c r="AU308" s="23">
        <v>0</v>
      </c>
      <c r="AV308" s="23">
        <v>0.39285714285714279</v>
      </c>
      <c r="AW308" s="23">
        <v>0.5</v>
      </c>
      <c r="AX308" s="23">
        <v>0.1071428571428571</v>
      </c>
      <c r="AY308" s="23">
        <v>0</v>
      </c>
      <c r="AZ308" s="20">
        <v>1.1000000000000001</v>
      </c>
      <c r="BA308" s="20">
        <v>3.44</v>
      </c>
      <c r="BB308" s="20">
        <v>2.34</v>
      </c>
      <c r="BC308" s="20">
        <v>2.669090909090909</v>
      </c>
      <c r="BD308">
        <v>2.669090909090909</v>
      </c>
      <c r="BE308">
        <v>5.9831974772727277</v>
      </c>
    </row>
    <row r="309" spans="1:57" x14ac:dyDescent="0.3">
      <c r="A309" t="s">
        <v>220</v>
      </c>
      <c r="B309" s="12" t="s">
        <v>807</v>
      </c>
      <c r="C309" s="12"/>
      <c r="F309">
        <v>4.5</v>
      </c>
      <c r="G309" t="s">
        <v>242</v>
      </c>
      <c r="H309" s="8" t="s">
        <v>588</v>
      </c>
      <c r="I309" t="s">
        <v>661</v>
      </c>
      <c r="L309" t="s">
        <v>1101</v>
      </c>
      <c r="N309" s="20">
        <v>1</v>
      </c>
      <c r="O309"/>
      <c r="P309"/>
      <c r="Q309"/>
      <c r="T309" s="20">
        <v>5.81978595</v>
      </c>
      <c r="U309" s="20">
        <v>5.81978595</v>
      </c>
      <c r="V309" s="20">
        <v>11.88463337</v>
      </c>
      <c r="W309"/>
      <c r="AO309">
        <v>30</v>
      </c>
      <c r="AP309" s="20">
        <v>348.60249769877402</v>
      </c>
      <c r="AQ309" s="20">
        <v>8.6057903193576313E-2</v>
      </c>
      <c r="AR309" s="23">
        <v>2</v>
      </c>
      <c r="AS309" s="23">
        <v>2.5</v>
      </c>
      <c r="AT309" s="23">
        <v>0.5</v>
      </c>
      <c r="AU309" s="23">
        <v>2.333333333333333</v>
      </c>
      <c r="AV309" s="23">
        <v>0.27272727272727282</v>
      </c>
      <c r="AW309" s="23">
        <v>0.34090909090909088</v>
      </c>
      <c r="AX309" s="23">
        <v>6.8181818181818191E-2</v>
      </c>
      <c r="AY309" s="23">
        <v>0.31818181818181818</v>
      </c>
      <c r="AZ309" s="20">
        <v>0.89</v>
      </c>
      <c r="BA309" s="20">
        <v>3.44</v>
      </c>
      <c r="BB309" s="20">
        <v>2.5499999999999998</v>
      </c>
      <c r="BC309" s="20">
        <v>2.5854166666666671</v>
      </c>
      <c r="BD309">
        <v>2.5854166666666671</v>
      </c>
      <c r="BE309">
        <v>5.9262421145833333</v>
      </c>
    </row>
    <row r="310" spans="1:57" x14ac:dyDescent="0.3">
      <c r="A310" t="s">
        <v>241</v>
      </c>
      <c r="B310" s="12" t="s">
        <v>813</v>
      </c>
      <c r="C310" s="12"/>
      <c r="F310">
        <v>4.2</v>
      </c>
      <c r="G310" t="s">
        <v>242</v>
      </c>
      <c r="H310" s="8">
        <v>-1</v>
      </c>
      <c r="I310" t="s">
        <v>664</v>
      </c>
      <c r="J310" t="s">
        <v>1170</v>
      </c>
      <c r="N310" s="20">
        <v>0</v>
      </c>
      <c r="O310">
        <v>-1</v>
      </c>
      <c r="P310"/>
      <c r="Q310"/>
      <c r="T310" s="20">
        <v>0</v>
      </c>
      <c r="U310" s="20"/>
      <c r="V310" s="20"/>
      <c r="W310"/>
      <c r="AO310">
        <v>30</v>
      </c>
      <c r="AP310" s="20">
        <v>0</v>
      </c>
      <c r="AQ310" s="20"/>
      <c r="AR310" s="23">
        <v>1.916666666666667</v>
      </c>
      <c r="AS310" s="23">
        <v>2.5</v>
      </c>
      <c r="AT310" s="23">
        <v>0.58333333333333337</v>
      </c>
      <c r="AU310" s="23">
        <v>1.166666666666667</v>
      </c>
      <c r="AV310" s="23">
        <v>0.3108108108108108</v>
      </c>
      <c r="AW310" s="23">
        <v>0.40540540540540537</v>
      </c>
      <c r="AX310" s="23">
        <v>9.45945945945946E-2</v>
      </c>
      <c r="AY310" s="23">
        <v>0.1891891891891892</v>
      </c>
      <c r="AZ310" s="20">
        <v>0.89</v>
      </c>
      <c r="BA310" s="20">
        <v>3.44</v>
      </c>
      <c r="BB310" s="20">
        <v>2.5499999999999998</v>
      </c>
      <c r="BC310" s="20">
        <v>2.59375</v>
      </c>
      <c r="BD310">
        <v>2.59375</v>
      </c>
      <c r="BE310">
        <v>5.9180573645833334</v>
      </c>
    </row>
    <row r="311" spans="1:57" x14ac:dyDescent="0.3">
      <c r="A311" t="s">
        <v>38</v>
      </c>
      <c r="B311" s="12" t="s">
        <v>714</v>
      </c>
      <c r="C311" s="12"/>
      <c r="F311">
        <v>3.9</v>
      </c>
      <c r="G311" t="s">
        <v>242</v>
      </c>
      <c r="H311" s="8" t="s">
        <v>545</v>
      </c>
      <c r="I311" t="s">
        <v>626</v>
      </c>
      <c r="L311" t="s">
        <v>1102</v>
      </c>
      <c r="N311" s="20">
        <v>1</v>
      </c>
      <c r="O311"/>
      <c r="P311"/>
      <c r="Q311"/>
      <c r="T311" s="20">
        <v>5.8532381300000003</v>
      </c>
      <c r="U311" s="20">
        <v>5.8532371599999999</v>
      </c>
      <c r="V311" s="20">
        <v>11.912811489999999</v>
      </c>
      <c r="W311"/>
      <c r="AO311">
        <v>30</v>
      </c>
      <c r="AP311" s="20">
        <v>353.45760058531442</v>
      </c>
      <c r="AQ311" s="20">
        <v>8.487580957467307E-2</v>
      </c>
      <c r="AR311" s="23">
        <v>1.833333333333333</v>
      </c>
      <c r="AS311" s="23">
        <v>2.5</v>
      </c>
      <c r="AT311" s="23">
        <v>0.66666666666666663</v>
      </c>
      <c r="AU311" s="23">
        <v>0</v>
      </c>
      <c r="AV311" s="23">
        <v>0.36666666666666659</v>
      </c>
      <c r="AW311" s="23">
        <v>0.5</v>
      </c>
      <c r="AX311" s="23">
        <v>0.1333333333333333</v>
      </c>
      <c r="AY311" s="23">
        <v>0</v>
      </c>
      <c r="AZ311" s="20">
        <v>0.89</v>
      </c>
      <c r="BA311" s="20">
        <v>3.44</v>
      </c>
      <c r="BB311" s="20">
        <v>2.5499999999999998</v>
      </c>
      <c r="BC311" s="20">
        <v>2.6020833333333329</v>
      </c>
      <c r="BD311">
        <v>2.6020833333333329</v>
      </c>
      <c r="BE311">
        <v>5.9098726145833336</v>
      </c>
    </row>
    <row r="312" spans="1:57" x14ac:dyDescent="0.3">
      <c r="A312" t="s">
        <v>244</v>
      </c>
      <c r="B312" s="12" t="s">
        <v>814</v>
      </c>
      <c r="C312" s="12"/>
      <c r="F312">
        <v>3.03</v>
      </c>
      <c r="G312" t="s">
        <v>243</v>
      </c>
      <c r="H312" s="8" t="s">
        <v>591</v>
      </c>
      <c r="I312" t="s">
        <v>665</v>
      </c>
      <c r="N312" s="20">
        <v>40</v>
      </c>
      <c r="O312"/>
      <c r="P312"/>
      <c r="Q312"/>
      <c r="T312" s="20">
        <v>10.442762460000001</v>
      </c>
      <c r="U312" s="20">
        <v>9.9768317300000007</v>
      </c>
      <c r="V312" s="20">
        <v>10.791803529999999</v>
      </c>
      <c r="W312"/>
      <c r="AO312">
        <v>2</v>
      </c>
      <c r="AP312" s="20">
        <v>1118.3380703947059</v>
      </c>
      <c r="AQ312" s="20">
        <v>7.1534719346328615E-2</v>
      </c>
      <c r="AR312" s="23">
        <v>2</v>
      </c>
      <c r="AS312" s="23">
        <v>2</v>
      </c>
      <c r="AT312" s="23">
        <v>5</v>
      </c>
      <c r="AU312" s="23">
        <v>0</v>
      </c>
      <c r="AV312" s="23">
        <v>0.22222222222222221</v>
      </c>
      <c r="AW312" s="23">
        <v>0.22222222222222221</v>
      </c>
      <c r="AX312" s="23">
        <v>0.55555555555555558</v>
      </c>
      <c r="AY312" s="23">
        <v>0</v>
      </c>
      <c r="AZ312" s="20">
        <v>1.65</v>
      </c>
      <c r="BA312" s="20">
        <v>3.44</v>
      </c>
      <c r="BB312" s="20">
        <v>1.79</v>
      </c>
      <c r="BC312" s="20">
        <v>2.5449999999999999</v>
      </c>
      <c r="BD312">
        <v>2.5449999999999999</v>
      </c>
      <c r="BE312">
        <v>5.9633393249999997</v>
      </c>
    </row>
    <row r="313" spans="1:57" x14ac:dyDescent="0.3">
      <c r="A313" t="s">
        <v>244</v>
      </c>
      <c r="B313" s="12" t="s">
        <v>814</v>
      </c>
      <c r="C313" s="12"/>
      <c r="D313" t="s">
        <v>888</v>
      </c>
      <c r="E313">
        <v>1</v>
      </c>
      <c r="F313">
        <v>2.96</v>
      </c>
      <c r="G313" t="s">
        <v>243</v>
      </c>
      <c r="H313" s="8" t="s">
        <v>591</v>
      </c>
      <c r="I313" t="s">
        <v>665</v>
      </c>
      <c r="N313" s="20">
        <v>40</v>
      </c>
      <c r="O313"/>
      <c r="P313"/>
      <c r="Q313"/>
      <c r="T313" s="20">
        <v>10.442762460000001</v>
      </c>
      <c r="U313" s="20">
        <v>9.9768317300000007</v>
      </c>
      <c r="V313" s="20">
        <v>10.791803529999999</v>
      </c>
      <c r="W313"/>
      <c r="AO313">
        <v>2</v>
      </c>
      <c r="AP313" s="20">
        <v>1118.3380703947059</v>
      </c>
      <c r="AQ313" s="20">
        <v>7.1534719346328615E-2</v>
      </c>
      <c r="AR313" s="23">
        <v>2</v>
      </c>
      <c r="AS313" s="23">
        <v>2</v>
      </c>
      <c r="AT313" s="23">
        <v>5</v>
      </c>
      <c r="AU313" s="23">
        <v>0</v>
      </c>
      <c r="AV313" s="23">
        <v>0.22222222222222221</v>
      </c>
      <c r="AW313" s="23">
        <v>0.22222222222222221</v>
      </c>
      <c r="AX313" s="23">
        <v>0.55555555555555558</v>
      </c>
      <c r="AY313" s="23">
        <v>0</v>
      </c>
      <c r="AZ313" s="20">
        <v>1.65</v>
      </c>
      <c r="BA313" s="20">
        <v>3.44</v>
      </c>
      <c r="BB313" s="20">
        <v>1.79</v>
      </c>
      <c r="BC313" s="20">
        <v>2.5449999999999999</v>
      </c>
      <c r="BD313">
        <v>2.5449999999999999</v>
      </c>
      <c r="BE313">
        <v>5.9633393249999997</v>
      </c>
    </row>
    <row r="314" spans="1:57" x14ac:dyDescent="0.3">
      <c r="A314" t="s">
        <v>244</v>
      </c>
      <c r="B314" s="12" t="s">
        <v>814</v>
      </c>
      <c r="C314" s="12"/>
      <c r="D314" t="s">
        <v>888</v>
      </c>
      <c r="E314">
        <v>3</v>
      </c>
      <c r="F314">
        <v>3.14</v>
      </c>
      <c r="G314" t="s">
        <v>243</v>
      </c>
      <c r="H314" s="8" t="s">
        <v>591</v>
      </c>
      <c r="I314" t="s">
        <v>665</v>
      </c>
      <c r="N314" s="20">
        <v>40</v>
      </c>
      <c r="O314"/>
      <c r="P314"/>
      <c r="Q314"/>
      <c r="T314" s="20">
        <v>10.442762460000001</v>
      </c>
      <c r="U314" s="20">
        <v>9.9768317300000007</v>
      </c>
      <c r="V314" s="20">
        <v>10.791803529999999</v>
      </c>
      <c r="W314"/>
      <c r="AO314">
        <v>2</v>
      </c>
      <c r="AP314" s="20">
        <v>1118.3380703947059</v>
      </c>
      <c r="AQ314" s="20">
        <v>7.1534719346328615E-2</v>
      </c>
      <c r="AR314" s="23">
        <v>2</v>
      </c>
      <c r="AS314" s="23">
        <v>2</v>
      </c>
      <c r="AT314" s="23">
        <v>5</v>
      </c>
      <c r="AU314" s="23">
        <v>0</v>
      </c>
      <c r="AV314" s="23">
        <v>0.22222222222222221</v>
      </c>
      <c r="AW314" s="23">
        <v>0.22222222222222221</v>
      </c>
      <c r="AX314" s="23">
        <v>0.55555555555555558</v>
      </c>
      <c r="AY314" s="23">
        <v>0</v>
      </c>
      <c r="AZ314" s="20">
        <v>1.65</v>
      </c>
      <c r="BA314" s="20">
        <v>3.44</v>
      </c>
      <c r="BB314" s="20">
        <v>1.79</v>
      </c>
      <c r="BC314" s="20">
        <v>2.5449999999999999</v>
      </c>
      <c r="BD314">
        <v>2.5449999999999999</v>
      </c>
      <c r="BE314">
        <v>5.9633393249999997</v>
      </c>
    </row>
    <row r="315" spans="1:57" x14ac:dyDescent="0.3">
      <c r="A315" t="s">
        <v>246</v>
      </c>
      <c r="B315" s="12" t="s">
        <v>815</v>
      </c>
      <c r="C315" s="12"/>
      <c r="F315">
        <v>2.3199999999999998</v>
      </c>
      <c r="G315" t="s">
        <v>245</v>
      </c>
      <c r="H315" s="8" t="s">
        <v>592</v>
      </c>
      <c r="I315" t="s">
        <v>666</v>
      </c>
      <c r="J315" t="s">
        <v>1173</v>
      </c>
      <c r="N315" s="20">
        <v>1</v>
      </c>
      <c r="O315"/>
      <c r="P315"/>
      <c r="Q315"/>
      <c r="T315" s="20">
        <v>4.2561477500000002</v>
      </c>
      <c r="U315" s="20">
        <v>4.2561477500000002</v>
      </c>
      <c r="V315" s="20">
        <v>5.9211799999999997</v>
      </c>
      <c r="W315" t="s">
        <v>518</v>
      </c>
      <c r="AO315">
        <v>0</v>
      </c>
      <c r="AP315" s="20">
        <v>92.890714642371009</v>
      </c>
      <c r="AQ315" s="20">
        <v>0</v>
      </c>
      <c r="AR315" s="23">
        <v>2</v>
      </c>
      <c r="AS315" s="23">
        <v>2</v>
      </c>
      <c r="AT315" s="23">
        <v>5</v>
      </c>
      <c r="AU315" s="23">
        <v>0</v>
      </c>
      <c r="AV315" s="23">
        <v>0.22222222222222221</v>
      </c>
      <c r="AW315" s="23">
        <v>0.22222222222222221</v>
      </c>
      <c r="AX315" s="23">
        <v>0.55555555555555558</v>
      </c>
      <c r="AY315" s="23">
        <v>0</v>
      </c>
      <c r="AZ315" s="20">
        <v>1.69</v>
      </c>
      <c r="BA315" s="20">
        <v>2.58</v>
      </c>
      <c r="BB315" s="20">
        <v>0.89000000000000012</v>
      </c>
      <c r="BC315" s="20">
        <v>2.1349999999999998</v>
      </c>
      <c r="BD315">
        <v>2.1349999999999998</v>
      </c>
      <c r="BE315">
        <v>5.1777336280000004</v>
      </c>
    </row>
    <row r="316" spans="1:57" s="4" customFormat="1" x14ac:dyDescent="0.3">
      <c r="A316" s="4" t="s">
        <v>247</v>
      </c>
      <c r="B316" s="36" t="s">
        <v>940</v>
      </c>
      <c r="C316" s="29"/>
      <c r="F316" s="4">
        <v>2.41</v>
      </c>
      <c r="G316" s="4" t="s">
        <v>245</v>
      </c>
      <c r="H316" s="30">
        <v>-2</v>
      </c>
      <c r="I316" s="4">
        <v>-1</v>
      </c>
      <c r="N316" s="31">
        <v>0</v>
      </c>
      <c r="O316" s="4">
        <v>-1</v>
      </c>
      <c r="T316" s="31">
        <v>0</v>
      </c>
      <c r="U316" s="31"/>
      <c r="V316" s="31"/>
      <c r="AO316" s="4">
        <v>0</v>
      </c>
      <c r="AP316" s="31">
        <v>0</v>
      </c>
      <c r="AQ316" s="31"/>
      <c r="AR316" s="4">
        <v>2</v>
      </c>
      <c r="AS316" s="4">
        <v>0</v>
      </c>
      <c r="AT316" s="4">
        <v>10</v>
      </c>
      <c r="AU316" s="4">
        <v>0</v>
      </c>
      <c r="AV316" s="4">
        <v>0.16666666666666671</v>
      </c>
      <c r="AW316" s="4">
        <v>0</v>
      </c>
      <c r="AX316" s="4">
        <v>0.83333333333333337</v>
      </c>
      <c r="AY316" s="4">
        <v>0</v>
      </c>
      <c r="AZ316" s="31">
        <v>1.65</v>
      </c>
      <c r="BA316" s="31">
        <v>1.69</v>
      </c>
      <c r="BB316" s="31">
        <v>4.0000000000000042E-2</v>
      </c>
      <c r="BC316" s="31">
        <v>1.6859999999999999</v>
      </c>
      <c r="BD316" s="4">
        <v>1.6859999999999999</v>
      </c>
      <c r="BE316" s="4">
        <v>4.1619288499999998</v>
      </c>
    </row>
    <row r="317" spans="1:57" s="4" customFormat="1" x14ac:dyDescent="0.3">
      <c r="A317" s="4" t="s">
        <v>252</v>
      </c>
      <c r="B317" s="36" t="s">
        <v>941</v>
      </c>
      <c r="C317" s="29"/>
      <c r="F317" s="4">
        <v>2.54</v>
      </c>
      <c r="G317" s="4" t="s">
        <v>245</v>
      </c>
      <c r="H317" s="30">
        <v>-2</v>
      </c>
      <c r="I317" s="4">
        <v>-1</v>
      </c>
      <c r="N317" s="31">
        <v>0</v>
      </c>
      <c r="O317" s="4">
        <v>-1</v>
      </c>
      <c r="T317" s="31">
        <v>0</v>
      </c>
      <c r="U317" s="31"/>
      <c r="V317" s="31"/>
      <c r="AO317" s="4">
        <v>0</v>
      </c>
      <c r="AP317" s="31">
        <v>0</v>
      </c>
      <c r="AQ317" s="31"/>
      <c r="AR317" s="4">
        <v>2</v>
      </c>
      <c r="AS317" s="4">
        <v>0</v>
      </c>
      <c r="AT317" s="4">
        <v>10</v>
      </c>
      <c r="AU317" s="4">
        <v>0</v>
      </c>
      <c r="AV317" s="4">
        <v>0.16666666666666671</v>
      </c>
      <c r="AW317" s="4">
        <v>0</v>
      </c>
      <c r="AX317" s="4">
        <v>0.83333333333333348</v>
      </c>
      <c r="AY317" s="4">
        <v>0</v>
      </c>
      <c r="AZ317" s="31">
        <v>1.65</v>
      </c>
      <c r="BA317" s="31">
        <v>1.69</v>
      </c>
      <c r="BB317" s="31">
        <v>4.0000000000000042E-2</v>
      </c>
      <c r="BC317" s="31">
        <v>1.6779999999999999</v>
      </c>
      <c r="BD317" s="4">
        <v>1.6779999999999999</v>
      </c>
      <c r="BE317" s="4">
        <v>4.2119665499999996</v>
      </c>
    </row>
    <row r="318" spans="1:57" s="4" customFormat="1" x14ac:dyDescent="0.3">
      <c r="A318" s="4" t="s">
        <v>251</v>
      </c>
      <c r="B318" s="36" t="s">
        <v>942</v>
      </c>
      <c r="C318" s="29"/>
      <c r="F318" s="4">
        <v>2.68</v>
      </c>
      <c r="G318" s="4" t="s">
        <v>245</v>
      </c>
      <c r="H318" s="30">
        <v>-2</v>
      </c>
      <c r="I318" s="4">
        <v>-1</v>
      </c>
      <c r="N318" s="31">
        <v>0</v>
      </c>
      <c r="O318" s="4">
        <v>-1</v>
      </c>
      <c r="T318" s="31">
        <v>0</v>
      </c>
      <c r="U318" s="31"/>
      <c r="V318" s="31"/>
      <c r="AO318" s="4">
        <v>0</v>
      </c>
      <c r="AP318" s="31">
        <v>0</v>
      </c>
      <c r="AQ318" s="31"/>
      <c r="AR318" s="4">
        <v>2</v>
      </c>
      <c r="AS318" s="4">
        <v>0</v>
      </c>
      <c r="AT318" s="4">
        <v>10</v>
      </c>
      <c r="AU318" s="4">
        <v>0</v>
      </c>
      <c r="AV318" s="4">
        <v>0.16666666666666671</v>
      </c>
      <c r="AW318" s="4">
        <v>0</v>
      </c>
      <c r="AX318" s="4">
        <v>0.83333333333333337</v>
      </c>
      <c r="AY318" s="4">
        <v>0</v>
      </c>
      <c r="AZ318" s="31">
        <v>1.65</v>
      </c>
      <c r="BA318" s="31">
        <v>1.69</v>
      </c>
      <c r="BB318" s="31">
        <v>4.0000000000000042E-2</v>
      </c>
      <c r="BC318" s="31">
        <v>1.67</v>
      </c>
      <c r="BD318" s="4">
        <v>1.67</v>
      </c>
      <c r="BE318" s="4">
        <v>4.2620042500000004</v>
      </c>
    </row>
    <row r="319" spans="1:57" s="4" customFormat="1" x14ac:dyDescent="0.3">
      <c r="A319" s="4" t="s">
        <v>250</v>
      </c>
      <c r="B319" s="36" t="s">
        <v>943</v>
      </c>
      <c r="C319" s="29"/>
      <c r="F319" s="4">
        <v>2.91</v>
      </c>
      <c r="G319" s="4" t="s">
        <v>245</v>
      </c>
      <c r="H319" s="30">
        <v>-2</v>
      </c>
      <c r="I319" s="4">
        <v>-1</v>
      </c>
      <c r="N319" s="31">
        <v>0</v>
      </c>
      <c r="O319" s="4">
        <v>-1</v>
      </c>
      <c r="T319" s="31">
        <v>0</v>
      </c>
      <c r="U319" s="31"/>
      <c r="V319" s="31"/>
      <c r="AO319" s="4">
        <v>0</v>
      </c>
      <c r="AP319" s="31">
        <v>0</v>
      </c>
      <c r="AQ319" s="31"/>
      <c r="AR319" s="4">
        <v>2</v>
      </c>
      <c r="AS319" s="4">
        <v>0</v>
      </c>
      <c r="AT319" s="4">
        <v>10</v>
      </c>
      <c r="AU319" s="4">
        <v>0</v>
      </c>
      <c r="AV319" s="4">
        <v>0.16666666666666671</v>
      </c>
      <c r="AW319" s="4">
        <v>0</v>
      </c>
      <c r="AX319" s="4">
        <v>0.83333333333333348</v>
      </c>
      <c r="AY319" s="4">
        <v>0</v>
      </c>
      <c r="AZ319" s="31">
        <v>1.65</v>
      </c>
      <c r="BA319" s="31">
        <v>1.69</v>
      </c>
      <c r="BB319" s="31">
        <v>4.0000000000000042E-2</v>
      </c>
      <c r="BC319" s="31">
        <v>1.6619999999999999</v>
      </c>
      <c r="BD319" s="4">
        <v>1.6619999999999999</v>
      </c>
      <c r="BE319" s="4">
        <v>4.3120419500000002</v>
      </c>
    </row>
    <row r="320" spans="1:57" s="4" customFormat="1" x14ac:dyDescent="0.3">
      <c r="A320" s="4" t="s">
        <v>249</v>
      </c>
      <c r="B320" s="36" t="s">
        <v>944</v>
      </c>
      <c r="C320" s="29"/>
      <c r="F320" s="4">
        <v>3.36</v>
      </c>
      <c r="G320" s="4" t="s">
        <v>245</v>
      </c>
      <c r="H320" s="30">
        <v>-2</v>
      </c>
      <c r="I320" s="4">
        <v>-1</v>
      </c>
      <c r="N320" s="31">
        <v>0</v>
      </c>
      <c r="O320" s="4">
        <v>-1</v>
      </c>
      <c r="T320" s="31">
        <v>0</v>
      </c>
      <c r="U320" s="31"/>
      <c r="V320" s="31"/>
      <c r="AO320" s="4">
        <v>0</v>
      </c>
      <c r="AP320" s="31">
        <v>0</v>
      </c>
      <c r="AQ320" s="31"/>
      <c r="AR320" s="4">
        <v>2</v>
      </c>
      <c r="AS320" s="4">
        <v>0</v>
      </c>
      <c r="AT320" s="4">
        <v>10</v>
      </c>
      <c r="AU320" s="4">
        <v>0</v>
      </c>
      <c r="AV320" s="4">
        <v>0.16666666666666671</v>
      </c>
      <c r="AW320" s="4">
        <v>0</v>
      </c>
      <c r="AX320" s="4">
        <v>0.83333333333333337</v>
      </c>
      <c r="AY320" s="4">
        <v>0</v>
      </c>
      <c r="AZ320" s="31">
        <v>1.65</v>
      </c>
      <c r="BA320" s="31">
        <v>1.69</v>
      </c>
      <c r="BB320" s="31">
        <v>4.0000000000000042E-2</v>
      </c>
      <c r="BC320" s="31">
        <v>1.6539999999999999</v>
      </c>
      <c r="BD320" s="4">
        <v>1.6539999999999999</v>
      </c>
      <c r="BE320" s="4">
        <v>4.3620796500000001</v>
      </c>
    </row>
    <row r="321" spans="1:57" x14ac:dyDescent="0.3">
      <c r="A321" t="s">
        <v>248</v>
      </c>
      <c r="B321" s="12" t="s">
        <v>816</v>
      </c>
      <c r="C321" s="12"/>
      <c r="F321">
        <v>3.6</v>
      </c>
      <c r="G321" t="s">
        <v>245</v>
      </c>
      <c r="H321" s="8" t="s">
        <v>593</v>
      </c>
      <c r="I321" t="s">
        <v>667</v>
      </c>
      <c r="J321" t="s">
        <v>1172</v>
      </c>
      <c r="N321" s="20">
        <v>50</v>
      </c>
      <c r="O321"/>
      <c r="P321"/>
      <c r="Q321"/>
      <c r="T321" s="20">
        <v>12.345150759999999</v>
      </c>
      <c r="U321" s="20">
        <v>15.34169717</v>
      </c>
      <c r="V321" s="20">
        <v>13.410947439999999</v>
      </c>
      <c r="W321" t="s">
        <v>1171</v>
      </c>
      <c r="AO321">
        <v>0</v>
      </c>
      <c r="AP321" s="20">
        <v>2502.9167389596269</v>
      </c>
      <c r="AQ321" s="20">
        <v>0</v>
      </c>
      <c r="AR321" s="23">
        <v>2</v>
      </c>
      <c r="AS321" s="23">
        <v>2</v>
      </c>
      <c r="AT321" s="23">
        <v>5</v>
      </c>
      <c r="AU321" s="23">
        <v>0</v>
      </c>
      <c r="AV321" s="23">
        <v>0.22222222222222221</v>
      </c>
      <c r="AW321" s="23">
        <v>0.22222222222222221</v>
      </c>
      <c r="AX321" s="23">
        <v>0.55555555555555558</v>
      </c>
      <c r="AY321" s="23">
        <v>0</v>
      </c>
      <c r="AZ321" s="20">
        <v>1.65</v>
      </c>
      <c r="BA321" s="20">
        <v>2.58</v>
      </c>
      <c r="BB321" s="20">
        <v>0.93000000000000016</v>
      </c>
      <c r="BC321" s="20">
        <v>2.1150000000000002</v>
      </c>
      <c r="BD321">
        <v>2.1150000000000002</v>
      </c>
      <c r="BE321">
        <v>5.3028278780000004</v>
      </c>
    </row>
    <row r="322" spans="1:57" x14ac:dyDescent="0.3">
      <c r="A322" t="s">
        <v>15</v>
      </c>
      <c r="B322" s="12" t="s">
        <v>700</v>
      </c>
      <c r="C322" s="12"/>
      <c r="F322">
        <v>4.49</v>
      </c>
      <c r="G322" t="s">
        <v>253</v>
      </c>
      <c r="H322" s="8" t="s">
        <v>533</v>
      </c>
      <c r="I322" t="s">
        <v>614</v>
      </c>
      <c r="N322" s="20">
        <v>4</v>
      </c>
      <c r="O322"/>
      <c r="P322"/>
      <c r="Q322"/>
      <c r="T322" s="20">
        <v>5.63450966</v>
      </c>
      <c r="U322" s="20">
        <v>7.6422105</v>
      </c>
      <c r="V322" s="20">
        <v>11.066420430000001</v>
      </c>
      <c r="W322"/>
      <c r="AO322">
        <v>12</v>
      </c>
      <c r="AP322" s="20">
        <v>476.5212686940929</v>
      </c>
      <c r="AQ322" s="20">
        <v>0.1007300264509579</v>
      </c>
      <c r="AR322" s="23">
        <v>2</v>
      </c>
      <c r="AS322" s="23">
        <v>2.666666666666667</v>
      </c>
      <c r="AT322" s="23">
        <v>0.66666666666666663</v>
      </c>
      <c r="AU322" s="23">
        <v>3.1111111111111112</v>
      </c>
      <c r="AV322" s="23">
        <v>0.23684210526315791</v>
      </c>
      <c r="AW322" s="23">
        <v>0.31578947368421051</v>
      </c>
      <c r="AX322" s="23">
        <v>7.8947368421052627E-2</v>
      </c>
      <c r="AY322" s="23">
        <v>0.36842105263157893</v>
      </c>
      <c r="AZ322" s="20">
        <v>0.95</v>
      </c>
      <c r="BA322" s="20">
        <v>3.44</v>
      </c>
      <c r="BB322" s="20">
        <v>2.4900000000000002</v>
      </c>
      <c r="BC322" s="20">
        <v>2.7322222222222221</v>
      </c>
      <c r="BD322">
        <v>2.7322222222222221</v>
      </c>
      <c r="BE322">
        <v>6.2204042916666662</v>
      </c>
    </row>
    <row r="323" spans="1:57" x14ac:dyDescent="0.3">
      <c r="A323" t="s">
        <v>254</v>
      </c>
      <c r="B323" s="12" t="s">
        <v>817</v>
      </c>
      <c r="C323" s="12"/>
      <c r="F323">
        <v>4.8099999999999996</v>
      </c>
      <c r="G323" t="s">
        <v>253</v>
      </c>
      <c r="H323" s="8" t="s">
        <v>594</v>
      </c>
      <c r="I323">
        <v>-1</v>
      </c>
      <c r="N323" s="20">
        <v>4</v>
      </c>
      <c r="O323"/>
      <c r="P323"/>
      <c r="Q323"/>
      <c r="T323" s="20">
        <v>5.8119930000000002</v>
      </c>
      <c r="U323" s="20">
        <v>10.228956</v>
      </c>
      <c r="V323" s="20">
        <v>17.904929589999998</v>
      </c>
      <c r="W323"/>
      <c r="AO323">
        <v>18</v>
      </c>
      <c r="AP323" s="20">
        <v>882.26177591634428</v>
      </c>
      <c r="AQ323" s="20">
        <v>8.1608431834438916E-2</v>
      </c>
      <c r="AR323" s="23">
        <v>2</v>
      </c>
      <c r="AS323" s="23">
        <v>2.4</v>
      </c>
      <c r="AT323" s="23">
        <v>0.4</v>
      </c>
      <c r="AU323" s="23">
        <v>1.8666666666666669</v>
      </c>
      <c r="AV323" s="23">
        <v>0.3</v>
      </c>
      <c r="AW323" s="23">
        <v>0.36</v>
      </c>
      <c r="AX323" s="23">
        <v>0.06</v>
      </c>
      <c r="AY323" s="23">
        <v>0.28000000000000003</v>
      </c>
      <c r="AZ323" s="20">
        <v>0.95</v>
      </c>
      <c r="BA323" s="20">
        <v>3.44</v>
      </c>
      <c r="BB323" s="20">
        <v>2.4900000000000002</v>
      </c>
      <c r="BC323" s="20">
        <v>2.5173333333333332</v>
      </c>
      <c r="BD323">
        <v>2.5173333333333341</v>
      </c>
      <c r="BE323">
        <v>5.8148519500000004</v>
      </c>
    </row>
    <row r="324" spans="1:57" x14ac:dyDescent="0.3">
      <c r="A324" t="s">
        <v>221</v>
      </c>
      <c r="B324" s="12" t="s">
        <v>808</v>
      </c>
      <c r="C324" s="12"/>
      <c r="F324">
        <v>4.75</v>
      </c>
      <c r="G324" t="s">
        <v>253</v>
      </c>
      <c r="H324" s="8" t="s">
        <v>589</v>
      </c>
      <c r="I324">
        <v>-1</v>
      </c>
      <c r="N324" s="20">
        <v>1</v>
      </c>
      <c r="O324"/>
      <c r="P324"/>
      <c r="Q324"/>
      <c r="T324" s="20">
        <v>5.6694849300000003</v>
      </c>
      <c r="U324" s="20">
        <v>5.6694842000000003</v>
      </c>
      <c r="V324" s="20">
        <v>11.54266629</v>
      </c>
      <c r="W324"/>
      <c r="AO324">
        <v>30</v>
      </c>
      <c r="AP324" s="20">
        <v>321.30962315738361</v>
      </c>
      <c r="AQ324" s="20">
        <v>9.3367885173191417E-2</v>
      </c>
      <c r="AR324" s="23">
        <v>2</v>
      </c>
      <c r="AS324" s="23">
        <v>2.5</v>
      </c>
      <c r="AT324" s="23">
        <v>0.5</v>
      </c>
      <c r="AU324" s="23">
        <v>2.333333333333333</v>
      </c>
      <c r="AV324" s="23">
        <v>0.27272727272727282</v>
      </c>
      <c r="AW324" s="23">
        <v>0.34090909090909088</v>
      </c>
      <c r="AX324" s="23">
        <v>6.8181818181818191E-2</v>
      </c>
      <c r="AY324" s="23">
        <v>0.31818181818181818</v>
      </c>
      <c r="AZ324" s="20">
        <v>0.95</v>
      </c>
      <c r="BA324" s="20">
        <v>3.44</v>
      </c>
      <c r="BB324" s="20">
        <v>2.4900000000000002</v>
      </c>
      <c r="BC324" s="20">
        <v>2.5979166666666669</v>
      </c>
      <c r="BD324">
        <v>2.597916666666666</v>
      </c>
      <c r="BE324">
        <v>5.966934078125</v>
      </c>
    </row>
    <row r="325" spans="1:57" x14ac:dyDescent="0.3">
      <c r="A325" t="s">
        <v>255</v>
      </c>
      <c r="B325" s="12" t="s">
        <v>818</v>
      </c>
      <c r="C325" s="12"/>
      <c r="F325">
        <v>1.55</v>
      </c>
      <c r="G325" t="s">
        <v>256</v>
      </c>
      <c r="H325" s="8" t="s">
        <v>595</v>
      </c>
      <c r="I325" t="s">
        <v>668</v>
      </c>
      <c r="N325" s="20">
        <v>2</v>
      </c>
      <c r="O325"/>
      <c r="P325"/>
      <c r="Q325"/>
      <c r="T325" s="20">
        <v>6.8866614799999999</v>
      </c>
      <c r="U325" s="20">
        <v>6.8866614799999999</v>
      </c>
      <c r="V325" s="20">
        <v>6.8866614799999999</v>
      </c>
      <c r="W325"/>
      <c r="AO325">
        <v>8</v>
      </c>
      <c r="AP325" s="20">
        <v>222.33131811857061</v>
      </c>
      <c r="AQ325" s="20">
        <v>7.1964670274059672E-2</v>
      </c>
      <c r="AR325" s="23">
        <v>1.857142857142857</v>
      </c>
      <c r="AS325" s="23">
        <v>3.1428571428571428</v>
      </c>
      <c r="AT325" s="23">
        <v>4.2857142857142856</v>
      </c>
      <c r="AU325" s="23">
        <v>4</v>
      </c>
      <c r="AV325" s="23">
        <v>0.1397849462365591</v>
      </c>
      <c r="AW325" s="23">
        <v>0.23655913978494619</v>
      </c>
      <c r="AX325" s="23">
        <v>0.32258064516129031</v>
      </c>
      <c r="AY325" s="23">
        <v>0.30107526881720431</v>
      </c>
      <c r="AZ325" s="20">
        <v>1.9</v>
      </c>
      <c r="BA325" s="20">
        <v>3.44</v>
      </c>
      <c r="BB325" s="20">
        <v>1.54</v>
      </c>
      <c r="BC325" s="20">
        <v>2.8142857142857141</v>
      </c>
      <c r="BD325">
        <v>2.8142857142857141</v>
      </c>
      <c r="BE325">
        <v>6.1238972471428568</v>
      </c>
    </row>
    <row r="326" spans="1:57" x14ac:dyDescent="0.3">
      <c r="A326" t="s">
        <v>0</v>
      </c>
      <c r="B326" s="12" t="s">
        <v>685</v>
      </c>
      <c r="C326" s="12"/>
      <c r="F326">
        <v>3.3</v>
      </c>
      <c r="G326" t="s">
        <v>257</v>
      </c>
      <c r="H326" s="8" t="s">
        <v>523</v>
      </c>
      <c r="I326" t="s">
        <v>606</v>
      </c>
      <c r="N326" s="20">
        <v>4</v>
      </c>
      <c r="O326"/>
      <c r="P326"/>
      <c r="Q326"/>
      <c r="T326" s="20">
        <v>6.6040679999999998</v>
      </c>
      <c r="U326" s="20">
        <v>7.9389519999999996</v>
      </c>
      <c r="V326" s="20">
        <v>33.703336</v>
      </c>
      <c r="W326"/>
      <c r="AO326">
        <v>34</v>
      </c>
      <c r="AP326" s="20">
        <v>1767.0449718798691</v>
      </c>
      <c r="AQ326" s="20">
        <v>7.6964651247849417E-2</v>
      </c>
      <c r="AR326" s="23">
        <v>1.62962962962963</v>
      </c>
      <c r="AS326" s="23">
        <v>2.518518518518519</v>
      </c>
      <c r="AT326" s="23">
        <v>0.88888888888888884</v>
      </c>
      <c r="AU326" s="23">
        <v>0</v>
      </c>
      <c r="AV326" s="23">
        <v>0.32352941176470579</v>
      </c>
      <c r="AW326" s="23">
        <v>0.5</v>
      </c>
      <c r="AX326" s="23">
        <v>0.1764705882352941</v>
      </c>
      <c r="AY326" s="23">
        <v>0</v>
      </c>
      <c r="AZ326" s="20">
        <v>0.82</v>
      </c>
      <c r="BA326" s="20">
        <v>3.44</v>
      </c>
      <c r="BB326" s="20">
        <v>2.62</v>
      </c>
      <c r="BC326" s="20">
        <v>2.642962962962963</v>
      </c>
      <c r="BD326">
        <v>2.642962962962963</v>
      </c>
      <c r="BE326">
        <v>5.9587362692592576</v>
      </c>
    </row>
    <row r="327" spans="1:57" x14ac:dyDescent="0.3">
      <c r="A327" t="s">
        <v>215</v>
      </c>
      <c r="B327" s="12" t="s">
        <v>734</v>
      </c>
      <c r="C327" s="12"/>
      <c r="F327">
        <v>4.13</v>
      </c>
      <c r="G327" t="s">
        <v>258</v>
      </c>
      <c r="H327" s="8" t="s">
        <v>587</v>
      </c>
      <c r="I327" t="s">
        <v>636</v>
      </c>
      <c r="N327" s="20">
        <v>1</v>
      </c>
      <c r="O327"/>
      <c r="P327"/>
      <c r="Q327"/>
      <c r="T327" s="20">
        <v>3.950634</v>
      </c>
      <c r="U327" s="20">
        <v>3.950634</v>
      </c>
      <c r="V327" s="20">
        <v>15.513552000000001</v>
      </c>
      <c r="W327"/>
      <c r="AO327">
        <v>20</v>
      </c>
      <c r="AP327" s="20">
        <v>242.1279024923125</v>
      </c>
      <c r="AQ327" s="20">
        <v>8.2600971611006269E-2</v>
      </c>
      <c r="AR327" s="23">
        <v>1.9375</v>
      </c>
      <c r="AS327" s="23">
        <v>2.5</v>
      </c>
      <c r="AT327" s="23">
        <v>0.5625</v>
      </c>
      <c r="AU327" s="23">
        <v>2.625</v>
      </c>
      <c r="AV327" s="23">
        <v>0.25409836065573771</v>
      </c>
      <c r="AW327" s="23">
        <v>0.32786885245901642</v>
      </c>
      <c r="AX327" s="23">
        <v>7.3770491803278687E-2</v>
      </c>
      <c r="AY327" s="23">
        <v>0.34426229508196721</v>
      </c>
      <c r="AZ327" s="20">
        <v>0.79</v>
      </c>
      <c r="BA327" s="20">
        <v>3.44</v>
      </c>
      <c r="BB327" s="20">
        <v>2.65</v>
      </c>
      <c r="BC327" s="20">
        <v>2.6056249999999999</v>
      </c>
      <c r="BD327">
        <v>2.6056249999999999</v>
      </c>
      <c r="BE327">
        <v>5.9703320286696879</v>
      </c>
    </row>
    <row r="328" spans="1:57" x14ac:dyDescent="0.3">
      <c r="A328" t="s">
        <v>259</v>
      </c>
      <c r="B328" s="16" t="s">
        <v>734</v>
      </c>
      <c r="C328" s="12"/>
      <c r="D328" t="s">
        <v>676</v>
      </c>
      <c r="E328">
        <v>0.3</v>
      </c>
      <c r="F328">
        <v>2.17</v>
      </c>
      <c r="G328" t="s">
        <v>258</v>
      </c>
      <c r="H328" s="8" t="s">
        <v>587</v>
      </c>
      <c r="I328" t="s">
        <v>636</v>
      </c>
      <c r="N328" s="20">
        <v>1</v>
      </c>
      <c r="O328"/>
      <c r="P328"/>
      <c r="Q328"/>
      <c r="T328" s="20">
        <v>3.950634</v>
      </c>
      <c r="U328" s="20">
        <v>3.950634</v>
      </c>
      <c r="V328" s="20">
        <v>15.513552000000001</v>
      </c>
      <c r="W328"/>
      <c r="AO328">
        <v>20</v>
      </c>
      <c r="AP328" s="20">
        <v>242.1279024923125</v>
      </c>
      <c r="AQ328" s="20">
        <v>8.2600971611006269E-2</v>
      </c>
      <c r="AR328" s="23">
        <v>1.9375</v>
      </c>
      <c r="AS328" s="23">
        <v>2.5</v>
      </c>
      <c r="AT328" s="23">
        <v>0.5625</v>
      </c>
      <c r="AU328" s="23">
        <v>2.625</v>
      </c>
      <c r="AV328" s="23">
        <v>0.25409836065573771</v>
      </c>
      <c r="AW328" s="23">
        <v>0.32786885245901642</v>
      </c>
      <c r="AX328" s="23">
        <v>7.3770491803278687E-2</v>
      </c>
      <c r="AY328" s="23">
        <v>0.34426229508196721</v>
      </c>
      <c r="AZ328" s="20">
        <v>0.79</v>
      </c>
      <c r="BA328" s="20">
        <v>3.44</v>
      </c>
      <c r="BB328" s="20">
        <v>2.65</v>
      </c>
      <c r="BC328" s="20">
        <v>2.6056249999999999</v>
      </c>
      <c r="BD328">
        <v>2.6056249999999999</v>
      </c>
      <c r="BE328">
        <v>5.9703320286696879</v>
      </c>
    </row>
    <row r="329" spans="1:57" x14ac:dyDescent="0.3">
      <c r="A329" t="s">
        <v>4</v>
      </c>
      <c r="B329" s="12" t="s">
        <v>689</v>
      </c>
      <c r="C329" s="12"/>
      <c r="F329">
        <v>3.35</v>
      </c>
      <c r="G329" t="s">
        <v>260</v>
      </c>
      <c r="H329" s="8" t="s">
        <v>527</v>
      </c>
      <c r="I329" t="s">
        <v>609</v>
      </c>
      <c r="N329" s="20">
        <v>4</v>
      </c>
      <c r="O329"/>
      <c r="P329"/>
      <c r="Q329"/>
      <c r="T329" s="20">
        <v>7.8084429999999996</v>
      </c>
      <c r="U329" s="20">
        <v>7.8548809999999998</v>
      </c>
      <c r="V329" s="20">
        <v>15.19056011</v>
      </c>
      <c r="W329"/>
      <c r="AO329">
        <v>20</v>
      </c>
      <c r="AP329" s="20">
        <v>924.74694800021894</v>
      </c>
      <c r="AQ329" s="20">
        <v>8.6510153045653584E-2</v>
      </c>
      <c r="AR329" s="23">
        <v>1.75</v>
      </c>
      <c r="AS329" s="23">
        <v>2.5</v>
      </c>
      <c r="AT329" s="23">
        <v>0.75</v>
      </c>
      <c r="AU329" s="23">
        <v>0</v>
      </c>
      <c r="AV329" s="23">
        <v>0.35</v>
      </c>
      <c r="AW329" s="23">
        <v>0.5</v>
      </c>
      <c r="AX329" s="23">
        <v>0.15</v>
      </c>
      <c r="AY329" s="23">
        <v>0</v>
      </c>
      <c r="AZ329" s="20">
        <v>0.82</v>
      </c>
      <c r="BA329" s="20">
        <v>3.44</v>
      </c>
      <c r="BB329" s="20">
        <v>2.62</v>
      </c>
      <c r="BC329" s="20">
        <v>2.6262500000000002</v>
      </c>
      <c r="BD329">
        <v>2.6262500000000002</v>
      </c>
      <c r="BE329">
        <v>5.96680968125</v>
      </c>
    </row>
    <row r="330" spans="1:57" x14ac:dyDescent="0.3">
      <c r="A330" t="s">
        <v>38</v>
      </c>
      <c r="B330" s="12" t="s">
        <v>714</v>
      </c>
      <c r="C330" s="12"/>
      <c r="F330">
        <v>3.92</v>
      </c>
      <c r="G330" t="s">
        <v>261</v>
      </c>
      <c r="H330" s="8" t="s">
        <v>545</v>
      </c>
      <c r="I330" t="s">
        <v>626</v>
      </c>
      <c r="N330" s="20">
        <v>1</v>
      </c>
      <c r="O330"/>
      <c r="P330"/>
      <c r="Q330"/>
      <c r="T330" s="20">
        <v>5.8532381300000003</v>
      </c>
      <c r="U330" s="20">
        <v>5.8532371599999999</v>
      </c>
      <c r="V330" s="20">
        <v>11.912811489999999</v>
      </c>
      <c r="W330"/>
      <c r="AO330">
        <v>30</v>
      </c>
      <c r="AP330" s="20">
        <v>353.45760058531442</v>
      </c>
      <c r="AQ330" s="20">
        <v>8.487580957467307E-2</v>
      </c>
      <c r="AR330" s="23">
        <v>1.833333333333333</v>
      </c>
      <c r="AS330" s="23">
        <v>2.5</v>
      </c>
      <c r="AT330" s="23">
        <v>0.66666666666666663</v>
      </c>
      <c r="AU330" s="23">
        <v>0</v>
      </c>
      <c r="AV330" s="23">
        <v>0.36666666666666659</v>
      </c>
      <c r="AW330" s="23">
        <v>0.5</v>
      </c>
      <c r="AX330" s="23">
        <v>0.1333333333333333</v>
      </c>
      <c r="AY330" s="23">
        <v>0</v>
      </c>
      <c r="AZ330" s="20">
        <v>0.89</v>
      </c>
      <c r="BA330" s="20">
        <v>3.44</v>
      </c>
      <c r="BB330" s="20">
        <v>2.5499999999999998</v>
      </c>
      <c r="BC330" s="20">
        <v>2.6020833333333329</v>
      </c>
      <c r="BD330">
        <v>2.6020833333333329</v>
      </c>
      <c r="BE330">
        <v>5.9098726145833336</v>
      </c>
    </row>
    <row r="331" spans="1:57" x14ac:dyDescent="0.3">
      <c r="A331" t="s">
        <v>4</v>
      </c>
      <c r="B331" s="19" t="s">
        <v>689</v>
      </c>
      <c r="C331" s="12"/>
      <c r="F331">
        <v>3.55</v>
      </c>
      <c r="G331" t="s">
        <v>263</v>
      </c>
      <c r="H331" s="8">
        <v>-1</v>
      </c>
      <c r="I331">
        <v>-1</v>
      </c>
      <c r="N331" s="20">
        <v>0</v>
      </c>
      <c r="O331">
        <v>3.8450000000000002</v>
      </c>
      <c r="P331">
        <v>29.35</v>
      </c>
      <c r="Q331">
        <v>7.6580000000000004</v>
      </c>
      <c r="R331" t="s">
        <v>472</v>
      </c>
      <c r="T331" s="20">
        <v>0</v>
      </c>
      <c r="U331" s="20"/>
      <c r="V331" s="20"/>
      <c r="W331"/>
      <c r="AO331">
        <v>20</v>
      </c>
      <c r="AP331" s="20">
        <v>0</v>
      </c>
      <c r="AQ331" s="20"/>
      <c r="AR331" s="23">
        <v>1.75</v>
      </c>
      <c r="AS331" s="23">
        <v>2.5</v>
      </c>
      <c r="AT331" s="23">
        <v>0.75</v>
      </c>
      <c r="AU331" s="23">
        <v>0</v>
      </c>
      <c r="AV331" s="23">
        <v>0.35</v>
      </c>
      <c r="AW331" s="23">
        <v>0.5</v>
      </c>
      <c r="AX331" s="23">
        <v>0.15</v>
      </c>
      <c r="AY331" s="23">
        <v>0</v>
      </c>
      <c r="AZ331" s="20">
        <v>0.82</v>
      </c>
      <c r="BA331" s="20">
        <v>3.44</v>
      </c>
      <c r="BB331" s="20">
        <v>2.62</v>
      </c>
      <c r="BC331" s="20">
        <v>2.6262500000000002</v>
      </c>
      <c r="BD331">
        <v>2.7466666666666661</v>
      </c>
      <c r="BE331">
        <v>6.2031928980000002</v>
      </c>
    </row>
    <row r="332" spans="1:57" x14ac:dyDescent="0.3">
      <c r="A332" t="s">
        <v>4</v>
      </c>
      <c r="B332" s="19" t="s">
        <v>689</v>
      </c>
      <c r="C332" s="12"/>
      <c r="D332" t="s">
        <v>676</v>
      </c>
      <c r="E332">
        <v>1.37</v>
      </c>
      <c r="F332">
        <v>3.03</v>
      </c>
      <c r="G332" t="s">
        <v>263</v>
      </c>
      <c r="H332" s="8">
        <v>-1</v>
      </c>
      <c r="I332">
        <v>-1</v>
      </c>
      <c r="N332" s="20">
        <v>0</v>
      </c>
      <c r="O332">
        <v>3.8490000000000002</v>
      </c>
      <c r="P332">
        <v>29.42</v>
      </c>
      <c r="Q332">
        <v>7.6680000000000001</v>
      </c>
      <c r="R332" t="s">
        <v>472</v>
      </c>
      <c r="T332" s="20">
        <v>0</v>
      </c>
      <c r="U332" s="20"/>
      <c r="V332" s="20"/>
      <c r="W332"/>
      <c r="AO332">
        <v>20</v>
      </c>
      <c r="AP332" s="20">
        <v>0</v>
      </c>
      <c r="AQ332" s="20"/>
      <c r="AR332" s="23">
        <v>1.75</v>
      </c>
      <c r="AS332" s="23">
        <v>2.5</v>
      </c>
      <c r="AT332" s="23">
        <v>0.75</v>
      </c>
      <c r="AU332" s="23">
        <v>0</v>
      </c>
      <c r="AV332" s="23">
        <v>0.35</v>
      </c>
      <c r="AW332" s="23">
        <v>0.5</v>
      </c>
      <c r="AX332" s="23">
        <v>0.15</v>
      </c>
      <c r="AY332" s="23">
        <v>0</v>
      </c>
      <c r="AZ332" s="20">
        <v>0.82</v>
      </c>
      <c r="BA332" s="20">
        <v>3.44</v>
      </c>
      <c r="BB332" s="20">
        <v>2.62</v>
      </c>
      <c r="BC332" s="20">
        <v>2.6262500000000002</v>
      </c>
      <c r="BD332">
        <v>2.7466666666666661</v>
      </c>
      <c r="BE332">
        <v>6.2031928980000002</v>
      </c>
    </row>
    <row r="333" spans="1:57" x14ac:dyDescent="0.3">
      <c r="A333" t="s">
        <v>889</v>
      </c>
      <c r="B333" s="16" t="s">
        <v>945</v>
      </c>
      <c r="C333" s="12"/>
      <c r="D333" t="s">
        <v>676</v>
      </c>
      <c r="E333">
        <v>0.41</v>
      </c>
      <c r="F333">
        <v>2.1800000000000002</v>
      </c>
      <c r="G333" t="s">
        <v>264</v>
      </c>
      <c r="H333" s="8">
        <v>-1</v>
      </c>
      <c r="I333">
        <v>-1</v>
      </c>
      <c r="J333" t="s">
        <v>1174</v>
      </c>
      <c r="N333" s="20">
        <v>0</v>
      </c>
      <c r="O333">
        <v>-1</v>
      </c>
      <c r="P333"/>
      <c r="Q333"/>
      <c r="T333" s="20">
        <v>0</v>
      </c>
      <c r="U333" s="20"/>
      <c r="V333" s="20"/>
      <c r="W333"/>
      <c r="AO333">
        <v>20</v>
      </c>
      <c r="AP333" s="20">
        <v>0</v>
      </c>
      <c r="AQ333" s="20"/>
      <c r="AR333" s="23">
        <v>1.9375</v>
      </c>
      <c r="AS333" s="23">
        <v>2.5</v>
      </c>
      <c r="AT333" s="23">
        <v>0.5625</v>
      </c>
      <c r="AU333" s="23">
        <v>2.625</v>
      </c>
      <c r="AV333" s="23">
        <v>0.25409836065573771</v>
      </c>
      <c r="AW333" s="23">
        <v>0.32786885245901642</v>
      </c>
      <c r="AX333" s="23">
        <v>7.3770491803278687E-2</v>
      </c>
      <c r="AY333" s="23">
        <v>0.34426229508196721</v>
      </c>
      <c r="AZ333" s="20">
        <v>0.79</v>
      </c>
      <c r="BA333" s="20">
        <v>3.44</v>
      </c>
      <c r="BB333" s="20">
        <v>2.65</v>
      </c>
      <c r="BC333" s="20">
        <v>2.5975000000000001</v>
      </c>
      <c r="BD333">
        <v>2.5975000000000001</v>
      </c>
      <c r="BE333">
        <v>5.9398049203884389</v>
      </c>
    </row>
    <row r="334" spans="1:57" x14ac:dyDescent="0.3">
      <c r="A334" t="s">
        <v>4</v>
      </c>
      <c r="B334" s="12" t="s">
        <v>689</v>
      </c>
      <c r="C334" s="12"/>
      <c r="D334" t="s">
        <v>890</v>
      </c>
      <c r="E334">
        <v>0.55000000000000004</v>
      </c>
      <c r="F334">
        <v>2.92</v>
      </c>
      <c r="G334" t="s">
        <v>265</v>
      </c>
      <c r="H334" s="8" t="s">
        <v>527</v>
      </c>
      <c r="I334" t="s">
        <v>609</v>
      </c>
      <c r="N334" s="20">
        <v>4</v>
      </c>
      <c r="O334"/>
      <c r="P334"/>
      <c r="Q334"/>
      <c r="T334" s="20">
        <v>7.8084429999999996</v>
      </c>
      <c r="U334" s="20">
        <v>7.8548809999999998</v>
      </c>
      <c r="V334" s="20">
        <v>15.19056011</v>
      </c>
      <c r="W334"/>
      <c r="AO334">
        <v>20</v>
      </c>
      <c r="AP334" s="20">
        <v>924.74694800021894</v>
      </c>
      <c r="AQ334" s="20">
        <v>8.6510153045653584E-2</v>
      </c>
      <c r="AR334" s="23">
        <v>1.75</v>
      </c>
      <c r="AS334" s="23">
        <v>2.5</v>
      </c>
      <c r="AT334" s="23">
        <v>0.75</v>
      </c>
      <c r="AU334" s="23">
        <v>0</v>
      </c>
      <c r="AV334" s="23">
        <v>0.35</v>
      </c>
      <c r="AW334" s="23">
        <v>0.5</v>
      </c>
      <c r="AX334" s="23">
        <v>0.15</v>
      </c>
      <c r="AY334" s="23">
        <v>0</v>
      </c>
      <c r="AZ334" s="20">
        <v>0.82</v>
      </c>
      <c r="BA334" s="20">
        <v>3.44</v>
      </c>
      <c r="BB334" s="20">
        <v>2.62</v>
      </c>
      <c r="BC334" s="20">
        <v>2.6262500000000002</v>
      </c>
      <c r="BD334">
        <v>2.6262500000000002</v>
      </c>
      <c r="BE334">
        <v>5.96680968125</v>
      </c>
    </row>
    <row r="335" spans="1:57" x14ac:dyDescent="0.3">
      <c r="A335" t="s">
        <v>4</v>
      </c>
      <c r="B335" s="12" t="s">
        <v>689</v>
      </c>
      <c r="C335" s="12"/>
      <c r="F335">
        <v>3.55</v>
      </c>
      <c r="G335" t="s">
        <v>265</v>
      </c>
      <c r="H335" s="8" t="s">
        <v>527</v>
      </c>
      <c r="I335" t="s">
        <v>609</v>
      </c>
      <c r="N335" s="20">
        <v>4</v>
      </c>
      <c r="O335"/>
      <c r="P335"/>
      <c r="Q335"/>
      <c r="T335" s="20">
        <v>7.8084429999999996</v>
      </c>
      <c r="U335" s="20">
        <v>7.8548809999999998</v>
      </c>
      <c r="V335" s="20">
        <v>15.19056011</v>
      </c>
      <c r="W335"/>
      <c r="AO335">
        <v>20</v>
      </c>
      <c r="AP335" s="20">
        <v>924.74694800021894</v>
      </c>
      <c r="AQ335" s="20">
        <v>8.6510153045653584E-2</v>
      </c>
      <c r="AR335" s="23">
        <v>1.75</v>
      </c>
      <c r="AS335" s="23">
        <v>2.5</v>
      </c>
      <c r="AT335" s="23">
        <v>0.75</v>
      </c>
      <c r="AU335" s="23">
        <v>0</v>
      </c>
      <c r="AV335" s="23">
        <v>0.35</v>
      </c>
      <c r="AW335" s="23">
        <v>0.5</v>
      </c>
      <c r="AX335" s="23">
        <v>0.15</v>
      </c>
      <c r="AY335" s="23">
        <v>0</v>
      </c>
      <c r="AZ335" s="20">
        <v>0.82</v>
      </c>
      <c r="BA335" s="20">
        <v>3.44</v>
      </c>
      <c r="BB335" s="20">
        <v>2.62</v>
      </c>
      <c r="BC335" s="20">
        <v>2.6262500000000002</v>
      </c>
      <c r="BD335">
        <v>2.6262500000000002</v>
      </c>
      <c r="BE335">
        <v>5.96680968125</v>
      </c>
    </row>
    <row r="336" spans="1:57" x14ac:dyDescent="0.3">
      <c r="A336" t="s">
        <v>266</v>
      </c>
      <c r="B336" s="12" t="s">
        <v>819</v>
      </c>
      <c r="C336" s="12"/>
      <c r="F336">
        <v>2.8</v>
      </c>
      <c r="G336" t="s">
        <v>267</v>
      </c>
      <c r="H336" s="8" t="s">
        <v>596</v>
      </c>
      <c r="I336" t="s">
        <v>669</v>
      </c>
      <c r="N336" s="20">
        <v>1</v>
      </c>
      <c r="O336">
        <v>3.97</v>
      </c>
      <c r="P336">
        <v>3.97</v>
      </c>
      <c r="Q336">
        <v>15.56</v>
      </c>
      <c r="R336" t="s">
        <v>519</v>
      </c>
      <c r="T336" s="20">
        <v>4.0290549999999996</v>
      </c>
      <c r="U336" s="20">
        <v>4.0290549999999996</v>
      </c>
      <c r="V336" s="20">
        <v>16.069894999999999</v>
      </c>
      <c r="W336"/>
      <c r="AO336">
        <v>20</v>
      </c>
      <c r="AP336" s="20">
        <v>260.8671724870714</v>
      </c>
      <c r="AQ336" s="20">
        <v>7.6667369869971663E-2</v>
      </c>
      <c r="AR336" s="23">
        <v>1.75</v>
      </c>
      <c r="AS336" s="23">
        <v>2.5</v>
      </c>
      <c r="AT336" s="23">
        <v>0.75</v>
      </c>
      <c r="AU336" s="23">
        <v>0</v>
      </c>
      <c r="AV336" s="23">
        <v>0.35</v>
      </c>
      <c r="AW336" s="23">
        <v>0.5</v>
      </c>
      <c r="AX336" s="23">
        <v>0.15</v>
      </c>
      <c r="AY336" s="23">
        <v>0</v>
      </c>
      <c r="AZ336" s="20">
        <v>0.79</v>
      </c>
      <c r="BA336" s="20">
        <v>3.44</v>
      </c>
      <c r="BB336" s="20">
        <v>2.65</v>
      </c>
      <c r="BC336" s="20">
        <v>2.6106250000000002</v>
      </c>
      <c r="BD336">
        <v>2.6106250000000002</v>
      </c>
      <c r="BE336">
        <v>5.9030778492946876</v>
      </c>
    </row>
    <row r="337" spans="1:57" x14ac:dyDescent="0.3">
      <c r="A337" t="s">
        <v>268</v>
      </c>
      <c r="B337" s="12" t="s">
        <v>820</v>
      </c>
      <c r="C337" s="12"/>
      <c r="F337">
        <v>2.8</v>
      </c>
      <c r="G337" t="s">
        <v>267</v>
      </c>
      <c r="H337" s="8">
        <v>-1</v>
      </c>
      <c r="I337">
        <v>-1</v>
      </c>
      <c r="N337" s="20">
        <v>0</v>
      </c>
      <c r="O337">
        <v>3.97</v>
      </c>
      <c r="P337">
        <v>3.97</v>
      </c>
      <c r="Q337">
        <v>15.56</v>
      </c>
      <c r="R337" t="s">
        <v>519</v>
      </c>
      <c r="T337" s="20">
        <v>0</v>
      </c>
      <c r="U337" s="20"/>
      <c r="V337" s="20"/>
      <c r="W337"/>
      <c r="AO337">
        <v>20</v>
      </c>
      <c r="AP337" s="20">
        <v>0</v>
      </c>
      <c r="AQ337" s="20"/>
      <c r="AR337" s="23">
        <v>1.75</v>
      </c>
      <c r="AS337" s="23">
        <v>2.5</v>
      </c>
      <c r="AT337" s="23">
        <v>0.75</v>
      </c>
      <c r="AU337" s="23">
        <v>0</v>
      </c>
      <c r="AV337" s="23">
        <v>0.35</v>
      </c>
      <c r="AW337" s="23">
        <v>0.5</v>
      </c>
      <c r="AX337" s="23">
        <v>0.15</v>
      </c>
      <c r="AY337" s="23">
        <v>0</v>
      </c>
      <c r="AZ337" s="20">
        <v>0.89</v>
      </c>
      <c r="BA337" s="20">
        <v>3.44</v>
      </c>
      <c r="BB337" s="20">
        <v>2.5499999999999998</v>
      </c>
      <c r="BC337" s="20">
        <v>2.69875</v>
      </c>
      <c r="BD337">
        <v>2.69875</v>
      </c>
      <c r="BE337">
        <v>6.2151871187406877</v>
      </c>
    </row>
    <row r="338" spans="1:57" x14ac:dyDescent="0.3">
      <c r="A338" t="s">
        <v>270</v>
      </c>
      <c r="B338" s="17" t="s">
        <v>977</v>
      </c>
      <c r="C338" s="12"/>
      <c r="F338">
        <v>3.29</v>
      </c>
      <c r="G338" t="s">
        <v>269</v>
      </c>
      <c r="H338" s="8">
        <v>-1</v>
      </c>
      <c r="I338">
        <v>-1</v>
      </c>
      <c r="N338" s="20">
        <v>0</v>
      </c>
      <c r="O338">
        <v>3.89</v>
      </c>
      <c r="P338">
        <v>3.89</v>
      </c>
      <c r="Q338">
        <v>16.43</v>
      </c>
      <c r="R338" t="s">
        <v>519</v>
      </c>
      <c r="T338" s="20">
        <v>0</v>
      </c>
      <c r="U338" s="20"/>
      <c r="V338" s="20"/>
      <c r="W338"/>
      <c r="AO338">
        <v>38</v>
      </c>
      <c r="AP338" s="20">
        <v>0</v>
      </c>
      <c r="AQ338" s="20"/>
      <c r="AR338" s="23">
        <v>1.84</v>
      </c>
      <c r="AS338" s="23">
        <v>3.04</v>
      </c>
      <c r="AT338" s="23">
        <v>0.48</v>
      </c>
      <c r="AU338" s="23">
        <v>0</v>
      </c>
      <c r="AV338" s="23">
        <v>0.34328358208955218</v>
      </c>
      <c r="AW338" s="23">
        <v>0.56716417910447758</v>
      </c>
      <c r="AX338" s="23">
        <v>8.9552238805970144E-2</v>
      </c>
      <c r="AY338" s="23">
        <v>0</v>
      </c>
      <c r="AZ338" s="20">
        <v>0.95</v>
      </c>
      <c r="BA338" s="20">
        <v>3.44</v>
      </c>
      <c r="BB338" s="20">
        <v>2.4900000000000002</v>
      </c>
      <c r="BC338" s="20">
        <v>2.9704000000000002</v>
      </c>
      <c r="BD338">
        <v>2.9704000000000002</v>
      </c>
      <c r="BE338">
        <v>6.7075943239940399</v>
      </c>
    </row>
    <row r="339" spans="1:57" x14ac:dyDescent="0.3">
      <c r="A339" t="s">
        <v>271</v>
      </c>
      <c r="B339" s="17" t="s">
        <v>978</v>
      </c>
      <c r="C339" s="12"/>
      <c r="F339">
        <v>3.29</v>
      </c>
      <c r="G339" t="s">
        <v>269</v>
      </c>
      <c r="H339" s="8">
        <v>-1</v>
      </c>
      <c r="I339">
        <v>-1</v>
      </c>
      <c r="N339" s="20">
        <v>0</v>
      </c>
      <c r="O339">
        <v>3.9</v>
      </c>
      <c r="P339">
        <v>3.9</v>
      </c>
      <c r="Q339">
        <v>16.54</v>
      </c>
      <c r="R339" t="s">
        <v>519</v>
      </c>
      <c r="T339" s="20">
        <v>0</v>
      </c>
      <c r="U339" s="20"/>
      <c r="V339" s="20"/>
      <c r="W339"/>
      <c r="AO339">
        <v>38</v>
      </c>
      <c r="AP339" s="20">
        <v>0</v>
      </c>
      <c r="AQ339" s="20"/>
      <c r="AR339" s="23">
        <v>1.71875</v>
      </c>
      <c r="AS339" s="23">
        <v>2.53125</v>
      </c>
      <c r="AT339" s="23">
        <v>0.375</v>
      </c>
      <c r="AU339" s="23">
        <v>0</v>
      </c>
      <c r="AV339" s="23">
        <v>0.3716216216216216</v>
      </c>
      <c r="AW339" s="23">
        <v>0.54729729729729726</v>
      </c>
      <c r="AX339" s="23">
        <v>8.1081081081081086E-2</v>
      </c>
      <c r="AY339" s="23">
        <v>0</v>
      </c>
      <c r="AZ339" s="20">
        <v>0.95</v>
      </c>
      <c r="BA339" s="20">
        <v>3.44</v>
      </c>
      <c r="BB339" s="20">
        <v>2.4900000000000002</v>
      </c>
      <c r="BC339" s="20">
        <v>2.8390624999999998</v>
      </c>
      <c r="BD339">
        <v>2.8390624999999998</v>
      </c>
      <c r="BE339">
        <v>6.7833032939095634</v>
      </c>
    </row>
    <row r="340" spans="1:57" x14ac:dyDescent="0.3">
      <c r="A340" t="s">
        <v>272</v>
      </c>
      <c r="B340" s="17" t="s">
        <v>983</v>
      </c>
      <c r="C340" s="12"/>
      <c r="F340">
        <v>3.3</v>
      </c>
      <c r="G340" t="s">
        <v>269</v>
      </c>
      <c r="H340" s="8">
        <v>-1</v>
      </c>
      <c r="I340">
        <v>-1</v>
      </c>
      <c r="N340" s="20">
        <v>0</v>
      </c>
      <c r="O340">
        <v>3.9</v>
      </c>
      <c r="P340">
        <v>3.9</v>
      </c>
      <c r="Q340">
        <v>20.78</v>
      </c>
      <c r="R340" t="s">
        <v>519</v>
      </c>
      <c r="T340" s="20">
        <v>0</v>
      </c>
      <c r="U340" s="20"/>
      <c r="V340" s="20"/>
      <c r="W340"/>
      <c r="AO340">
        <v>38</v>
      </c>
      <c r="AP340" s="20">
        <v>0</v>
      </c>
      <c r="AQ340" s="20"/>
      <c r="AR340" s="23">
        <v>1.6857142857142859</v>
      </c>
      <c r="AS340" s="23">
        <v>2.371428571428571</v>
      </c>
      <c r="AT340" s="23">
        <v>0.34285714285714292</v>
      </c>
      <c r="AU340" s="23">
        <v>0</v>
      </c>
      <c r="AV340" s="23">
        <v>0.38311688311688308</v>
      </c>
      <c r="AW340" s="23">
        <v>0.53896103896103897</v>
      </c>
      <c r="AX340" s="23">
        <v>7.792207792207792E-2</v>
      </c>
      <c r="AY340" s="23">
        <v>0</v>
      </c>
      <c r="AZ340" s="20">
        <v>0.95</v>
      </c>
      <c r="BA340" s="20">
        <v>3.44</v>
      </c>
      <c r="BB340" s="20">
        <v>2.4900000000000002</v>
      </c>
      <c r="BC340" s="20">
        <v>2.794285714285714</v>
      </c>
      <c r="BD340">
        <v>2.794285714285714</v>
      </c>
      <c r="BE340">
        <v>6.7908553945945132</v>
      </c>
    </row>
    <row r="341" spans="1:57" x14ac:dyDescent="0.3">
      <c r="A341" t="s">
        <v>273</v>
      </c>
      <c r="B341" s="17" t="s">
        <v>982</v>
      </c>
      <c r="C341" s="12"/>
      <c r="F341">
        <v>3.31</v>
      </c>
      <c r="G341" t="s">
        <v>269</v>
      </c>
      <c r="H341" s="8">
        <v>-1</v>
      </c>
      <c r="I341">
        <v>-1</v>
      </c>
      <c r="N341" s="20">
        <v>0</v>
      </c>
      <c r="O341">
        <v>3.89</v>
      </c>
      <c r="P341">
        <v>3.89</v>
      </c>
      <c r="Q341">
        <v>22.41</v>
      </c>
      <c r="R341" t="s">
        <v>519</v>
      </c>
      <c r="T341" s="20">
        <v>0</v>
      </c>
      <c r="U341" s="20"/>
      <c r="V341" s="20"/>
      <c r="W341"/>
      <c r="AO341">
        <v>38</v>
      </c>
      <c r="AP341" s="20">
        <v>0</v>
      </c>
      <c r="AQ341" s="20"/>
      <c r="AR341" s="23">
        <v>1.6578947368421051</v>
      </c>
      <c r="AS341" s="23">
        <v>2.236842105263158</v>
      </c>
      <c r="AT341" s="23">
        <v>0.31578947368421051</v>
      </c>
      <c r="AU341" s="23">
        <v>0</v>
      </c>
      <c r="AV341" s="23">
        <v>0.39374999999999999</v>
      </c>
      <c r="AW341" s="23">
        <v>0.53125</v>
      </c>
      <c r="AX341" s="23">
        <v>7.4999999999999997E-2</v>
      </c>
      <c r="AY341" s="23">
        <v>0</v>
      </c>
      <c r="AZ341" s="20">
        <v>0.95</v>
      </c>
      <c r="BA341" s="20">
        <v>3.44</v>
      </c>
      <c r="BB341" s="20">
        <v>2.4900000000000002</v>
      </c>
      <c r="BC341" s="20">
        <v>2.7565789473684208</v>
      </c>
      <c r="BD341">
        <v>2.7565789473684208</v>
      </c>
      <c r="BE341">
        <v>6.7972150583292086</v>
      </c>
    </row>
    <row r="342" spans="1:57" x14ac:dyDescent="0.3">
      <c r="A342" t="s">
        <v>274</v>
      </c>
      <c r="B342" s="17" t="s">
        <v>981</v>
      </c>
      <c r="C342" s="12"/>
      <c r="F342">
        <v>3.32</v>
      </c>
      <c r="G342" t="s">
        <v>269</v>
      </c>
      <c r="H342" s="8">
        <v>-1</v>
      </c>
      <c r="I342">
        <v>-1</v>
      </c>
      <c r="N342" s="20">
        <v>0</v>
      </c>
      <c r="O342">
        <v>3.9</v>
      </c>
      <c r="P342">
        <v>3.9</v>
      </c>
      <c r="Q342">
        <v>25.55</v>
      </c>
      <c r="R342" t="s">
        <v>519</v>
      </c>
      <c r="T342" s="20">
        <v>0</v>
      </c>
      <c r="U342" s="20"/>
      <c r="V342" s="20"/>
      <c r="W342"/>
      <c r="AO342">
        <v>38</v>
      </c>
      <c r="AP342" s="20">
        <v>0</v>
      </c>
      <c r="AQ342" s="20"/>
      <c r="AR342" s="23">
        <v>1.634146341463415</v>
      </c>
      <c r="AS342" s="23">
        <v>2.1219512195121948</v>
      </c>
      <c r="AT342" s="23">
        <v>0.29268292682926828</v>
      </c>
      <c r="AU342" s="23">
        <v>0</v>
      </c>
      <c r="AV342" s="23">
        <v>0.40361445783132532</v>
      </c>
      <c r="AW342" s="23">
        <v>0.52409638554216864</v>
      </c>
      <c r="AX342" s="23">
        <v>7.2289156626506021E-2</v>
      </c>
      <c r="AY342" s="23">
        <v>0</v>
      </c>
      <c r="AZ342" s="20">
        <v>0.95</v>
      </c>
      <c r="BA342" s="20">
        <v>3.44</v>
      </c>
      <c r="BB342" s="20">
        <v>2.4900000000000002</v>
      </c>
      <c r="BC342" s="20">
        <v>2.7243902439024388</v>
      </c>
      <c r="BD342">
        <v>2.7243902439024388</v>
      </c>
      <c r="BE342">
        <v>6.8026440395661458</v>
      </c>
    </row>
    <row r="343" spans="1:57" x14ac:dyDescent="0.3">
      <c r="A343" t="s">
        <v>275</v>
      </c>
      <c r="B343" s="17" t="s">
        <v>980</v>
      </c>
      <c r="C343" s="12"/>
      <c r="F343">
        <v>3.32</v>
      </c>
      <c r="G343" t="s">
        <v>269</v>
      </c>
      <c r="H343" s="8">
        <v>-1</v>
      </c>
      <c r="I343">
        <v>-1</v>
      </c>
      <c r="N343" s="20">
        <v>0</v>
      </c>
      <c r="O343">
        <v>3.93</v>
      </c>
      <c r="P343">
        <v>3.93</v>
      </c>
      <c r="Q343">
        <v>29.52</v>
      </c>
      <c r="R343" t="s">
        <v>519</v>
      </c>
      <c r="T343" s="20">
        <v>0</v>
      </c>
      <c r="U343" s="20"/>
      <c r="V343" s="20"/>
      <c r="W343"/>
      <c r="AO343">
        <v>38</v>
      </c>
      <c r="AP343" s="20">
        <v>0</v>
      </c>
      <c r="AQ343" s="20"/>
      <c r="AR343" s="23">
        <v>1.595744680851064</v>
      </c>
      <c r="AS343" s="23">
        <v>1.936170212765957</v>
      </c>
      <c r="AT343" s="23">
        <v>0.25531914893617019</v>
      </c>
      <c r="AU343" s="23">
        <v>0</v>
      </c>
      <c r="AV343" s="23">
        <v>0.42134831460674149</v>
      </c>
      <c r="AW343" s="23">
        <v>0.5112359550561798</v>
      </c>
      <c r="AX343" s="23">
        <v>6.741573033707865E-2</v>
      </c>
      <c r="AY343" s="23">
        <v>0</v>
      </c>
      <c r="AZ343" s="20">
        <v>0.95</v>
      </c>
      <c r="BA343" s="20">
        <v>3.44</v>
      </c>
      <c r="BB343" s="20">
        <v>2.4900000000000002</v>
      </c>
      <c r="BC343" s="20">
        <v>2.6723404255319152</v>
      </c>
      <c r="BD343">
        <v>2.6723404255319152</v>
      </c>
      <c r="BE343">
        <v>6.8114228177365099</v>
      </c>
    </row>
    <row r="344" spans="1:57" x14ac:dyDescent="0.3">
      <c r="A344" t="s">
        <v>276</v>
      </c>
      <c r="B344" s="17" t="s">
        <v>979</v>
      </c>
      <c r="C344" s="12"/>
      <c r="F344">
        <v>3.32</v>
      </c>
      <c r="G344" t="s">
        <v>269</v>
      </c>
      <c r="H344" s="8">
        <v>-1</v>
      </c>
      <c r="I344">
        <v>-1</v>
      </c>
      <c r="N344" s="20">
        <v>0</v>
      </c>
      <c r="O344">
        <v>3.9</v>
      </c>
      <c r="P344">
        <v>3.9</v>
      </c>
      <c r="Q344">
        <v>33.729999999999997</v>
      </c>
      <c r="R344" t="s">
        <v>519</v>
      </c>
      <c r="T344" s="20">
        <v>0</v>
      </c>
      <c r="U344" s="20"/>
      <c r="V344" s="20"/>
      <c r="W344"/>
      <c r="AO344">
        <v>38</v>
      </c>
      <c r="AP344" s="20">
        <v>0</v>
      </c>
      <c r="AQ344" s="20"/>
      <c r="AR344" s="23">
        <v>1.5660377358490569</v>
      </c>
      <c r="AS344" s="23">
        <v>1.7924528301886791</v>
      </c>
      <c r="AT344" s="23">
        <v>0.22641509433962259</v>
      </c>
      <c r="AU344" s="23">
        <v>0</v>
      </c>
      <c r="AV344" s="23">
        <v>0.43684210526315792</v>
      </c>
      <c r="AW344" s="23">
        <v>0.5</v>
      </c>
      <c r="AX344" s="23">
        <v>6.3157894736842107E-2</v>
      </c>
      <c r="AY344" s="23">
        <v>0</v>
      </c>
      <c r="AZ344" s="20">
        <v>0.95</v>
      </c>
      <c r="BA344" s="20">
        <v>3.44</v>
      </c>
      <c r="BB344" s="20">
        <v>2.4900000000000002</v>
      </c>
      <c r="BC344" s="20">
        <v>2.6320754716981138</v>
      </c>
      <c r="BD344">
        <v>2.632075471698113</v>
      </c>
      <c r="BE344">
        <v>6.8182139480192454</v>
      </c>
    </row>
    <row r="345" spans="1:57" x14ac:dyDescent="0.3">
      <c r="A345" t="s">
        <v>277</v>
      </c>
      <c r="B345" s="17" t="s">
        <v>976</v>
      </c>
      <c r="C345" s="12"/>
      <c r="F345">
        <v>3.22</v>
      </c>
      <c r="G345" t="s">
        <v>269</v>
      </c>
      <c r="H345" s="8">
        <v>-1</v>
      </c>
      <c r="I345">
        <v>-1</v>
      </c>
      <c r="N345" s="20">
        <v>0</v>
      </c>
      <c r="O345">
        <v>3.9</v>
      </c>
      <c r="P345">
        <v>3.9</v>
      </c>
      <c r="Q345">
        <v>31.44</v>
      </c>
      <c r="R345" t="s">
        <v>519</v>
      </c>
      <c r="T345" s="20">
        <v>0</v>
      </c>
      <c r="U345" s="20"/>
      <c r="V345" s="20"/>
      <c r="W345"/>
      <c r="AO345">
        <v>40</v>
      </c>
      <c r="AP345" s="20">
        <v>0</v>
      </c>
      <c r="AQ345" s="20"/>
      <c r="AR345" s="23">
        <v>1.75</v>
      </c>
      <c r="AS345" s="23">
        <v>2.65625</v>
      </c>
      <c r="AT345" s="23">
        <v>0.375</v>
      </c>
      <c r="AU345" s="23">
        <v>0</v>
      </c>
      <c r="AV345" s="23">
        <v>0.36601307189542481</v>
      </c>
      <c r="AW345" s="23">
        <v>0.55555555555555558</v>
      </c>
      <c r="AX345" s="23">
        <v>7.8431372549019607E-2</v>
      </c>
      <c r="AY345" s="23">
        <v>0</v>
      </c>
      <c r="AZ345" s="20">
        <v>0.95</v>
      </c>
      <c r="BA345" s="20">
        <v>3.44</v>
      </c>
      <c r="BB345" s="20">
        <v>2.4900000000000002</v>
      </c>
      <c r="BC345" s="20">
        <v>2.8778125000000001</v>
      </c>
      <c r="BD345">
        <v>2.8778125000000001</v>
      </c>
      <c r="BE345">
        <v>6.7946490392267176</v>
      </c>
    </row>
    <row r="346" spans="1:57" x14ac:dyDescent="0.3">
      <c r="A346" t="s">
        <v>278</v>
      </c>
      <c r="B346" s="17" t="s">
        <v>984</v>
      </c>
      <c r="C346" s="12"/>
      <c r="F346">
        <v>3.25</v>
      </c>
      <c r="G346" t="s">
        <v>269</v>
      </c>
      <c r="H346" s="8">
        <v>-1</v>
      </c>
      <c r="I346">
        <v>-1</v>
      </c>
      <c r="N346" s="20">
        <v>0</v>
      </c>
      <c r="O346">
        <v>3.91</v>
      </c>
      <c r="P346">
        <v>3.91</v>
      </c>
      <c r="Q346">
        <v>18.2</v>
      </c>
      <c r="R346" t="s">
        <v>519</v>
      </c>
      <c r="T346" s="20">
        <v>0</v>
      </c>
      <c r="U346" s="20"/>
      <c r="V346" s="20"/>
      <c r="W346"/>
      <c r="AO346">
        <v>40</v>
      </c>
      <c r="AP346" s="20">
        <v>0</v>
      </c>
      <c r="AQ346" s="20"/>
      <c r="AR346" s="23">
        <v>1.714285714285714</v>
      </c>
      <c r="AS346" s="23">
        <v>2.4857142857142862</v>
      </c>
      <c r="AT346" s="23">
        <v>0.34285714285714292</v>
      </c>
      <c r="AU346" s="23">
        <v>0</v>
      </c>
      <c r="AV346" s="23">
        <v>0.37735849056603771</v>
      </c>
      <c r="AW346" s="23">
        <v>0.54716981132075471</v>
      </c>
      <c r="AX346" s="23">
        <v>7.5471698113207544E-2</v>
      </c>
      <c r="AY346" s="23">
        <v>0</v>
      </c>
      <c r="AZ346" s="20">
        <v>0.95</v>
      </c>
      <c r="BA346" s="20">
        <v>3.44</v>
      </c>
      <c r="BB346" s="20">
        <v>2.4900000000000002</v>
      </c>
      <c r="BC346" s="20">
        <v>2.8297142857142861</v>
      </c>
      <c r="BD346">
        <v>2.8297142857142861</v>
      </c>
      <c r="BE346">
        <v>6.8012286474559138</v>
      </c>
    </row>
    <row r="347" spans="1:57" x14ac:dyDescent="0.3">
      <c r="A347" t="s">
        <v>279</v>
      </c>
      <c r="B347" s="17" t="s">
        <v>985</v>
      </c>
      <c r="C347" s="12"/>
      <c r="F347">
        <v>3.27</v>
      </c>
      <c r="G347" t="s">
        <v>269</v>
      </c>
      <c r="H347" s="8">
        <v>-1</v>
      </c>
      <c r="I347">
        <v>-1</v>
      </c>
      <c r="N347" s="20">
        <v>0</v>
      </c>
      <c r="O347">
        <v>3.9</v>
      </c>
      <c r="P347">
        <v>3.9</v>
      </c>
      <c r="Q347">
        <v>20.25</v>
      </c>
      <c r="R347" t="s">
        <v>519</v>
      </c>
      <c r="T347" s="20">
        <v>0</v>
      </c>
      <c r="U347" s="20"/>
      <c r="V347" s="20"/>
      <c r="W347"/>
      <c r="AO347">
        <v>40</v>
      </c>
      <c r="AP347" s="20">
        <v>0</v>
      </c>
      <c r="AQ347" s="20"/>
      <c r="AR347" s="23">
        <v>1.6842105263157889</v>
      </c>
      <c r="AS347" s="23">
        <v>2.3421052631578951</v>
      </c>
      <c r="AT347" s="23">
        <v>0.31578947368421051</v>
      </c>
      <c r="AU347" s="23">
        <v>0</v>
      </c>
      <c r="AV347" s="23">
        <v>0.38787878787878788</v>
      </c>
      <c r="AW347" s="23">
        <v>0.53939393939393943</v>
      </c>
      <c r="AX347" s="23">
        <v>7.2727272727272724E-2</v>
      </c>
      <c r="AY347" s="23">
        <v>0</v>
      </c>
      <c r="AZ347" s="20">
        <v>0.95</v>
      </c>
      <c r="BA347" s="20">
        <v>3.44</v>
      </c>
      <c r="BB347" s="20">
        <v>2.4900000000000002</v>
      </c>
      <c r="BC347" s="20">
        <v>2.7892105263157898</v>
      </c>
      <c r="BD347">
        <v>2.7892105263157889</v>
      </c>
      <c r="BE347">
        <v>6.8067693701752354</v>
      </c>
    </row>
    <row r="348" spans="1:57" x14ac:dyDescent="0.3">
      <c r="A348" t="s">
        <v>280</v>
      </c>
      <c r="B348" s="17" t="s">
        <v>986</v>
      </c>
      <c r="C348" s="12"/>
      <c r="F348">
        <v>3.3</v>
      </c>
      <c r="G348" t="s">
        <v>269</v>
      </c>
      <c r="H348" s="8">
        <v>-1</v>
      </c>
      <c r="I348">
        <v>-1</v>
      </c>
      <c r="N348" s="20">
        <v>0</v>
      </c>
      <c r="O348">
        <v>3.9</v>
      </c>
      <c r="P348">
        <v>3.9</v>
      </c>
      <c r="Q348">
        <v>22.01</v>
      </c>
      <c r="R348" t="s">
        <v>519</v>
      </c>
      <c r="T348" s="20">
        <v>0</v>
      </c>
      <c r="U348" s="20"/>
      <c r="V348" s="20"/>
      <c r="W348"/>
      <c r="AO348">
        <v>40</v>
      </c>
      <c r="AP348" s="20">
        <v>0</v>
      </c>
      <c r="AQ348" s="20"/>
      <c r="AR348" s="23">
        <v>1.658536585365854</v>
      </c>
      <c r="AS348" s="23">
        <v>2.219512195121951</v>
      </c>
      <c r="AT348" s="23">
        <v>0.29268292682926828</v>
      </c>
      <c r="AU348" s="23">
        <v>0</v>
      </c>
      <c r="AV348" s="23">
        <v>0.39766081871345033</v>
      </c>
      <c r="AW348" s="23">
        <v>0.53216374269005851</v>
      </c>
      <c r="AX348" s="23">
        <v>7.0175438596491224E-2</v>
      </c>
      <c r="AY348" s="23">
        <v>0</v>
      </c>
      <c r="AZ348" s="20">
        <v>0.95</v>
      </c>
      <c r="BA348" s="20">
        <v>3.44</v>
      </c>
      <c r="BB348" s="20">
        <v>2.4900000000000002</v>
      </c>
      <c r="BC348" s="20">
        <v>2.7546341463414641</v>
      </c>
      <c r="BD348">
        <v>2.7546341463414632</v>
      </c>
      <c r="BE348">
        <v>6.8114992554234393</v>
      </c>
    </row>
    <row r="349" spans="1:57" x14ac:dyDescent="0.3">
      <c r="A349" t="s">
        <v>281</v>
      </c>
      <c r="B349" s="17" t="s">
        <v>987</v>
      </c>
      <c r="C349" s="12"/>
      <c r="F349">
        <v>3.3</v>
      </c>
      <c r="G349" t="s">
        <v>269</v>
      </c>
      <c r="H349" s="8">
        <v>-1</v>
      </c>
      <c r="I349">
        <v>-1</v>
      </c>
      <c r="N349" s="20">
        <v>0</v>
      </c>
      <c r="O349">
        <v>3.9</v>
      </c>
      <c r="P349">
        <v>3.9</v>
      </c>
      <c r="Q349">
        <v>25.65</v>
      </c>
      <c r="R349" t="s">
        <v>519</v>
      </c>
      <c r="T349" s="20">
        <v>0</v>
      </c>
      <c r="U349" s="20"/>
      <c r="V349" s="20"/>
      <c r="W349"/>
      <c r="AO349">
        <v>40</v>
      </c>
      <c r="AP349" s="20">
        <v>0</v>
      </c>
      <c r="AQ349" s="20"/>
      <c r="AR349" s="23">
        <v>1.617021276595745</v>
      </c>
      <c r="AS349" s="23">
        <v>2.021276595744681</v>
      </c>
      <c r="AT349" s="23">
        <v>0.25531914893617019</v>
      </c>
      <c r="AU349" s="23">
        <v>0</v>
      </c>
      <c r="AV349" s="23">
        <v>0.41530054644808739</v>
      </c>
      <c r="AW349" s="23">
        <v>0.51912568306010931</v>
      </c>
      <c r="AX349" s="23">
        <v>6.5573770491803268E-2</v>
      </c>
      <c r="AY349" s="23">
        <v>0</v>
      </c>
      <c r="AZ349" s="20">
        <v>0.95</v>
      </c>
      <c r="BA349" s="20">
        <v>3.44</v>
      </c>
      <c r="BB349" s="20">
        <v>2.4900000000000002</v>
      </c>
      <c r="BC349" s="20">
        <v>2.6987234042553192</v>
      </c>
      <c r="BD349">
        <v>2.6987234042553192</v>
      </c>
      <c r="BE349">
        <v>6.8191475805056392</v>
      </c>
    </row>
    <row r="350" spans="1:57" x14ac:dyDescent="0.3">
      <c r="A350" t="s">
        <v>276</v>
      </c>
      <c r="B350" s="17" t="s">
        <v>988</v>
      </c>
      <c r="C350" s="12"/>
      <c r="F350">
        <v>3.34</v>
      </c>
      <c r="G350" t="s">
        <v>269</v>
      </c>
      <c r="H350" s="8">
        <v>-1</v>
      </c>
      <c r="I350">
        <v>-1</v>
      </c>
      <c r="N350" s="20">
        <v>0</v>
      </c>
      <c r="O350">
        <v>3.89</v>
      </c>
      <c r="P350">
        <v>3.89</v>
      </c>
      <c r="Q350">
        <v>33.799999999999997</v>
      </c>
      <c r="R350" t="s">
        <v>519</v>
      </c>
      <c r="T350" s="20">
        <v>0</v>
      </c>
      <c r="U350" s="20"/>
      <c r="V350" s="20"/>
      <c r="W350"/>
      <c r="AO350">
        <v>40</v>
      </c>
      <c r="AP350" s="20">
        <v>0</v>
      </c>
      <c r="AQ350" s="20"/>
      <c r="AR350" s="23">
        <v>1.584905660377359</v>
      </c>
      <c r="AS350" s="23">
        <v>1.867924528301887</v>
      </c>
      <c r="AT350" s="23">
        <v>0.22641509433962259</v>
      </c>
      <c r="AU350" s="23">
        <v>0</v>
      </c>
      <c r="AV350" s="23">
        <v>0.43076923076923079</v>
      </c>
      <c r="AW350" s="23">
        <v>0.50769230769230778</v>
      </c>
      <c r="AX350" s="23">
        <v>6.1538461538461542E-2</v>
      </c>
      <c r="AY350" s="23">
        <v>0</v>
      </c>
      <c r="AZ350" s="20">
        <v>0.95</v>
      </c>
      <c r="BA350" s="20">
        <v>3.44</v>
      </c>
      <c r="BB350" s="20">
        <v>2.4900000000000002</v>
      </c>
      <c r="BC350" s="20">
        <v>2.655471698113208</v>
      </c>
      <c r="BD350">
        <v>2.655471698113208</v>
      </c>
      <c r="BE350">
        <v>6.8250642093428109</v>
      </c>
    </row>
    <row r="351" spans="1:57" x14ac:dyDescent="0.3">
      <c r="A351" t="s">
        <v>282</v>
      </c>
      <c r="B351" s="12" t="s">
        <v>821</v>
      </c>
      <c r="C351" s="12"/>
      <c r="F351">
        <v>3.5</v>
      </c>
      <c r="G351" t="s">
        <v>283</v>
      </c>
      <c r="H351" s="8" t="s">
        <v>597</v>
      </c>
      <c r="I351">
        <v>-1</v>
      </c>
      <c r="N351" s="20">
        <v>1</v>
      </c>
      <c r="O351"/>
      <c r="P351"/>
      <c r="Q351"/>
      <c r="T351" s="20">
        <v>13.656835900000001</v>
      </c>
      <c r="U351" s="20">
        <v>13.656835900000001</v>
      </c>
      <c r="V351" s="20">
        <v>13.656835900000001</v>
      </c>
      <c r="W351"/>
      <c r="AO351">
        <v>20</v>
      </c>
      <c r="AP351" s="20">
        <v>201.0880346354428</v>
      </c>
      <c r="AQ351" s="20">
        <v>9.9458926217357829E-2</v>
      </c>
      <c r="AR351" s="23">
        <v>1.882352941176471</v>
      </c>
      <c r="AS351" s="23">
        <v>2.3529411764705879</v>
      </c>
      <c r="AT351" s="23">
        <v>0.47058823529411759</v>
      </c>
      <c r="AU351" s="23">
        <v>0</v>
      </c>
      <c r="AV351" s="23">
        <v>0.4</v>
      </c>
      <c r="AW351" s="23">
        <v>0.5</v>
      </c>
      <c r="AX351" s="23">
        <v>9.9999999999999992E-2</v>
      </c>
      <c r="AY351" s="23">
        <v>0</v>
      </c>
      <c r="AZ351" s="20">
        <v>0.98</v>
      </c>
      <c r="BA351" s="20">
        <v>3.44</v>
      </c>
      <c r="BB351" s="20">
        <v>2.46</v>
      </c>
      <c r="BC351" s="20">
        <v>2.54</v>
      </c>
      <c r="BD351">
        <v>2.54</v>
      </c>
      <c r="BE351">
        <v>5.758559377411764</v>
      </c>
    </row>
    <row r="352" spans="1:57" x14ac:dyDescent="0.3">
      <c r="A352" t="s">
        <v>284</v>
      </c>
      <c r="B352" s="12" t="s">
        <v>822</v>
      </c>
      <c r="C352" s="12"/>
      <c r="F352">
        <v>3.3</v>
      </c>
      <c r="G352" t="s">
        <v>283</v>
      </c>
      <c r="H352" s="8" t="s">
        <v>598</v>
      </c>
      <c r="I352" t="s">
        <v>670</v>
      </c>
      <c r="N352" s="20">
        <v>1</v>
      </c>
      <c r="O352"/>
      <c r="P352"/>
      <c r="Q352"/>
      <c r="T352" s="20">
        <v>14.696413339999999</v>
      </c>
      <c r="U352" s="20">
        <v>14.696413339999999</v>
      </c>
      <c r="V352" s="20">
        <v>14.696413339999999</v>
      </c>
      <c r="W352"/>
      <c r="AO352">
        <v>20</v>
      </c>
      <c r="AP352" s="20">
        <v>216.40687730768099</v>
      </c>
      <c r="AQ352" s="20">
        <v>9.2418504665009241E-2</v>
      </c>
      <c r="AR352" s="23">
        <v>1.882352941176471</v>
      </c>
      <c r="AS352" s="23">
        <v>2.3529411764705879</v>
      </c>
      <c r="AT352" s="23">
        <v>0.47058823529411759</v>
      </c>
      <c r="AU352" s="23">
        <v>0</v>
      </c>
      <c r="AV352" s="23">
        <v>0.4</v>
      </c>
      <c r="AW352" s="23">
        <v>0.5</v>
      </c>
      <c r="AX352" s="23">
        <v>9.9999999999999992E-2</v>
      </c>
      <c r="AY352" s="23">
        <v>0</v>
      </c>
      <c r="AZ352" s="20">
        <v>0.93</v>
      </c>
      <c r="BA352" s="20">
        <v>3.44</v>
      </c>
      <c r="BB352" s="20">
        <v>2.5099999999999998</v>
      </c>
      <c r="BC352" s="20">
        <v>2.534117647058824</v>
      </c>
      <c r="BD352">
        <v>2.534117647058824</v>
      </c>
      <c r="BE352">
        <v>5.7395734358823516</v>
      </c>
    </row>
    <row r="353" spans="1:57" x14ac:dyDescent="0.3">
      <c r="A353" t="s">
        <v>44</v>
      </c>
      <c r="B353" s="12" t="s">
        <v>720</v>
      </c>
      <c r="C353" s="12"/>
      <c r="F353">
        <v>3.2</v>
      </c>
      <c r="G353" t="s">
        <v>283</v>
      </c>
      <c r="H353" s="8" t="s">
        <v>549</v>
      </c>
      <c r="I353">
        <v>-1</v>
      </c>
      <c r="N353" s="20">
        <v>1</v>
      </c>
      <c r="O353"/>
      <c r="P353"/>
      <c r="Q353"/>
      <c r="T353" s="20">
        <v>15.28115725</v>
      </c>
      <c r="U353" s="20">
        <v>15.28115725</v>
      </c>
      <c r="V353" s="20">
        <v>15.28115725</v>
      </c>
      <c r="W353"/>
      <c r="AO353">
        <v>20</v>
      </c>
      <c r="AP353" s="20">
        <v>229.90248606119221</v>
      </c>
      <c r="AQ353" s="20">
        <v>8.6993404650164072E-2</v>
      </c>
      <c r="AR353" s="23">
        <v>1.882352941176471</v>
      </c>
      <c r="AS353" s="23">
        <v>2.3529411764705879</v>
      </c>
      <c r="AT353" s="23">
        <v>0.47058823529411759</v>
      </c>
      <c r="AU353" s="23">
        <v>0</v>
      </c>
      <c r="AV353" s="23">
        <v>0.4</v>
      </c>
      <c r="AW353" s="23">
        <v>0.5</v>
      </c>
      <c r="AX353" s="23">
        <v>9.9999999999999992E-2</v>
      </c>
      <c r="AY353" s="23">
        <v>0</v>
      </c>
      <c r="AZ353" s="20">
        <v>0.82</v>
      </c>
      <c r="BA353" s="20">
        <v>3.44</v>
      </c>
      <c r="BB353" s="20">
        <v>2.62</v>
      </c>
      <c r="BC353" s="20">
        <v>2.5211764705882351</v>
      </c>
      <c r="BD353">
        <v>2.521176470588236</v>
      </c>
      <c r="BE353">
        <v>5.6898745917647062</v>
      </c>
    </row>
    <row r="354" spans="1:57" s="4" customFormat="1" x14ac:dyDescent="0.3">
      <c r="A354" s="4" t="s">
        <v>285</v>
      </c>
      <c r="B354" s="29" t="s">
        <v>823</v>
      </c>
      <c r="C354" s="29"/>
      <c r="F354" s="4">
        <v>3.6</v>
      </c>
      <c r="G354" s="4" t="s">
        <v>283</v>
      </c>
      <c r="H354" s="30">
        <v>-2</v>
      </c>
      <c r="I354" s="4">
        <v>-1</v>
      </c>
      <c r="N354" s="31">
        <v>0</v>
      </c>
      <c r="O354" s="4">
        <v>-1</v>
      </c>
      <c r="T354" s="31">
        <v>0</v>
      </c>
      <c r="U354" s="31"/>
      <c r="V354" s="31"/>
      <c r="AO354" s="4">
        <v>20</v>
      </c>
      <c r="AP354" s="31">
        <v>0</v>
      </c>
      <c r="AQ354" s="31"/>
      <c r="AR354" s="4">
        <v>1.882352941176471</v>
      </c>
      <c r="AS354" s="4">
        <v>2.3529411764705879</v>
      </c>
      <c r="AT354" s="4">
        <v>0.35294117647058831</v>
      </c>
      <c r="AU354" s="4">
        <v>0.47058823529411759</v>
      </c>
      <c r="AV354" s="4">
        <v>0.37209302325581389</v>
      </c>
      <c r="AW354" s="4">
        <v>0.46511627906976749</v>
      </c>
      <c r="AX354" s="4">
        <v>6.9767441860465129E-2</v>
      </c>
      <c r="AY354" s="4">
        <v>9.3023255813953487E-2</v>
      </c>
      <c r="AZ354" s="31">
        <v>0.98</v>
      </c>
      <c r="BA354" s="31">
        <v>3.44</v>
      </c>
      <c r="BB354" s="31">
        <v>2.46</v>
      </c>
      <c r="BC354" s="31">
        <v>2.5447058823529409</v>
      </c>
      <c r="BD354" s="4">
        <v>2.5447058823529409</v>
      </c>
      <c r="BE354" s="4">
        <v>5.7284445009411762</v>
      </c>
    </row>
    <row r="355" spans="1:57" x14ac:dyDescent="0.3">
      <c r="A355" t="s">
        <v>286</v>
      </c>
      <c r="B355" s="12" t="s">
        <v>824</v>
      </c>
      <c r="C355" s="12"/>
      <c r="F355">
        <v>3.4</v>
      </c>
      <c r="G355" t="s">
        <v>283</v>
      </c>
      <c r="H355" s="8" t="s">
        <v>599</v>
      </c>
      <c r="I355">
        <v>-1</v>
      </c>
      <c r="N355" s="20">
        <v>1</v>
      </c>
      <c r="O355"/>
      <c r="P355"/>
      <c r="Q355"/>
      <c r="T355" s="20">
        <v>14.64115209</v>
      </c>
      <c r="U355" s="20">
        <v>14.64115209</v>
      </c>
      <c r="V355" s="20">
        <v>14.64115209</v>
      </c>
      <c r="W355"/>
      <c r="AO355">
        <v>20</v>
      </c>
      <c r="AP355" s="20">
        <v>213.3423200442661</v>
      </c>
      <c r="AQ355" s="20">
        <v>9.374605092815258E-2</v>
      </c>
      <c r="AR355" s="23">
        <v>1.882352941176471</v>
      </c>
      <c r="AS355" s="23">
        <v>2.3529411764705879</v>
      </c>
      <c r="AT355" s="23">
        <v>0.35294117647058831</v>
      </c>
      <c r="AU355" s="23">
        <v>0.47058823529411759</v>
      </c>
      <c r="AV355" s="23">
        <v>0.37209302325581389</v>
      </c>
      <c r="AW355" s="23">
        <v>0.46511627906976749</v>
      </c>
      <c r="AX355" s="23">
        <v>6.9767441860465129E-2</v>
      </c>
      <c r="AY355" s="23">
        <v>9.3023255813953487E-2</v>
      </c>
      <c r="AZ355" s="20">
        <v>0.93</v>
      </c>
      <c r="BA355" s="20">
        <v>3.44</v>
      </c>
      <c r="BB355" s="20">
        <v>2.5099999999999998</v>
      </c>
      <c r="BC355" s="20">
        <v>2.538823529411764</v>
      </c>
      <c r="BD355">
        <v>2.5388235294117649</v>
      </c>
      <c r="BE355">
        <v>5.7094585594117646</v>
      </c>
    </row>
    <row r="356" spans="1:57" x14ac:dyDescent="0.3">
      <c r="A356" t="s">
        <v>287</v>
      </c>
      <c r="B356" s="12" t="s">
        <v>825</v>
      </c>
      <c r="C356" s="12"/>
      <c r="F356">
        <v>3.3</v>
      </c>
      <c r="G356" t="s">
        <v>283</v>
      </c>
      <c r="H356" s="8" t="s">
        <v>600</v>
      </c>
      <c r="I356" t="s">
        <v>671</v>
      </c>
      <c r="N356" s="20">
        <v>1</v>
      </c>
      <c r="O356"/>
      <c r="P356"/>
      <c r="Q356"/>
      <c r="T356" s="20">
        <v>15.19820412</v>
      </c>
      <c r="U356" s="20">
        <v>15.194836840000001</v>
      </c>
      <c r="V356" s="20">
        <v>3.9043439100000001</v>
      </c>
      <c r="W356"/>
      <c r="AO356">
        <v>20</v>
      </c>
      <c r="AP356" s="20">
        <v>227.79419475650769</v>
      </c>
      <c r="AQ356" s="20">
        <v>8.7798550008608742E-2</v>
      </c>
      <c r="AR356" s="23">
        <v>1.882352941176471</v>
      </c>
      <c r="AS356" s="23">
        <v>2.3529411764705879</v>
      </c>
      <c r="AT356" s="23">
        <v>0.35294117647058831</v>
      </c>
      <c r="AU356" s="23">
        <v>0.47058823529411759</v>
      </c>
      <c r="AV356" s="23">
        <v>0.37209302325581389</v>
      </c>
      <c r="AW356" s="23">
        <v>0.46511627906976749</v>
      </c>
      <c r="AX356" s="23">
        <v>6.9767441860465129E-2</v>
      </c>
      <c r="AY356" s="23">
        <v>9.3023255813953487E-2</v>
      </c>
      <c r="AZ356" s="20">
        <v>0.82</v>
      </c>
      <c r="BA356" s="20">
        <v>3.44</v>
      </c>
      <c r="BB356" s="20">
        <v>2.62</v>
      </c>
      <c r="BC356" s="20">
        <v>2.525882352941176</v>
      </c>
      <c r="BD356">
        <v>2.525882352941176</v>
      </c>
      <c r="BE356">
        <v>5.6597597152941184</v>
      </c>
    </row>
    <row r="357" spans="1:57" x14ac:dyDescent="0.3">
      <c r="A357" t="s">
        <v>4</v>
      </c>
      <c r="B357" s="12" t="s">
        <v>689</v>
      </c>
      <c r="C357" s="12"/>
      <c r="F357">
        <v>3.26</v>
      </c>
      <c r="G357" t="s">
        <v>290</v>
      </c>
      <c r="H357" s="8" t="s">
        <v>527</v>
      </c>
      <c r="I357" t="s">
        <v>609</v>
      </c>
      <c r="N357" s="20">
        <v>4</v>
      </c>
      <c r="O357"/>
      <c r="P357"/>
      <c r="Q357"/>
      <c r="T357" s="20">
        <v>7.8084429999999996</v>
      </c>
      <c r="U357" s="20">
        <v>7.8548809999999998</v>
      </c>
      <c r="V357" s="20">
        <v>15.19056011</v>
      </c>
      <c r="W357"/>
      <c r="AO357">
        <v>20</v>
      </c>
      <c r="AP357" s="20">
        <v>924.74694800021894</v>
      </c>
      <c r="AQ357" s="20">
        <v>8.6510153045653584E-2</v>
      </c>
      <c r="AR357" s="23">
        <v>1.75</v>
      </c>
      <c r="AS357" s="23">
        <v>2.5</v>
      </c>
      <c r="AT357" s="23">
        <v>0.75</v>
      </c>
      <c r="AU357" s="23">
        <v>0</v>
      </c>
      <c r="AV357" s="23">
        <v>0.35</v>
      </c>
      <c r="AW357" s="23">
        <v>0.5</v>
      </c>
      <c r="AX357" s="23">
        <v>0.15</v>
      </c>
      <c r="AY357" s="23">
        <v>0</v>
      </c>
      <c r="AZ357" s="20">
        <v>0.82</v>
      </c>
      <c r="BA357" s="20">
        <v>3.44</v>
      </c>
      <c r="BB357" s="20">
        <v>2.62</v>
      </c>
      <c r="BC357" s="20">
        <v>2.6262500000000002</v>
      </c>
      <c r="BD357">
        <v>2.6262500000000002</v>
      </c>
      <c r="BE357">
        <v>5.96680968125</v>
      </c>
    </row>
    <row r="358" spans="1:57" s="1" customFormat="1" x14ac:dyDescent="0.3">
      <c r="A358" s="1" t="s">
        <v>288</v>
      </c>
      <c r="B358" s="12" t="s">
        <v>689</v>
      </c>
      <c r="C358" s="14"/>
      <c r="D358" s="1" t="s">
        <v>676</v>
      </c>
      <c r="E358" s="1" t="s">
        <v>1067</v>
      </c>
      <c r="F358" s="1">
        <v>2.4700000000000002</v>
      </c>
      <c r="G358" s="1" t="s">
        <v>290</v>
      </c>
      <c r="H358" s="8" t="s">
        <v>527</v>
      </c>
      <c r="I358" t="s">
        <v>609</v>
      </c>
      <c r="J358"/>
      <c r="N358" s="20">
        <v>4</v>
      </c>
      <c r="T358" s="20">
        <v>7.8084429999999996</v>
      </c>
      <c r="U358" s="20">
        <v>7.8548809999999998</v>
      </c>
      <c r="V358" s="20">
        <v>15.19056011</v>
      </c>
      <c r="AO358">
        <v>20</v>
      </c>
      <c r="AP358" s="20">
        <v>924.74694800021894</v>
      </c>
      <c r="AQ358" s="20">
        <v>8.6510153045653584E-2</v>
      </c>
      <c r="AR358" s="23">
        <v>1.75</v>
      </c>
      <c r="AS358" s="23">
        <v>2.5</v>
      </c>
      <c r="AT358" s="23">
        <v>0.75</v>
      </c>
      <c r="AU358" s="23">
        <v>0</v>
      </c>
      <c r="AV358" s="23">
        <v>0.35</v>
      </c>
      <c r="AW358" s="23">
        <v>0.5</v>
      </c>
      <c r="AX358" s="23">
        <v>0.15</v>
      </c>
      <c r="AY358" s="23">
        <v>0</v>
      </c>
      <c r="AZ358" s="20">
        <v>0.82</v>
      </c>
      <c r="BA358" s="20">
        <v>3.44</v>
      </c>
      <c r="BB358" s="20">
        <v>2.62</v>
      </c>
      <c r="BC358" s="20">
        <v>2.6262500000000002</v>
      </c>
      <c r="BD358">
        <v>2.6262500000000002</v>
      </c>
      <c r="BE358">
        <v>5.96680968125</v>
      </c>
    </row>
    <row r="359" spans="1:57" s="1" customFormat="1" x14ac:dyDescent="0.3">
      <c r="A359" s="1" t="s">
        <v>289</v>
      </c>
      <c r="B359" s="12" t="s">
        <v>689</v>
      </c>
      <c r="C359" s="14"/>
      <c r="D359" s="1" t="s">
        <v>946</v>
      </c>
      <c r="E359" s="1" t="s">
        <v>1067</v>
      </c>
      <c r="F359" s="1">
        <v>2.4700000000000002</v>
      </c>
      <c r="G359" s="1" t="s">
        <v>290</v>
      </c>
      <c r="H359" s="8" t="s">
        <v>527</v>
      </c>
      <c r="I359" t="s">
        <v>609</v>
      </c>
      <c r="J359"/>
      <c r="N359" s="20">
        <v>4</v>
      </c>
      <c r="T359" s="20">
        <v>7.8084429999999996</v>
      </c>
      <c r="U359" s="20">
        <v>7.8548809999999998</v>
      </c>
      <c r="V359" s="20">
        <v>15.19056011</v>
      </c>
      <c r="AO359">
        <v>20</v>
      </c>
      <c r="AP359" s="20">
        <v>924.74694800021894</v>
      </c>
      <c r="AQ359" s="20">
        <v>8.6510153045653584E-2</v>
      </c>
      <c r="AR359" s="23">
        <v>1.75</v>
      </c>
      <c r="AS359" s="23">
        <v>2.5</v>
      </c>
      <c r="AT359" s="23">
        <v>0.75</v>
      </c>
      <c r="AU359" s="23">
        <v>0</v>
      </c>
      <c r="AV359" s="23">
        <v>0.35</v>
      </c>
      <c r="AW359" s="23">
        <v>0.5</v>
      </c>
      <c r="AX359" s="23">
        <v>0.15</v>
      </c>
      <c r="AY359" s="23">
        <v>0</v>
      </c>
      <c r="AZ359" s="20">
        <v>0.82</v>
      </c>
      <c r="BA359" s="20">
        <v>3.44</v>
      </c>
      <c r="BB359" s="20">
        <v>2.62</v>
      </c>
      <c r="BC359" s="20">
        <v>2.6262500000000002</v>
      </c>
      <c r="BD359">
        <v>2.6262500000000002</v>
      </c>
      <c r="BE359">
        <v>5.96680968125</v>
      </c>
    </row>
    <row r="360" spans="1:57" x14ac:dyDescent="0.3">
      <c r="A360" t="s">
        <v>10</v>
      </c>
      <c r="B360" s="12" t="s">
        <v>695</v>
      </c>
      <c r="C360" s="12"/>
      <c r="F360">
        <v>4.26</v>
      </c>
      <c r="G360" t="s">
        <v>291</v>
      </c>
      <c r="H360" s="8" t="s">
        <v>531</v>
      </c>
      <c r="I360">
        <v>-1</v>
      </c>
      <c r="N360" s="20">
        <v>1</v>
      </c>
      <c r="O360"/>
      <c r="P360"/>
      <c r="Q360"/>
      <c r="T360" s="20">
        <v>3.9103940000000001</v>
      </c>
      <c r="U360" s="20">
        <v>3.9103940000000001</v>
      </c>
      <c r="V360" s="20">
        <v>11.314458</v>
      </c>
      <c r="W360"/>
      <c r="AO360">
        <v>14</v>
      </c>
      <c r="AP360" s="20">
        <v>173.0114278564659</v>
      </c>
      <c r="AQ360" s="20">
        <v>8.0919510193365449E-2</v>
      </c>
      <c r="AR360" s="23">
        <v>1.9090909090909089</v>
      </c>
      <c r="AS360" s="23">
        <v>2.545454545454545</v>
      </c>
      <c r="AT360" s="23">
        <v>0.63636363636363635</v>
      </c>
      <c r="AU360" s="23">
        <v>2.545454545454545</v>
      </c>
      <c r="AV360" s="23">
        <v>0.25</v>
      </c>
      <c r="AW360" s="23">
        <v>0.33333333333333331</v>
      </c>
      <c r="AX360" s="23">
        <v>8.3333333333333329E-2</v>
      </c>
      <c r="AY360" s="23">
        <v>0.33333333333333331</v>
      </c>
      <c r="AZ360" s="20">
        <v>0.82</v>
      </c>
      <c r="BA360" s="20">
        <v>3.44</v>
      </c>
      <c r="BB360" s="20">
        <v>2.62</v>
      </c>
      <c r="BC360" s="20">
        <v>2.6363636363636358</v>
      </c>
      <c r="BD360">
        <v>2.6363636363636371</v>
      </c>
      <c r="BE360">
        <v>6.0044088459090901</v>
      </c>
    </row>
    <row r="361" spans="1:57" x14ac:dyDescent="0.3">
      <c r="A361" t="s">
        <v>10</v>
      </c>
      <c r="B361" s="12" t="s">
        <v>695</v>
      </c>
      <c r="C361" s="12"/>
      <c r="D361" t="s">
        <v>676</v>
      </c>
      <c r="E361">
        <v>0.3</v>
      </c>
      <c r="F361">
        <v>2.16</v>
      </c>
      <c r="G361" t="s">
        <v>291</v>
      </c>
      <c r="H361" s="8" t="s">
        <v>531</v>
      </c>
      <c r="I361">
        <v>-1</v>
      </c>
      <c r="N361" s="20">
        <v>1</v>
      </c>
      <c r="O361"/>
      <c r="P361"/>
      <c r="Q361"/>
      <c r="T361" s="20">
        <v>3.9103940000000001</v>
      </c>
      <c r="U361" s="20">
        <v>3.9103940000000001</v>
      </c>
      <c r="V361" s="20">
        <v>11.314458</v>
      </c>
      <c r="W361"/>
      <c r="AO361">
        <v>14</v>
      </c>
      <c r="AP361" s="20">
        <v>173.0114278564659</v>
      </c>
      <c r="AQ361" s="20">
        <v>8.0919510193365449E-2</v>
      </c>
      <c r="AR361" s="23">
        <v>1.9090909090909089</v>
      </c>
      <c r="AS361" s="23">
        <v>2.545454545454545</v>
      </c>
      <c r="AT361" s="23">
        <v>0.63636363636363635</v>
      </c>
      <c r="AU361" s="23">
        <v>2.545454545454545</v>
      </c>
      <c r="AV361" s="23">
        <v>0.25</v>
      </c>
      <c r="AW361" s="23">
        <v>0.33333333333333331</v>
      </c>
      <c r="AX361" s="23">
        <v>8.3333333333333329E-2</v>
      </c>
      <c r="AY361" s="23">
        <v>0.33333333333333331</v>
      </c>
      <c r="AZ361" s="20">
        <v>0.82</v>
      </c>
      <c r="BA361" s="20">
        <v>3.44</v>
      </c>
      <c r="BB361" s="20">
        <v>2.62</v>
      </c>
      <c r="BC361" s="20">
        <v>2.6363636363636358</v>
      </c>
      <c r="BD361">
        <v>2.6363636363636371</v>
      </c>
      <c r="BE361">
        <v>6.0044088459090901</v>
      </c>
    </row>
    <row r="362" spans="1:57" x14ac:dyDescent="0.3">
      <c r="A362" t="s">
        <v>4</v>
      </c>
      <c r="B362" s="12" t="s">
        <v>689</v>
      </c>
      <c r="C362" s="12"/>
      <c r="F362">
        <v>3.22</v>
      </c>
      <c r="G362" t="s">
        <v>292</v>
      </c>
      <c r="H362" s="8" t="s">
        <v>527</v>
      </c>
      <c r="I362">
        <v>-1</v>
      </c>
      <c r="N362" s="20">
        <v>0</v>
      </c>
      <c r="O362">
        <v>-1</v>
      </c>
      <c r="P362"/>
      <c r="Q362"/>
      <c r="T362" s="20">
        <v>0</v>
      </c>
      <c r="U362" s="20"/>
      <c r="V362" s="20"/>
      <c r="W362"/>
      <c r="AO362">
        <v>20</v>
      </c>
      <c r="AP362" s="20">
        <v>0</v>
      </c>
      <c r="AQ362" s="20"/>
      <c r="AR362" s="23">
        <v>1.75</v>
      </c>
      <c r="AS362" s="23">
        <v>2.5</v>
      </c>
      <c r="AT362" s="23">
        <v>0.75</v>
      </c>
      <c r="AU362" s="23">
        <v>0</v>
      </c>
      <c r="AV362" s="23">
        <v>0.35</v>
      </c>
      <c r="AW362" s="23">
        <v>0.5</v>
      </c>
      <c r="AX362" s="23">
        <v>0.15</v>
      </c>
      <c r="AY362" s="23">
        <v>0</v>
      </c>
      <c r="AZ362" s="20">
        <v>0.82</v>
      </c>
      <c r="BA362" s="20">
        <v>3.44</v>
      </c>
      <c r="BB362" s="20">
        <v>2.62</v>
      </c>
      <c r="BC362" s="20">
        <v>2.6262500000000002</v>
      </c>
      <c r="BD362">
        <v>2.6262500000000002</v>
      </c>
      <c r="BE362">
        <v>5.96680968125</v>
      </c>
    </row>
    <row r="363" spans="1:57" x14ac:dyDescent="0.3">
      <c r="A363" s="32" t="s">
        <v>991</v>
      </c>
      <c r="B363" s="17" t="s">
        <v>693</v>
      </c>
      <c r="C363" s="12"/>
      <c r="F363">
        <v>3.1</v>
      </c>
      <c r="G363" t="s">
        <v>292</v>
      </c>
      <c r="H363" s="8">
        <v>-1</v>
      </c>
      <c r="I363">
        <v>-1</v>
      </c>
      <c r="L363" t="s">
        <v>1176</v>
      </c>
      <c r="N363" s="20">
        <v>0</v>
      </c>
      <c r="O363">
        <v>3.8759999999999999</v>
      </c>
      <c r="P363">
        <v>3.8849999999999998</v>
      </c>
      <c r="Q363">
        <v>37.359000000000002</v>
      </c>
      <c r="R363" t="s">
        <v>1175</v>
      </c>
      <c r="T363" s="20">
        <v>0</v>
      </c>
      <c r="U363" s="20"/>
      <c r="V363" s="20"/>
      <c r="W363"/>
      <c r="AO363">
        <v>26</v>
      </c>
      <c r="AP363" s="20">
        <v>0</v>
      </c>
      <c r="AQ363" s="20"/>
      <c r="AR363" s="23">
        <v>1.714285714285714</v>
      </c>
      <c r="AS363" s="23">
        <v>2.4761904761904758</v>
      </c>
      <c r="AT363" s="23">
        <v>0.76190476190476186</v>
      </c>
      <c r="AU363" s="23">
        <v>0</v>
      </c>
      <c r="AV363" s="23">
        <v>0.34615384615384609</v>
      </c>
      <c r="AW363" s="23">
        <v>0.5</v>
      </c>
      <c r="AX363" s="23">
        <v>0.1538461538461538</v>
      </c>
      <c r="AY363" s="23">
        <v>0</v>
      </c>
      <c r="AZ363" s="20">
        <v>0.82</v>
      </c>
      <c r="BA363" s="20">
        <v>3.44</v>
      </c>
      <c r="BB363" s="20">
        <v>2.62</v>
      </c>
      <c r="BC363" s="20">
        <v>2.612857142857143</v>
      </c>
      <c r="BD363">
        <v>2.612857142857143</v>
      </c>
      <c r="BE363">
        <v>5.9413964502380949</v>
      </c>
    </row>
    <row r="364" spans="1:57" s="4" customFormat="1" x14ac:dyDescent="0.3">
      <c r="A364" s="4" t="s">
        <v>992</v>
      </c>
      <c r="B364" s="33" t="s">
        <v>989</v>
      </c>
      <c r="C364" s="29"/>
      <c r="F364" s="4">
        <v>3.08</v>
      </c>
      <c r="G364" s="4" t="s">
        <v>292</v>
      </c>
      <c r="H364" s="30">
        <v>-2</v>
      </c>
      <c r="I364" s="4">
        <v>-1</v>
      </c>
      <c r="N364" s="31">
        <v>0</v>
      </c>
      <c r="O364" s="4">
        <v>-1</v>
      </c>
      <c r="T364" s="31">
        <v>0</v>
      </c>
      <c r="U364" s="31"/>
      <c r="V364" s="31"/>
      <c r="AO364" s="4">
        <v>32</v>
      </c>
      <c r="AP364" s="31">
        <v>0</v>
      </c>
      <c r="AQ364" s="31"/>
      <c r="AR364" s="4">
        <v>1.6923076923076921</v>
      </c>
      <c r="AS364" s="4">
        <v>2.4615384615384621</v>
      </c>
      <c r="AT364" s="4">
        <v>0.76923076923076927</v>
      </c>
      <c r="AU364" s="4">
        <v>0</v>
      </c>
      <c r="AV364" s="4">
        <v>0.34375</v>
      </c>
      <c r="AW364" s="4">
        <v>0.5</v>
      </c>
      <c r="AX364" s="4">
        <v>0.15625</v>
      </c>
      <c r="AY364" s="4">
        <v>0</v>
      </c>
      <c r="AZ364" s="31">
        <v>0.82</v>
      </c>
      <c r="BA364" s="31">
        <v>3.44</v>
      </c>
      <c r="BB364" s="31">
        <v>2.62</v>
      </c>
      <c r="BC364" s="31">
        <v>2.6046153846153852</v>
      </c>
      <c r="BD364" s="4">
        <v>2.6046153846153852</v>
      </c>
      <c r="BE364" s="4">
        <v>5.9257575388461543</v>
      </c>
    </row>
    <row r="365" spans="1:57" s="4" customFormat="1" x14ac:dyDescent="0.3">
      <c r="A365" s="4" t="s">
        <v>993</v>
      </c>
      <c r="B365" s="33" t="s">
        <v>990</v>
      </c>
      <c r="C365" s="29"/>
      <c r="F365" s="4">
        <v>3.06</v>
      </c>
      <c r="G365" s="4" t="s">
        <v>292</v>
      </c>
      <c r="H365" s="30">
        <v>-2</v>
      </c>
      <c r="I365" s="4">
        <v>-1</v>
      </c>
      <c r="N365" s="31">
        <v>0</v>
      </c>
      <c r="O365" s="4">
        <v>-1</v>
      </c>
      <c r="T365" s="31">
        <v>0</v>
      </c>
      <c r="U365" s="31"/>
      <c r="V365" s="31"/>
      <c r="AO365" s="4">
        <v>38</v>
      </c>
      <c r="AP365" s="31">
        <v>0</v>
      </c>
      <c r="AQ365" s="31"/>
      <c r="AR365" s="4">
        <v>1.67741935483871</v>
      </c>
      <c r="AS365" s="4">
        <v>2.4516129032258061</v>
      </c>
      <c r="AT365" s="4">
        <v>0.77419354838709675</v>
      </c>
      <c r="AU365" s="4">
        <v>0</v>
      </c>
      <c r="AV365" s="4">
        <v>0.34210526315789469</v>
      </c>
      <c r="AW365" s="4">
        <v>0.5</v>
      </c>
      <c r="AX365" s="4">
        <v>0.15789473684210531</v>
      </c>
      <c r="AY365" s="4">
        <v>0</v>
      </c>
      <c r="AZ365" s="31">
        <v>0.82</v>
      </c>
      <c r="BA365" s="31">
        <v>3.44</v>
      </c>
      <c r="BB365" s="31">
        <v>2.62</v>
      </c>
      <c r="BC365" s="31">
        <v>2.5990322580645162</v>
      </c>
      <c r="BD365" s="4">
        <v>2.5990322580645162</v>
      </c>
      <c r="BE365" s="4">
        <v>5.9151634375806452</v>
      </c>
    </row>
    <row r="366" spans="1:57" s="4" customFormat="1" x14ac:dyDescent="0.3">
      <c r="A366" s="4" t="s">
        <v>293</v>
      </c>
      <c r="B366" s="29" t="s">
        <v>826</v>
      </c>
      <c r="C366" s="29"/>
      <c r="F366" s="4">
        <v>3.82</v>
      </c>
      <c r="G366" s="4" t="s">
        <v>294</v>
      </c>
      <c r="H366" s="30">
        <v>-2</v>
      </c>
      <c r="I366" s="4">
        <v>-1</v>
      </c>
      <c r="N366" s="31">
        <v>0</v>
      </c>
      <c r="O366" s="4">
        <v>-1</v>
      </c>
      <c r="T366" s="31">
        <v>0</v>
      </c>
      <c r="U366" s="31"/>
      <c r="V366" s="31"/>
      <c r="AO366" s="4">
        <v>20</v>
      </c>
      <c r="AP366" s="31">
        <v>0</v>
      </c>
      <c r="AQ366" s="31"/>
      <c r="AR366" s="4">
        <v>1.8666666666666669</v>
      </c>
      <c r="AS366" s="4">
        <v>2.666666666666667</v>
      </c>
      <c r="AT366" s="4">
        <v>0.73333333333333328</v>
      </c>
      <c r="AU366" s="4">
        <v>0.93333333333333335</v>
      </c>
      <c r="AV366" s="4">
        <v>0.30107526881720431</v>
      </c>
      <c r="AW366" s="4">
        <v>0.43010752688172038</v>
      </c>
      <c r="AX366" s="4">
        <v>0.1182795698924731</v>
      </c>
      <c r="AY366" s="4">
        <v>0.15053763440860221</v>
      </c>
      <c r="AZ366" s="31">
        <v>1</v>
      </c>
      <c r="BA366" s="31">
        <v>3.44</v>
      </c>
      <c r="BB366" s="31">
        <v>2.44</v>
      </c>
      <c r="BC366" s="31">
        <v>2.74</v>
      </c>
      <c r="BD366" s="4">
        <v>2.74</v>
      </c>
      <c r="BE366" s="4">
        <v>6.2097406980000001</v>
      </c>
    </row>
    <row r="367" spans="1:57" x14ac:dyDescent="0.3">
      <c r="A367" s="34" t="s">
        <v>63</v>
      </c>
      <c r="B367" s="12" t="s">
        <v>773</v>
      </c>
      <c r="C367" s="12"/>
      <c r="F367">
        <v>3.59</v>
      </c>
      <c r="G367" t="s">
        <v>295</v>
      </c>
      <c r="H367" s="8">
        <v>-1</v>
      </c>
      <c r="I367">
        <v>-1</v>
      </c>
      <c r="J367" t="s">
        <v>1179</v>
      </c>
      <c r="N367" s="20">
        <v>0</v>
      </c>
      <c r="O367">
        <v>-1</v>
      </c>
      <c r="P367"/>
      <c r="Q367"/>
      <c r="T367" s="20">
        <v>3.86</v>
      </c>
      <c r="U367" s="20">
        <v>3.86</v>
      </c>
      <c r="V367" s="20">
        <v>14.97</v>
      </c>
      <c r="W367"/>
      <c r="AO367">
        <v>20</v>
      </c>
      <c r="AP367" s="20">
        <v>0</v>
      </c>
      <c r="AQ367" s="20"/>
      <c r="AR367" s="23">
        <v>1.75</v>
      </c>
      <c r="AS367" s="23">
        <v>2.5</v>
      </c>
      <c r="AT367" s="23">
        <v>0.75</v>
      </c>
      <c r="AU367" s="23">
        <v>0</v>
      </c>
      <c r="AV367" s="23">
        <v>0.35</v>
      </c>
      <c r="AW367" s="23">
        <v>0.5</v>
      </c>
      <c r="AX367" s="23">
        <v>0.15</v>
      </c>
      <c r="AY367" s="23">
        <v>0</v>
      </c>
      <c r="AZ367" s="20">
        <v>1</v>
      </c>
      <c r="BA367" s="20">
        <v>3.44</v>
      </c>
      <c r="BB367" s="20">
        <v>2.44</v>
      </c>
      <c r="BC367" s="20">
        <v>2.7124999999999999</v>
      </c>
      <c r="BD367">
        <v>2.7124999999999999</v>
      </c>
      <c r="BE367">
        <v>6.264025610615688</v>
      </c>
    </row>
    <row r="368" spans="1:57" x14ac:dyDescent="0.3">
      <c r="A368" t="s">
        <v>296</v>
      </c>
      <c r="B368" s="16" t="s">
        <v>947</v>
      </c>
      <c r="C368" s="12"/>
      <c r="F368">
        <v>3.55</v>
      </c>
      <c r="G368" t="s">
        <v>295</v>
      </c>
      <c r="H368" s="8">
        <v>-1</v>
      </c>
      <c r="I368">
        <v>-1</v>
      </c>
      <c r="J368" s="1" t="s">
        <v>1179</v>
      </c>
      <c r="N368" s="20">
        <v>0</v>
      </c>
      <c r="O368">
        <v>-1</v>
      </c>
      <c r="P368"/>
      <c r="Q368"/>
      <c r="T368" s="20">
        <v>3.86</v>
      </c>
      <c r="U368" s="20">
        <v>3.86</v>
      </c>
      <c r="V368" s="20">
        <f>(V367+V369)/2</f>
        <v>15.342750000000001</v>
      </c>
      <c r="W368"/>
      <c r="AO368">
        <v>20</v>
      </c>
      <c r="AP368" s="20">
        <v>0</v>
      </c>
      <c r="AQ368" s="20"/>
      <c r="AR368" s="23">
        <v>1.75</v>
      </c>
      <c r="AS368" s="23">
        <v>2.5</v>
      </c>
      <c r="AT368" s="23">
        <v>0.75</v>
      </c>
      <c r="AU368" s="23">
        <v>0</v>
      </c>
      <c r="AV368" s="23">
        <v>0.35</v>
      </c>
      <c r="AW368" s="23">
        <v>0.5</v>
      </c>
      <c r="AX368" s="23">
        <v>0.15</v>
      </c>
      <c r="AY368" s="23">
        <v>0</v>
      </c>
      <c r="AZ368" s="20">
        <v>0.95</v>
      </c>
      <c r="BA368" s="20">
        <v>3.44</v>
      </c>
      <c r="BB368" s="20">
        <v>2.4900000000000002</v>
      </c>
      <c r="BC368" s="20">
        <v>2.7109375</v>
      </c>
      <c r="BD368">
        <v>2.7109375</v>
      </c>
      <c r="BE368">
        <v>6.2579197821781882</v>
      </c>
    </row>
    <row r="369" spans="1:57" x14ac:dyDescent="0.3">
      <c r="A369" t="s">
        <v>297</v>
      </c>
      <c r="B369" s="12" t="s">
        <v>827</v>
      </c>
      <c r="C369" s="12"/>
      <c r="F369">
        <v>3.5</v>
      </c>
      <c r="G369" t="s">
        <v>295</v>
      </c>
      <c r="H369" s="8">
        <v>-1</v>
      </c>
      <c r="I369">
        <v>-1</v>
      </c>
      <c r="N369" s="20">
        <v>0</v>
      </c>
      <c r="O369">
        <v>-1</v>
      </c>
      <c r="P369"/>
      <c r="Q369"/>
      <c r="T369" s="20">
        <v>3.86</v>
      </c>
      <c r="U369" s="20">
        <v>3.86</v>
      </c>
      <c r="V369" s="20">
        <v>15.7155</v>
      </c>
      <c r="W369"/>
      <c r="AO369">
        <v>20</v>
      </c>
      <c r="AP369" s="20">
        <v>0</v>
      </c>
      <c r="AQ369" s="20"/>
      <c r="AR369" s="23">
        <v>1.75</v>
      </c>
      <c r="AS369" s="23">
        <v>2.5</v>
      </c>
      <c r="AT369" s="23">
        <v>0.75</v>
      </c>
      <c r="AU369" s="23">
        <v>0</v>
      </c>
      <c r="AV369" s="23">
        <v>0.35</v>
      </c>
      <c r="AW369" s="23">
        <v>0.5</v>
      </c>
      <c r="AX369" s="23">
        <v>0.15</v>
      </c>
      <c r="AY369" s="23">
        <v>0</v>
      </c>
      <c r="AZ369" s="20">
        <v>0.95</v>
      </c>
      <c r="BA369" s="20">
        <v>3.44</v>
      </c>
      <c r="BB369" s="20">
        <v>2.4900000000000002</v>
      </c>
      <c r="BC369" s="20">
        <v>2.7093750000000001</v>
      </c>
      <c r="BD369">
        <v>2.7093750000000001</v>
      </c>
      <c r="BE369">
        <v>6.2518139537406876</v>
      </c>
    </row>
    <row r="370" spans="1:57" x14ac:dyDescent="0.3">
      <c r="A370" t="s">
        <v>298</v>
      </c>
      <c r="B370" s="16" t="s">
        <v>948</v>
      </c>
      <c r="C370" s="12"/>
      <c r="F370">
        <v>3.45</v>
      </c>
      <c r="G370" t="s">
        <v>295</v>
      </c>
      <c r="H370" s="8">
        <v>-1</v>
      </c>
      <c r="I370">
        <v>-1</v>
      </c>
      <c r="N370" s="20">
        <v>0</v>
      </c>
      <c r="O370">
        <v>-1</v>
      </c>
      <c r="P370"/>
      <c r="Q370"/>
      <c r="T370" s="20">
        <v>3.86</v>
      </c>
      <c r="U370" s="20">
        <v>3.86</v>
      </c>
      <c r="V370" s="20">
        <v>16.312000000000001</v>
      </c>
      <c r="W370"/>
      <c r="AO370">
        <v>20</v>
      </c>
      <c r="AP370" s="20">
        <v>0</v>
      </c>
      <c r="AQ370" s="20"/>
      <c r="AR370" s="23">
        <v>1.75</v>
      </c>
      <c r="AS370" s="23">
        <v>2.5</v>
      </c>
      <c r="AT370" s="23">
        <v>0.75</v>
      </c>
      <c r="AU370" s="23">
        <v>0</v>
      </c>
      <c r="AV370" s="23">
        <v>0.35</v>
      </c>
      <c r="AW370" s="23">
        <v>0.5</v>
      </c>
      <c r="AX370" s="23">
        <v>0.15</v>
      </c>
      <c r="AY370" s="23">
        <v>0</v>
      </c>
      <c r="AZ370" s="20">
        <v>0.95</v>
      </c>
      <c r="BA370" s="20">
        <v>3.44</v>
      </c>
      <c r="BB370" s="20">
        <v>2.4900000000000002</v>
      </c>
      <c r="BC370" s="20">
        <v>2.7078125000000002</v>
      </c>
      <c r="BD370">
        <v>2.7078125000000002</v>
      </c>
      <c r="BE370">
        <v>6.245708125303187</v>
      </c>
    </row>
    <row r="371" spans="1:57" x14ac:dyDescent="0.3">
      <c r="A371" t="s">
        <v>151</v>
      </c>
      <c r="B371" s="12" t="s">
        <v>774</v>
      </c>
      <c r="C371" s="12"/>
      <c r="F371">
        <v>3.4</v>
      </c>
      <c r="G371" t="s">
        <v>295</v>
      </c>
      <c r="H371" s="8">
        <v>-1</v>
      </c>
      <c r="I371">
        <v>-1</v>
      </c>
      <c r="N371" s="20">
        <v>0</v>
      </c>
      <c r="O371">
        <v>-1</v>
      </c>
      <c r="P371"/>
      <c r="Q371"/>
      <c r="T371" s="20">
        <v>3.86</v>
      </c>
      <c r="U371" s="20">
        <v>3.86</v>
      </c>
      <c r="V371" s="20">
        <v>17.599</v>
      </c>
      <c r="W371"/>
      <c r="AO371">
        <v>20</v>
      </c>
      <c r="AP371" s="20">
        <v>0</v>
      </c>
      <c r="AQ371" s="20"/>
      <c r="AR371" s="23">
        <v>1.75</v>
      </c>
      <c r="AS371" s="23">
        <v>2.5</v>
      </c>
      <c r="AT371" s="23">
        <v>0.75</v>
      </c>
      <c r="AU371" s="23">
        <v>0</v>
      </c>
      <c r="AV371" s="23">
        <v>0.35</v>
      </c>
      <c r="AW371" s="23">
        <v>0.5</v>
      </c>
      <c r="AX371" s="23">
        <v>0.15</v>
      </c>
      <c r="AY371" s="23">
        <v>0</v>
      </c>
      <c r="AZ371" s="20">
        <v>0.95</v>
      </c>
      <c r="BA371" s="20">
        <v>3.44</v>
      </c>
      <c r="BB371" s="20">
        <v>2.4900000000000002</v>
      </c>
      <c r="BC371" s="20">
        <v>2.7062499999999998</v>
      </c>
      <c r="BD371">
        <v>2.7062499999999998</v>
      </c>
      <c r="BE371">
        <v>6.2396022968656872</v>
      </c>
    </row>
    <row r="372" spans="1:57" x14ac:dyDescent="0.3">
      <c r="A372" t="s">
        <v>299</v>
      </c>
      <c r="B372" s="16" t="s">
        <v>949</v>
      </c>
      <c r="C372" s="12"/>
      <c r="F372">
        <v>3.65</v>
      </c>
      <c r="G372" t="s">
        <v>295</v>
      </c>
      <c r="H372" s="8">
        <v>-1</v>
      </c>
      <c r="I372">
        <v>-1</v>
      </c>
      <c r="N372" s="20">
        <v>0</v>
      </c>
      <c r="O372">
        <v>-1</v>
      </c>
      <c r="P372"/>
      <c r="Q372"/>
      <c r="T372" s="20">
        <v>3.86</v>
      </c>
      <c r="U372" s="20">
        <v>3.86</v>
      </c>
      <c r="V372" s="20">
        <v>14.85</v>
      </c>
      <c r="W372"/>
      <c r="AO372">
        <v>20</v>
      </c>
      <c r="AP372" s="20">
        <v>0</v>
      </c>
      <c r="AQ372" s="20"/>
      <c r="AR372" s="23">
        <v>1.76875</v>
      </c>
      <c r="AS372" s="23">
        <v>2.5</v>
      </c>
      <c r="AT372" s="23">
        <v>0.73125000000000007</v>
      </c>
      <c r="AU372" s="23">
        <v>0.26250000000000001</v>
      </c>
      <c r="AV372" s="23">
        <v>0.33610451306413303</v>
      </c>
      <c r="AW372" s="23">
        <v>0.47505938242280282</v>
      </c>
      <c r="AX372" s="23">
        <v>0.13895486935866991</v>
      </c>
      <c r="AY372" s="23">
        <v>4.9881235154394299E-2</v>
      </c>
      <c r="AZ372" s="20">
        <v>1</v>
      </c>
      <c r="BA372" s="20">
        <v>3.44</v>
      </c>
      <c r="BB372" s="20">
        <v>2.44</v>
      </c>
      <c r="BC372" s="20">
        <v>2.7106249999999998</v>
      </c>
      <c r="BD372">
        <v>2.7106249999999998</v>
      </c>
      <c r="BE372">
        <v>6.2658671793656886</v>
      </c>
    </row>
    <row r="373" spans="1:57" x14ac:dyDescent="0.3">
      <c r="A373" t="s">
        <v>300</v>
      </c>
      <c r="B373" s="12" t="s">
        <v>809</v>
      </c>
      <c r="C373" s="12"/>
      <c r="F373">
        <v>3.26</v>
      </c>
      <c r="G373" t="s">
        <v>295</v>
      </c>
      <c r="H373" s="8">
        <v>-1</v>
      </c>
      <c r="I373">
        <v>-1</v>
      </c>
      <c r="N373" s="20">
        <v>0</v>
      </c>
      <c r="O373">
        <v>-1</v>
      </c>
      <c r="P373"/>
      <c r="Q373"/>
      <c r="T373" s="20">
        <v>3.86</v>
      </c>
      <c r="U373" s="20">
        <v>3.86</v>
      </c>
      <c r="V373" s="20">
        <v>15.022</v>
      </c>
      <c r="W373"/>
      <c r="AO373">
        <v>20</v>
      </c>
      <c r="AP373" s="20">
        <v>0</v>
      </c>
      <c r="AQ373" s="20"/>
      <c r="AR373" s="23">
        <v>1.8125</v>
      </c>
      <c r="AS373" s="23">
        <v>2.5</v>
      </c>
      <c r="AT373" s="23">
        <v>0.6875</v>
      </c>
      <c r="AU373" s="23">
        <v>0.875</v>
      </c>
      <c r="AV373" s="23">
        <v>0.30851063829787229</v>
      </c>
      <c r="AW373" s="23">
        <v>0.42553191489361702</v>
      </c>
      <c r="AX373" s="23">
        <v>0.1170212765957447</v>
      </c>
      <c r="AY373" s="23">
        <v>0.14893617021276601</v>
      </c>
      <c r="AZ373" s="20">
        <v>1</v>
      </c>
      <c r="BA373" s="20">
        <v>3.44</v>
      </c>
      <c r="BB373" s="20">
        <v>2.44</v>
      </c>
      <c r="BC373" s="20">
        <v>2.7062499999999998</v>
      </c>
      <c r="BD373">
        <v>2.7062499999999998</v>
      </c>
      <c r="BE373">
        <v>6.2701641731156874</v>
      </c>
    </row>
    <row r="374" spans="1:57" x14ac:dyDescent="0.3">
      <c r="A374" t="s">
        <v>301</v>
      </c>
      <c r="B374" s="16" t="s">
        <v>950</v>
      </c>
      <c r="C374" s="12"/>
      <c r="F374">
        <v>3.2</v>
      </c>
      <c r="G374" t="s">
        <v>295</v>
      </c>
      <c r="H374" s="8">
        <v>-1</v>
      </c>
      <c r="I374">
        <v>-1</v>
      </c>
      <c r="N374" s="20">
        <v>0</v>
      </c>
      <c r="O374">
        <v>-1</v>
      </c>
      <c r="P374"/>
      <c r="Q374"/>
      <c r="T374" s="20">
        <v>3.86</v>
      </c>
      <c r="U374" s="20">
        <v>3.86</v>
      </c>
      <c r="V374" s="35">
        <v>15.380100000000001</v>
      </c>
      <c r="W374"/>
      <c r="AO374">
        <v>20</v>
      </c>
      <c r="AP374" s="20">
        <v>0</v>
      </c>
      <c r="AQ374" s="20"/>
      <c r="AR374" s="23">
        <v>1.84375</v>
      </c>
      <c r="AS374" s="23">
        <v>2.5</v>
      </c>
      <c r="AT374" s="23">
        <v>0.65625</v>
      </c>
      <c r="AU374" s="23">
        <v>1.3125</v>
      </c>
      <c r="AV374" s="23">
        <v>0.29207920792079212</v>
      </c>
      <c r="AW374" s="23">
        <v>0.39603960396039611</v>
      </c>
      <c r="AX374" s="23">
        <v>0.103960396039604</v>
      </c>
      <c r="AY374" s="23">
        <v>0.20792079207920791</v>
      </c>
      <c r="AZ374" s="20">
        <v>1</v>
      </c>
      <c r="BA374" s="20">
        <v>3.44</v>
      </c>
      <c r="BB374" s="20">
        <v>2.44</v>
      </c>
      <c r="BC374" s="20">
        <v>2.703125</v>
      </c>
      <c r="BD374">
        <v>2.703125</v>
      </c>
      <c r="BE374">
        <v>6.2732334543656876</v>
      </c>
    </row>
    <row r="375" spans="1:57" x14ac:dyDescent="0.3">
      <c r="A375" t="s">
        <v>4</v>
      </c>
      <c r="B375" s="12" t="s">
        <v>689</v>
      </c>
      <c r="C375" s="12"/>
      <c r="F375">
        <v>3.5</v>
      </c>
      <c r="G375" t="s">
        <v>302</v>
      </c>
      <c r="H375" s="8" t="s">
        <v>527</v>
      </c>
      <c r="I375" t="s">
        <v>609</v>
      </c>
      <c r="N375" s="20">
        <v>4</v>
      </c>
      <c r="O375"/>
      <c r="P375"/>
      <c r="Q375"/>
      <c r="T375" s="20">
        <v>3.86</v>
      </c>
      <c r="U375" s="20">
        <v>3.86</v>
      </c>
      <c r="V375" s="20">
        <v>15.19056011</v>
      </c>
      <c r="W375"/>
      <c r="AO375">
        <v>20</v>
      </c>
      <c r="AP375" s="20">
        <v>924.74694800021894</v>
      </c>
      <c r="AQ375" s="20">
        <v>8.6510153045653584E-2</v>
      </c>
      <c r="AR375" s="23">
        <v>1.75</v>
      </c>
      <c r="AS375" s="23">
        <v>2.5</v>
      </c>
      <c r="AT375" s="23">
        <v>0.75</v>
      </c>
      <c r="AU375" s="23">
        <v>0</v>
      </c>
      <c r="AV375" s="23">
        <v>0.35</v>
      </c>
      <c r="AW375" s="23">
        <v>0.5</v>
      </c>
      <c r="AX375" s="23">
        <v>0.15</v>
      </c>
      <c r="AY375" s="23">
        <v>0</v>
      </c>
      <c r="AZ375" s="20">
        <v>0.82</v>
      </c>
      <c r="BA375" s="20">
        <v>3.44</v>
      </c>
      <c r="BB375" s="20">
        <v>2.62</v>
      </c>
      <c r="BC375" s="20">
        <v>2.6262500000000002</v>
      </c>
      <c r="BD375">
        <v>2.6262500000000002</v>
      </c>
      <c r="BE375">
        <v>5.96680968125</v>
      </c>
    </row>
    <row r="376" spans="1:57" x14ac:dyDescent="0.3">
      <c r="A376" t="s">
        <v>303</v>
      </c>
      <c r="B376" s="12" t="s">
        <v>828</v>
      </c>
      <c r="C376" s="12"/>
      <c r="F376">
        <v>3.4</v>
      </c>
      <c r="G376" t="s">
        <v>302</v>
      </c>
      <c r="H376" s="25" t="s">
        <v>527</v>
      </c>
      <c r="I376" s="1" t="s">
        <v>609</v>
      </c>
      <c r="N376" s="20">
        <v>0</v>
      </c>
      <c r="O376">
        <v>-1</v>
      </c>
      <c r="P376"/>
      <c r="Q376"/>
      <c r="T376" s="26">
        <v>3.86</v>
      </c>
      <c r="U376" s="26">
        <v>3.86</v>
      </c>
      <c r="V376" s="26">
        <v>15.19056011</v>
      </c>
      <c r="W376"/>
      <c r="AO376">
        <v>20</v>
      </c>
      <c r="AP376" s="20">
        <v>0</v>
      </c>
      <c r="AQ376" s="20"/>
      <c r="AR376" s="23">
        <v>1.75</v>
      </c>
      <c r="AS376" s="23">
        <v>2.5</v>
      </c>
      <c r="AT376" s="23">
        <v>0.75</v>
      </c>
      <c r="AU376" s="23">
        <v>0</v>
      </c>
      <c r="AV376" s="23">
        <v>0.35</v>
      </c>
      <c r="AW376" s="23">
        <v>0.5</v>
      </c>
      <c r="AX376" s="23">
        <v>0.15</v>
      </c>
      <c r="AY376" s="23">
        <v>0</v>
      </c>
      <c r="AZ376" s="20">
        <v>0.82</v>
      </c>
      <c r="BA376" s="20">
        <v>3.44</v>
      </c>
      <c r="BB376" s="20">
        <v>2.62</v>
      </c>
      <c r="BC376" s="20">
        <v>2.6231249999999999</v>
      </c>
      <c r="BD376">
        <v>2.6231249999999999</v>
      </c>
      <c r="BE376">
        <v>5.9545980243750014</v>
      </c>
    </row>
    <row r="377" spans="1:57" x14ac:dyDescent="0.3">
      <c r="A377" t="s">
        <v>7</v>
      </c>
      <c r="B377" s="12" t="s">
        <v>692</v>
      </c>
      <c r="C377" s="12"/>
      <c r="F377">
        <v>3.3</v>
      </c>
      <c r="G377" t="s">
        <v>302</v>
      </c>
      <c r="H377" s="25" t="s">
        <v>527</v>
      </c>
      <c r="I377" s="1" t="s">
        <v>609</v>
      </c>
      <c r="N377" s="20">
        <v>0</v>
      </c>
      <c r="O377">
        <v>-1</v>
      </c>
      <c r="P377"/>
      <c r="Q377"/>
      <c r="T377" s="26">
        <v>3.86</v>
      </c>
      <c r="U377" s="26">
        <v>3.86</v>
      </c>
      <c r="V377" s="26">
        <v>15.19056011</v>
      </c>
      <c r="W377"/>
      <c r="AO377">
        <v>20</v>
      </c>
      <c r="AP377" s="20">
        <v>0</v>
      </c>
      <c r="AQ377" s="20"/>
      <c r="AR377" s="23">
        <v>1.75</v>
      </c>
      <c r="AS377" s="23">
        <v>2.5</v>
      </c>
      <c r="AT377" s="23">
        <v>0.75</v>
      </c>
      <c r="AU377" s="23">
        <v>0</v>
      </c>
      <c r="AV377" s="23">
        <v>0.35</v>
      </c>
      <c r="AW377" s="23">
        <v>0.5</v>
      </c>
      <c r="AX377" s="23">
        <v>0.15</v>
      </c>
      <c r="AY377" s="23">
        <v>0</v>
      </c>
      <c r="AZ377" s="20">
        <v>0.82</v>
      </c>
      <c r="BA377" s="20">
        <v>3.44</v>
      </c>
      <c r="BB377" s="20">
        <v>2.62</v>
      </c>
      <c r="BC377" s="20">
        <v>2.62</v>
      </c>
      <c r="BD377">
        <v>2.62</v>
      </c>
      <c r="BE377">
        <v>5.9423863675000002</v>
      </c>
    </row>
    <row r="378" spans="1:57" x14ac:dyDescent="0.3">
      <c r="A378" t="s">
        <v>63</v>
      </c>
      <c r="B378" s="12" t="s">
        <v>773</v>
      </c>
      <c r="C378" s="12"/>
      <c r="F378">
        <v>3.5</v>
      </c>
      <c r="G378" t="s">
        <v>305</v>
      </c>
      <c r="H378" s="8">
        <v>-1</v>
      </c>
      <c r="I378">
        <v>-1</v>
      </c>
      <c r="J378" t="s">
        <v>1179</v>
      </c>
      <c r="N378" s="20">
        <v>0</v>
      </c>
      <c r="O378">
        <v>-1</v>
      </c>
      <c r="P378"/>
      <c r="Q378"/>
      <c r="T378" s="20">
        <v>3.84</v>
      </c>
      <c r="U378" s="20">
        <v>3.84</v>
      </c>
      <c r="V378" s="20">
        <v>13.97</v>
      </c>
      <c r="W378"/>
      <c r="AO378">
        <v>20</v>
      </c>
      <c r="AP378" s="20">
        <v>0</v>
      </c>
      <c r="AQ378" s="20"/>
      <c r="AR378" s="23">
        <v>1.75</v>
      </c>
      <c r="AS378" s="23">
        <v>2.5</v>
      </c>
      <c r="AT378" s="23">
        <v>0.75</v>
      </c>
      <c r="AU378" s="23">
        <v>0</v>
      </c>
      <c r="AV378" s="23">
        <v>0.35</v>
      </c>
      <c r="AW378" s="23">
        <v>0.5</v>
      </c>
      <c r="AX378" s="23">
        <v>0.15</v>
      </c>
      <c r="AY378" s="23">
        <v>0</v>
      </c>
      <c r="AZ378" s="20">
        <v>1</v>
      </c>
      <c r="BA378" s="20">
        <v>3.44</v>
      </c>
      <c r="BB378" s="20">
        <v>2.44</v>
      </c>
      <c r="BC378" s="20">
        <v>2.7124999999999999</v>
      </c>
      <c r="BD378">
        <v>2.7124999999999999</v>
      </c>
      <c r="BE378">
        <v>6.264025610615688</v>
      </c>
    </row>
    <row r="379" spans="1:57" x14ac:dyDescent="0.3">
      <c r="A379" t="s">
        <v>304</v>
      </c>
      <c r="B379" s="12" t="s">
        <v>829</v>
      </c>
      <c r="C379" s="12"/>
      <c r="F379">
        <v>3.33</v>
      </c>
      <c r="G379" t="s">
        <v>305</v>
      </c>
      <c r="H379" s="8">
        <v>-1</v>
      </c>
      <c r="I379">
        <v>-1</v>
      </c>
      <c r="N379" s="20">
        <v>0</v>
      </c>
      <c r="O379">
        <v>6.47</v>
      </c>
      <c r="P379">
        <v>6.47</v>
      </c>
      <c r="Q379">
        <v>30.69</v>
      </c>
      <c r="T379" s="20">
        <v>0</v>
      </c>
      <c r="U379" s="20"/>
      <c r="V379" s="20"/>
      <c r="W379"/>
      <c r="AO379">
        <v>34</v>
      </c>
      <c r="AP379" s="20">
        <v>0</v>
      </c>
      <c r="AQ379" s="20"/>
      <c r="AR379">
        <v>1.62962962962963</v>
      </c>
      <c r="AS379">
        <v>2.518518518518519</v>
      </c>
      <c r="AT379">
        <v>0.88888888888888884</v>
      </c>
      <c r="AU379">
        <v>0</v>
      </c>
      <c r="AV379">
        <v>0.32352941176470579</v>
      </c>
      <c r="AW379">
        <v>0.5</v>
      </c>
      <c r="AX379">
        <v>0.1764705882352941</v>
      </c>
      <c r="AY379">
        <v>0</v>
      </c>
      <c r="AZ379" s="20">
        <v>1.6</v>
      </c>
      <c r="BA379" s="20">
        <v>3.44</v>
      </c>
      <c r="BB379" s="20">
        <v>1.84</v>
      </c>
      <c r="BC379" s="20">
        <v>2.8474074074074069</v>
      </c>
      <c r="BD379">
        <v>2.8474074074074069</v>
      </c>
      <c r="BE379">
        <v>6.6632481018297778</v>
      </c>
    </row>
    <row r="380" spans="1:57" x14ac:dyDescent="0.3">
      <c r="A380" t="s">
        <v>299</v>
      </c>
      <c r="B380" s="16" t="s">
        <v>949</v>
      </c>
      <c r="C380" s="12"/>
      <c r="F380">
        <v>3.65</v>
      </c>
      <c r="G380" t="s">
        <v>306</v>
      </c>
      <c r="H380" s="8">
        <v>-1</v>
      </c>
      <c r="I380">
        <v>-1</v>
      </c>
      <c r="N380" s="20">
        <v>0</v>
      </c>
      <c r="O380">
        <v>3.8531</v>
      </c>
      <c r="P380">
        <v>3.8531</v>
      </c>
      <c r="Q380">
        <v>16.2151</v>
      </c>
      <c r="T380" s="20">
        <v>0</v>
      </c>
      <c r="U380" s="20"/>
      <c r="V380" s="20"/>
      <c r="W380"/>
      <c r="AO380">
        <v>20</v>
      </c>
      <c r="AP380" s="20">
        <v>0</v>
      </c>
      <c r="AQ380" s="20"/>
      <c r="AR380">
        <v>1.76875</v>
      </c>
      <c r="AS380">
        <v>2.5</v>
      </c>
      <c r="AT380">
        <v>0.73125000000000007</v>
      </c>
      <c r="AU380">
        <v>0.26250000000000001</v>
      </c>
      <c r="AV380">
        <v>0.33610451306413303</v>
      </c>
      <c r="AW380">
        <v>0.47505938242280282</v>
      </c>
      <c r="AX380">
        <v>0.13895486935866991</v>
      </c>
      <c r="AY380">
        <v>4.9881235154394299E-2</v>
      </c>
      <c r="AZ380" s="20">
        <v>1</v>
      </c>
      <c r="BA380" s="20">
        <v>3.44</v>
      </c>
      <c r="BB380" s="20">
        <v>2.44</v>
      </c>
      <c r="BC380" s="20">
        <v>2.7106249999999998</v>
      </c>
      <c r="BD380">
        <v>2.7106249999999998</v>
      </c>
      <c r="BE380">
        <v>6.2658671793656886</v>
      </c>
    </row>
    <row r="381" spans="1:57" x14ac:dyDescent="0.3">
      <c r="A381" t="s">
        <v>301</v>
      </c>
      <c r="B381" s="16" t="s">
        <v>950</v>
      </c>
      <c r="C381" s="12"/>
      <c r="F381">
        <v>3.8</v>
      </c>
      <c r="G381" t="s">
        <v>306</v>
      </c>
      <c r="H381" s="8">
        <v>-1</v>
      </c>
      <c r="I381">
        <v>-1</v>
      </c>
      <c r="N381" s="20">
        <v>0</v>
      </c>
      <c r="O381">
        <v>3.8531</v>
      </c>
      <c r="P381">
        <v>3.8531</v>
      </c>
      <c r="Q381">
        <v>16.2151</v>
      </c>
      <c r="T381" s="20">
        <v>0</v>
      </c>
      <c r="U381" s="20"/>
      <c r="V381" s="20"/>
      <c r="W381"/>
      <c r="AO381">
        <v>20</v>
      </c>
      <c r="AP381" s="20">
        <v>0</v>
      </c>
      <c r="AQ381" s="20"/>
      <c r="AR381">
        <v>1.84375</v>
      </c>
      <c r="AS381">
        <v>2.5</v>
      </c>
      <c r="AT381">
        <v>0.65625</v>
      </c>
      <c r="AU381">
        <v>1.3125</v>
      </c>
      <c r="AV381">
        <v>0.29207920792079212</v>
      </c>
      <c r="AW381">
        <v>0.39603960396039611</v>
      </c>
      <c r="AX381">
        <v>0.103960396039604</v>
      </c>
      <c r="AY381">
        <v>0.20792079207920791</v>
      </c>
      <c r="AZ381" s="20">
        <v>1</v>
      </c>
      <c r="BA381" s="20">
        <v>3.44</v>
      </c>
      <c r="BB381" s="20">
        <v>2.44</v>
      </c>
      <c r="BC381" s="20">
        <v>2.703125</v>
      </c>
      <c r="BD381">
        <v>2.703125</v>
      </c>
      <c r="BE381">
        <v>6.2732334543656876</v>
      </c>
    </row>
    <row r="382" spans="1:57" x14ac:dyDescent="0.3">
      <c r="A382" t="s">
        <v>46</v>
      </c>
      <c r="B382" s="12" t="s">
        <v>722</v>
      </c>
      <c r="C382" s="12"/>
      <c r="F382">
        <v>3.34</v>
      </c>
      <c r="G382" t="s">
        <v>307</v>
      </c>
      <c r="H382" s="8" t="s">
        <v>551</v>
      </c>
      <c r="I382" t="s">
        <v>629</v>
      </c>
      <c r="N382" s="20">
        <v>2</v>
      </c>
      <c r="O382"/>
      <c r="P382"/>
      <c r="Q382"/>
      <c r="T382" s="20">
        <v>7.41544296</v>
      </c>
      <c r="U382" s="20">
        <v>7.4154429599999991</v>
      </c>
      <c r="V382" s="20">
        <v>7.41544296</v>
      </c>
      <c r="W382"/>
      <c r="AO382">
        <v>14</v>
      </c>
      <c r="AP382" s="20">
        <v>288.33429290182369</v>
      </c>
      <c r="AQ382" s="20">
        <v>9.7109503410799117E-2</v>
      </c>
      <c r="AR382">
        <v>2</v>
      </c>
      <c r="AS382">
        <v>2.545454545454545</v>
      </c>
      <c r="AT382">
        <v>0.54545454545454541</v>
      </c>
      <c r="AU382">
        <v>0</v>
      </c>
      <c r="AV382">
        <v>0.39285714285714279</v>
      </c>
      <c r="AW382">
        <v>0.5</v>
      </c>
      <c r="AX382">
        <v>0.1071428571428571</v>
      </c>
      <c r="AY382">
        <v>0</v>
      </c>
      <c r="AZ382" s="20">
        <v>1.1000000000000001</v>
      </c>
      <c r="BA382" s="20">
        <v>3.44</v>
      </c>
      <c r="BB382" s="20">
        <v>2.34</v>
      </c>
      <c r="BC382" s="20">
        <v>2.669090909090909</v>
      </c>
      <c r="BD382">
        <v>2.669090909090909</v>
      </c>
      <c r="BE382">
        <v>5.9831974772727277</v>
      </c>
    </row>
    <row r="383" spans="1:57" x14ac:dyDescent="0.3">
      <c r="A383" t="s">
        <v>891</v>
      </c>
      <c r="B383" s="12" t="s">
        <v>722</v>
      </c>
      <c r="C383" s="12"/>
      <c r="D383" t="s">
        <v>676</v>
      </c>
      <c r="E383">
        <v>0.22</v>
      </c>
      <c r="F383">
        <v>3.17</v>
      </c>
      <c r="G383" t="s">
        <v>307</v>
      </c>
      <c r="H383" s="8" t="s">
        <v>551</v>
      </c>
      <c r="I383" t="s">
        <v>629</v>
      </c>
      <c r="N383" s="20">
        <v>2</v>
      </c>
      <c r="O383"/>
      <c r="P383"/>
      <c r="Q383"/>
      <c r="T383" s="20">
        <v>7.41544296</v>
      </c>
      <c r="U383" s="20">
        <v>7.4154429599999991</v>
      </c>
      <c r="V383" s="20">
        <v>7.41544296</v>
      </c>
      <c r="W383"/>
      <c r="AO383">
        <v>14</v>
      </c>
      <c r="AP383" s="20">
        <v>288.33429290182369</v>
      </c>
      <c r="AQ383" s="20">
        <v>9.7109503410799117E-2</v>
      </c>
      <c r="AR383">
        <v>2</v>
      </c>
      <c r="AS383">
        <v>2.545454545454545</v>
      </c>
      <c r="AT383">
        <v>0.54545454545454541</v>
      </c>
      <c r="AU383">
        <v>0</v>
      </c>
      <c r="AV383">
        <v>0.39285714285714279</v>
      </c>
      <c r="AW383">
        <v>0.5</v>
      </c>
      <c r="AX383">
        <v>0.1071428571428571</v>
      </c>
      <c r="AY383">
        <v>0</v>
      </c>
      <c r="AZ383" s="20">
        <v>1.1000000000000001</v>
      </c>
      <c r="BA383" s="20">
        <v>3.44</v>
      </c>
      <c r="BB383" s="20">
        <v>2.34</v>
      </c>
      <c r="BC383" s="20">
        <v>2.669090909090909</v>
      </c>
      <c r="BD383">
        <v>2.669090909090909</v>
      </c>
      <c r="BE383">
        <v>5.9831974772727277</v>
      </c>
    </row>
    <row r="384" spans="1:57" x14ac:dyDescent="0.3">
      <c r="A384" t="s">
        <v>308</v>
      </c>
      <c r="B384" s="12" t="s">
        <v>830</v>
      </c>
      <c r="C384" s="12"/>
      <c r="F384">
        <v>3.44</v>
      </c>
      <c r="G384" t="s">
        <v>309</v>
      </c>
      <c r="H384" s="8" t="s">
        <v>601</v>
      </c>
      <c r="I384" t="s">
        <v>672</v>
      </c>
      <c r="N384" s="20">
        <v>1</v>
      </c>
      <c r="O384"/>
      <c r="P384"/>
      <c r="Q384"/>
      <c r="T384" s="20">
        <v>3.9408639999999999</v>
      </c>
      <c r="U384" s="20">
        <v>3.9455239999999989</v>
      </c>
      <c r="V384" s="20">
        <v>15.25730117</v>
      </c>
      <c r="W384"/>
      <c r="AO384">
        <v>20</v>
      </c>
      <c r="AP384" s="20">
        <v>235.24089263777751</v>
      </c>
      <c r="AQ384" s="20">
        <v>8.5019231884976218E-2</v>
      </c>
      <c r="AR384">
        <v>1.9375</v>
      </c>
      <c r="AS384">
        <v>2.5</v>
      </c>
      <c r="AT384">
        <v>0.5625</v>
      </c>
      <c r="AU384">
        <v>2.625</v>
      </c>
      <c r="AV384">
        <v>0.25409836065573771</v>
      </c>
      <c r="AW384">
        <v>0.32786885245901642</v>
      </c>
      <c r="AX384">
        <v>7.3770491803278687E-2</v>
      </c>
      <c r="AY384">
        <v>0.34426229508196721</v>
      </c>
      <c r="AZ384" s="20">
        <v>0.82</v>
      </c>
      <c r="BA384" s="20">
        <v>3.44</v>
      </c>
      <c r="BB384" s="20">
        <v>2.62</v>
      </c>
      <c r="BC384" s="20">
        <v>2.6074999999999999</v>
      </c>
      <c r="BD384">
        <v>2.6074999999999999</v>
      </c>
      <c r="BE384">
        <v>5.9852253687500001</v>
      </c>
    </row>
    <row r="385" spans="1:57" x14ac:dyDescent="0.3">
      <c r="A385" t="s">
        <v>63</v>
      </c>
      <c r="B385" s="12" t="s">
        <v>773</v>
      </c>
      <c r="C385" s="12"/>
      <c r="F385">
        <v>3.4</v>
      </c>
      <c r="G385" t="s">
        <v>310</v>
      </c>
      <c r="H385" s="8">
        <v>-1</v>
      </c>
      <c r="I385">
        <v>-1</v>
      </c>
      <c r="N385" s="20">
        <v>0</v>
      </c>
      <c r="O385">
        <v>3.8531</v>
      </c>
      <c r="P385">
        <v>3.8531</v>
      </c>
      <c r="Q385">
        <v>16.2151</v>
      </c>
      <c r="T385" s="20">
        <v>0</v>
      </c>
      <c r="U385" s="20"/>
      <c r="V385" s="20"/>
      <c r="W385"/>
      <c r="AO385">
        <v>20</v>
      </c>
      <c r="AP385" s="20">
        <v>0</v>
      </c>
      <c r="AQ385" s="20"/>
      <c r="AR385">
        <v>1.75</v>
      </c>
      <c r="AS385">
        <v>2.5</v>
      </c>
      <c r="AT385">
        <v>0.75</v>
      </c>
      <c r="AU385">
        <v>0</v>
      </c>
      <c r="AV385">
        <v>0.35</v>
      </c>
      <c r="AW385">
        <v>0.5</v>
      </c>
      <c r="AX385">
        <v>0.15</v>
      </c>
      <c r="AY385">
        <v>0</v>
      </c>
      <c r="AZ385" s="20">
        <v>1</v>
      </c>
      <c r="BA385" s="20">
        <v>3.44</v>
      </c>
      <c r="BB385" s="20">
        <v>2.44</v>
      </c>
      <c r="BC385" s="20">
        <v>2.7124999999999999</v>
      </c>
      <c r="BD385">
        <v>2.7124999999999999</v>
      </c>
      <c r="BE385">
        <v>6.264025610615688</v>
      </c>
    </row>
    <row r="386" spans="1:57" x14ac:dyDescent="0.3">
      <c r="A386" t="s">
        <v>63</v>
      </c>
      <c r="B386" s="12" t="s">
        <v>773</v>
      </c>
      <c r="C386" s="12"/>
      <c r="D386" t="s">
        <v>246</v>
      </c>
      <c r="E386">
        <v>0.7</v>
      </c>
      <c r="F386">
        <v>2.15</v>
      </c>
      <c r="G386" t="s">
        <v>310</v>
      </c>
      <c r="H386" s="8">
        <v>-1</v>
      </c>
      <c r="I386">
        <v>-1</v>
      </c>
      <c r="N386" s="20">
        <v>0</v>
      </c>
      <c r="O386">
        <v>3.8531</v>
      </c>
      <c r="P386">
        <v>3.8531</v>
      </c>
      <c r="Q386">
        <v>16.2151</v>
      </c>
      <c r="T386" s="20">
        <v>0</v>
      </c>
      <c r="U386" s="20"/>
      <c r="V386" s="20"/>
      <c r="W386"/>
      <c r="AO386">
        <v>20</v>
      </c>
      <c r="AP386" s="20">
        <v>0</v>
      </c>
      <c r="AQ386" s="20"/>
      <c r="AR386">
        <v>1.75</v>
      </c>
      <c r="AS386">
        <v>2.5</v>
      </c>
      <c r="AT386">
        <v>0.75</v>
      </c>
      <c r="AU386">
        <v>0</v>
      </c>
      <c r="AV386">
        <v>0.35</v>
      </c>
      <c r="AW386">
        <v>0.5</v>
      </c>
      <c r="AX386">
        <v>0.15</v>
      </c>
      <c r="AY386">
        <v>0</v>
      </c>
      <c r="AZ386" s="20">
        <v>1</v>
      </c>
      <c r="BA386" s="20">
        <v>3.44</v>
      </c>
      <c r="BB386" s="20">
        <v>2.44</v>
      </c>
      <c r="BC386" s="20">
        <v>2.7124999999999999</v>
      </c>
      <c r="BD386">
        <v>2.7124999999999999</v>
      </c>
      <c r="BE386">
        <v>6.264025610615688</v>
      </c>
    </row>
    <row r="387" spans="1:57" x14ac:dyDescent="0.3">
      <c r="A387" t="s">
        <v>311</v>
      </c>
      <c r="B387" s="12" t="s">
        <v>831</v>
      </c>
      <c r="C387" s="12"/>
      <c r="F387">
        <v>3.54</v>
      </c>
      <c r="G387" t="s">
        <v>312</v>
      </c>
      <c r="H387" s="8">
        <v>-1</v>
      </c>
      <c r="I387">
        <v>-1</v>
      </c>
      <c r="N387" s="20">
        <v>0</v>
      </c>
      <c r="O387">
        <v>3.9647999999999999</v>
      </c>
      <c r="P387">
        <v>3.9647999999999999</v>
      </c>
      <c r="Q387">
        <v>15.7392</v>
      </c>
      <c r="R387" t="s">
        <v>439</v>
      </c>
      <c r="T387" s="20">
        <v>0</v>
      </c>
      <c r="U387" s="20"/>
      <c r="V387" s="20"/>
      <c r="W387"/>
      <c r="X387">
        <v>1</v>
      </c>
      <c r="AO387">
        <v>20</v>
      </c>
      <c r="AP387" s="20">
        <v>0</v>
      </c>
      <c r="AQ387" s="20"/>
      <c r="AR387" s="23">
        <v>1.9375</v>
      </c>
      <c r="AS387" s="23">
        <v>2.5</v>
      </c>
      <c r="AT387" s="23">
        <v>0.5625</v>
      </c>
      <c r="AU387" s="23">
        <v>2.625</v>
      </c>
      <c r="AV387" s="23">
        <v>0.25409836065573771</v>
      </c>
      <c r="AW387" s="23">
        <v>0.32786885245901642</v>
      </c>
      <c r="AX387" s="23">
        <v>7.3770491803278687E-2</v>
      </c>
      <c r="AY387" s="23">
        <v>0.34426229508196721</v>
      </c>
      <c r="AZ387" s="20">
        <v>0.79</v>
      </c>
      <c r="BA387" s="20">
        <v>3.44</v>
      </c>
      <c r="BB387" s="20">
        <v>2.65</v>
      </c>
      <c r="BC387" s="20">
        <v>2.5918749999999999</v>
      </c>
      <c r="BD387">
        <v>2.5918749999999999</v>
      </c>
      <c r="BE387">
        <v>5.9214935367946877</v>
      </c>
    </row>
    <row r="388" spans="1:57" x14ac:dyDescent="0.3">
      <c r="A388" t="s">
        <v>313</v>
      </c>
      <c r="B388" s="12" t="s">
        <v>720</v>
      </c>
      <c r="C388" s="12"/>
      <c r="F388">
        <v>3.5</v>
      </c>
      <c r="G388" t="s">
        <v>314</v>
      </c>
      <c r="H388" s="8" t="s">
        <v>549</v>
      </c>
      <c r="I388">
        <v>-1</v>
      </c>
      <c r="L388" t="s">
        <v>1121</v>
      </c>
      <c r="N388" s="20">
        <v>1</v>
      </c>
      <c r="O388">
        <v>-1</v>
      </c>
      <c r="P388"/>
      <c r="Q388"/>
      <c r="T388" s="20">
        <v>15.28115725</v>
      </c>
      <c r="U388" s="20">
        <v>15.28115725</v>
      </c>
      <c r="V388" s="20">
        <v>15.28115725</v>
      </c>
      <c r="W388"/>
      <c r="AO388">
        <v>20</v>
      </c>
      <c r="AP388" s="20">
        <v>229.90248606119221</v>
      </c>
      <c r="AQ388" s="20">
        <v>8.6993404650164072E-2</v>
      </c>
      <c r="AR388" s="23">
        <v>1.882352941176471</v>
      </c>
      <c r="AS388" s="23">
        <v>2.3529411764705879</v>
      </c>
      <c r="AT388" s="23">
        <v>0.47058823529411759</v>
      </c>
      <c r="AU388" s="23">
        <v>0</v>
      </c>
      <c r="AV388" s="23">
        <v>0.4</v>
      </c>
      <c r="AW388" s="23">
        <v>0.5</v>
      </c>
      <c r="AX388" s="23">
        <v>9.9999999999999992E-2</v>
      </c>
      <c r="AY388" s="23">
        <v>0</v>
      </c>
      <c r="AZ388" s="20">
        <v>0.82</v>
      </c>
      <c r="BA388" s="20">
        <v>3.44</v>
      </c>
      <c r="BB388" s="20">
        <v>2.62</v>
      </c>
      <c r="BC388" s="20">
        <v>2.5211764705882351</v>
      </c>
      <c r="BD388">
        <v>2.521176470588236</v>
      </c>
      <c r="BE388">
        <v>5.6898745917647062</v>
      </c>
    </row>
    <row r="389" spans="1:57" x14ac:dyDescent="0.3">
      <c r="A389" t="s">
        <v>44</v>
      </c>
      <c r="B389" s="12" t="s">
        <v>720</v>
      </c>
      <c r="C389" s="12"/>
      <c r="D389" t="s">
        <v>246</v>
      </c>
      <c r="E389" t="s">
        <v>1067</v>
      </c>
      <c r="F389">
        <v>2.2599999999999998</v>
      </c>
      <c r="G389" t="s">
        <v>314</v>
      </c>
      <c r="H389" s="8" t="s">
        <v>549</v>
      </c>
      <c r="I389">
        <v>-1</v>
      </c>
      <c r="N389" s="20">
        <v>1</v>
      </c>
      <c r="O389">
        <v>-1</v>
      </c>
      <c r="P389"/>
      <c r="Q389"/>
      <c r="T389" s="20">
        <v>15.28115725</v>
      </c>
      <c r="U389" s="20">
        <v>15.28115725</v>
      </c>
      <c r="V389" s="20">
        <v>15.28115725</v>
      </c>
      <c r="W389"/>
      <c r="AO389">
        <v>20</v>
      </c>
      <c r="AP389" s="20">
        <v>229.90248606119221</v>
      </c>
      <c r="AQ389" s="20">
        <v>8.6993404650164072E-2</v>
      </c>
      <c r="AR389" s="23">
        <v>1.882352941176471</v>
      </c>
      <c r="AS389" s="23">
        <v>2.3529411764705879</v>
      </c>
      <c r="AT389" s="23">
        <v>0.47058823529411759</v>
      </c>
      <c r="AU389" s="23">
        <v>0</v>
      </c>
      <c r="AV389" s="23">
        <v>0.4</v>
      </c>
      <c r="AW389" s="23">
        <v>0.5</v>
      </c>
      <c r="AX389" s="23">
        <v>9.9999999999999992E-2</v>
      </c>
      <c r="AY389" s="23">
        <v>0</v>
      </c>
      <c r="AZ389" s="20">
        <v>0.82</v>
      </c>
      <c r="BA389" s="20">
        <v>3.44</v>
      </c>
      <c r="BB389" s="20">
        <v>2.62</v>
      </c>
      <c r="BC389" s="20">
        <v>2.5211764705882351</v>
      </c>
      <c r="BD389">
        <v>2.521176470588236</v>
      </c>
      <c r="BE389">
        <v>5.6898745917647062</v>
      </c>
    </row>
    <row r="390" spans="1:57" ht="15" x14ac:dyDescent="0.35">
      <c r="A390" t="s">
        <v>69</v>
      </c>
      <c r="B390" s="12" t="s">
        <v>738</v>
      </c>
      <c r="C390" s="12"/>
      <c r="F390">
        <v>2.82</v>
      </c>
      <c r="G390" s="7" t="s">
        <v>315</v>
      </c>
      <c r="H390" s="8" t="s">
        <v>560</v>
      </c>
      <c r="I390" t="s">
        <v>638</v>
      </c>
      <c r="K390" s="7"/>
      <c r="L390" s="7"/>
      <c r="M390" s="7"/>
      <c r="N390" s="20">
        <v>2</v>
      </c>
      <c r="O390">
        <v>-1</v>
      </c>
      <c r="P390"/>
      <c r="Q390"/>
      <c r="T390" s="20">
        <v>8.3195821399999996</v>
      </c>
      <c r="U390" s="20">
        <v>8.3195821399999996</v>
      </c>
      <c r="V390" s="20">
        <v>8.2425581700000006</v>
      </c>
      <c r="W390"/>
      <c r="AO390">
        <v>12</v>
      </c>
      <c r="AP390" s="20">
        <v>248.80917443900231</v>
      </c>
      <c r="AQ390" s="20">
        <v>9.6459465588893734E-2</v>
      </c>
      <c r="AR390" s="23">
        <v>2</v>
      </c>
      <c r="AS390" s="23">
        <v>3.333333333333333</v>
      </c>
      <c r="AT390" s="23">
        <v>2.666666666666667</v>
      </c>
      <c r="AU390" s="23">
        <v>4.666666666666667</v>
      </c>
      <c r="AV390" s="23">
        <v>0.15789473684210531</v>
      </c>
      <c r="AW390" s="23">
        <v>0.26315789473684209</v>
      </c>
      <c r="AX390" s="23">
        <v>0.2105263157894737</v>
      </c>
      <c r="AY390" s="23">
        <v>0.36842105263157898</v>
      </c>
      <c r="AZ390" s="20">
        <v>2.02</v>
      </c>
      <c r="BA390" s="20">
        <v>3.44</v>
      </c>
      <c r="BB390" s="20">
        <v>1.42</v>
      </c>
      <c r="BC390" s="20">
        <v>3.0044444444444438</v>
      </c>
      <c r="BD390">
        <v>3.0044444444444438</v>
      </c>
      <c r="BE390">
        <v>6.4228342255555546</v>
      </c>
    </row>
    <row r="391" spans="1:57" x14ac:dyDescent="0.3">
      <c r="A391" t="s">
        <v>316</v>
      </c>
      <c r="B391" s="16" t="s">
        <v>951</v>
      </c>
      <c r="C391" s="12"/>
      <c r="F391">
        <v>3.6</v>
      </c>
      <c r="G391" t="s">
        <v>317</v>
      </c>
      <c r="H391" s="8">
        <v>-1</v>
      </c>
      <c r="I391">
        <v>-1</v>
      </c>
      <c r="N391" s="20">
        <v>0</v>
      </c>
      <c r="O391">
        <v>3.823</v>
      </c>
      <c r="P391">
        <v>17.215</v>
      </c>
      <c r="Q391">
        <v>2.9550000000000001</v>
      </c>
      <c r="R391" t="s">
        <v>519</v>
      </c>
      <c r="T391" s="20">
        <v>0</v>
      </c>
      <c r="U391" s="20"/>
      <c r="V391" s="20"/>
      <c r="W391"/>
      <c r="AO391">
        <v>8</v>
      </c>
      <c r="AP391" s="20">
        <v>0</v>
      </c>
      <c r="AQ391" s="20"/>
      <c r="AR391" s="23">
        <v>1.8969230769230769</v>
      </c>
      <c r="AS391" s="23">
        <v>2.4615384615384621</v>
      </c>
      <c r="AT391" s="23">
        <v>0.56307692307692314</v>
      </c>
      <c r="AU391" s="23">
        <v>0</v>
      </c>
      <c r="AV391" s="23">
        <v>0.38543294779618631</v>
      </c>
      <c r="AW391" s="23">
        <v>0.50015629884338852</v>
      </c>
      <c r="AX391" s="23">
        <v>0.1144107533604251</v>
      </c>
      <c r="AY391" s="23">
        <v>0</v>
      </c>
      <c r="AZ391" s="20">
        <v>0.79</v>
      </c>
      <c r="BA391" s="20">
        <v>3.44</v>
      </c>
      <c r="BB391" s="20">
        <v>2.65</v>
      </c>
      <c r="BC391" s="20">
        <v>2.6319230769230768</v>
      </c>
      <c r="BD391">
        <v>2.6319230769230768</v>
      </c>
      <c r="BE391">
        <v>5.8365582503752389</v>
      </c>
    </row>
    <row r="392" spans="1:57" x14ac:dyDescent="0.3">
      <c r="A392" t="s">
        <v>318</v>
      </c>
      <c r="B392" s="12" t="s">
        <v>832</v>
      </c>
      <c r="C392" s="12"/>
      <c r="F392">
        <v>3.45</v>
      </c>
      <c r="G392" t="s">
        <v>319</v>
      </c>
      <c r="H392" s="8">
        <v>-1</v>
      </c>
      <c r="I392">
        <v>-1</v>
      </c>
      <c r="N392" s="20">
        <v>0</v>
      </c>
      <c r="O392">
        <v>3.71</v>
      </c>
      <c r="P392">
        <v>3.71</v>
      </c>
      <c r="Q392">
        <v>12.2</v>
      </c>
      <c r="R392" t="s">
        <v>519</v>
      </c>
      <c r="T392" s="20">
        <v>0</v>
      </c>
      <c r="U392" s="20"/>
      <c r="V392" s="20"/>
      <c r="W392"/>
      <c r="AO392">
        <v>8</v>
      </c>
      <c r="AP392" s="20">
        <v>0</v>
      </c>
      <c r="AQ392" s="20"/>
      <c r="AR392" s="23">
        <v>1.857142857142857</v>
      </c>
      <c r="AS392" s="23">
        <v>2.285714285714286</v>
      </c>
      <c r="AT392" s="23">
        <v>0.42857142857142849</v>
      </c>
      <c r="AU392" s="23">
        <v>0</v>
      </c>
      <c r="AV392" s="23">
        <v>0.40625000000000011</v>
      </c>
      <c r="AW392" s="23">
        <v>0.5</v>
      </c>
      <c r="AX392" s="23">
        <v>9.375E-2</v>
      </c>
      <c r="AY392" s="23">
        <v>0</v>
      </c>
      <c r="AZ392" s="20">
        <v>1.1000000000000001</v>
      </c>
      <c r="BA392" s="20">
        <v>3.44</v>
      </c>
      <c r="BB392" s="20">
        <v>2.34</v>
      </c>
      <c r="BC392" s="20">
        <v>2.657142857142857</v>
      </c>
      <c r="BD392">
        <v>2.657142857142857</v>
      </c>
      <c r="BE392">
        <v>6.2648417856930001</v>
      </c>
    </row>
    <row r="393" spans="1:57" x14ac:dyDescent="0.3">
      <c r="A393" t="s">
        <v>320</v>
      </c>
      <c r="B393" s="17" t="s">
        <v>994</v>
      </c>
      <c r="C393" s="12"/>
      <c r="F393">
        <v>3.58</v>
      </c>
      <c r="G393" t="s">
        <v>319</v>
      </c>
      <c r="H393" s="8">
        <v>-1</v>
      </c>
      <c r="I393">
        <v>-1</v>
      </c>
      <c r="N393" s="20">
        <v>0</v>
      </c>
      <c r="O393">
        <v>3.77</v>
      </c>
      <c r="P393">
        <v>3.77</v>
      </c>
      <c r="Q393">
        <v>33.299999999999997</v>
      </c>
      <c r="R393" t="s">
        <v>519</v>
      </c>
      <c r="T393" s="20">
        <v>0</v>
      </c>
      <c r="U393" s="20"/>
      <c r="V393" s="20"/>
      <c r="W393"/>
      <c r="AO393">
        <v>8</v>
      </c>
      <c r="AP393" s="20">
        <v>0</v>
      </c>
      <c r="AQ393" s="20"/>
      <c r="AR393" s="23">
        <v>1.571428571428571</v>
      </c>
      <c r="AS393" s="23">
        <v>1.5</v>
      </c>
      <c r="AT393" s="23">
        <v>0.2142857142857143</v>
      </c>
      <c r="AU393" s="23">
        <v>0</v>
      </c>
      <c r="AV393" s="23">
        <v>0.47826086956521741</v>
      </c>
      <c r="AW393" s="23">
        <v>0.45652173913043481</v>
      </c>
      <c r="AX393" s="23">
        <v>6.5217391304347824E-2</v>
      </c>
      <c r="AY393" s="23">
        <v>0</v>
      </c>
      <c r="AZ393" s="20">
        <v>1.1000000000000001</v>
      </c>
      <c r="BA393" s="20">
        <v>3.44</v>
      </c>
      <c r="BB393" s="20">
        <v>2.34</v>
      </c>
      <c r="BC393" s="20">
        <v>2.5135714285714279</v>
      </c>
      <c r="BD393">
        <v>2.5135714285714279</v>
      </c>
      <c r="BE393">
        <v>6.6592671289361416</v>
      </c>
    </row>
    <row r="394" spans="1:57" x14ac:dyDescent="0.3">
      <c r="A394" t="s">
        <v>321</v>
      </c>
      <c r="B394" s="17" t="s">
        <v>995</v>
      </c>
      <c r="C394" s="12"/>
      <c r="F394">
        <v>3.48</v>
      </c>
      <c r="G394" t="s">
        <v>319</v>
      </c>
      <c r="H394" s="8">
        <v>-1</v>
      </c>
      <c r="I394">
        <v>-1</v>
      </c>
      <c r="N394" s="20">
        <v>0</v>
      </c>
      <c r="O394">
        <v>3.75</v>
      </c>
      <c r="P394">
        <v>3.75</v>
      </c>
      <c r="Q394">
        <v>37.299999999999997</v>
      </c>
      <c r="R394" t="s">
        <v>519</v>
      </c>
      <c r="T394" s="20">
        <v>0</v>
      </c>
      <c r="U394" s="20"/>
      <c r="V394" s="20"/>
      <c r="W394"/>
      <c r="AO394">
        <v>8</v>
      </c>
      <c r="AP394" s="20">
        <v>0</v>
      </c>
      <c r="AQ394" s="20"/>
      <c r="AR394" s="23">
        <v>1.529411764705882</v>
      </c>
      <c r="AS394" s="23">
        <v>1.3529411764705881</v>
      </c>
      <c r="AT394" s="23">
        <v>0.1764705882352941</v>
      </c>
      <c r="AU394" s="23">
        <v>0</v>
      </c>
      <c r="AV394" s="23">
        <v>0.5</v>
      </c>
      <c r="AW394" s="23">
        <v>0.44230769230769229</v>
      </c>
      <c r="AX394" s="23">
        <v>5.7692307692307702E-2</v>
      </c>
      <c r="AY394" s="23">
        <v>0</v>
      </c>
      <c r="AZ394" s="20">
        <v>1.1000000000000001</v>
      </c>
      <c r="BA394" s="20">
        <v>3.44</v>
      </c>
      <c r="BB394" s="20">
        <v>2.34</v>
      </c>
      <c r="BC394" s="20">
        <v>2.4788235294117649</v>
      </c>
      <c r="BD394">
        <v>2.4788235294117649</v>
      </c>
      <c r="BE394">
        <v>6.6967043065181171</v>
      </c>
    </row>
    <row r="395" spans="1:57" x14ac:dyDescent="0.3">
      <c r="A395" t="s">
        <v>322</v>
      </c>
      <c r="B395" s="17" t="s">
        <v>996</v>
      </c>
      <c r="C395" s="12"/>
      <c r="F395">
        <v>3.5</v>
      </c>
      <c r="G395" t="s">
        <v>319</v>
      </c>
      <c r="H395" s="8">
        <v>-1</v>
      </c>
      <c r="I395">
        <v>-1</v>
      </c>
      <c r="N395" s="20">
        <v>0</v>
      </c>
      <c r="O395">
        <v>3.76</v>
      </c>
      <c r="P395">
        <v>3.76</v>
      </c>
      <c r="Q395">
        <v>41.2</v>
      </c>
      <c r="R395" t="s">
        <v>519</v>
      </c>
      <c r="T395" s="20">
        <v>0</v>
      </c>
      <c r="U395" s="20"/>
      <c r="V395" s="20"/>
      <c r="W395"/>
      <c r="AO395">
        <v>8</v>
      </c>
      <c r="AP395" s="20">
        <v>0</v>
      </c>
      <c r="AQ395" s="20"/>
      <c r="AR395" s="23">
        <v>1.5</v>
      </c>
      <c r="AS395" s="23">
        <v>1.25</v>
      </c>
      <c r="AT395" s="23">
        <v>0.15</v>
      </c>
      <c r="AU395" s="23">
        <v>0</v>
      </c>
      <c r="AV395" s="23">
        <v>0.51724137931034486</v>
      </c>
      <c r="AW395" s="23">
        <v>0.43103448275862072</v>
      </c>
      <c r="AX395" s="23">
        <v>5.1724137931034482E-2</v>
      </c>
      <c r="AY395" s="23">
        <v>0</v>
      </c>
      <c r="AZ395" s="20">
        <v>1.1000000000000001</v>
      </c>
      <c r="BA395" s="20">
        <v>3.44</v>
      </c>
      <c r="BB395" s="20">
        <v>2.34</v>
      </c>
      <c r="BC395" s="20">
        <v>2.4544999999999999</v>
      </c>
      <c r="BD395">
        <v>2.4544999999999999</v>
      </c>
      <c r="BE395">
        <v>6.7229103308255</v>
      </c>
    </row>
    <row r="396" spans="1:57" x14ac:dyDescent="0.3">
      <c r="A396" t="s">
        <v>323</v>
      </c>
      <c r="B396" s="17" t="s">
        <v>997</v>
      </c>
      <c r="C396" s="12"/>
      <c r="F396">
        <v>3.61</v>
      </c>
      <c r="G396" t="s">
        <v>319</v>
      </c>
      <c r="H396" s="8">
        <v>-1</v>
      </c>
      <c r="I396">
        <v>-1</v>
      </c>
      <c r="N396" s="20">
        <v>0</v>
      </c>
      <c r="O396">
        <v>3.76</v>
      </c>
      <c r="P396">
        <v>3.76</v>
      </c>
      <c r="Q396">
        <v>47.8</v>
      </c>
      <c r="R396" t="s">
        <v>519</v>
      </c>
      <c r="T396" s="20">
        <v>0</v>
      </c>
      <c r="U396" s="20"/>
      <c r="V396" s="20"/>
      <c r="W396"/>
      <c r="AO396">
        <v>8</v>
      </c>
      <c r="AP396" s="20">
        <v>0</v>
      </c>
      <c r="AQ396" s="20"/>
      <c r="AR396" s="23">
        <v>1.4782608695652171</v>
      </c>
      <c r="AS396" s="23">
        <v>1.173913043478261</v>
      </c>
      <c r="AT396" s="23">
        <v>0.13043478260869559</v>
      </c>
      <c r="AU396" s="23">
        <v>0</v>
      </c>
      <c r="AV396" s="23">
        <v>0.53125</v>
      </c>
      <c r="AW396" s="23">
        <v>0.42187500000000011</v>
      </c>
      <c r="AX396" s="23">
        <v>4.6875E-2</v>
      </c>
      <c r="AY396" s="23">
        <v>0</v>
      </c>
      <c r="AZ396" s="20">
        <v>1.1000000000000001</v>
      </c>
      <c r="BA396" s="20">
        <v>3.44</v>
      </c>
      <c r="BB396" s="20">
        <v>2.34</v>
      </c>
      <c r="BC396" s="20">
        <v>2.436521739130435</v>
      </c>
      <c r="BD396">
        <v>2.436521739130435</v>
      </c>
      <c r="BE396">
        <v>6.7422800009657378</v>
      </c>
    </row>
    <row r="397" spans="1:57" x14ac:dyDescent="0.3">
      <c r="A397" t="s">
        <v>324</v>
      </c>
      <c r="B397" s="17" t="s">
        <v>999</v>
      </c>
      <c r="C397" s="12"/>
      <c r="F397">
        <v>3.47</v>
      </c>
      <c r="G397" t="s">
        <v>319</v>
      </c>
      <c r="H397" s="8">
        <v>-1</v>
      </c>
      <c r="I397">
        <v>-1</v>
      </c>
      <c r="N397" s="20">
        <v>0</v>
      </c>
      <c r="O397">
        <v>3.76</v>
      </c>
      <c r="P397">
        <v>3.76</v>
      </c>
      <c r="Q397">
        <v>54.9</v>
      </c>
      <c r="R397" t="s">
        <v>519</v>
      </c>
      <c r="T397" s="20">
        <v>0</v>
      </c>
      <c r="U397" s="20"/>
      <c r="V397" s="20"/>
      <c r="W397"/>
      <c r="AO397">
        <v>8</v>
      </c>
      <c r="AP397" s="20">
        <v>0</v>
      </c>
      <c r="AQ397" s="20"/>
      <c r="AR397" s="23">
        <v>1.448275862068966</v>
      </c>
      <c r="AS397" s="23">
        <v>1.068965517241379</v>
      </c>
      <c r="AT397" s="23">
        <v>0.10344827586206901</v>
      </c>
      <c r="AU397" s="23">
        <v>0</v>
      </c>
      <c r="AV397" s="23">
        <v>0.55263157894736847</v>
      </c>
      <c r="AW397" s="23">
        <v>0.40789473684210531</v>
      </c>
      <c r="AX397" s="23">
        <v>3.9473684210526307E-2</v>
      </c>
      <c r="AY397" s="23">
        <v>0</v>
      </c>
      <c r="AZ397" s="20">
        <v>1.1000000000000001</v>
      </c>
      <c r="BA397" s="20">
        <v>3.44</v>
      </c>
      <c r="BB397" s="20">
        <v>2.34</v>
      </c>
      <c r="BC397" s="20">
        <v>2.411724137931035</v>
      </c>
      <c r="BD397">
        <v>2.4117241379310341</v>
      </c>
      <c r="BE397">
        <v>6.7689967873660688</v>
      </c>
    </row>
    <row r="398" spans="1:57" x14ac:dyDescent="0.3">
      <c r="A398" t="s">
        <v>325</v>
      </c>
      <c r="B398" s="17" t="s">
        <v>998</v>
      </c>
      <c r="C398" s="12"/>
      <c r="F398">
        <v>3.49</v>
      </c>
      <c r="G398" t="s">
        <v>319</v>
      </c>
      <c r="H398" s="8">
        <v>-1</v>
      </c>
      <c r="I398">
        <v>-1</v>
      </c>
      <c r="N398" s="20">
        <v>0</v>
      </c>
      <c r="O398">
        <v>3.78</v>
      </c>
      <c r="P398">
        <v>3.78</v>
      </c>
      <c r="Q398">
        <v>66.3</v>
      </c>
      <c r="R398" t="s">
        <v>519</v>
      </c>
      <c r="T398" s="20">
        <v>0</v>
      </c>
      <c r="U398" s="20"/>
      <c r="V398" s="20"/>
      <c r="W398"/>
      <c r="AO398">
        <v>8</v>
      </c>
      <c r="AP398" s="20">
        <v>0</v>
      </c>
      <c r="AQ398" s="20"/>
      <c r="AR398" s="23">
        <v>1.428571428571429</v>
      </c>
      <c r="AS398" s="23">
        <v>1</v>
      </c>
      <c r="AT398" s="23">
        <v>8.5714285714285715E-2</v>
      </c>
      <c r="AU398" s="23">
        <v>0</v>
      </c>
      <c r="AV398" s="23">
        <v>0.56818181818181823</v>
      </c>
      <c r="AW398" s="23">
        <v>0.39772727272727282</v>
      </c>
      <c r="AX398" s="23">
        <v>3.4090909090909102E-2</v>
      </c>
      <c r="AY398" s="23">
        <v>0</v>
      </c>
      <c r="AZ398" s="20">
        <v>1.1000000000000001</v>
      </c>
      <c r="BA398" s="20">
        <v>3.44</v>
      </c>
      <c r="BB398" s="20">
        <v>2.34</v>
      </c>
      <c r="BC398" s="20">
        <v>2.3954285714285719</v>
      </c>
      <c r="BD398">
        <v>2.395428571428571</v>
      </c>
      <c r="BE398">
        <v>6.7865535327148558</v>
      </c>
    </row>
    <row r="399" spans="1:57" x14ac:dyDescent="0.3">
      <c r="A399" t="s">
        <v>326</v>
      </c>
      <c r="B399" s="17" t="s">
        <v>1005</v>
      </c>
      <c r="C399" s="12"/>
      <c r="F399">
        <v>3.47</v>
      </c>
      <c r="G399" t="s">
        <v>319</v>
      </c>
      <c r="H399" s="8">
        <v>-1</v>
      </c>
      <c r="I399">
        <v>-1</v>
      </c>
      <c r="N399" s="20">
        <v>0</v>
      </c>
      <c r="O399">
        <v>3.72</v>
      </c>
      <c r="P399">
        <v>3.72</v>
      </c>
      <c r="Q399">
        <v>32.299999999999997</v>
      </c>
      <c r="R399" t="s">
        <v>519</v>
      </c>
      <c r="T399" s="20">
        <v>0</v>
      </c>
      <c r="U399" s="20"/>
      <c r="V399" s="20"/>
      <c r="W399"/>
      <c r="AO399">
        <v>10</v>
      </c>
      <c r="AP399" s="20">
        <v>0</v>
      </c>
      <c r="AQ399" s="20"/>
      <c r="AR399" s="23">
        <v>1.615384615384615</v>
      </c>
      <c r="AS399" s="23">
        <v>1.6923076923076921</v>
      </c>
      <c r="AT399" s="23">
        <v>0.23076923076923081</v>
      </c>
      <c r="AU399" s="23">
        <v>0</v>
      </c>
      <c r="AV399" s="23">
        <v>0.45652173913043481</v>
      </c>
      <c r="AW399" s="23">
        <v>0.47826086956521741</v>
      </c>
      <c r="AX399" s="23">
        <v>6.5217391304347838E-2</v>
      </c>
      <c r="AY399" s="23">
        <v>0</v>
      </c>
      <c r="AZ399" s="20">
        <v>1.1000000000000001</v>
      </c>
      <c r="BA399" s="20">
        <v>3.44</v>
      </c>
      <c r="BB399" s="20">
        <v>2.34</v>
      </c>
      <c r="BC399" s="20">
        <v>2.568461538461539</v>
      </c>
      <c r="BD399">
        <v>2.568461538461539</v>
      </c>
      <c r="BE399">
        <v>6.6431337427119228</v>
      </c>
    </row>
    <row r="400" spans="1:57" x14ac:dyDescent="0.3">
      <c r="A400" t="s">
        <v>327</v>
      </c>
      <c r="B400" s="17" t="s">
        <v>1004</v>
      </c>
      <c r="C400" s="12"/>
      <c r="F400">
        <v>3.47</v>
      </c>
      <c r="G400" t="s">
        <v>319</v>
      </c>
      <c r="H400" s="8">
        <v>-1</v>
      </c>
      <c r="I400">
        <v>-1</v>
      </c>
      <c r="N400" s="20">
        <v>0</v>
      </c>
      <c r="O400">
        <v>3.72</v>
      </c>
      <c r="P400">
        <v>3.72</v>
      </c>
      <c r="Q400">
        <v>36.6</v>
      </c>
      <c r="R400" t="s">
        <v>519</v>
      </c>
      <c r="T400" s="20">
        <v>0</v>
      </c>
      <c r="W400"/>
      <c r="AO400">
        <v>10</v>
      </c>
      <c r="AP400" s="20">
        <v>0</v>
      </c>
      <c r="AR400" s="23">
        <v>1.5625</v>
      </c>
      <c r="AS400" s="23">
        <v>1.5</v>
      </c>
      <c r="AT400" s="23">
        <v>0.1875</v>
      </c>
      <c r="AU400" s="23">
        <v>0</v>
      </c>
      <c r="AV400" s="23">
        <v>0.48076923076923078</v>
      </c>
      <c r="AW400" s="23">
        <v>0.46153846153846162</v>
      </c>
      <c r="AX400" s="23">
        <v>5.7692307692307702E-2</v>
      </c>
      <c r="AY400" s="23">
        <v>0</v>
      </c>
      <c r="AZ400" s="20">
        <v>1.1000000000000001</v>
      </c>
      <c r="BA400" s="20">
        <v>3.44</v>
      </c>
      <c r="BB400" s="20">
        <v>2.34</v>
      </c>
      <c r="BC400" s="20">
        <v>2.5212500000000002</v>
      </c>
      <c r="BD400">
        <v>2.5212500000000002</v>
      </c>
      <c r="BE400">
        <v>6.6859357538098134</v>
      </c>
    </row>
    <row r="401" spans="1:57" x14ac:dyDescent="0.3">
      <c r="A401" t="s">
        <v>328</v>
      </c>
      <c r="B401" s="17" t="s">
        <v>1003</v>
      </c>
      <c r="C401" s="12"/>
      <c r="F401">
        <v>3.45</v>
      </c>
      <c r="G401" t="s">
        <v>319</v>
      </c>
      <c r="H401" s="8">
        <v>-1</v>
      </c>
      <c r="I401">
        <v>-1</v>
      </c>
      <c r="N401" s="20">
        <v>0</v>
      </c>
      <c r="O401">
        <v>3.73</v>
      </c>
      <c r="P401">
        <v>3.73</v>
      </c>
      <c r="Q401">
        <v>41.6</v>
      </c>
      <c r="R401" t="s">
        <v>519</v>
      </c>
      <c r="T401" s="20">
        <v>0</v>
      </c>
      <c r="W401"/>
      <c r="AO401">
        <v>10</v>
      </c>
      <c r="AP401" s="20">
        <v>0</v>
      </c>
      <c r="AR401" s="23">
        <v>1.5263157894736841</v>
      </c>
      <c r="AS401" s="23">
        <v>1.368421052631579</v>
      </c>
      <c r="AT401" s="23">
        <v>0.15789473684210531</v>
      </c>
      <c r="AU401" s="23">
        <v>0</v>
      </c>
      <c r="AV401" s="23">
        <v>0.5</v>
      </c>
      <c r="AW401" s="23">
        <v>0.44827586206896552</v>
      </c>
      <c r="AX401" s="23">
        <v>5.1724137931034482E-2</v>
      </c>
      <c r="AY401" s="23">
        <v>0</v>
      </c>
      <c r="AZ401" s="20">
        <v>1.1000000000000001</v>
      </c>
      <c r="BA401" s="20">
        <v>3.44</v>
      </c>
      <c r="BB401" s="20">
        <v>2.34</v>
      </c>
      <c r="BC401" s="20">
        <v>2.4889473684210528</v>
      </c>
      <c r="BD401">
        <v>2.4889473684210528</v>
      </c>
      <c r="BE401">
        <v>6.7152213403504719</v>
      </c>
    </row>
    <row r="402" spans="1:57" x14ac:dyDescent="0.3">
      <c r="A402" t="s">
        <v>329</v>
      </c>
      <c r="B402" s="17" t="s">
        <v>1002</v>
      </c>
      <c r="C402" s="12"/>
      <c r="F402">
        <v>3.45</v>
      </c>
      <c r="G402" t="s">
        <v>319</v>
      </c>
      <c r="H402" s="8">
        <v>-1</v>
      </c>
      <c r="I402">
        <v>-1</v>
      </c>
      <c r="N402" s="20">
        <v>0</v>
      </c>
      <c r="O402">
        <v>3.73</v>
      </c>
      <c r="P402">
        <v>3.73</v>
      </c>
      <c r="Q402">
        <v>45.6</v>
      </c>
      <c r="R402" t="s">
        <v>519</v>
      </c>
      <c r="T402" s="20">
        <v>0</v>
      </c>
      <c r="W402"/>
      <c r="AO402">
        <v>10</v>
      </c>
      <c r="AP402" s="20">
        <v>0</v>
      </c>
      <c r="AR402" s="23">
        <v>1.5</v>
      </c>
      <c r="AS402" s="23">
        <v>1.2727272727272729</v>
      </c>
      <c r="AT402" s="23">
        <v>0.13636363636363641</v>
      </c>
      <c r="AU402" s="23">
        <v>0</v>
      </c>
      <c r="AV402" s="23">
        <v>0.515625</v>
      </c>
      <c r="AW402" s="23">
        <v>0.4375</v>
      </c>
      <c r="AX402" s="23">
        <v>4.6874999999999993E-2</v>
      </c>
      <c r="AY402" s="23">
        <v>0</v>
      </c>
      <c r="AZ402" s="20">
        <v>1.1000000000000001</v>
      </c>
      <c r="BA402" s="20">
        <v>3.44</v>
      </c>
      <c r="BB402" s="20">
        <v>2.34</v>
      </c>
      <c r="BC402" s="20">
        <v>2.4654545454545449</v>
      </c>
      <c r="BD402">
        <v>2.4654545454545449</v>
      </c>
      <c r="BE402">
        <v>6.7365199487436813</v>
      </c>
    </row>
    <row r="403" spans="1:57" x14ac:dyDescent="0.3">
      <c r="A403" t="s">
        <v>330</v>
      </c>
      <c r="B403" s="17" t="s">
        <v>1001</v>
      </c>
      <c r="C403" s="12"/>
      <c r="F403">
        <v>3.46</v>
      </c>
      <c r="G403" t="s">
        <v>319</v>
      </c>
      <c r="H403" s="8">
        <v>-1</v>
      </c>
      <c r="I403">
        <v>-1</v>
      </c>
      <c r="N403" s="20">
        <v>0</v>
      </c>
      <c r="O403">
        <v>3.74</v>
      </c>
      <c r="P403">
        <v>3.74</v>
      </c>
      <c r="Q403">
        <v>55.4</v>
      </c>
      <c r="R403" t="s">
        <v>519</v>
      </c>
      <c r="T403" s="20">
        <v>0</v>
      </c>
      <c r="W403"/>
      <c r="AO403">
        <v>10</v>
      </c>
      <c r="AP403" s="20">
        <v>0</v>
      </c>
      <c r="AR403" s="23">
        <v>1.464285714285714</v>
      </c>
      <c r="AS403" s="23">
        <v>1.142857142857143</v>
      </c>
      <c r="AT403" s="23">
        <v>0.1071428571428571</v>
      </c>
      <c r="AU403" s="23">
        <v>0</v>
      </c>
      <c r="AV403" s="23">
        <v>0.53947368421052622</v>
      </c>
      <c r="AW403" s="23">
        <v>0.42105263157894729</v>
      </c>
      <c r="AX403" s="23">
        <v>3.9473684210526307E-2</v>
      </c>
      <c r="AY403" s="23">
        <v>0</v>
      </c>
      <c r="AZ403" s="20">
        <v>1.1000000000000001</v>
      </c>
      <c r="BA403" s="20">
        <v>3.44</v>
      </c>
      <c r="BB403" s="20">
        <v>2.34</v>
      </c>
      <c r="BC403" s="20">
        <v>2.4335714285714292</v>
      </c>
      <c r="BD403">
        <v>2.4335714285714292</v>
      </c>
      <c r="BE403">
        <v>6.7654252029916062</v>
      </c>
    </row>
    <row r="404" spans="1:57" x14ac:dyDescent="0.3">
      <c r="A404" t="s">
        <v>331</v>
      </c>
      <c r="B404" s="17" t="s">
        <v>1000</v>
      </c>
      <c r="C404" s="12"/>
      <c r="F404">
        <v>3.46</v>
      </c>
      <c r="G404" t="s">
        <v>319</v>
      </c>
      <c r="H404" s="8">
        <v>-1</v>
      </c>
      <c r="I404">
        <v>-1</v>
      </c>
      <c r="N404" s="20">
        <v>0</v>
      </c>
      <c r="O404">
        <v>3.73</v>
      </c>
      <c r="P404">
        <v>3.73</v>
      </c>
      <c r="Q404">
        <v>56.8</v>
      </c>
      <c r="R404" t="s">
        <v>519</v>
      </c>
      <c r="T404" s="20">
        <v>0</v>
      </c>
      <c r="W404"/>
      <c r="AO404">
        <v>10</v>
      </c>
      <c r="AP404" s="20">
        <v>0</v>
      </c>
      <c r="AR404" s="23">
        <v>1.4411764705882351</v>
      </c>
      <c r="AS404" s="23">
        <v>1.0588235294117649</v>
      </c>
      <c r="AT404" s="23">
        <v>8.8235294117647065E-2</v>
      </c>
      <c r="AU404" s="23">
        <v>0</v>
      </c>
      <c r="AV404" s="23">
        <v>0.55681818181818177</v>
      </c>
      <c r="AW404" s="23">
        <v>0.40909090909090912</v>
      </c>
      <c r="AX404" s="23">
        <v>3.4090909090909088E-2</v>
      </c>
      <c r="AY404" s="23">
        <v>0</v>
      </c>
      <c r="AZ404" s="20">
        <v>1.1000000000000001</v>
      </c>
      <c r="BA404" s="20">
        <v>3.44</v>
      </c>
      <c r="BB404" s="20">
        <v>2.34</v>
      </c>
      <c r="BC404" s="20">
        <v>2.4129411764705879</v>
      </c>
      <c r="BD404">
        <v>2.4129411764705888</v>
      </c>
      <c r="BE404">
        <v>6.7841286027990879</v>
      </c>
    </row>
    <row r="405" spans="1:57" x14ac:dyDescent="0.3">
      <c r="A405" t="s">
        <v>332</v>
      </c>
      <c r="B405" s="17" t="s">
        <v>833</v>
      </c>
      <c r="C405" s="12"/>
      <c r="F405">
        <v>3.48</v>
      </c>
      <c r="G405" t="s">
        <v>319</v>
      </c>
      <c r="H405" s="8">
        <v>-1</v>
      </c>
      <c r="I405">
        <v>-1</v>
      </c>
      <c r="N405" s="20">
        <v>0</v>
      </c>
      <c r="O405">
        <v>3.68</v>
      </c>
      <c r="P405">
        <v>3.68</v>
      </c>
      <c r="Q405">
        <v>12.1</v>
      </c>
      <c r="R405" t="s">
        <v>519</v>
      </c>
      <c r="T405" s="20">
        <v>0</v>
      </c>
      <c r="W405"/>
      <c r="AO405">
        <v>8</v>
      </c>
      <c r="AP405" s="20">
        <v>0</v>
      </c>
      <c r="AR405" s="23">
        <v>1.857142857142857</v>
      </c>
      <c r="AS405" s="23">
        <v>2.285714285714286</v>
      </c>
      <c r="AT405" s="23">
        <v>0.2857142857142857</v>
      </c>
      <c r="AU405" s="23">
        <v>0.5714285714285714</v>
      </c>
      <c r="AV405" s="23">
        <v>0.37142857142857139</v>
      </c>
      <c r="AW405" s="23">
        <v>0.45714285714285707</v>
      </c>
      <c r="AX405" s="23">
        <v>5.7142857142857141E-2</v>
      </c>
      <c r="AY405" s="23">
        <v>0.1142857142857143</v>
      </c>
      <c r="AZ405" s="20">
        <v>1.1399999999999999</v>
      </c>
      <c r="BA405" s="20">
        <v>3.44</v>
      </c>
      <c r="BB405" s="20">
        <v>2.2999999999999998</v>
      </c>
      <c r="BC405" s="20">
        <v>2.6628571428571428</v>
      </c>
      <c r="BD405">
        <v>2.6628571428571428</v>
      </c>
      <c r="BE405">
        <v>6.2282737214072856</v>
      </c>
    </row>
    <row r="406" spans="1:57" x14ac:dyDescent="0.3">
      <c r="A406" t="s">
        <v>333</v>
      </c>
      <c r="B406" s="17" t="s">
        <v>1006</v>
      </c>
      <c r="C406" s="12"/>
      <c r="F406">
        <v>3.41</v>
      </c>
      <c r="G406" t="s">
        <v>319</v>
      </c>
      <c r="H406" s="8">
        <v>-1</v>
      </c>
      <c r="I406">
        <v>-1</v>
      </c>
      <c r="N406" s="20">
        <v>0</v>
      </c>
      <c r="O406">
        <v>3.74</v>
      </c>
      <c r="P406">
        <v>3.74</v>
      </c>
      <c r="Q406">
        <v>33.1</v>
      </c>
      <c r="R406" t="s">
        <v>519</v>
      </c>
      <c r="T406" s="20">
        <v>0</v>
      </c>
      <c r="W406"/>
      <c r="AO406">
        <v>8</v>
      </c>
      <c r="AP406" s="20">
        <v>0</v>
      </c>
      <c r="AR406" s="23">
        <v>1.571428571428571</v>
      </c>
      <c r="AS406" s="23">
        <v>1.5</v>
      </c>
      <c r="AT406" s="23">
        <v>0.14285714285714279</v>
      </c>
      <c r="AU406" s="23">
        <v>0.2857142857142857</v>
      </c>
      <c r="AV406" s="23">
        <v>0.44897959183673469</v>
      </c>
      <c r="AW406" s="23">
        <v>0.42857142857142849</v>
      </c>
      <c r="AX406" s="23">
        <v>4.0816326530612242E-2</v>
      </c>
      <c r="AY406" s="23">
        <v>8.1632653061224483E-2</v>
      </c>
      <c r="AZ406" s="20">
        <v>1.1399999999999999</v>
      </c>
      <c r="BA406" s="20">
        <v>3.44</v>
      </c>
      <c r="BB406" s="20">
        <v>2.2999999999999998</v>
      </c>
      <c r="BC406" s="20">
        <v>2.516428571428571</v>
      </c>
      <c r="BD406">
        <v>2.516428571428571</v>
      </c>
      <c r="BE406">
        <v>6.6409830967932857</v>
      </c>
    </row>
    <row r="407" spans="1:57" x14ac:dyDescent="0.3">
      <c r="A407" t="s">
        <v>334</v>
      </c>
      <c r="B407" s="17" t="s">
        <v>1007</v>
      </c>
      <c r="C407" s="12"/>
      <c r="F407">
        <v>3.5</v>
      </c>
      <c r="G407" t="s">
        <v>319</v>
      </c>
      <c r="H407" s="8">
        <v>-1</v>
      </c>
      <c r="I407">
        <v>-1</v>
      </c>
      <c r="N407" s="20">
        <v>0</v>
      </c>
      <c r="O407">
        <v>3.74</v>
      </c>
      <c r="P407">
        <v>3.74</v>
      </c>
      <c r="Q407">
        <v>37.6</v>
      </c>
      <c r="R407" t="s">
        <v>519</v>
      </c>
      <c r="T407" s="20">
        <v>0</v>
      </c>
      <c r="W407"/>
      <c r="AO407">
        <v>8</v>
      </c>
      <c r="AP407" s="20">
        <v>0</v>
      </c>
      <c r="AR407" s="23">
        <v>1.529411764705882</v>
      </c>
      <c r="AS407" s="23">
        <v>1.3529411764705881</v>
      </c>
      <c r="AT407" s="23">
        <v>0.1176470588235294</v>
      </c>
      <c r="AU407" s="23">
        <v>0.23529411764705879</v>
      </c>
      <c r="AV407" s="23">
        <v>0.47272727272727272</v>
      </c>
      <c r="AW407" s="23">
        <v>0.41818181818181821</v>
      </c>
      <c r="AX407" s="23">
        <v>3.6363636363636362E-2</v>
      </c>
      <c r="AY407" s="23">
        <v>7.2727272727272724E-2</v>
      </c>
      <c r="AZ407" s="20">
        <v>1.1399999999999999</v>
      </c>
      <c r="BA407" s="20">
        <v>3.44</v>
      </c>
      <c r="BB407" s="20">
        <v>2.2999999999999998</v>
      </c>
      <c r="BC407" s="20">
        <v>2.4811764705882351</v>
      </c>
      <c r="BD407">
        <v>2.481176470588236</v>
      </c>
      <c r="BE407">
        <v>6.6816468682828232</v>
      </c>
    </row>
    <row r="408" spans="1:57" x14ac:dyDescent="0.3">
      <c r="A408" t="s">
        <v>335</v>
      </c>
      <c r="B408" s="17" t="s">
        <v>1008</v>
      </c>
      <c r="C408" s="12"/>
      <c r="F408">
        <v>3.43</v>
      </c>
      <c r="G408" t="s">
        <v>319</v>
      </c>
      <c r="H408" s="8">
        <v>-1</v>
      </c>
      <c r="I408">
        <v>-1</v>
      </c>
      <c r="N408" s="20">
        <v>0</v>
      </c>
      <c r="O408">
        <v>3.74</v>
      </c>
      <c r="P408">
        <v>3.74</v>
      </c>
      <c r="Q408">
        <v>40.4</v>
      </c>
      <c r="R408" t="s">
        <v>519</v>
      </c>
      <c r="T408" s="20">
        <v>0</v>
      </c>
      <c r="W408"/>
      <c r="AO408">
        <v>8</v>
      </c>
      <c r="AP408" s="20">
        <v>0</v>
      </c>
      <c r="AR408" s="23">
        <v>1.5</v>
      </c>
      <c r="AS408" s="23">
        <v>1.25</v>
      </c>
      <c r="AT408" s="23">
        <v>0.1</v>
      </c>
      <c r="AU408" s="23">
        <v>0.2</v>
      </c>
      <c r="AV408" s="23">
        <v>0.49180327868852458</v>
      </c>
      <c r="AW408" s="23">
        <v>0.4098360655737705</v>
      </c>
      <c r="AX408" s="23">
        <v>3.2786885245901641E-2</v>
      </c>
      <c r="AY408" s="23">
        <v>6.5573770491803282E-2</v>
      </c>
      <c r="AZ408" s="20">
        <v>1.1399999999999999</v>
      </c>
      <c r="BA408" s="20">
        <v>3.44</v>
      </c>
      <c r="BB408" s="20">
        <v>2.2999999999999998</v>
      </c>
      <c r="BC408" s="20">
        <v>2.4565000000000001</v>
      </c>
      <c r="BD408">
        <v>2.4565000000000001</v>
      </c>
      <c r="BE408">
        <v>6.7101115083254994</v>
      </c>
    </row>
    <row r="409" spans="1:57" x14ac:dyDescent="0.3">
      <c r="A409" t="s">
        <v>336</v>
      </c>
      <c r="B409" s="17" t="s">
        <v>1009</v>
      </c>
      <c r="C409" s="12"/>
      <c r="F409">
        <v>3.5</v>
      </c>
      <c r="G409" t="s">
        <v>319</v>
      </c>
      <c r="H409" s="8">
        <v>-1</v>
      </c>
      <c r="I409">
        <v>-1</v>
      </c>
      <c r="N409" s="20">
        <v>0</v>
      </c>
      <c r="O409">
        <v>3.74</v>
      </c>
      <c r="P409">
        <v>3.74</v>
      </c>
      <c r="Q409">
        <v>47.7</v>
      </c>
      <c r="R409" t="s">
        <v>519</v>
      </c>
      <c r="T409" s="20">
        <v>0</v>
      </c>
      <c r="W409"/>
      <c r="AO409">
        <v>8</v>
      </c>
      <c r="AP409" s="20">
        <v>0</v>
      </c>
      <c r="AR409" s="23">
        <v>1.4782608695652171</v>
      </c>
      <c r="AS409" s="23">
        <v>1.173913043478261</v>
      </c>
      <c r="AT409" s="23">
        <v>8.6956521739130432E-2</v>
      </c>
      <c r="AU409" s="23">
        <v>0.17391304347826089</v>
      </c>
      <c r="AV409" s="23">
        <v>0.50746268656716409</v>
      </c>
      <c r="AW409" s="23">
        <v>0.40298507462686572</v>
      </c>
      <c r="AX409" s="23">
        <v>2.9850746268656719E-2</v>
      </c>
      <c r="AY409" s="23">
        <v>5.9701492537313432E-2</v>
      </c>
      <c r="AZ409" s="20">
        <v>1.1399999999999999</v>
      </c>
      <c r="BA409" s="20">
        <v>3.44</v>
      </c>
      <c r="BB409" s="20">
        <v>2.2999999999999998</v>
      </c>
      <c r="BC409" s="20">
        <v>2.4382608695652168</v>
      </c>
      <c r="BD409">
        <v>2.4382608695652168</v>
      </c>
      <c r="BE409">
        <v>6.7311505900961732</v>
      </c>
    </row>
    <row r="410" spans="1:57" x14ac:dyDescent="0.3">
      <c r="A410" t="s">
        <v>337</v>
      </c>
      <c r="B410" s="17" t="s">
        <v>1010</v>
      </c>
      <c r="C410" s="12"/>
      <c r="F410">
        <v>3.42</v>
      </c>
      <c r="G410" t="s">
        <v>319</v>
      </c>
      <c r="H410" s="8">
        <v>-1</v>
      </c>
      <c r="I410">
        <v>-1</v>
      </c>
      <c r="N410" s="20">
        <v>0</v>
      </c>
      <c r="O410">
        <v>3.72</v>
      </c>
      <c r="P410">
        <v>3.72</v>
      </c>
      <c r="Q410">
        <v>54</v>
      </c>
      <c r="R410" t="s">
        <v>519</v>
      </c>
      <c r="T410" s="20">
        <v>0</v>
      </c>
      <c r="W410"/>
      <c r="AO410">
        <v>8</v>
      </c>
      <c r="AP410" s="20">
        <v>0</v>
      </c>
      <c r="AR410" s="23">
        <v>1.448275862068966</v>
      </c>
      <c r="AS410" s="23">
        <v>1.068965517241379</v>
      </c>
      <c r="AT410" s="23">
        <v>6.8965517241379309E-2</v>
      </c>
      <c r="AU410" s="23">
        <v>0.13793103448275859</v>
      </c>
      <c r="AV410" s="23">
        <v>0.53164556962025322</v>
      </c>
      <c r="AW410" s="23">
        <v>0.39240506329113922</v>
      </c>
      <c r="AX410" s="23">
        <v>2.5316455696202531E-2</v>
      </c>
      <c r="AY410" s="23">
        <v>5.0632911392405063E-2</v>
      </c>
      <c r="AZ410" s="20">
        <v>1.1399999999999999</v>
      </c>
      <c r="BA410" s="20">
        <v>3.44</v>
      </c>
      <c r="BB410" s="20">
        <v>2.2999999999999998</v>
      </c>
      <c r="BC410" s="20">
        <v>2.4131034482758622</v>
      </c>
      <c r="BD410">
        <v>2.4131034482758622</v>
      </c>
      <c r="BE410">
        <v>6.7601700132281373</v>
      </c>
    </row>
    <row r="411" spans="1:57" x14ac:dyDescent="0.3">
      <c r="A411" t="s">
        <v>338</v>
      </c>
      <c r="B411" s="17" t="s">
        <v>1011</v>
      </c>
      <c r="C411" s="12"/>
      <c r="F411">
        <v>3.45</v>
      </c>
      <c r="G411" t="s">
        <v>319</v>
      </c>
      <c r="H411" s="8">
        <v>-1</v>
      </c>
      <c r="I411">
        <v>-1</v>
      </c>
      <c r="N411" s="20">
        <v>0</v>
      </c>
      <c r="O411">
        <v>3.81</v>
      </c>
      <c r="P411">
        <v>3.81</v>
      </c>
      <c r="Q411">
        <v>65.400000000000006</v>
      </c>
      <c r="R411" t="s">
        <v>519</v>
      </c>
      <c r="T411" s="20">
        <v>0</v>
      </c>
      <c r="W411"/>
      <c r="AO411">
        <v>8</v>
      </c>
      <c r="AP411" s="20">
        <v>0</v>
      </c>
      <c r="AR411" s="23">
        <v>1.428571428571429</v>
      </c>
      <c r="AS411" s="23">
        <v>1</v>
      </c>
      <c r="AT411" s="23">
        <v>5.7142857142857141E-2</v>
      </c>
      <c r="AU411" s="23">
        <v>0.1142857142857143</v>
      </c>
      <c r="AV411" s="23">
        <v>0.5494505494505495</v>
      </c>
      <c r="AW411" s="23">
        <v>0.38461538461538458</v>
      </c>
      <c r="AX411" s="23">
        <v>2.197802197802198E-2</v>
      </c>
      <c r="AY411" s="23">
        <v>4.3956043956043953E-2</v>
      </c>
      <c r="AZ411" s="20">
        <v>1.1399999999999999</v>
      </c>
      <c r="BA411" s="20">
        <v>3.44</v>
      </c>
      <c r="BB411" s="20">
        <v>2.2999999999999998</v>
      </c>
      <c r="BC411" s="20">
        <v>2.3965714285714288</v>
      </c>
      <c r="BD411">
        <v>2.3965714285714279</v>
      </c>
      <c r="BE411">
        <v>6.7792399198577131</v>
      </c>
    </row>
    <row r="412" spans="1:57" x14ac:dyDescent="0.3">
      <c r="A412" t="s">
        <v>339</v>
      </c>
      <c r="B412" s="17" t="s">
        <v>1012</v>
      </c>
      <c r="C412" s="12"/>
      <c r="F412">
        <v>3.42</v>
      </c>
      <c r="G412" t="s">
        <v>319</v>
      </c>
      <c r="H412" s="8">
        <v>-1</v>
      </c>
      <c r="I412">
        <v>-1</v>
      </c>
      <c r="N412" s="20">
        <v>0</v>
      </c>
      <c r="O412">
        <v>3.71</v>
      </c>
      <c r="P412">
        <v>3.71</v>
      </c>
      <c r="Q412">
        <v>32</v>
      </c>
      <c r="R412" t="s">
        <v>519</v>
      </c>
      <c r="T412" s="20">
        <v>0</v>
      </c>
      <c r="W412"/>
      <c r="AO412">
        <v>10</v>
      </c>
      <c r="AP412" s="20">
        <v>0</v>
      </c>
      <c r="AR412" s="23">
        <v>1.615384615384615</v>
      </c>
      <c r="AS412" s="23">
        <v>1.6923076923076921</v>
      </c>
      <c r="AT412" s="23">
        <v>0.15384615384615391</v>
      </c>
      <c r="AU412" s="23">
        <v>0.30769230769230771</v>
      </c>
      <c r="AV412" s="23">
        <v>0.4285714285714286</v>
      </c>
      <c r="AW412" s="23">
        <v>0.44897959183673469</v>
      </c>
      <c r="AX412" s="23">
        <v>4.0816326530612249E-2</v>
      </c>
      <c r="AY412" s="23">
        <v>8.1632653061224497E-2</v>
      </c>
      <c r="AZ412" s="20">
        <v>1.1399999999999999</v>
      </c>
      <c r="BA412" s="20">
        <v>3.44</v>
      </c>
      <c r="BB412" s="20">
        <v>2.2999999999999998</v>
      </c>
      <c r="BC412" s="20">
        <v>2.571538461538462</v>
      </c>
      <c r="BD412">
        <v>2.571538461538462</v>
      </c>
      <c r="BE412">
        <v>6.623443246558077</v>
      </c>
    </row>
    <row r="413" spans="1:57" x14ac:dyDescent="0.3">
      <c r="A413" t="s">
        <v>340</v>
      </c>
      <c r="B413" s="17" t="s">
        <v>1013</v>
      </c>
      <c r="C413" s="12"/>
      <c r="F413">
        <v>3.39</v>
      </c>
      <c r="G413" t="s">
        <v>319</v>
      </c>
      <c r="H413" s="8">
        <v>-1</v>
      </c>
      <c r="I413">
        <v>-1</v>
      </c>
      <c r="N413" s="20">
        <v>0</v>
      </c>
      <c r="O413">
        <v>3.7</v>
      </c>
      <c r="P413">
        <v>3.7</v>
      </c>
      <c r="Q413">
        <v>36.4</v>
      </c>
      <c r="R413" t="s">
        <v>519</v>
      </c>
      <c r="T413" s="20">
        <v>0</v>
      </c>
      <c r="W413"/>
      <c r="AO413">
        <v>10</v>
      </c>
      <c r="AP413" s="20">
        <v>0</v>
      </c>
      <c r="AR413" s="23">
        <v>1.5625</v>
      </c>
      <c r="AS413" s="23">
        <v>1.5</v>
      </c>
      <c r="AT413" s="23">
        <v>0.125</v>
      </c>
      <c r="AU413" s="23">
        <v>0.25</v>
      </c>
      <c r="AV413" s="23">
        <v>0.45454545454545447</v>
      </c>
      <c r="AW413" s="23">
        <v>0.43636363636363629</v>
      </c>
      <c r="AX413" s="23">
        <v>3.6363636363636362E-2</v>
      </c>
      <c r="AY413" s="23">
        <v>7.2727272727272724E-2</v>
      </c>
      <c r="AZ413" s="20">
        <v>1.1399999999999999</v>
      </c>
      <c r="BA413" s="20">
        <v>3.44</v>
      </c>
      <c r="BB413" s="20">
        <v>2.2999999999999998</v>
      </c>
      <c r="BC413" s="20">
        <v>2.5237500000000002</v>
      </c>
      <c r="BD413">
        <v>2.5237500000000002</v>
      </c>
      <c r="BE413">
        <v>6.6699372256848122</v>
      </c>
    </row>
    <row r="414" spans="1:57" x14ac:dyDescent="0.3">
      <c r="A414" t="s">
        <v>341</v>
      </c>
      <c r="B414" s="17" t="s">
        <v>1014</v>
      </c>
      <c r="C414" s="12"/>
      <c r="F414">
        <v>3.45</v>
      </c>
      <c r="G414" t="s">
        <v>319</v>
      </c>
      <c r="H414" s="8">
        <v>-1</v>
      </c>
      <c r="I414">
        <v>-1</v>
      </c>
      <c r="N414" s="20">
        <v>0</v>
      </c>
      <c r="O414">
        <v>3.72</v>
      </c>
      <c r="P414">
        <v>3.72</v>
      </c>
      <c r="Q414">
        <v>41.1</v>
      </c>
      <c r="R414" t="s">
        <v>519</v>
      </c>
      <c r="T414" s="20">
        <v>0</v>
      </c>
      <c r="W414"/>
      <c r="AO414">
        <v>10</v>
      </c>
      <c r="AP414" s="20">
        <v>0</v>
      </c>
      <c r="AR414" s="23">
        <v>1.5263157894736841</v>
      </c>
      <c r="AS414" s="23">
        <v>1.368421052631579</v>
      </c>
      <c r="AT414" s="23">
        <v>0.10526315789473679</v>
      </c>
      <c r="AU414" s="23">
        <v>0.2105263157894737</v>
      </c>
      <c r="AV414" s="23">
        <v>0.47540983606557369</v>
      </c>
      <c r="AW414" s="23">
        <v>0.42622950819672129</v>
      </c>
      <c r="AX414" s="23">
        <v>3.2786885245901627E-2</v>
      </c>
      <c r="AY414" s="23">
        <v>6.5573770491803268E-2</v>
      </c>
      <c r="AZ414" s="20">
        <v>1.1399999999999999</v>
      </c>
      <c r="BA414" s="20">
        <v>3.44</v>
      </c>
      <c r="BB414" s="20">
        <v>2.2999999999999998</v>
      </c>
      <c r="BC414" s="20">
        <v>2.4910526315789472</v>
      </c>
      <c r="BD414">
        <v>2.4910526315789481</v>
      </c>
      <c r="BE414">
        <v>6.7017488956136306</v>
      </c>
    </row>
    <row r="415" spans="1:57" x14ac:dyDescent="0.3">
      <c r="A415" t="s">
        <v>342</v>
      </c>
      <c r="B415" s="17" t="s">
        <v>1015</v>
      </c>
      <c r="C415" s="12"/>
      <c r="F415">
        <v>3.45</v>
      </c>
      <c r="G415" t="s">
        <v>319</v>
      </c>
      <c r="H415" s="8">
        <v>-1</v>
      </c>
      <c r="I415">
        <v>-1</v>
      </c>
      <c r="N415" s="20">
        <v>0</v>
      </c>
      <c r="O415">
        <v>3.71</v>
      </c>
      <c r="P415">
        <v>3.71</v>
      </c>
      <c r="Q415">
        <v>44.5</v>
      </c>
      <c r="R415" t="s">
        <v>519</v>
      </c>
      <c r="T415" s="20">
        <v>0</v>
      </c>
      <c r="W415"/>
      <c r="AO415">
        <v>10</v>
      </c>
      <c r="AP415" s="20">
        <v>0</v>
      </c>
      <c r="AR415" s="23">
        <v>1.5</v>
      </c>
      <c r="AS415" s="23">
        <v>1.2727272727272729</v>
      </c>
      <c r="AT415" s="23">
        <v>9.0909090909090912E-2</v>
      </c>
      <c r="AU415" s="23">
        <v>0.1818181818181818</v>
      </c>
      <c r="AV415" s="23">
        <v>0.49253731343283591</v>
      </c>
      <c r="AW415" s="23">
        <v>0.41791044776119401</v>
      </c>
      <c r="AX415" s="23">
        <v>2.9850746268656719E-2</v>
      </c>
      <c r="AY415" s="23">
        <v>5.9701492537313439E-2</v>
      </c>
      <c r="AZ415" s="20">
        <v>1.1399999999999999</v>
      </c>
      <c r="BA415" s="20">
        <v>3.44</v>
      </c>
      <c r="BB415" s="20">
        <v>2.2999999999999998</v>
      </c>
      <c r="BC415" s="20">
        <v>2.4672727272727282</v>
      </c>
      <c r="BD415">
        <v>2.4672727272727268</v>
      </c>
      <c r="BE415">
        <v>6.7248846555618629</v>
      </c>
    </row>
    <row r="416" spans="1:57" x14ac:dyDescent="0.3">
      <c r="A416" t="s">
        <v>343</v>
      </c>
      <c r="B416" s="17" t="s">
        <v>1016</v>
      </c>
      <c r="C416" s="12"/>
      <c r="F416">
        <v>3.41</v>
      </c>
      <c r="G416" t="s">
        <v>319</v>
      </c>
      <c r="H416" s="8">
        <v>-1</v>
      </c>
      <c r="I416">
        <v>-1</v>
      </c>
      <c r="N416" s="20">
        <v>0</v>
      </c>
      <c r="O416">
        <v>3.71</v>
      </c>
      <c r="P416">
        <v>3.71</v>
      </c>
      <c r="Q416">
        <v>54.9</v>
      </c>
      <c r="R416" t="s">
        <v>519</v>
      </c>
      <c r="T416" s="20">
        <v>0</v>
      </c>
      <c r="U416" s="20"/>
      <c r="V416" s="20"/>
      <c r="W416"/>
      <c r="AO416">
        <v>10</v>
      </c>
      <c r="AP416" s="20">
        <v>0</v>
      </c>
      <c r="AQ416" s="20"/>
      <c r="AR416" s="23">
        <v>1.464285714285714</v>
      </c>
      <c r="AS416" s="23">
        <v>1.142857142857143</v>
      </c>
      <c r="AT416" s="23">
        <v>7.1428571428571425E-2</v>
      </c>
      <c r="AU416" s="23">
        <v>0.14285714285714279</v>
      </c>
      <c r="AV416" s="23">
        <v>0.51898734177215178</v>
      </c>
      <c r="AW416" s="23">
        <v>0.40506329113924039</v>
      </c>
      <c r="AX416" s="23">
        <v>2.5316455696202531E-2</v>
      </c>
      <c r="AY416" s="23">
        <v>5.0632911392405063E-2</v>
      </c>
      <c r="AZ416" s="20">
        <v>1.1399999999999999</v>
      </c>
      <c r="BA416" s="20">
        <v>3.44</v>
      </c>
      <c r="BB416" s="20">
        <v>2.2999999999999998</v>
      </c>
      <c r="BC416" s="20">
        <v>2.4350000000000001</v>
      </c>
      <c r="BD416">
        <v>2.4350000000000001</v>
      </c>
      <c r="BE416">
        <v>6.7562831869201787</v>
      </c>
    </row>
    <row r="417" spans="1:57" x14ac:dyDescent="0.3">
      <c r="A417" t="s">
        <v>344</v>
      </c>
      <c r="B417" s="17" t="s">
        <v>1017</v>
      </c>
      <c r="C417" s="12"/>
      <c r="F417">
        <v>3.41</v>
      </c>
      <c r="G417" t="s">
        <v>319</v>
      </c>
      <c r="H417" s="8">
        <v>-1</v>
      </c>
      <c r="I417">
        <v>-1</v>
      </c>
      <c r="N417" s="20">
        <v>0</v>
      </c>
      <c r="O417">
        <v>3.71</v>
      </c>
      <c r="P417">
        <v>3.71</v>
      </c>
      <c r="Q417">
        <v>58</v>
      </c>
      <c r="R417" t="s">
        <v>519</v>
      </c>
      <c r="T417" s="20">
        <v>0</v>
      </c>
      <c r="U417" s="20"/>
      <c r="V417" s="20"/>
      <c r="W417"/>
      <c r="AO417">
        <v>10</v>
      </c>
      <c r="AP417" s="20">
        <v>0</v>
      </c>
      <c r="AQ417" s="20"/>
      <c r="AR417" s="23">
        <v>1.4411764705882351</v>
      </c>
      <c r="AS417" s="23">
        <v>1.0588235294117649</v>
      </c>
      <c r="AT417" s="23">
        <v>5.8823529411764712E-2</v>
      </c>
      <c r="AU417" s="23">
        <v>0.1176470588235294</v>
      </c>
      <c r="AV417" s="23">
        <v>0.53846153846153855</v>
      </c>
      <c r="AW417" s="23">
        <v>0.39560439560439559</v>
      </c>
      <c r="AX417" s="23">
        <v>2.197802197802198E-2</v>
      </c>
      <c r="AY417" s="23">
        <v>4.3956043956043959E-2</v>
      </c>
      <c r="AZ417" s="20">
        <v>1.1399999999999999</v>
      </c>
      <c r="BA417" s="20">
        <v>3.44</v>
      </c>
      <c r="BB417" s="20">
        <v>2.2999999999999998</v>
      </c>
      <c r="BC417" s="20">
        <v>2.4141176470588239</v>
      </c>
      <c r="BD417">
        <v>2.4141176470588239</v>
      </c>
      <c r="BE417">
        <v>6.776599883681441</v>
      </c>
    </row>
    <row r="418" spans="1:57" x14ac:dyDescent="0.3">
      <c r="A418" t="s">
        <v>151</v>
      </c>
      <c r="B418" s="12" t="s">
        <v>774</v>
      </c>
      <c r="C418" s="12"/>
      <c r="F418">
        <v>3.26</v>
      </c>
      <c r="G418" t="s">
        <v>345</v>
      </c>
      <c r="H418" s="8">
        <v>-1</v>
      </c>
      <c r="I418">
        <v>-1</v>
      </c>
      <c r="N418" s="20">
        <v>0</v>
      </c>
      <c r="O418">
        <v>3.89</v>
      </c>
      <c r="P418">
        <v>3.89</v>
      </c>
      <c r="Q418">
        <v>16.399999999999999</v>
      </c>
      <c r="T418" s="20">
        <v>0</v>
      </c>
      <c r="U418" s="20"/>
      <c r="V418" s="20"/>
      <c r="W418"/>
      <c r="AO418">
        <v>20</v>
      </c>
      <c r="AP418" s="20">
        <v>0</v>
      </c>
      <c r="AQ418" s="20"/>
      <c r="AR418" s="23">
        <v>1.75</v>
      </c>
      <c r="AS418" s="23">
        <v>2.5</v>
      </c>
      <c r="AT418" s="23">
        <v>0.75</v>
      </c>
      <c r="AU418" s="23">
        <v>0</v>
      </c>
      <c r="AV418" s="23">
        <v>0.35</v>
      </c>
      <c r="AW418" s="23">
        <v>0.5</v>
      </c>
      <c r="AX418" s="23">
        <v>0.15</v>
      </c>
      <c r="AY418" s="23">
        <v>0</v>
      </c>
      <c r="AZ418" s="20">
        <v>0.95</v>
      </c>
      <c r="BA418" s="20">
        <v>3.44</v>
      </c>
      <c r="BB418" s="20">
        <v>2.4900000000000002</v>
      </c>
      <c r="BC418" s="20">
        <v>2.7062499999999998</v>
      </c>
      <c r="BD418">
        <v>2.7062499999999998</v>
      </c>
      <c r="BE418">
        <v>6.2396022968656872</v>
      </c>
    </row>
    <row r="419" spans="1:57" x14ac:dyDescent="0.3">
      <c r="A419" t="s">
        <v>63</v>
      </c>
      <c r="B419" s="12" t="s">
        <v>773</v>
      </c>
      <c r="C419" s="12"/>
      <c r="F419">
        <v>3.5</v>
      </c>
      <c r="G419" t="s">
        <v>345</v>
      </c>
      <c r="H419" s="8">
        <v>-1</v>
      </c>
      <c r="I419">
        <v>-1</v>
      </c>
      <c r="N419" s="20">
        <v>0</v>
      </c>
      <c r="O419">
        <v>3.82</v>
      </c>
      <c r="P419">
        <v>3.82</v>
      </c>
      <c r="Q419">
        <v>16</v>
      </c>
      <c r="T419" s="20">
        <v>0</v>
      </c>
      <c r="U419" s="20"/>
      <c r="V419" s="20"/>
      <c r="W419"/>
      <c r="AO419">
        <v>20</v>
      </c>
      <c r="AP419" s="20">
        <v>0</v>
      </c>
      <c r="AQ419" s="20"/>
      <c r="AR419" s="23">
        <v>1.75</v>
      </c>
      <c r="AS419" s="23">
        <v>2.5</v>
      </c>
      <c r="AT419" s="23">
        <v>0.75</v>
      </c>
      <c r="AU419" s="23">
        <v>0</v>
      </c>
      <c r="AV419" s="23">
        <v>0.35</v>
      </c>
      <c r="AW419" s="23">
        <v>0.5</v>
      </c>
      <c r="AX419" s="23">
        <v>0.15</v>
      </c>
      <c r="AY419" s="23">
        <v>0</v>
      </c>
      <c r="AZ419" s="20">
        <v>1</v>
      </c>
      <c r="BA419" s="20">
        <v>3.44</v>
      </c>
      <c r="BB419" s="20">
        <v>2.44</v>
      </c>
      <c r="BC419" s="20">
        <v>2.7124999999999999</v>
      </c>
      <c r="BD419">
        <v>2.7124999999999999</v>
      </c>
      <c r="BE419">
        <v>6.264025610615688</v>
      </c>
    </row>
    <row r="420" spans="1:57" x14ac:dyDescent="0.3">
      <c r="A420" t="s">
        <v>4</v>
      </c>
      <c r="B420" s="12" t="s">
        <v>689</v>
      </c>
      <c r="C420" s="12"/>
      <c r="F420">
        <v>3.54</v>
      </c>
      <c r="G420" t="s">
        <v>352</v>
      </c>
      <c r="H420" s="8" t="s">
        <v>527</v>
      </c>
      <c r="I420" t="s">
        <v>609</v>
      </c>
      <c r="N420" s="20">
        <v>4</v>
      </c>
      <c r="O420">
        <v>3.86</v>
      </c>
      <c r="P420">
        <v>3.86</v>
      </c>
      <c r="Q420">
        <v>29.4</v>
      </c>
      <c r="T420" s="20">
        <v>7.8084429999999996</v>
      </c>
      <c r="U420" s="20">
        <v>7.8548809999999998</v>
      </c>
      <c r="V420" s="20">
        <v>15.19056011</v>
      </c>
      <c r="W420"/>
      <c r="AO420">
        <v>20</v>
      </c>
      <c r="AP420" s="20">
        <v>924.74694800021894</v>
      </c>
      <c r="AQ420" s="20">
        <v>8.6510153045653584E-2</v>
      </c>
      <c r="AR420" s="23">
        <v>1.75</v>
      </c>
      <c r="AS420" s="23">
        <v>2.5</v>
      </c>
      <c r="AT420" s="23">
        <v>0.75</v>
      </c>
      <c r="AU420" s="23">
        <v>0</v>
      </c>
      <c r="AV420" s="23">
        <v>0.35</v>
      </c>
      <c r="AW420" s="23">
        <v>0.5</v>
      </c>
      <c r="AX420" s="23">
        <v>0.15</v>
      </c>
      <c r="AY420" s="23">
        <v>0</v>
      </c>
      <c r="AZ420" s="20">
        <v>0.82</v>
      </c>
      <c r="BA420" s="20">
        <v>3.44</v>
      </c>
      <c r="BB420" s="20">
        <v>2.62</v>
      </c>
      <c r="BC420" s="20">
        <v>2.6262500000000002</v>
      </c>
      <c r="BD420">
        <v>2.6262500000000002</v>
      </c>
      <c r="BE420">
        <v>5.96680968125</v>
      </c>
    </row>
    <row r="421" spans="1:57" x14ac:dyDescent="0.3">
      <c r="A421" t="s">
        <v>63</v>
      </c>
      <c r="B421" s="12" t="s">
        <v>773</v>
      </c>
      <c r="C421" s="12"/>
      <c r="F421">
        <v>3.5</v>
      </c>
      <c r="G421" t="s">
        <v>352</v>
      </c>
      <c r="H421" s="8">
        <v>-1</v>
      </c>
      <c r="I421">
        <v>-1</v>
      </c>
      <c r="N421" s="20">
        <v>0</v>
      </c>
      <c r="O421">
        <v>3.82</v>
      </c>
      <c r="P421">
        <v>3.82</v>
      </c>
      <c r="Q421">
        <v>16</v>
      </c>
      <c r="T421" s="20">
        <v>0</v>
      </c>
      <c r="U421" s="20"/>
      <c r="V421" s="20"/>
      <c r="W421"/>
      <c r="AO421">
        <v>20</v>
      </c>
      <c r="AP421" s="20">
        <v>0</v>
      </c>
      <c r="AQ421" s="20"/>
      <c r="AR421" s="23">
        <v>1.75</v>
      </c>
      <c r="AS421" s="23">
        <v>2.5</v>
      </c>
      <c r="AT421" s="23">
        <v>0.75</v>
      </c>
      <c r="AU421" s="23">
        <v>0</v>
      </c>
      <c r="AV421" s="23">
        <v>0.35</v>
      </c>
      <c r="AW421" s="23">
        <v>0.5</v>
      </c>
      <c r="AX421" s="23">
        <v>0.15</v>
      </c>
      <c r="AY421" s="23">
        <v>0</v>
      </c>
      <c r="AZ421" s="20">
        <v>1</v>
      </c>
      <c r="BA421" s="20">
        <v>3.44</v>
      </c>
      <c r="BB421" s="20">
        <v>2.44</v>
      </c>
      <c r="BC421" s="20">
        <v>2.7124999999999999</v>
      </c>
      <c r="BD421">
        <v>2.7124999999999999</v>
      </c>
      <c r="BE421">
        <v>6.264025610615688</v>
      </c>
    </row>
    <row r="422" spans="1:57" x14ac:dyDescent="0.3">
      <c r="A422" t="s">
        <v>346</v>
      </c>
      <c r="B422" s="17" t="s">
        <v>1018</v>
      </c>
      <c r="C422" s="12"/>
      <c r="F422">
        <v>3.45</v>
      </c>
      <c r="G422" t="s">
        <v>352</v>
      </c>
      <c r="H422" s="8">
        <v>-1</v>
      </c>
      <c r="I422">
        <v>-1</v>
      </c>
      <c r="N422" s="20">
        <v>0</v>
      </c>
      <c r="O422">
        <v>3.86</v>
      </c>
      <c r="P422">
        <v>3.86</v>
      </c>
      <c r="Q422">
        <v>20.9</v>
      </c>
      <c r="T422" s="20">
        <v>0</v>
      </c>
      <c r="U422" s="20"/>
      <c r="V422" s="20"/>
      <c r="W422"/>
      <c r="AO422">
        <v>20</v>
      </c>
      <c r="AP422" s="20">
        <v>0</v>
      </c>
      <c r="AQ422" s="20"/>
      <c r="AR422" s="23">
        <v>1.6190476190476191</v>
      </c>
      <c r="AS422" s="23">
        <v>2</v>
      </c>
      <c r="AT422" s="23">
        <v>0.5714285714285714</v>
      </c>
      <c r="AU422" s="23">
        <v>0</v>
      </c>
      <c r="AV422" s="23">
        <v>0.38636363636363641</v>
      </c>
      <c r="AW422" s="23">
        <v>0.47727272727272718</v>
      </c>
      <c r="AX422" s="23">
        <v>0.13636363636363641</v>
      </c>
      <c r="AY422" s="23">
        <v>0</v>
      </c>
      <c r="AZ422" s="20">
        <v>1</v>
      </c>
      <c r="BA422" s="20">
        <v>3.44</v>
      </c>
      <c r="BB422" s="20">
        <v>2.44</v>
      </c>
      <c r="BC422" s="20">
        <v>2.6071428571428572</v>
      </c>
      <c r="BD422">
        <v>2.6071428571428572</v>
      </c>
      <c r="BE422">
        <v>6.4376988464407141</v>
      </c>
    </row>
    <row r="423" spans="1:57" x14ac:dyDescent="0.3">
      <c r="A423" t="s">
        <v>347</v>
      </c>
      <c r="B423" s="17" t="s">
        <v>1019</v>
      </c>
      <c r="C423" s="12"/>
      <c r="F423">
        <v>3.5</v>
      </c>
      <c r="G423" t="s">
        <v>352</v>
      </c>
      <c r="H423" s="8">
        <v>-1</v>
      </c>
      <c r="I423">
        <v>-1</v>
      </c>
      <c r="N423" s="20">
        <v>0</v>
      </c>
      <c r="O423">
        <v>3.86</v>
      </c>
      <c r="P423">
        <v>3.86</v>
      </c>
      <c r="Q423">
        <v>17.899999999999999</v>
      </c>
      <c r="T423" s="20">
        <v>0</v>
      </c>
      <c r="U423" s="20"/>
      <c r="V423" s="20"/>
      <c r="W423"/>
      <c r="AO423">
        <v>20</v>
      </c>
      <c r="AP423" s="20">
        <v>0</v>
      </c>
      <c r="AQ423" s="20"/>
      <c r="AR423" s="23">
        <v>1.583333333333333</v>
      </c>
      <c r="AS423" s="23">
        <v>1.833333333333333</v>
      </c>
      <c r="AT423" s="23">
        <v>0.5</v>
      </c>
      <c r="AU423" s="23">
        <v>0</v>
      </c>
      <c r="AV423" s="23">
        <v>0.40425531914893609</v>
      </c>
      <c r="AW423" s="23">
        <v>0.46808510638297868</v>
      </c>
      <c r="AX423" s="23">
        <v>0.1276595744680851</v>
      </c>
      <c r="AY423" s="23">
        <v>0</v>
      </c>
      <c r="AZ423" s="20">
        <v>1</v>
      </c>
      <c r="BA423" s="20">
        <v>3.44</v>
      </c>
      <c r="BB423" s="20">
        <v>2.44</v>
      </c>
      <c r="BC423" s="20">
        <v>2.5708333333333329</v>
      </c>
      <c r="BD423">
        <v>2.5708333333333329</v>
      </c>
      <c r="BE423">
        <v>6.4919128825398751</v>
      </c>
    </row>
    <row r="424" spans="1:57" x14ac:dyDescent="0.3">
      <c r="A424" t="s">
        <v>348</v>
      </c>
      <c r="B424" s="17" t="s">
        <v>1020</v>
      </c>
      <c r="C424" s="12"/>
      <c r="F424">
        <v>3.53</v>
      </c>
      <c r="G424" t="s">
        <v>352</v>
      </c>
      <c r="H424" s="8">
        <v>-1</v>
      </c>
      <c r="I424">
        <v>-1</v>
      </c>
      <c r="N424" s="20">
        <v>0</v>
      </c>
      <c r="O424">
        <v>3.86</v>
      </c>
      <c r="P424">
        <v>3.86</v>
      </c>
      <c r="Q424">
        <v>19.899999999999999</v>
      </c>
      <c r="T424" s="20">
        <v>0</v>
      </c>
      <c r="U424" s="20"/>
      <c r="V424" s="20"/>
      <c r="W424"/>
      <c r="AO424">
        <v>20</v>
      </c>
      <c r="AP424" s="20">
        <v>0</v>
      </c>
      <c r="AQ424" s="20"/>
      <c r="AR424" s="23">
        <v>1.555555555555556</v>
      </c>
      <c r="AS424" s="23">
        <v>1.7037037037037039</v>
      </c>
      <c r="AT424" s="23">
        <v>0.44444444444444442</v>
      </c>
      <c r="AU424" s="23">
        <v>0</v>
      </c>
      <c r="AV424" s="23">
        <v>0.42</v>
      </c>
      <c r="AW424" s="23">
        <v>0.46</v>
      </c>
      <c r="AX424" s="23">
        <v>0.12</v>
      </c>
      <c r="AY424" s="23">
        <v>0</v>
      </c>
      <c r="AZ424" s="20">
        <v>1</v>
      </c>
      <c r="BA424" s="20">
        <v>3.44</v>
      </c>
      <c r="BB424" s="20">
        <v>2.44</v>
      </c>
      <c r="BC424" s="20">
        <v>2.5425925925925932</v>
      </c>
      <c r="BD424">
        <v>2.5425925925925932</v>
      </c>
      <c r="BE424">
        <v>6.5340793550614444</v>
      </c>
    </row>
    <row r="425" spans="1:57" x14ac:dyDescent="0.3">
      <c r="A425" t="s">
        <v>349</v>
      </c>
      <c r="B425" s="17" t="s">
        <v>1021</v>
      </c>
      <c r="C425" s="12"/>
      <c r="F425">
        <v>3.5</v>
      </c>
      <c r="G425" t="s">
        <v>352</v>
      </c>
      <c r="H425" s="8">
        <v>-1</v>
      </c>
      <c r="I425">
        <v>-1</v>
      </c>
      <c r="N425" s="20">
        <v>0</v>
      </c>
      <c r="O425">
        <v>3.87</v>
      </c>
      <c r="P425">
        <v>3.87</v>
      </c>
      <c r="Q425">
        <v>22.1</v>
      </c>
      <c r="T425" s="20">
        <v>0</v>
      </c>
      <c r="U425" s="20"/>
      <c r="V425" s="20"/>
      <c r="W425"/>
      <c r="AO425">
        <v>20</v>
      </c>
      <c r="AP425" s="20">
        <v>0</v>
      </c>
      <c r="AQ425" s="20"/>
      <c r="AR425" s="23">
        <v>1.533333333333333</v>
      </c>
      <c r="AS425" s="23">
        <v>1.6</v>
      </c>
      <c r="AT425" s="23">
        <v>0.4</v>
      </c>
      <c r="AU425" s="23">
        <v>0</v>
      </c>
      <c r="AV425" s="23">
        <v>0.43396226415094352</v>
      </c>
      <c r="AW425" s="23">
        <v>0.45283018867924529</v>
      </c>
      <c r="AX425" s="23">
        <v>0.1132075471698113</v>
      </c>
      <c r="AY425" s="23">
        <v>0</v>
      </c>
      <c r="AZ425" s="20">
        <v>1</v>
      </c>
      <c r="BA425" s="20">
        <v>3.44</v>
      </c>
      <c r="BB425" s="20">
        <v>2.44</v>
      </c>
      <c r="BC425" s="20">
        <v>2.52</v>
      </c>
      <c r="BD425">
        <v>2.52</v>
      </c>
      <c r="BE425">
        <v>6.5678125330786994</v>
      </c>
    </row>
    <row r="426" spans="1:57" x14ac:dyDescent="0.3">
      <c r="A426" t="s">
        <v>350</v>
      </c>
      <c r="B426" s="17" t="s">
        <v>1022</v>
      </c>
      <c r="C426" s="12"/>
      <c r="F426">
        <v>3.47</v>
      </c>
      <c r="G426" t="s">
        <v>352</v>
      </c>
      <c r="H426" s="8">
        <v>-1</v>
      </c>
      <c r="I426">
        <v>-1</v>
      </c>
      <c r="N426" s="20">
        <v>0</v>
      </c>
      <c r="O426">
        <v>3.87</v>
      </c>
      <c r="P426">
        <v>3.87</v>
      </c>
      <c r="Q426">
        <v>26.4</v>
      </c>
      <c r="T426" s="20">
        <v>0</v>
      </c>
      <c r="U426" s="20"/>
      <c r="V426" s="20"/>
      <c r="W426"/>
      <c r="AO426">
        <v>20</v>
      </c>
      <c r="AP426" s="20">
        <v>0</v>
      </c>
      <c r="AQ426" s="20"/>
      <c r="AR426" s="23">
        <v>1.5</v>
      </c>
      <c r="AS426" s="23">
        <v>1.444444444444444</v>
      </c>
      <c r="AT426" s="23">
        <v>0.33333333333333331</v>
      </c>
      <c r="AU426" s="23">
        <v>0</v>
      </c>
      <c r="AV426" s="23">
        <v>0.4576271186440678</v>
      </c>
      <c r="AW426" s="23">
        <v>0.44067796610169491</v>
      </c>
      <c r="AX426" s="23">
        <v>0.10169491525423729</v>
      </c>
      <c r="AY426" s="23">
        <v>0</v>
      </c>
      <c r="AZ426" s="20">
        <v>1</v>
      </c>
      <c r="BA426" s="20">
        <v>3.44</v>
      </c>
      <c r="BB426" s="20">
        <v>2.44</v>
      </c>
      <c r="BC426" s="20">
        <v>2.4861111111111112</v>
      </c>
      <c r="BD426">
        <v>2.4861111111111112</v>
      </c>
      <c r="BE426">
        <v>6.6184123001045831</v>
      </c>
    </row>
    <row r="427" spans="1:57" x14ac:dyDescent="0.3">
      <c r="A427" t="s">
        <v>351</v>
      </c>
      <c r="B427" s="17" t="s">
        <v>1023</v>
      </c>
      <c r="C427" s="12"/>
      <c r="F427">
        <v>3.51</v>
      </c>
      <c r="G427" t="s">
        <v>352</v>
      </c>
      <c r="H427" s="8">
        <v>-1</v>
      </c>
      <c r="I427">
        <v>-1</v>
      </c>
      <c r="N427" s="20">
        <v>0</v>
      </c>
      <c r="O427">
        <v>3.87</v>
      </c>
      <c r="P427">
        <v>3.87</v>
      </c>
      <c r="Q427">
        <v>34.799999999999997</v>
      </c>
      <c r="T427" s="20">
        <v>0</v>
      </c>
      <c r="U427" s="20"/>
      <c r="V427" s="20"/>
      <c r="W427"/>
      <c r="AO427">
        <v>20</v>
      </c>
      <c r="AP427" s="20">
        <v>0</v>
      </c>
      <c r="AQ427" s="20"/>
      <c r="AR427" s="23">
        <v>1.4761904761904761</v>
      </c>
      <c r="AS427" s="23">
        <v>1.333333333333333</v>
      </c>
      <c r="AT427" s="23">
        <v>0.2857142857142857</v>
      </c>
      <c r="AU427" s="23">
        <v>0</v>
      </c>
      <c r="AV427" s="23">
        <v>0.47692307692307689</v>
      </c>
      <c r="AW427" s="23">
        <v>0.43076923076923068</v>
      </c>
      <c r="AX427" s="23">
        <v>9.2307692307692299E-2</v>
      </c>
      <c r="AY427" s="23">
        <v>0</v>
      </c>
      <c r="AZ427" s="20">
        <v>1</v>
      </c>
      <c r="BA427" s="20">
        <v>3.44</v>
      </c>
      <c r="BB427" s="20">
        <v>2.44</v>
      </c>
      <c r="BC427" s="20">
        <v>2.461904761904762</v>
      </c>
      <c r="BD427">
        <v>2.461904761904762</v>
      </c>
      <c r="BE427">
        <v>6.6545549908373571</v>
      </c>
    </row>
    <row r="428" spans="1:57" x14ac:dyDescent="0.3">
      <c r="A428" t="s">
        <v>180</v>
      </c>
      <c r="B428" s="12" t="s">
        <v>796</v>
      </c>
      <c r="C428" s="12"/>
      <c r="F428">
        <v>3.6</v>
      </c>
      <c r="G428" t="s">
        <v>354</v>
      </c>
      <c r="H428" s="8">
        <v>-1</v>
      </c>
      <c r="I428">
        <v>-1</v>
      </c>
      <c r="N428" s="20">
        <v>0</v>
      </c>
      <c r="O428">
        <v>3.895</v>
      </c>
      <c r="P428">
        <v>3.895</v>
      </c>
      <c r="Q428">
        <v>30.46</v>
      </c>
      <c r="R428" t="s">
        <v>440</v>
      </c>
      <c r="T428" s="20">
        <v>0</v>
      </c>
      <c r="U428" s="20"/>
      <c r="V428" s="20"/>
      <c r="W428"/>
      <c r="AO428">
        <v>20</v>
      </c>
      <c r="AP428" s="20">
        <v>0</v>
      </c>
      <c r="AQ428" s="20"/>
      <c r="AR428" s="23">
        <v>1.882352941176471</v>
      </c>
      <c r="AS428" s="23">
        <v>2.3529411764705879</v>
      </c>
      <c r="AT428" s="23">
        <v>0.47058823529411759</v>
      </c>
      <c r="AU428" s="23">
        <v>0</v>
      </c>
      <c r="AV428" s="23">
        <v>0.4</v>
      </c>
      <c r="AW428" s="23">
        <v>0.5</v>
      </c>
      <c r="AX428" s="23">
        <v>9.9999999999999992E-2</v>
      </c>
      <c r="AY428" s="23">
        <v>0</v>
      </c>
      <c r="AZ428" s="20">
        <v>0.82</v>
      </c>
      <c r="BA428" s="20">
        <v>3.44</v>
      </c>
      <c r="BB428" s="20">
        <v>2.62</v>
      </c>
      <c r="BC428" s="20">
        <v>2.5211764705882351</v>
      </c>
      <c r="BD428">
        <v>2.521176470588236</v>
      </c>
      <c r="BE428">
        <v>5.6793405594117647</v>
      </c>
    </row>
    <row r="429" spans="1:57" x14ac:dyDescent="0.3">
      <c r="A429" t="s">
        <v>952</v>
      </c>
      <c r="B429" s="16" t="s">
        <v>954</v>
      </c>
      <c r="C429" s="12"/>
      <c r="F429">
        <v>3.65</v>
      </c>
      <c r="G429" t="s">
        <v>354</v>
      </c>
      <c r="H429" s="8">
        <v>-1</v>
      </c>
      <c r="I429">
        <v>-1</v>
      </c>
      <c r="N429" s="20">
        <v>0</v>
      </c>
      <c r="O429">
        <v>3.84</v>
      </c>
      <c r="P429">
        <v>3.84</v>
      </c>
      <c r="Q429">
        <v>32.520000000000003</v>
      </c>
      <c r="R429" t="s">
        <v>1131</v>
      </c>
      <c r="T429" s="20">
        <v>0</v>
      </c>
      <c r="U429" s="20"/>
      <c r="V429" s="20"/>
      <c r="W429"/>
      <c r="AO429">
        <v>20</v>
      </c>
      <c r="AP429" s="20">
        <v>0</v>
      </c>
      <c r="AQ429" s="20"/>
      <c r="AR429" s="23">
        <v>1.882352941176471</v>
      </c>
      <c r="AS429" s="23">
        <v>2.3529411764705879</v>
      </c>
      <c r="AT429" s="23">
        <v>0.47058823529411759</v>
      </c>
      <c r="AU429" s="23">
        <v>0</v>
      </c>
      <c r="AV429" s="23">
        <v>0.4</v>
      </c>
      <c r="AW429" s="23">
        <v>0.5</v>
      </c>
      <c r="AX429" s="23">
        <v>9.9999999999999992E-2</v>
      </c>
      <c r="AY429" s="23">
        <v>0</v>
      </c>
      <c r="AZ429" s="20">
        <v>0.82</v>
      </c>
      <c r="BA429" s="20">
        <v>3.44</v>
      </c>
      <c r="BB429" s="20">
        <v>2.62</v>
      </c>
      <c r="BC429" s="20">
        <v>2.6023529411764699</v>
      </c>
      <c r="BD429">
        <v>2.6023529411764712</v>
      </c>
      <c r="BE429">
        <v>5.9643402149912346</v>
      </c>
    </row>
    <row r="430" spans="1:57" x14ac:dyDescent="0.3">
      <c r="A430" t="s">
        <v>953</v>
      </c>
      <c r="B430" s="16" t="s">
        <v>955</v>
      </c>
      <c r="C430" s="12"/>
      <c r="F430">
        <v>3.58</v>
      </c>
      <c r="G430" t="s">
        <v>354</v>
      </c>
      <c r="H430" s="8">
        <v>-1</v>
      </c>
      <c r="I430">
        <v>-1</v>
      </c>
      <c r="N430" s="20">
        <v>0</v>
      </c>
      <c r="O430">
        <v>3.82</v>
      </c>
      <c r="P430">
        <v>3.82</v>
      </c>
      <c r="Q430">
        <v>14.9</v>
      </c>
      <c r="R430" t="s">
        <v>439</v>
      </c>
      <c r="T430" s="20">
        <v>0</v>
      </c>
      <c r="U430" s="20"/>
      <c r="V430" s="20"/>
      <c r="W430"/>
      <c r="AO430">
        <v>20</v>
      </c>
      <c r="AP430" s="20">
        <v>0</v>
      </c>
      <c r="AQ430" s="20"/>
      <c r="AR430" s="23">
        <v>1.882352941176471</v>
      </c>
      <c r="AS430" s="23">
        <v>2.3529411764705879</v>
      </c>
      <c r="AT430" s="23">
        <v>0.47058823529411759</v>
      </c>
      <c r="AU430" s="23">
        <v>0</v>
      </c>
      <c r="AV430" s="23">
        <v>0.4</v>
      </c>
      <c r="AW430" s="23">
        <v>0.5</v>
      </c>
      <c r="AX430" s="23">
        <v>9.9999999999999992E-2</v>
      </c>
      <c r="AY430" s="23">
        <v>0</v>
      </c>
      <c r="AZ430" s="20">
        <v>0.82</v>
      </c>
      <c r="BA430" s="20">
        <v>3.44</v>
      </c>
      <c r="BB430" s="20">
        <v>2.62</v>
      </c>
      <c r="BC430" s="20">
        <v>2.6429411764705879</v>
      </c>
      <c r="BD430">
        <v>2.6429411764705879</v>
      </c>
      <c r="BE430">
        <v>6.1068400427809717</v>
      </c>
    </row>
    <row r="431" spans="1:57" x14ac:dyDescent="0.3">
      <c r="A431" t="s">
        <v>353</v>
      </c>
      <c r="B431" s="12" t="s">
        <v>834</v>
      </c>
      <c r="C431" s="12"/>
      <c r="F431">
        <v>3.55</v>
      </c>
      <c r="G431" t="s">
        <v>354</v>
      </c>
      <c r="H431" s="8">
        <v>-1</v>
      </c>
      <c r="I431">
        <v>-1</v>
      </c>
      <c r="N431" s="20">
        <v>0</v>
      </c>
      <c r="O431">
        <v>3.8050000000000002</v>
      </c>
      <c r="P431">
        <v>3.8050000000000002</v>
      </c>
      <c r="Q431">
        <v>27.44</v>
      </c>
      <c r="R431" t="s">
        <v>1131</v>
      </c>
      <c r="T431" s="20">
        <v>0</v>
      </c>
      <c r="U431" s="20"/>
      <c r="V431" s="20"/>
      <c r="W431"/>
      <c r="AO431">
        <v>20</v>
      </c>
      <c r="AP431" s="20">
        <v>0</v>
      </c>
      <c r="AQ431" s="20"/>
      <c r="AR431" s="23">
        <v>1.882352941176471</v>
      </c>
      <c r="AS431" s="23">
        <v>2.3529411764705879</v>
      </c>
      <c r="AT431" s="23">
        <v>0.47058823529411759</v>
      </c>
      <c r="AU431" s="23">
        <v>0</v>
      </c>
      <c r="AV431" s="23">
        <v>0.4</v>
      </c>
      <c r="AW431" s="23">
        <v>0.5</v>
      </c>
      <c r="AX431" s="23">
        <v>9.9999999999999992E-2</v>
      </c>
      <c r="AY431" s="23">
        <v>0</v>
      </c>
      <c r="AZ431" s="20">
        <v>1.1000000000000001</v>
      </c>
      <c r="BA431" s="20">
        <v>3.44</v>
      </c>
      <c r="BB431" s="20">
        <v>2.34</v>
      </c>
      <c r="BC431" s="20">
        <v>2.6835294117647059</v>
      </c>
      <c r="BD431">
        <v>2.6835294117647059</v>
      </c>
      <c r="BE431">
        <v>6.2493398705707062</v>
      </c>
    </row>
    <row r="432" spans="1:57" x14ac:dyDescent="0.3">
      <c r="A432" t="s">
        <v>142</v>
      </c>
      <c r="B432" s="12" t="s">
        <v>766</v>
      </c>
      <c r="C432" s="12"/>
      <c r="F432">
        <v>4.3600000000000003</v>
      </c>
      <c r="G432" t="s">
        <v>357</v>
      </c>
      <c r="H432" s="8">
        <v>-1</v>
      </c>
      <c r="I432">
        <v>-1</v>
      </c>
      <c r="J432" t="s">
        <v>1164</v>
      </c>
      <c r="N432" s="20">
        <v>0</v>
      </c>
      <c r="O432">
        <v>3.89</v>
      </c>
      <c r="P432">
        <v>3.89</v>
      </c>
      <c r="Q432">
        <v>10.48</v>
      </c>
      <c r="R432" t="s">
        <v>440</v>
      </c>
      <c r="T432" s="20">
        <v>0</v>
      </c>
      <c r="W432"/>
      <c r="AO432">
        <v>14</v>
      </c>
      <c r="AP432" s="20">
        <v>0</v>
      </c>
      <c r="AR432">
        <v>1.9090909090909089</v>
      </c>
      <c r="AS432">
        <v>2.545454545454545</v>
      </c>
      <c r="AT432">
        <v>0.54545454545454541</v>
      </c>
      <c r="AU432">
        <v>2.9090909090909092</v>
      </c>
      <c r="AV432">
        <v>0.2413793103448276</v>
      </c>
      <c r="AW432">
        <v>0.32183908045977011</v>
      </c>
      <c r="AX432">
        <v>6.8965517241379309E-2</v>
      </c>
      <c r="AY432">
        <v>0.36781609195402298</v>
      </c>
      <c r="AZ432" s="20">
        <v>1.1399999999999999</v>
      </c>
      <c r="BA432" s="20">
        <v>3.44</v>
      </c>
      <c r="BB432" s="20">
        <v>2.2999999999999998</v>
      </c>
      <c r="BC432" s="20">
        <v>2.7654545454545452</v>
      </c>
      <c r="BD432">
        <v>2.7654545454545461</v>
      </c>
      <c r="BE432">
        <v>6.4215922727137267</v>
      </c>
    </row>
    <row r="433" spans="1:57" x14ac:dyDescent="0.3">
      <c r="A433" t="s">
        <v>355</v>
      </c>
      <c r="B433" s="12" t="s">
        <v>835</v>
      </c>
      <c r="C433" s="12"/>
      <c r="F433">
        <v>4.49</v>
      </c>
      <c r="G433" t="s">
        <v>357</v>
      </c>
      <c r="H433" s="8">
        <v>-1</v>
      </c>
      <c r="I433">
        <v>-1</v>
      </c>
      <c r="J433" t="s">
        <v>1180</v>
      </c>
      <c r="N433" s="20">
        <v>0</v>
      </c>
      <c r="O433">
        <v>-1</v>
      </c>
      <c r="P433"/>
      <c r="Q433"/>
      <c r="T433" s="20">
        <v>0</v>
      </c>
      <c r="W433"/>
      <c r="AO433">
        <v>14</v>
      </c>
      <c r="AP433" s="20">
        <v>0</v>
      </c>
      <c r="AR433" s="23">
        <v>1.9090909090909089</v>
      </c>
      <c r="AS433" s="23">
        <v>2.545454545454545</v>
      </c>
      <c r="AT433" s="23">
        <v>0.54545454545454541</v>
      </c>
      <c r="AU433" s="23">
        <v>2.9090909090909092</v>
      </c>
      <c r="AV433" s="23">
        <v>0.2413793103448276</v>
      </c>
      <c r="AW433" s="23">
        <v>0.32183908045977011</v>
      </c>
      <c r="AX433" s="23">
        <v>6.8965517241379309E-2</v>
      </c>
      <c r="AY433" s="23">
        <v>0.36781609195402298</v>
      </c>
      <c r="AZ433" s="20">
        <v>0.98</v>
      </c>
      <c r="BA433" s="20">
        <v>3.44</v>
      </c>
      <c r="BB433" s="20">
        <v>2.46</v>
      </c>
      <c r="BC433" s="20">
        <v>2.6545454545454539</v>
      </c>
      <c r="BD433">
        <v>2.6545454545454539</v>
      </c>
      <c r="BE433">
        <v>6.0423528007272722</v>
      </c>
    </row>
    <row r="434" spans="1:57" x14ac:dyDescent="0.3">
      <c r="A434" t="s">
        <v>143</v>
      </c>
      <c r="B434" s="12" t="s">
        <v>767</v>
      </c>
      <c r="C434" s="12"/>
      <c r="F434">
        <v>4.38</v>
      </c>
      <c r="G434" t="s">
        <v>357</v>
      </c>
      <c r="H434" s="8">
        <v>-1</v>
      </c>
      <c r="I434">
        <v>-1</v>
      </c>
      <c r="J434" t="s">
        <v>1181</v>
      </c>
      <c r="N434" s="20">
        <v>0</v>
      </c>
      <c r="O434">
        <v>-1</v>
      </c>
      <c r="P434"/>
      <c r="Q434">
        <v>21.024000000000001</v>
      </c>
      <c r="T434" s="20">
        <v>0</v>
      </c>
      <c r="W434"/>
      <c r="AO434">
        <v>14</v>
      </c>
      <c r="AP434" s="20">
        <v>0</v>
      </c>
      <c r="AR434" s="23">
        <v>1.9090909090909089</v>
      </c>
      <c r="AS434" s="23">
        <v>2.545454545454545</v>
      </c>
      <c r="AT434" s="23">
        <v>0.54545454545454541</v>
      </c>
      <c r="AU434" s="23">
        <v>2.9090909090909092</v>
      </c>
      <c r="AV434" s="23">
        <v>0.2413793103448276</v>
      </c>
      <c r="AW434" s="23">
        <v>0.32183908045977011</v>
      </c>
      <c r="AX434" s="23">
        <v>6.8965517241379309E-2</v>
      </c>
      <c r="AY434" s="23">
        <v>0.36781609195402298</v>
      </c>
      <c r="AZ434" s="20">
        <v>0.93</v>
      </c>
      <c r="BA434" s="20">
        <v>3.44</v>
      </c>
      <c r="BB434" s="20">
        <v>2.5099999999999998</v>
      </c>
      <c r="BC434" s="20">
        <v>2.65</v>
      </c>
      <c r="BD434">
        <v>2.649999999999999</v>
      </c>
      <c r="BE434">
        <v>6.0276818459090906</v>
      </c>
    </row>
    <row r="435" spans="1:57" x14ac:dyDescent="0.3">
      <c r="A435" t="s">
        <v>356</v>
      </c>
      <c r="B435" s="12" t="s">
        <v>836</v>
      </c>
      <c r="C435" s="12"/>
      <c r="F435">
        <v>4.38</v>
      </c>
      <c r="G435" t="s">
        <v>357</v>
      </c>
      <c r="H435" s="8">
        <v>-1</v>
      </c>
      <c r="I435">
        <v>-1</v>
      </c>
      <c r="J435" t="s">
        <v>1182</v>
      </c>
      <c r="N435" s="20">
        <v>0</v>
      </c>
      <c r="O435">
        <v>-1</v>
      </c>
      <c r="P435"/>
      <c r="Q435"/>
      <c r="T435" s="20">
        <v>0</v>
      </c>
      <c r="W435"/>
      <c r="AO435">
        <v>14</v>
      </c>
      <c r="AP435" s="20">
        <v>0</v>
      </c>
      <c r="AR435" s="23">
        <v>1.9090909090909089</v>
      </c>
      <c r="AS435" s="23">
        <v>2.545454545454545</v>
      </c>
      <c r="AT435" s="23">
        <v>0.54545454545454541</v>
      </c>
      <c r="AU435" s="23">
        <v>2.9090909090909092</v>
      </c>
      <c r="AV435" s="23">
        <v>0.2413793103448276</v>
      </c>
      <c r="AW435" s="23">
        <v>0.32183908045977011</v>
      </c>
      <c r="AX435" s="23">
        <v>6.8965517241379309E-2</v>
      </c>
      <c r="AY435" s="23">
        <v>0.36781609195402298</v>
      </c>
      <c r="AZ435" s="20">
        <v>0.82</v>
      </c>
      <c r="BA435" s="20">
        <v>3.44</v>
      </c>
      <c r="BB435" s="20">
        <v>2.62</v>
      </c>
      <c r="BC435" s="20">
        <v>2.64</v>
      </c>
      <c r="BD435">
        <v>2.64</v>
      </c>
      <c r="BE435">
        <v>5.9892781936363626</v>
      </c>
    </row>
    <row r="436" spans="1:57" x14ac:dyDescent="0.3">
      <c r="A436" t="s">
        <v>12</v>
      </c>
      <c r="B436" s="12" t="s">
        <v>697</v>
      </c>
      <c r="C436" s="12"/>
      <c r="F436">
        <v>4.54</v>
      </c>
      <c r="G436" t="s">
        <v>357</v>
      </c>
      <c r="H436" s="8">
        <v>-1</v>
      </c>
      <c r="I436">
        <v>-1</v>
      </c>
      <c r="J436" t="s">
        <v>1145</v>
      </c>
      <c r="N436" s="20">
        <v>0</v>
      </c>
      <c r="O436">
        <v>-1</v>
      </c>
      <c r="P436"/>
      <c r="Q436"/>
      <c r="T436" s="20">
        <v>0</v>
      </c>
      <c r="W436"/>
      <c r="AO436">
        <v>14</v>
      </c>
      <c r="AP436" s="20">
        <v>0</v>
      </c>
      <c r="AR436" s="23">
        <v>1.9090909090909089</v>
      </c>
      <c r="AS436" s="23">
        <v>2.545454545454545</v>
      </c>
      <c r="AT436" s="23">
        <v>0.54545454545454541</v>
      </c>
      <c r="AU436" s="23">
        <v>2.9090909090909092</v>
      </c>
      <c r="AV436" s="23">
        <v>0.2413793103448276</v>
      </c>
      <c r="AW436" s="23">
        <v>0.32183908045977011</v>
      </c>
      <c r="AX436" s="23">
        <v>6.8965517241379309E-2</v>
      </c>
      <c r="AY436" s="23">
        <v>0.36781609195402298</v>
      </c>
      <c r="AZ436" s="20">
        <v>0.82</v>
      </c>
      <c r="BA436" s="20">
        <v>3.44</v>
      </c>
      <c r="BB436" s="20">
        <v>2.62</v>
      </c>
      <c r="BC436" s="20">
        <v>2.64</v>
      </c>
      <c r="BD436">
        <v>2.64</v>
      </c>
      <c r="BE436">
        <v>5.9811382595454541</v>
      </c>
    </row>
    <row r="437" spans="1:57" x14ac:dyDescent="0.3">
      <c r="A437" t="s">
        <v>144</v>
      </c>
      <c r="B437" s="12" t="s">
        <v>768</v>
      </c>
      <c r="C437" s="12"/>
      <c r="F437">
        <v>4.4000000000000004</v>
      </c>
      <c r="G437" t="s">
        <v>357</v>
      </c>
      <c r="H437" s="8">
        <v>-1</v>
      </c>
      <c r="I437">
        <v>-1</v>
      </c>
      <c r="J437" t="s">
        <v>1183</v>
      </c>
      <c r="N437" s="20">
        <v>0</v>
      </c>
      <c r="O437">
        <v>-1</v>
      </c>
      <c r="P437"/>
      <c r="Q437"/>
      <c r="T437" s="20">
        <v>0</v>
      </c>
      <c r="W437"/>
      <c r="AO437">
        <v>14</v>
      </c>
      <c r="AP437" s="20">
        <v>0</v>
      </c>
      <c r="AR437" s="23">
        <v>1.9090909090909089</v>
      </c>
      <c r="AS437" s="23">
        <v>2.545454545454545</v>
      </c>
      <c r="AT437" s="23">
        <v>0.54545454545454541</v>
      </c>
      <c r="AU437" s="23">
        <v>2.9090909090909092</v>
      </c>
      <c r="AV437" s="23">
        <v>0.2413793103448276</v>
      </c>
      <c r="AW437" s="23">
        <v>0.32183908045977011</v>
      </c>
      <c r="AX437" s="23">
        <v>6.8965517241379309E-2</v>
      </c>
      <c r="AY437" s="23">
        <v>0.36781609195402298</v>
      </c>
      <c r="AZ437" s="20">
        <v>0.79</v>
      </c>
      <c r="BA437" s="20">
        <v>3.44</v>
      </c>
      <c r="BB437" s="20">
        <v>2.65</v>
      </c>
      <c r="BC437" s="20">
        <v>2.6372727272727272</v>
      </c>
      <c r="BD437">
        <v>2.6372727272727272</v>
      </c>
      <c r="BE437">
        <v>5.967615153519545</v>
      </c>
    </row>
    <row r="438" spans="1:57" x14ac:dyDescent="0.3">
      <c r="A438" t="s">
        <v>63</v>
      </c>
      <c r="B438" s="12" t="s">
        <v>773</v>
      </c>
      <c r="C438" s="12"/>
      <c r="F438">
        <v>3.5</v>
      </c>
      <c r="G438" t="s">
        <v>361</v>
      </c>
      <c r="H438" s="8">
        <v>-1</v>
      </c>
      <c r="I438">
        <v>-1</v>
      </c>
      <c r="N438" s="20">
        <v>0</v>
      </c>
      <c r="O438">
        <v>3.82</v>
      </c>
      <c r="P438">
        <v>3.82</v>
      </c>
      <c r="Q438">
        <v>16</v>
      </c>
      <c r="R438" t="s">
        <v>519</v>
      </c>
      <c r="S438">
        <v>16</v>
      </c>
      <c r="T438" s="20">
        <v>0</v>
      </c>
      <c r="W438"/>
      <c r="AO438">
        <v>20</v>
      </c>
      <c r="AP438" s="20">
        <v>0</v>
      </c>
      <c r="AR438" s="23">
        <v>1.75</v>
      </c>
      <c r="AS438" s="23">
        <v>2.5</v>
      </c>
      <c r="AT438" s="23">
        <v>0.75</v>
      </c>
      <c r="AU438" s="23">
        <v>0</v>
      </c>
      <c r="AV438" s="23">
        <v>0.35</v>
      </c>
      <c r="AW438" s="23">
        <v>0.5</v>
      </c>
      <c r="AX438" s="23">
        <v>0.15</v>
      </c>
      <c r="AY438" s="23">
        <v>0</v>
      </c>
      <c r="AZ438" s="20">
        <v>1</v>
      </c>
      <c r="BA438" s="20">
        <v>3.44</v>
      </c>
      <c r="BB438" s="20">
        <v>2.44</v>
      </c>
      <c r="BC438" s="20">
        <v>2.7124999999999999</v>
      </c>
      <c r="BD438">
        <v>2.7124999999999999</v>
      </c>
      <c r="BE438">
        <v>6.264025610615688</v>
      </c>
    </row>
    <row r="439" spans="1:57" x14ac:dyDescent="0.3">
      <c r="A439" t="s">
        <v>366</v>
      </c>
      <c r="B439" s="17" t="s">
        <v>1024</v>
      </c>
      <c r="C439" s="12"/>
      <c r="F439">
        <v>3.62</v>
      </c>
      <c r="G439" t="s">
        <v>361</v>
      </c>
      <c r="H439" s="8">
        <v>-1</v>
      </c>
      <c r="I439">
        <v>-1</v>
      </c>
      <c r="N439" s="20">
        <v>0</v>
      </c>
      <c r="O439">
        <v>3.86</v>
      </c>
      <c r="P439">
        <v>3.86</v>
      </c>
      <c r="Q439">
        <v>25.4</v>
      </c>
      <c r="R439" t="s">
        <v>519</v>
      </c>
      <c r="S439">
        <v>25.4</v>
      </c>
      <c r="T439" s="20">
        <v>0</v>
      </c>
      <c r="W439"/>
      <c r="AO439">
        <v>20</v>
      </c>
      <c r="AP439" s="20">
        <v>0</v>
      </c>
      <c r="AR439" s="23">
        <v>1.53125</v>
      </c>
      <c r="AS439" s="23">
        <v>1.59375</v>
      </c>
      <c r="AT439" s="23">
        <v>0.375</v>
      </c>
      <c r="AU439" s="23">
        <v>0</v>
      </c>
      <c r="AV439" s="23">
        <v>0.4375</v>
      </c>
      <c r="AW439" s="23">
        <v>0.45535714285714279</v>
      </c>
      <c r="AX439" s="23">
        <v>0.1071428571428571</v>
      </c>
      <c r="AY439" s="23">
        <v>0</v>
      </c>
      <c r="AZ439" s="20">
        <v>1</v>
      </c>
      <c r="BA439" s="20">
        <v>3.44</v>
      </c>
      <c r="BB439" s="20">
        <v>2.44</v>
      </c>
      <c r="BC439" s="20">
        <v>2.5262500000000001</v>
      </c>
      <c r="BD439">
        <v>2.5262500000000001</v>
      </c>
      <c r="BE439">
        <v>6.6075924153816246</v>
      </c>
    </row>
    <row r="440" spans="1:57" x14ac:dyDescent="0.3">
      <c r="A440" t="s">
        <v>347</v>
      </c>
      <c r="B440" s="17" t="s">
        <v>1025</v>
      </c>
      <c r="C440" s="12"/>
      <c r="F440">
        <v>3.5</v>
      </c>
      <c r="G440" t="s">
        <v>361</v>
      </c>
      <c r="H440" s="8">
        <v>-1</v>
      </c>
      <c r="I440">
        <v>-1</v>
      </c>
      <c r="N440" s="20">
        <v>0</v>
      </c>
      <c r="O440">
        <v>3.86</v>
      </c>
      <c r="P440">
        <v>3.86</v>
      </c>
      <c r="Q440">
        <v>35.799999999999997</v>
      </c>
      <c r="R440" t="s">
        <v>519</v>
      </c>
      <c r="S440">
        <v>17.899999999999999</v>
      </c>
      <c r="T440" s="20">
        <v>0</v>
      </c>
      <c r="W440"/>
      <c r="AO440">
        <v>22</v>
      </c>
      <c r="AP440" s="20">
        <v>0</v>
      </c>
      <c r="AR440" s="23">
        <v>1.6</v>
      </c>
      <c r="AS440" s="23">
        <v>1.92</v>
      </c>
      <c r="AT440" s="23">
        <v>0.48</v>
      </c>
      <c r="AU440" s="23">
        <v>0</v>
      </c>
      <c r="AV440" s="23">
        <v>0.4</v>
      </c>
      <c r="AW440" s="23">
        <v>0.48</v>
      </c>
      <c r="AX440" s="23">
        <v>0.12</v>
      </c>
      <c r="AY440" s="23">
        <v>0</v>
      </c>
      <c r="AZ440" s="20">
        <v>1</v>
      </c>
      <c r="BA440" s="20">
        <v>3.44</v>
      </c>
      <c r="BB440" s="20">
        <v>2.44</v>
      </c>
      <c r="BC440" s="20">
        <v>2.6055999999999999</v>
      </c>
      <c r="BD440">
        <v>2.6055999999999999</v>
      </c>
      <c r="BE440">
        <v>6.5338195732382802</v>
      </c>
    </row>
    <row r="441" spans="1:57" x14ac:dyDescent="0.3">
      <c r="A441" t="s">
        <v>358</v>
      </c>
      <c r="B441" s="12" t="s">
        <v>837</v>
      </c>
      <c r="C441" s="12"/>
      <c r="F441">
        <v>3.44</v>
      </c>
      <c r="G441" t="s">
        <v>361</v>
      </c>
      <c r="H441" s="8">
        <v>-1</v>
      </c>
      <c r="I441">
        <v>-1</v>
      </c>
      <c r="N441" s="20">
        <v>0</v>
      </c>
      <c r="O441">
        <v>3.79</v>
      </c>
      <c r="P441">
        <v>3.79</v>
      </c>
      <c r="Q441">
        <v>27.2</v>
      </c>
      <c r="R441" t="s">
        <v>519</v>
      </c>
      <c r="S441">
        <v>13.6</v>
      </c>
      <c r="T441" s="20">
        <v>0</v>
      </c>
      <c r="W441"/>
      <c r="AO441">
        <v>20</v>
      </c>
      <c r="AP441" s="20">
        <v>0</v>
      </c>
      <c r="AR441" s="23">
        <v>1.9375</v>
      </c>
      <c r="AS441" s="23">
        <v>2.5</v>
      </c>
      <c r="AT441" s="23">
        <v>0.5</v>
      </c>
      <c r="AU441" s="23">
        <v>0</v>
      </c>
      <c r="AV441" s="23">
        <v>0.39240506329113922</v>
      </c>
      <c r="AW441" s="23">
        <v>0.50632911392405067</v>
      </c>
      <c r="AX441" s="23">
        <v>0.1012658227848101</v>
      </c>
      <c r="AY441" s="23">
        <v>0</v>
      </c>
      <c r="AZ441" s="20">
        <v>1.1000000000000001</v>
      </c>
      <c r="BA441" s="20">
        <v>3.44</v>
      </c>
      <c r="BB441" s="20">
        <v>2.34</v>
      </c>
      <c r="BC441" s="20">
        <v>2.7137500000000001</v>
      </c>
      <c r="BD441">
        <v>2.7137500000000001</v>
      </c>
      <c r="BE441">
        <v>6.1913913437406878</v>
      </c>
    </row>
    <row r="442" spans="1:57" x14ac:dyDescent="0.3">
      <c r="A442" t="s">
        <v>359</v>
      </c>
      <c r="B442" s="17" t="s">
        <v>1026</v>
      </c>
      <c r="C442" s="12"/>
      <c r="F442">
        <v>3.39</v>
      </c>
      <c r="G442" t="s">
        <v>361</v>
      </c>
      <c r="H442" s="8">
        <v>-1</v>
      </c>
      <c r="I442">
        <v>-1</v>
      </c>
      <c r="N442" s="20">
        <v>0</v>
      </c>
      <c r="O442">
        <v>3.82</v>
      </c>
      <c r="P442">
        <v>3.82</v>
      </c>
      <c r="Q442">
        <v>20.2</v>
      </c>
      <c r="R442" t="s">
        <v>519</v>
      </c>
      <c r="S442">
        <v>20.2</v>
      </c>
      <c r="T442" s="20">
        <v>0</v>
      </c>
      <c r="W442"/>
      <c r="AO442">
        <v>20</v>
      </c>
      <c r="AP442" s="20">
        <v>0</v>
      </c>
      <c r="AR442" s="23">
        <v>1.6923076923076921</v>
      </c>
      <c r="AS442" s="23">
        <v>1.8076923076923079</v>
      </c>
      <c r="AT442" s="23">
        <v>0.30769230769230771</v>
      </c>
      <c r="AU442" s="23">
        <v>0</v>
      </c>
      <c r="AV442" s="23">
        <v>0.44444444444444448</v>
      </c>
      <c r="AW442" s="23">
        <v>0.47474747474747481</v>
      </c>
      <c r="AX442" s="23">
        <v>8.0808080808080815E-2</v>
      </c>
      <c r="AY442" s="23">
        <v>0</v>
      </c>
      <c r="AZ442" s="20">
        <v>1.1000000000000001</v>
      </c>
      <c r="BA442" s="20">
        <v>3.44</v>
      </c>
      <c r="BB442" s="20">
        <v>2.34</v>
      </c>
      <c r="BC442" s="20">
        <v>2.5753846153846158</v>
      </c>
      <c r="BD442">
        <v>2.5753846153846149</v>
      </c>
      <c r="BE442">
        <v>6.5020131619541548</v>
      </c>
    </row>
    <row r="443" spans="1:57" x14ac:dyDescent="0.3">
      <c r="A443" t="s">
        <v>360</v>
      </c>
      <c r="B443" s="17" t="s">
        <v>1027</v>
      </c>
      <c r="C443" s="12"/>
      <c r="F443">
        <v>3.41</v>
      </c>
      <c r="G443" t="s">
        <v>361</v>
      </c>
      <c r="H443" s="8">
        <v>-1</v>
      </c>
      <c r="I443">
        <v>-1</v>
      </c>
      <c r="N443" s="20">
        <v>0</v>
      </c>
      <c r="O443">
        <v>3.83</v>
      </c>
      <c r="P443">
        <v>3.83</v>
      </c>
      <c r="Q443">
        <v>39.5</v>
      </c>
      <c r="R443" t="s">
        <v>519</v>
      </c>
      <c r="S443">
        <v>19.8</v>
      </c>
      <c r="T443" s="20">
        <v>0</v>
      </c>
      <c r="W443"/>
      <c r="AO443">
        <v>22</v>
      </c>
      <c r="AP443" s="20">
        <v>0</v>
      </c>
      <c r="AR443" s="23">
        <v>1.72</v>
      </c>
      <c r="AS443" s="23">
        <v>1.92</v>
      </c>
      <c r="AT443" s="23">
        <v>0.32</v>
      </c>
      <c r="AU443" s="23">
        <v>0</v>
      </c>
      <c r="AV443" s="23">
        <v>0.43434343434343442</v>
      </c>
      <c r="AW443" s="23">
        <v>0.48484848484848492</v>
      </c>
      <c r="AX443" s="23">
        <v>8.0808080808080815E-2</v>
      </c>
      <c r="AY443" s="23">
        <v>0</v>
      </c>
      <c r="AZ443" s="20">
        <v>1.1000000000000001</v>
      </c>
      <c r="BA443" s="20">
        <v>3.44</v>
      </c>
      <c r="BB443" s="20">
        <v>2.34</v>
      </c>
      <c r="BC443" s="20">
        <v>2.6063999999999998</v>
      </c>
      <c r="BD443">
        <v>2.6063999999999998</v>
      </c>
      <c r="BE443">
        <v>6.4873336424382799</v>
      </c>
    </row>
    <row r="444" spans="1:57" s="4" customFormat="1" x14ac:dyDescent="0.3">
      <c r="A444" t="s">
        <v>63</v>
      </c>
      <c r="B444" s="12" t="s">
        <v>773</v>
      </c>
      <c r="C444" s="12"/>
      <c r="D444"/>
      <c r="E444"/>
      <c r="F444">
        <v>3.49</v>
      </c>
      <c r="G444" t="s">
        <v>362</v>
      </c>
      <c r="H444" s="8">
        <v>-1</v>
      </c>
      <c r="I444">
        <v>-1</v>
      </c>
      <c r="J444"/>
      <c r="K444"/>
      <c r="L444"/>
      <c r="M444"/>
      <c r="N444" s="20">
        <v>0</v>
      </c>
      <c r="O444">
        <v>3.8531</v>
      </c>
      <c r="P444">
        <v>3.8531</v>
      </c>
      <c r="Q444">
        <v>16.2151</v>
      </c>
      <c r="R444" t="s">
        <v>519</v>
      </c>
      <c r="T444" s="31">
        <v>0</v>
      </c>
      <c r="AO444" s="4">
        <v>20</v>
      </c>
      <c r="AP444" s="31">
        <v>0</v>
      </c>
      <c r="AR444" s="4">
        <v>1.75</v>
      </c>
      <c r="AS444" s="4">
        <v>2.5</v>
      </c>
      <c r="AT444" s="4">
        <v>0.75</v>
      </c>
      <c r="AU444" s="4">
        <v>0</v>
      </c>
      <c r="AV444" s="4">
        <v>0.35</v>
      </c>
      <c r="AW444" s="4">
        <v>0.5</v>
      </c>
      <c r="AX444" s="4">
        <v>0.15</v>
      </c>
      <c r="AY444" s="4">
        <v>0</v>
      </c>
      <c r="AZ444" s="31">
        <v>1</v>
      </c>
      <c r="BA444" s="31">
        <v>3.44</v>
      </c>
      <c r="BB444" s="31">
        <v>2.44</v>
      </c>
      <c r="BC444" s="31">
        <v>2.7124999999999999</v>
      </c>
      <c r="BD444" s="4">
        <v>2.7124999999999999</v>
      </c>
      <c r="BE444" s="4">
        <v>6.264025610615688</v>
      </c>
    </row>
    <row r="445" spans="1:57" s="4" customFormat="1" x14ac:dyDescent="0.3">
      <c r="A445" t="s">
        <v>363</v>
      </c>
      <c r="B445" s="17" t="s">
        <v>1028</v>
      </c>
      <c r="C445" s="12"/>
      <c r="D445"/>
      <c r="E445"/>
      <c r="F445">
        <v>3.56</v>
      </c>
      <c r="G445" t="s">
        <v>362</v>
      </c>
      <c r="H445" s="8">
        <v>-1</v>
      </c>
      <c r="I445">
        <v>-1</v>
      </c>
      <c r="J445"/>
      <c r="K445"/>
      <c r="L445"/>
      <c r="M445"/>
      <c r="N445" s="20">
        <v>0</v>
      </c>
      <c r="O445">
        <v>3.86</v>
      </c>
      <c r="P445">
        <v>3.86</v>
      </c>
      <c r="Q445">
        <v>16.079999999999998</v>
      </c>
      <c r="R445" t="s">
        <v>519</v>
      </c>
      <c r="T445" s="31">
        <v>0</v>
      </c>
      <c r="AO445" s="4">
        <v>20</v>
      </c>
      <c r="AP445" s="31">
        <v>0</v>
      </c>
      <c r="AR445" s="4">
        <v>1.5909090909090911</v>
      </c>
      <c r="AS445" s="4">
        <v>1.9090909090909089</v>
      </c>
      <c r="AT445" s="4">
        <v>0.54545454545454541</v>
      </c>
      <c r="AU445" s="4">
        <v>0</v>
      </c>
      <c r="AV445" s="4">
        <v>0.3932584269662921</v>
      </c>
      <c r="AW445" s="4">
        <v>0.47191011235955049</v>
      </c>
      <c r="AX445" s="4">
        <v>0.1348314606741573</v>
      </c>
      <c r="AY445" s="4">
        <v>0</v>
      </c>
      <c r="AZ445" s="31">
        <v>1</v>
      </c>
      <c r="BA445" s="31">
        <v>3.44</v>
      </c>
      <c r="BB445" s="31">
        <v>2.44</v>
      </c>
      <c r="BC445" s="31">
        <v>2.5886363636363638</v>
      </c>
      <c r="BD445" s="4">
        <v>2.588636363636363</v>
      </c>
      <c r="BE445" s="4">
        <v>6.4712814579593632</v>
      </c>
    </row>
    <row r="446" spans="1:57" s="4" customFormat="1" x14ac:dyDescent="0.3">
      <c r="A446" t="s">
        <v>364</v>
      </c>
      <c r="B446" s="17" t="s">
        <v>1029</v>
      </c>
      <c r="C446" s="12"/>
      <c r="D446"/>
      <c r="E446"/>
      <c r="F446">
        <v>3.6</v>
      </c>
      <c r="G446" t="s">
        <v>362</v>
      </c>
      <c r="H446" s="8">
        <v>-1</v>
      </c>
      <c r="I446">
        <v>-1</v>
      </c>
      <c r="J446"/>
      <c r="K446"/>
      <c r="L446"/>
      <c r="M446"/>
      <c r="N446" s="20">
        <v>0</v>
      </c>
      <c r="O446">
        <v>3.87</v>
      </c>
      <c r="P446">
        <v>3.87</v>
      </c>
      <c r="Q446">
        <v>20.49</v>
      </c>
      <c r="R446" t="s">
        <v>519</v>
      </c>
      <c r="T446" s="31">
        <v>0</v>
      </c>
      <c r="AO446" s="4">
        <v>20</v>
      </c>
      <c r="AP446" s="31">
        <v>0</v>
      </c>
      <c r="AR446" s="4">
        <v>1.56</v>
      </c>
      <c r="AS446" s="4">
        <v>1.76</v>
      </c>
      <c r="AT446" s="4">
        <v>0.48</v>
      </c>
      <c r="AU446" s="4">
        <v>0</v>
      </c>
      <c r="AV446" s="4">
        <v>0.41052631578947368</v>
      </c>
      <c r="AW446" s="4">
        <v>0.4631578947368421</v>
      </c>
      <c r="AX446" s="4">
        <v>0.12631578947368419</v>
      </c>
      <c r="AY446" s="4">
        <v>0</v>
      </c>
      <c r="AZ446" s="31">
        <v>1</v>
      </c>
      <c r="BA446" s="31">
        <v>3.44</v>
      </c>
      <c r="BB446" s="31">
        <v>2.44</v>
      </c>
      <c r="BC446" s="31">
        <v>2.556</v>
      </c>
      <c r="BD446" s="4">
        <v>2.556</v>
      </c>
      <c r="BE446" s="4">
        <v>6.5192970192323214</v>
      </c>
    </row>
    <row r="447" spans="1:57" s="4" customFormat="1" x14ac:dyDescent="0.3">
      <c r="A447" t="s">
        <v>365</v>
      </c>
      <c r="B447" s="17" t="s">
        <v>1030</v>
      </c>
      <c r="C447" s="12"/>
      <c r="D447"/>
      <c r="E447"/>
      <c r="F447">
        <v>3.55</v>
      </c>
      <c r="G447" t="s">
        <v>362</v>
      </c>
      <c r="H447" s="8">
        <v>-1</v>
      </c>
      <c r="I447">
        <v>-1</v>
      </c>
      <c r="J447"/>
      <c r="K447"/>
      <c r="L447"/>
      <c r="M447"/>
      <c r="N447" s="20">
        <v>0</v>
      </c>
      <c r="O447">
        <v>3.87</v>
      </c>
      <c r="P447">
        <v>3.87</v>
      </c>
      <c r="Q447">
        <v>22.22</v>
      </c>
      <c r="R447" t="s">
        <v>519</v>
      </c>
      <c r="T447" s="31">
        <v>0</v>
      </c>
      <c r="AO447" s="4">
        <v>20</v>
      </c>
      <c r="AP447" s="31">
        <v>0</v>
      </c>
      <c r="AR447" s="4">
        <v>1.535714285714286</v>
      </c>
      <c r="AS447" s="4">
        <v>1.642857142857143</v>
      </c>
      <c r="AT447" s="4">
        <v>0.42857142857142849</v>
      </c>
      <c r="AU447" s="4">
        <v>0</v>
      </c>
      <c r="AV447" s="4">
        <v>0.42574257425742579</v>
      </c>
      <c r="AW447" s="4">
        <v>0.45544554455445541</v>
      </c>
      <c r="AX447" s="4">
        <v>0.11881188118811881</v>
      </c>
      <c r="AY447" s="4">
        <v>0</v>
      </c>
      <c r="AZ447" s="31">
        <v>1</v>
      </c>
      <c r="BA447" s="31">
        <v>3.44</v>
      </c>
      <c r="BB447" s="31">
        <v>2.44</v>
      </c>
      <c r="BC447" s="31">
        <v>2.530357142857143</v>
      </c>
      <c r="BD447" s="4">
        <v>2.530357142857143</v>
      </c>
      <c r="BE447" s="4">
        <v>6.5570235316610717</v>
      </c>
    </row>
    <row r="448" spans="1:57" s="4" customFormat="1" x14ac:dyDescent="0.3">
      <c r="A448" t="s">
        <v>366</v>
      </c>
      <c r="B448" s="17" t="s">
        <v>1031</v>
      </c>
      <c r="C448" s="12"/>
      <c r="D448"/>
      <c r="E448"/>
      <c r="F448">
        <v>3.62</v>
      </c>
      <c r="G448" t="s">
        <v>362</v>
      </c>
      <c r="H448" s="8">
        <v>-1</v>
      </c>
      <c r="I448">
        <v>-1</v>
      </c>
      <c r="J448"/>
      <c r="K448"/>
      <c r="L448"/>
      <c r="M448"/>
      <c r="N448" s="20">
        <v>0</v>
      </c>
      <c r="O448">
        <v>3.86</v>
      </c>
      <c r="P448">
        <v>3.86</v>
      </c>
      <c r="Q448">
        <v>25.35</v>
      </c>
      <c r="R448" t="s">
        <v>519</v>
      </c>
      <c r="T448" s="31">
        <v>0</v>
      </c>
      <c r="AO448" s="4">
        <v>20</v>
      </c>
      <c r="AP448" s="31">
        <v>0</v>
      </c>
      <c r="AR448" s="4">
        <v>1.5161290322580649</v>
      </c>
      <c r="AS448" s="4">
        <v>1.5483870967741939</v>
      </c>
      <c r="AT448" s="4">
        <v>0.38709677419354838</v>
      </c>
      <c r="AU448" s="4">
        <v>0</v>
      </c>
      <c r="AV448" s="4">
        <v>0.43925233644859812</v>
      </c>
      <c r="AW448" s="4">
        <v>0.44859813084112149</v>
      </c>
      <c r="AX448" s="4">
        <v>0.1121495327102804</v>
      </c>
      <c r="AY448" s="4">
        <v>0</v>
      </c>
      <c r="AZ448" s="31">
        <v>1</v>
      </c>
      <c r="BA448" s="31">
        <v>3.44</v>
      </c>
      <c r="BB448" s="31">
        <v>2.44</v>
      </c>
      <c r="BC448" s="31">
        <v>2.5096774193548388</v>
      </c>
      <c r="BD448" s="4">
        <v>2.5096774193548388</v>
      </c>
      <c r="BE448" s="4">
        <v>6.587448138458452</v>
      </c>
    </row>
    <row r="449" spans="1:57" s="4" customFormat="1" x14ac:dyDescent="0.3">
      <c r="A449" t="s">
        <v>367</v>
      </c>
      <c r="B449" s="17" t="s">
        <v>1032</v>
      </c>
      <c r="C449" s="12"/>
      <c r="D449"/>
      <c r="E449"/>
      <c r="F449">
        <v>3.55</v>
      </c>
      <c r="G449" t="s">
        <v>362</v>
      </c>
      <c r="H449" s="8">
        <v>-1</v>
      </c>
      <c r="I449">
        <v>-1</v>
      </c>
      <c r="J449"/>
      <c r="K449"/>
      <c r="L449"/>
      <c r="M449"/>
      <c r="N449" s="20">
        <v>0</v>
      </c>
      <c r="O449">
        <v>3.86</v>
      </c>
      <c r="P449">
        <v>3.86</v>
      </c>
      <c r="Q449">
        <v>29.53</v>
      </c>
      <c r="R449" t="s">
        <v>519</v>
      </c>
      <c r="T449" s="31">
        <v>0</v>
      </c>
      <c r="AO449" s="4">
        <v>20</v>
      </c>
      <c r="AP449" s="31">
        <v>0</v>
      </c>
      <c r="AR449" s="4">
        <v>1.486486486486486</v>
      </c>
      <c r="AS449" s="4">
        <v>1.405405405405405</v>
      </c>
      <c r="AT449" s="4">
        <v>0.32432432432432429</v>
      </c>
      <c r="AU449" s="4">
        <v>0</v>
      </c>
      <c r="AV449" s="4">
        <v>0.4621848739495798</v>
      </c>
      <c r="AW449" s="4">
        <v>0.43697478991596639</v>
      </c>
      <c r="AX449" s="4">
        <v>0.1008403361344538</v>
      </c>
      <c r="AY449" s="4">
        <v>0</v>
      </c>
      <c r="AZ449" s="31">
        <v>1</v>
      </c>
      <c r="BA449" s="31">
        <v>3.44</v>
      </c>
      <c r="BB449" s="31">
        <v>2.44</v>
      </c>
      <c r="BC449" s="31">
        <v>2.4783783783783782</v>
      </c>
      <c r="BD449" s="4">
        <v>2.478378378378379</v>
      </c>
      <c r="BE449" s="4">
        <v>6.6334961919896216</v>
      </c>
    </row>
    <row r="450" spans="1:57" s="4" customFormat="1" x14ac:dyDescent="0.3">
      <c r="A450" t="s">
        <v>368</v>
      </c>
      <c r="B450" s="17" t="s">
        <v>1033</v>
      </c>
      <c r="C450" s="12"/>
      <c r="D450"/>
      <c r="E450"/>
      <c r="F450">
        <v>2.6</v>
      </c>
      <c r="G450" t="s">
        <v>362</v>
      </c>
      <c r="H450" s="8">
        <v>-1</v>
      </c>
      <c r="I450">
        <v>-1</v>
      </c>
      <c r="J450"/>
      <c r="K450"/>
      <c r="L450"/>
      <c r="M450"/>
      <c r="N450" s="20">
        <v>0</v>
      </c>
      <c r="O450">
        <v>3.86</v>
      </c>
      <c r="P450">
        <v>3.86</v>
      </c>
      <c r="Q450">
        <v>33.53</v>
      </c>
      <c r="R450" t="s">
        <v>519</v>
      </c>
      <c r="T450" s="31">
        <v>0</v>
      </c>
      <c r="AO450" s="4">
        <v>20</v>
      </c>
      <c r="AP450" s="31">
        <v>0</v>
      </c>
      <c r="AR450" s="4">
        <v>1.4651162790697669</v>
      </c>
      <c r="AS450" s="4">
        <v>1.3023255813953489</v>
      </c>
      <c r="AT450" s="4">
        <v>0.27906976744186052</v>
      </c>
      <c r="AU450" s="4">
        <v>0</v>
      </c>
      <c r="AV450" s="4">
        <v>0.48091603053435111</v>
      </c>
      <c r="AW450" s="4">
        <v>0.4274809160305344</v>
      </c>
      <c r="AX450" s="4">
        <v>9.1603053435114504E-2</v>
      </c>
      <c r="AY450" s="4">
        <v>0</v>
      </c>
      <c r="AZ450" s="31">
        <v>1</v>
      </c>
      <c r="BA450" s="31">
        <v>3.44</v>
      </c>
      <c r="BB450" s="31">
        <v>2.44</v>
      </c>
      <c r="BC450" s="31">
        <v>2.4558139534883718</v>
      </c>
      <c r="BD450" s="4">
        <v>2.4558139534883718</v>
      </c>
      <c r="BE450" s="4">
        <v>6.6666936259306979</v>
      </c>
    </row>
    <row r="451" spans="1:57" x14ac:dyDescent="0.3">
      <c r="A451" t="s">
        <v>353</v>
      </c>
      <c r="B451" s="12" t="s">
        <v>834</v>
      </c>
      <c r="C451" s="12"/>
      <c r="F451">
        <v>3.44</v>
      </c>
      <c r="G451" t="s">
        <v>380</v>
      </c>
      <c r="H451" s="8">
        <v>-1</v>
      </c>
      <c r="I451">
        <v>-1</v>
      </c>
      <c r="N451" s="20">
        <v>0</v>
      </c>
      <c r="O451">
        <v>3.79</v>
      </c>
      <c r="P451">
        <v>3.79</v>
      </c>
      <c r="Q451">
        <v>27.2</v>
      </c>
      <c r="R451" t="s">
        <v>519</v>
      </c>
      <c r="S451">
        <v>13.6</v>
      </c>
      <c r="T451" s="20">
        <v>0</v>
      </c>
      <c r="W451"/>
      <c r="AO451">
        <v>20</v>
      </c>
      <c r="AP451" s="20">
        <v>0</v>
      </c>
      <c r="AR451" s="23">
        <v>1.882352941176471</v>
      </c>
      <c r="AS451" s="23">
        <v>2.3529411764705879</v>
      </c>
      <c r="AT451" s="23">
        <v>0.47058823529411759</v>
      </c>
      <c r="AU451" s="23">
        <v>0</v>
      </c>
      <c r="AV451" s="23">
        <v>0.4</v>
      </c>
      <c r="AW451" s="23">
        <v>0.5</v>
      </c>
      <c r="AX451" s="23">
        <v>9.9999999999999992E-2</v>
      </c>
      <c r="AY451" s="23">
        <v>0</v>
      </c>
      <c r="AZ451" s="20">
        <v>1.1000000000000001</v>
      </c>
      <c r="BA451" s="20">
        <v>3.44</v>
      </c>
      <c r="BB451" s="20">
        <v>2.34</v>
      </c>
      <c r="BC451" s="20">
        <v>2.6835294117647059</v>
      </c>
      <c r="BD451">
        <v>2.6835294117647059</v>
      </c>
      <c r="BE451">
        <v>6.2493398705707062</v>
      </c>
    </row>
    <row r="452" spans="1:57" x14ac:dyDescent="0.3">
      <c r="A452" t="s">
        <v>369</v>
      </c>
      <c r="B452" s="17" t="s">
        <v>1034</v>
      </c>
      <c r="C452" s="12"/>
      <c r="F452">
        <v>3.34</v>
      </c>
      <c r="G452" t="s">
        <v>380</v>
      </c>
      <c r="H452" s="8">
        <v>-1</v>
      </c>
      <c r="I452">
        <v>-1</v>
      </c>
      <c r="N452" s="20">
        <v>0</v>
      </c>
      <c r="O452">
        <v>3.83</v>
      </c>
      <c r="P452">
        <v>3.83</v>
      </c>
      <c r="Q452">
        <v>36.700000000000003</v>
      </c>
      <c r="R452" t="s">
        <v>519</v>
      </c>
      <c r="S452">
        <v>18.399999999999999</v>
      </c>
      <c r="T452" s="20">
        <v>0</v>
      </c>
      <c r="W452"/>
      <c r="AO452">
        <v>20</v>
      </c>
      <c r="AP452" s="20">
        <v>0</v>
      </c>
      <c r="AR452" s="23">
        <v>1.7391304347826091</v>
      </c>
      <c r="AS452" s="23">
        <v>1.956521739130435</v>
      </c>
      <c r="AT452" s="23">
        <v>0.34782608695652167</v>
      </c>
      <c r="AU452" s="23">
        <v>0</v>
      </c>
      <c r="AV452" s="23">
        <v>0.43010752688172038</v>
      </c>
      <c r="AW452" s="23">
        <v>0.48387096774193539</v>
      </c>
      <c r="AX452" s="23">
        <v>8.6021505376344079E-2</v>
      </c>
      <c r="AY452" s="23">
        <v>0</v>
      </c>
      <c r="AZ452" s="20">
        <v>1.1000000000000001</v>
      </c>
      <c r="BA452" s="20">
        <v>3.44</v>
      </c>
      <c r="BB452" s="20">
        <v>2.34</v>
      </c>
      <c r="BC452" s="20">
        <v>2.609130434782609</v>
      </c>
      <c r="BD452">
        <v>2.609130434782609</v>
      </c>
      <c r="BE452">
        <v>6.4538308176133041</v>
      </c>
    </row>
    <row r="453" spans="1:57" x14ac:dyDescent="0.3">
      <c r="A453" t="s">
        <v>370</v>
      </c>
      <c r="B453" s="17" t="s">
        <v>1026</v>
      </c>
      <c r="C453" s="12"/>
      <c r="F453">
        <v>3.39</v>
      </c>
      <c r="G453" t="s">
        <v>380</v>
      </c>
      <c r="H453" s="8">
        <v>-1</v>
      </c>
      <c r="I453">
        <v>-1</v>
      </c>
      <c r="N453" s="20">
        <v>0</v>
      </c>
      <c r="O453">
        <v>3.82</v>
      </c>
      <c r="P453">
        <v>3.82</v>
      </c>
      <c r="Q453">
        <v>20.2</v>
      </c>
      <c r="R453" t="s">
        <v>519</v>
      </c>
      <c r="S453">
        <v>20.2</v>
      </c>
      <c r="T453" s="20">
        <v>0</v>
      </c>
      <c r="W453"/>
      <c r="AO453">
        <v>20</v>
      </c>
      <c r="AP453" s="20">
        <v>0</v>
      </c>
      <c r="AR453" s="23">
        <v>1.6923076923076921</v>
      </c>
      <c r="AS453" s="23">
        <v>1.8076923076923079</v>
      </c>
      <c r="AT453" s="23">
        <v>0.30769230769230771</v>
      </c>
      <c r="AU453" s="23">
        <v>0</v>
      </c>
      <c r="AV453" s="23">
        <v>0.44444444444444448</v>
      </c>
      <c r="AW453" s="23">
        <v>0.47474747474747481</v>
      </c>
      <c r="AX453" s="23">
        <v>8.0808080808080815E-2</v>
      </c>
      <c r="AY453" s="23">
        <v>0</v>
      </c>
      <c r="AZ453" s="20">
        <v>1.1000000000000001</v>
      </c>
      <c r="BA453" s="20">
        <v>3.44</v>
      </c>
      <c r="BB453" s="20">
        <v>2.34</v>
      </c>
      <c r="BC453" s="20">
        <v>2.5753846153846158</v>
      </c>
      <c r="BD453">
        <v>2.5753846153846149</v>
      </c>
      <c r="BE453">
        <v>6.5020131619541548</v>
      </c>
    </row>
    <row r="454" spans="1:57" x14ac:dyDescent="0.3">
      <c r="A454" t="s">
        <v>371</v>
      </c>
      <c r="B454" s="17" t="s">
        <v>1035</v>
      </c>
      <c r="C454" s="12"/>
      <c r="F454">
        <v>3.4</v>
      </c>
      <c r="G454" t="s">
        <v>380</v>
      </c>
      <c r="H454" s="8">
        <v>-1</v>
      </c>
      <c r="I454">
        <v>-1</v>
      </c>
      <c r="N454" s="20">
        <v>0</v>
      </c>
      <c r="O454">
        <v>3.82</v>
      </c>
      <c r="P454">
        <v>3.82</v>
      </c>
      <c r="Q454">
        <v>21.7</v>
      </c>
      <c r="R454" t="s">
        <v>519</v>
      </c>
      <c r="S454">
        <v>21.7</v>
      </c>
      <c r="T454" s="20">
        <v>0</v>
      </c>
      <c r="W454"/>
      <c r="AO454">
        <v>20</v>
      </c>
      <c r="AP454" s="20">
        <v>0</v>
      </c>
      <c r="AR454" s="23">
        <v>1.655172413793103</v>
      </c>
      <c r="AS454" s="23">
        <v>1.6896551724137929</v>
      </c>
      <c r="AT454" s="23">
        <v>0.27586206896551718</v>
      </c>
      <c r="AU454" s="23">
        <v>0</v>
      </c>
      <c r="AV454" s="23">
        <v>0.45714285714285707</v>
      </c>
      <c r="AW454" s="23">
        <v>0.46666666666666667</v>
      </c>
      <c r="AX454" s="23">
        <v>7.6190476190476197E-2</v>
      </c>
      <c r="AY454" s="23">
        <v>0</v>
      </c>
      <c r="AZ454" s="20">
        <v>1.1000000000000001</v>
      </c>
      <c r="BA454" s="20">
        <v>3.44</v>
      </c>
      <c r="BB454" s="20">
        <v>2.34</v>
      </c>
      <c r="BC454" s="20">
        <v>2.5486206896551722</v>
      </c>
      <c r="BD454">
        <v>2.5486206896551722</v>
      </c>
      <c r="BE454">
        <v>6.5402267453968976</v>
      </c>
    </row>
    <row r="455" spans="1:57" x14ac:dyDescent="0.3">
      <c r="A455" t="s">
        <v>372</v>
      </c>
      <c r="B455" s="17" t="s">
        <v>1036</v>
      </c>
      <c r="C455" s="12"/>
      <c r="F455">
        <v>3.42</v>
      </c>
      <c r="G455" t="s">
        <v>380</v>
      </c>
      <c r="H455" s="8">
        <v>-1</v>
      </c>
      <c r="I455">
        <v>-1</v>
      </c>
      <c r="N455" s="20">
        <v>0</v>
      </c>
      <c r="O455">
        <v>3.81</v>
      </c>
      <c r="P455">
        <v>3.81</v>
      </c>
      <c r="Q455">
        <v>24.7</v>
      </c>
      <c r="R455" t="s">
        <v>519</v>
      </c>
      <c r="S455">
        <v>24.7</v>
      </c>
      <c r="T455" s="20">
        <v>0</v>
      </c>
      <c r="W455"/>
      <c r="AO455">
        <v>20</v>
      </c>
      <c r="AP455" s="20">
        <v>0</v>
      </c>
      <c r="AR455" s="23">
        <v>1.625</v>
      </c>
      <c r="AS455" s="23">
        <v>1.59375</v>
      </c>
      <c r="AT455" s="23">
        <v>0.25</v>
      </c>
      <c r="AU455" s="23">
        <v>0</v>
      </c>
      <c r="AV455" s="23">
        <v>0.46846846846846851</v>
      </c>
      <c r="AW455" s="23">
        <v>0.45945945945945948</v>
      </c>
      <c r="AX455" s="23">
        <v>7.2072072072072071E-2</v>
      </c>
      <c r="AY455" s="23">
        <v>0</v>
      </c>
      <c r="AZ455" s="20">
        <v>1.1000000000000001</v>
      </c>
      <c r="BA455" s="20">
        <v>3.44</v>
      </c>
      <c r="BB455" s="20">
        <v>2.34</v>
      </c>
      <c r="BC455" s="20">
        <v>2.526875</v>
      </c>
      <c r="BD455">
        <v>2.526875</v>
      </c>
      <c r="BE455">
        <v>6.5712752819441249</v>
      </c>
    </row>
    <row r="456" spans="1:57" x14ac:dyDescent="0.3">
      <c r="A456" t="s">
        <v>373</v>
      </c>
      <c r="B456" s="17" t="s">
        <v>1037</v>
      </c>
      <c r="C456" s="12"/>
      <c r="F456">
        <v>3.41</v>
      </c>
      <c r="G456" t="s">
        <v>380</v>
      </c>
      <c r="H456" s="8">
        <v>-1</v>
      </c>
      <c r="I456">
        <v>-1</v>
      </c>
      <c r="N456" s="20">
        <v>0</v>
      </c>
      <c r="O456">
        <v>3.87</v>
      </c>
      <c r="P456">
        <v>3.87</v>
      </c>
      <c r="Q456">
        <v>29.4</v>
      </c>
      <c r="R456" t="s">
        <v>519</v>
      </c>
      <c r="S456">
        <v>29.4</v>
      </c>
      <c r="T456" s="20">
        <v>0</v>
      </c>
      <c r="W456"/>
      <c r="AO456">
        <v>20</v>
      </c>
      <c r="AP456" s="20">
        <v>0</v>
      </c>
      <c r="AR456" s="23">
        <v>1.5789473684210531</v>
      </c>
      <c r="AS456" s="23">
        <v>1.4473684210526321</v>
      </c>
      <c r="AT456" s="23">
        <v>0.2105263157894737</v>
      </c>
      <c r="AU456" s="23">
        <v>0</v>
      </c>
      <c r="AV456" s="23">
        <v>0.48780487804878048</v>
      </c>
      <c r="AW456" s="23">
        <v>0.44715447154471538</v>
      </c>
      <c r="AX456" s="23">
        <v>6.5040650406504058E-2</v>
      </c>
      <c r="AY456" s="23">
        <v>0</v>
      </c>
      <c r="AZ456" s="20">
        <v>1.1000000000000001</v>
      </c>
      <c r="BA456" s="20">
        <v>3.44</v>
      </c>
      <c r="BB456" s="20">
        <v>2.34</v>
      </c>
      <c r="BC456" s="20">
        <v>2.4936842105263159</v>
      </c>
      <c r="BD456">
        <v>2.4936842105263159</v>
      </c>
      <c r="BE456">
        <v>6.6186651535162104</v>
      </c>
    </row>
    <row r="457" spans="1:57" x14ac:dyDescent="0.3">
      <c r="A457" t="s">
        <v>374</v>
      </c>
      <c r="B457" s="17" t="s">
        <v>1038</v>
      </c>
      <c r="C457" s="12"/>
      <c r="F457">
        <v>3.4</v>
      </c>
      <c r="G457" t="s">
        <v>380</v>
      </c>
      <c r="H457" s="8">
        <v>-1</v>
      </c>
      <c r="I457">
        <v>-1</v>
      </c>
      <c r="N457" s="20">
        <v>0</v>
      </c>
      <c r="O457">
        <v>3.85</v>
      </c>
      <c r="P457">
        <v>3.85</v>
      </c>
      <c r="Q457">
        <v>34.200000000000003</v>
      </c>
      <c r="R457" t="s">
        <v>519</v>
      </c>
      <c r="S457">
        <v>34.200000000000003</v>
      </c>
      <c r="T457" s="20">
        <v>0</v>
      </c>
      <c r="W457"/>
      <c r="AO457">
        <v>20</v>
      </c>
      <c r="AP457" s="20">
        <v>0</v>
      </c>
      <c r="AR457" s="23">
        <v>1.545454545454545</v>
      </c>
      <c r="AS457" s="23">
        <v>1.3409090909090911</v>
      </c>
      <c r="AT457" s="23">
        <v>0.1818181818181818</v>
      </c>
      <c r="AU457" s="23">
        <v>0</v>
      </c>
      <c r="AV457" s="23">
        <v>0.50370370370370365</v>
      </c>
      <c r="AW457" s="23">
        <v>0.437037037037037</v>
      </c>
      <c r="AX457" s="23">
        <v>5.9259259259259248E-2</v>
      </c>
      <c r="AY457" s="23">
        <v>0</v>
      </c>
      <c r="AZ457" s="20">
        <v>1.1000000000000001</v>
      </c>
      <c r="BA457" s="20">
        <v>3.44</v>
      </c>
      <c r="BB457" s="20">
        <v>2.34</v>
      </c>
      <c r="BC457" s="20">
        <v>2.4695454545454552</v>
      </c>
      <c r="BD457">
        <v>2.4695454545454538</v>
      </c>
      <c r="BE457">
        <v>6.6531305146595452</v>
      </c>
    </row>
    <row r="458" spans="1:57" x14ac:dyDescent="0.3">
      <c r="A458" t="s">
        <v>375</v>
      </c>
      <c r="B458" s="17" t="s">
        <v>1039</v>
      </c>
      <c r="C458" s="12"/>
      <c r="F458">
        <v>3.33</v>
      </c>
      <c r="G458" t="s">
        <v>380</v>
      </c>
      <c r="H458" s="8">
        <v>-1</v>
      </c>
      <c r="I458">
        <v>-1</v>
      </c>
      <c r="N458" s="20">
        <v>0</v>
      </c>
      <c r="O458">
        <v>3.81</v>
      </c>
      <c r="P458">
        <v>3.81</v>
      </c>
      <c r="Q458">
        <v>35.1</v>
      </c>
      <c r="R458" t="s">
        <v>519</v>
      </c>
      <c r="S458">
        <v>17.600000000000001</v>
      </c>
      <c r="T458" s="20">
        <v>0</v>
      </c>
      <c r="W458"/>
      <c r="AO458">
        <v>22</v>
      </c>
      <c r="AP458" s="20">
        <v>0</v>
      </c>
      <c r="AR458" s="23">
        <v>1.7727272727272729</v>
      </c>
      <c r="AS458" s="23">
        <v>2.0909090909090908</v>
      </c>
      <c r="AT458" s="23">
        <v>0.36363636363636359</v>
      </c>
      <c r="AU458" s="23">
        <v>0</v>
      </c>
      <c r="AV458" s="23">
        <v>0.41935483870967738</v>
      </c>
      <c r="AW458" s="23">
        <v>0.49462365591397839</v>
      </c>
      <c r="AX458" s="23">
        <v>8.6021505376344079E-2</v>
      </c>
      <c r="AY458" s="23">
        <v>0</v>
      </c>
      <c r="AZ458" s="20">
        <v>1.1000000000000001</v>
      </c>
      <c r="BA458" s="20">
        <v>3.44</v>
      </c>
      <c r="BB458" s="20">
        <v>2.34</v>
      </c>
      <c r="BC458" s="20">
        <v>2.645909090909091</v>
      </c>
      <c r="BD458">
        <v>2.645909090909091</v>
      </c>
      <c r="BE458">
        <v>6.4349594388752269</v>
      </c>
    </row>
    <row r="459" spans="1:57" x14ac:dyDescent="0.3">
      <c r="A459" t="s">
        <v>376</v>
      </c>
      <c r="B459" s="17" t="s">
        <v>1027</v>
      </c>
      <c r="C459" s="12"/>
      <c r="F459">
        <v>3.41</v>
      </c>
      <c r="G459" t="s">
        <v>380</v>
      </c>
      <c r="H459" s="8">
        <v>-1</v>
      </c>
      <c r="I459">
        <v>-1</v>
      </c>
      <c r="N459" s="20">
        <v>0</v>
      </c>
      <c r="O459">
        <v>3.83</v>
      </c>
      <c r="P459">
        <v>3.83</v>
      </c>
      <c r="Q459">
        <v>39.5</v>
      </c>
      <c r="R459" t="s">
        <v>519</v>
      </c>
      <c r="S459">
        <v>19.8</v>
      </c>
      <c r="T459" s="20">
        <v>0</v>
      </c>
      <c r="W459"/>
      <c r="AO459">
        <v>22</v>
      </c>
      <c r="AP459" s="20">
        <v>0</v>
      </c>
      <c r="AR459" s="23">
        <v>1.72</v>
      </c>
      <c r="AS459" s="23">
        <v>1.92</v>
      </c>
      <c r="AT459" s="23">
        <v>0.32</v>
      </c>
      <c r="AU459" s="23">
        <v>0</v>
      </c>
      <c r="AV459" s="23">
        <v>0.43434343434343442</v>
      </c>
      <c r="AW459" s="23">
        <v>0.48484848484848492</v>
      </c>
      <c r="AX459" s="23">
        <v>8.0808080808080815E-2</v>
      </c>
      <c r="AY459" s="23">
        <v>0</v>
      </c>
      <c r="AZ459" s="20">
        <v>1.1000000000000001</v>
      </c>
      <c r="BA459" s="20">
        <v>3.44</v>
      </c>
      <c r="BB459" s="20">
        <v>2.34</v>
      </c>
      <c r="BC459" s="20">
        <v>2.6063999999999998</v>
      </c>
      <c r="BD459">
        <v>2.6063999999999998</v>
      </c>
      <c r="BE459">
        <v>6.4873336424382799</v>
      </c>
    </row>
    <row r="460" spans="1:57" x14ac:dyDescent="0.3">
      <c r="A460" t="s">
        <v>377</v>
      </c>
      <c r="B460" s="17" t="s">
        <v>1040</v>
      </c>
      <c r="C460" s="12"/>
      <c r="F460">
        <v>3.38</v>
      </c>
      <c r="G460" t="s">
        <v>380</v>
      </c>
      <c r="H460" s="8">
        <v>-1</v>
      </c>
      <c r="I460">
        <v>-1</v>
      </c>
      <c r="N460" s="20">
        <v>0</v>
      </c>
      <c r="O460">
        <v>3.83</v>
      </c>
      <c r="P460">
        <v>3.83</v>
      </c>
      <c r="Q460">
        <v>44.2</v>
      </c>
      <c r="R460" t="s">
        <v>519</v>
      </c>
      <c r="S460">
        <v>22.1</v>
      </c>
      <c r="T460" s="20">
        <v>0</v>
      </c>
      <c r="W460"/>
      <c r="AO460">
        <v>22</v>
      </c>
      <c r="AP460" s="20">
        <v>0</v>
      </c>
      <c r="AR460" s="23">
        <v>1.678571428571429</v>
      </c>
      <c r="AS460" s="23">
        <v>1.785714285714286</v>
      </c>
      <c r="AT460" s="23">
        <v>0.2857142857142857</v>
      </c>
      <c r="AU460" s="23">
        <v>0</v>
      </c>
      <c r="AV460" s="23">
        <v>0.44761904761904758</v>
      </c>
      <c r="AW460" s="23">
        <v>0.47619047619047622</v>
      </c>
      <c r="AX460" s="23">
        <v>7.6190476190476183E-2</v>
      </c>
      <c r="AY460" s="23">
        <v>0</v>
      </c>
      <c r="AZ460" s="20">
        <v>1.1000000000000001</v>
      </c>
      <c r="BA460" s="20">
        <v>3.44</v>
      </c>
      <c r="BB460" s="20">
        <v>2.34</v>
      </c>
      <c r="BC460" s="20">
        <v>2.5753571428571429</v>
      </c>
      <c r="BD460">
        <v>2.5753571428571429</v>
      </c>
      <c r="BE460">
        <v>6.5284848023806781</v>
      </c>
    </row>
    <row r="461" spans="1:57" x14ac:dyDescent="0.3">
      <c r="A461" t="s">
        <v>378</v>
      </c>
      <c r="B461" s="17" t="s">
        <v>1041</v>
      </c>
      <c r="C461" s="12"/>
      <c r="F461">
        <v>3.4</v>
      </c>
      <c r="G461" t="s">
        <v>380</v>
      </c>
      <c r="H461" s="8">
        <v>-1</v>
      </c>
      <c r="I461">
        <v>-1</v>
      </c>
      <c r="N461" s="20">
        <v>0</v>
      </c>
      <c r="O461">
        <v>3.82</v>
      </c>
      <c r="P461">
        <v>3.82</v>
      </c>
      <c r="Q461">
        <v>48.5</v>
      </c>
      <c r="R461" t="s">
        <v>519</v>
      </c>
      <c r="S461">
        <v>24.3</v>
      </c>
      <c r="T461" s="20">
        <v>0</v>
      </c>
      <c r="W461"/>
      <c r="AO461">
        <v>22</v>
      </c>
      <c r="AP461" s="20">
        <v>0</v>
      </c>
      <c r="AR461" s="23">
        <v>1.645161290322581</v>
      </c>
      <c r="AS461" s="23">
        <v>1.67741935483871</v>
      </c>
      <c r="AT461" s="23">
        <v>0.25806451612903231</v>
      </c>
      <c r="AU461" s="23">
        <v>0</v>
      </c>
      <c r="AV461" s="23">
        <v>0.45945945945945948</v>
      </c>
      <c r="AW461" s="23">
        <v>0.46846846846846851</v>
      </c>
      <c r="AX461" s="23">
        <v>7.2072072072072071E-2</v>
      </c>
      <c r="AY461" s="23">
        <v>0</v>
      </c>
      <c r="AZ461" s="20">
        <v>1.1000000000000001</v>
      </c>
      <c r="BA461" s="20">
        <v>3.44</v>
      </c>
      <c r="BB461" s="20">
        <v>2.34</v>
      </c>
      <c r="BC461" s="20">
        <v>2.5503225806451608</v>
      </c>
      <c r="BD461">
        <v>2.5503225806451608</v>
      </c>
      <c r="BE461">
        <v>6.5616712216890649</v>
      </c>
    </row>
    <row r="462" spans="1:57" x14ac:dyDescent="0.3">
      <c r="A462" t="s">
        <v>379</v>
      </c>
      <c r="B462" s="17" t="s">
        <v>1042</v>
      </c>
      <c r="C462" s="12"/>
      <c r="F462">
        <v>3.4</v>
      </c>
      <c r="G462" t="s">
        <v>380</v>
      </c>
      <c r="H462" s="8">
        <v>-1</v>
      </c>
      <c r="I462">
        <v>-1</v>
      </c>
      <c r="N462" s="20">
        <v>0</v>
      </c>
      <c r="O462">
        <v>3.82</v>
      </c>
      <c r="P462">
        <v>3.82</v>
      </c>
      <c r="Q462">
        <v>29.2</v>
      </c>
      <c r="R462" t="s">
        <v>519</v>
      </c>
      <c r="S462">
        <v>29.2</v>
      </c>
      <c r="T462" s="20">
        <v>0</v>
      </c>
      <c r="W462"/>
      <c r="AO462">
        <v>22</v>
      </c>
      <c r="AP462" s="20">
        <v>0</v>
      </c>
      <c r="AR462" s="23">
        <v>1.594594594594595</v>
      </c>
      <c r="AS462" s="23">
        <v>1.513513513513514</v>
      </c>
      <c r="AT462" s="23">
        <v>0.2162162162162162</v>
      </c>
      <c r="AU462" s="23">
        <v>0</v>
      </c>
      <c r="AV462" s="23">
        <v>0.47967479674796748</v>
      </c>
      <c r="AW462" s="23">
        <v>0.45528455284552849</v>
      </c>
      <c r="AX462" s="23">
        <v>6.5040650406504072E-2</v>
      </c>
      <c r="AY462" s="23">
        <v>0</v>
      </c>
      <c r="AZ462" s="20">
        <v>1.1000000000000001</v>
      </c>
      <c r="BA462" s="20">
        <v>3.44</v>
      </c>
      <c r="BB462" s="20">
        <v>2.34</v>
      </c>
      <c r="BC462" s="20">
        <v>2.512432432432433</v>
      </c>
      <c r="BD462">
        <v>2.512432432432433</v>
      </c>
      <c r="BE462">
        <v>6.6118993157774328</v>
      </c>
    </row>
    <row r="463" spans="1:57" x14ac:dyDescent="0.3">
      <c r="A463" t="s">
        <v>1134</v>
      </c>
      <c r="B463" s="17" t="s">
        <v>1043</v>
      </c>
      <c r="C463" s="12"/>
      <c r="F463">
        <v>3.38</v>
      </c>
      <c r="G463" t="s">
        <v>380</v>
      </c>
      <c r="H463" s="8">
        <v>-1</v>
      </c>
      <c r="I463">
        <v>-1</v>
      </c>
      <c r="N463" s="20">
        <v>0</v>
      </c>
      <c r="O463">
        <v>3.82</v>
      </c>
      <c r="P463">
        <v>3.82</v>
      </c>
      <c r="Q463">
        <v>31.3</v>
      </c>
      <c r="R463" t="s">
        <v>519</v>
      </c>
      <c r="S463">
        <v>31.3</v>
      </c>
      <c r="T463" s="20">
        <v>0</v>
      </c>
      <c r="W463"/>
      <c r="AO463">
        <v>0</v>
      </c>
      <c r="AP463" s="20">
        <v>0</v>
      </c>
      <c r="AR463" s="23">
        <v>1.558139534883721</v>
      </c>
      <c r="AS463" s="23">
        <v>1.3953488372093019</v>
      </c>
      <c r="AT463" s="23">
        <v>0.186046511627907</v>
      </c>
      <c r="AU463" s="23">
        <v>0</v>
      </c>
      <c r="AV463" s="23">
        <v>0.49629629629629629</v>
      </c>
      <c r="AW463" s="23">
        <v>0.44444444444444448</v>
      </c>
      <c r="AX463" s="23">
        <v>5.9259259259259262E-2</v>
      </c>
      <c r="AY463" s="23">
        <v>0</v>
      </c>
      <c r="AZ463" s="20">
        <v>1.1000000000000001</v>
      </c>
      <c r="BA463" s="20">
        <v>3.44</v>
      </c>
      <c r="BB463" s="20">
        <v>2.34</v>
      </c>
      <c r="BC463" s="20">
        <v>2.4851162790697678</v>
      </c>
      <c r="BD463">
        <v>2.485116279069767</v>
      </c>
      <c r="BE463">
        <v>6.6481102673295114</v>
      </c>
    </row>
    <row r="464" spans="1:57" x14ac:dyDescent="0.3">
      <c r="A464" t="s">
        <v>381</v>
      </c>
      <c r="B464" s="12" t="s">
        <v>838</v>
      </c>
      <c r="C464" s="12"/>
      <c r="F464">
        <v>3.47</v>
      </c>
      <c r="G464" t="s">
        <v>380</v>
      </c>
      <c r="H464" s="8">
        <v>-1</v>
      </c>
      <c r="I464">
        <v>-1</v>
      </c>
      <c r="N464" s="20">
        <v>0</v>
      </c>
      <c r="O464">
        <v>3.78</v>
      </c>
      <c r="P464">
        <v>3.78</v>
      </c>
      <c r="Q464">
        <v>27.2</v>
      </c>
      <c r="R464" t="s">
        <v>519</v>
      </c>
      <c r="S464">
        <v>13.6</v>
      </c>
      <c r="T464" s="20">
        <v>0</v>
      </c>
      <c r="W464"/>
      <c r="AO464">
        <v>20</v>
      </c>
      <c r="AP464" s="20">
        <v>0</v>
      </c>
      <c r="AR464" s="23">
        <v>1.882352941176471</v>
      </c>
      <c r="AS464" s="23">
        <v>2.3529411764705879</v>
      </c>
      <c r="AT464" s="23">
        <v>0.35294117647058831</v>
      </c>
      <c r="AU464" s="23">
        <v>0.47058823529411759</v>
      </c>
      <c r="AV464" s="23">
        <v>0.37209302325581389</v>
      </c>
      <c r="AW464" s="23">
        <v>0.46511627906976749</v>
      </c>
      <c r="AX464" s="23">
        <v>6.9767441860465129E-2</v>
      </c>
      <c r="AY464" s="23">
        <v>9.3023255813953487E-2</v>
      </c>
      <c r="AZ464" s="20">
        <v>1.1399999999999999</v>
      </c>
      <c r="BA464" s="20">
        <v>3.44</v>
      </c>
      <c r="BB464" s="20">
        <v>2.2999999999999998</v>
      </c>
      <c r="BC464" s="20">
        <v>2.6882352941176468</v>
      </c>
      <c r="BD464">
        <v>2.6882352941176468</v>
      </c>
      <c r="BE464">
        <v>6.2192249941001183</v>
      </c>
    </row>
    <row r="465" spans="1:57" x14ac:dyDescent="0.3">
      <c r="A465" t="s">
        <v>382</v>
      </c>
      <c r="B465" s="17" t="s">
        <v>1044</v>
      </c>
      <c r="C465" s="12"/>
      <c r="F465">
        <v>3.4</v>
      </c>
      <c r="G465" t="s">
        <v>380</v>
      </c>
      <c r="H465" s="8">
        <v>-1</v>
      </c>
      <c r="I465">
        <v>-1</v>
      </c>
      <c r="N465" s="20">
        <v>0</v>
      </c>
      <c r="O465">
        <v>3.81</v>
      </c>
      <c r="P465">
        <v>3.81</v>
      </c>
      <c r="Q465">
        <v>35.4</v>
      </c>
      <c r="R465" t="s">
        <v>519</v>
      </c>
      <c r="S465">
        <v>17.7</v>
      </c>
      <c r="T465" s="20">
        <v>0</v>
      </c>
      <c r="W465"/>
      <c r="AO465">
        <v>20</v>
      </c>
      <c r="AP465" s="20">
        <v>0</v>
      </c>
      <c r="AR465" s="23">
        <v>1.695652173913043</v>
      </c>
      <c r="AS465" s="23">
        <v>1.826086956521739</v>
      </c>
      <c r="AT465" s="23">
        <v>0.2608695652173913</v>
      </c>
      <c r="AU465" s="23">
        <v>0.34782608695652167</v>
      </c>
      <c r="AV465" s="23">
        <v>0.41052631578947368</v>
      </c>
      <c r="AW465" s="23">
        <v>0.44210526315789472</v>
      </c>
      <c r="AX465" s="23">
        <v>6.3157894736842107E-2</v>
      </c>
      <c r="AY465" s="23">
        <v>8.4210526315789472E-2</v>
      </c>
      <c r="AZ465" s="20">
        <v>1.1399999999999999</v>
      </c>
      <c r="BA465" s="20">
        <v>3.44</v>
      </c>
      <c r="BB465" s="20">
        <v>2.2999999999999998</v>
      </c>
      <c r="BC465" s="20">
        <v>2.5760869565217388</v>
      </c>
      <c r="BD465">
        <v>2.5760869565217388</v>
      </c>
      <c r="BE465">
        <v>6.4291568349981301</v>
      </c>
    </row>
    <row r="466" spans="1:57" x14ac:dyDescent="0.3">
      <c r="A466" t="s">
        <v>383</v>
      </c>
      <c r="B466" s="17" t="s">
        <v>1045</v>
      </c>
      <c r="C466" s="12"/>
      <c r="F466">
        <v>3.32</v>
      </c>
      <c r="G466" t="s">
        <v>380</v>
      </c>
      <c r="H466" s="8">
        <v>-1</v>
      </c>
      <c r="I466">
        <v>-1</v>
      </c>
      <c r="N466" s="20">
        <v>0</v>
      </c>
      <c r="O466">
        <v>3.8</v>
      </c>
      <c r="P466">
        <v>3.8</v>
      </c>
      <c r="Q466">
        <v>19.899999999999999</v>
      </c>
      <c r="R466" t="s">
        <v>519</v>
      </c>
      <c r="S466">
        <v>19.899999999999999</v>
      </c>
      <c r="T466" s="20">
        <v>0</v>
      </c>
      <c r="W466"/>
      <c r="AO466">
        <v>20</v>
      </c>
      <c r="AP466" s="20">
        <v>0</v>
      </c>
      <c r="AR466" s="23">
        <v>1.653846153846154</v>
      </c>
      <c r="AS466" s="23">
        <v>1.6923076923076921</v>
      </c>
      <c r="AT466" s="23">
        <v>0.23076923076923081</v>
      </c>
      <c r="AU466" s="23">
        <v>0.30769230769230771</v>
      </c>
      <c r="AV466" s="23">
        <v>0.42574257425742568</v>
      </c>
      <c r="AW466" s="23">
        <v>0.43564356435643559</v>
      </c>
      <c r="AX466" s="23">
        <v>5.940594059405941E-2</v>
      </c>
      <c r="AY466" s="23">
        <v>7.9207920792079209E-2</v>
      </c>
      <c r="AZ466" s="20">
        <v>1.1399999999999999</v>
      </c>
      <c r="BA466" s="20">
        <v>3.44</v>
      </c>
      <c r="BB466" s="20">
        <v>2.2999999999999998</v>
      </c>
      <c r="BC466" s="20">
        <v>2.546153846153846</v>
      </c>
      <c r="BD466">
        <v>2.546153846153846</v>
      </c>
      <c r="BE466">
        <v>6.4801861773330387</v>
      </c>
    </row>
    <row r="467" spans="1:57" x14ac:dyDescent="0.3">
      <c r="A467" t="s">
        <v>384</v>
      </c>
      <c r="B467" s="17" t="s">
        <v>1046</v>
      </c>
      <c r="C467" s="12"/>
      <c r="F467">
        <v>3.33</v>
      </c>
      <c r="G467" t="s">
        <v>380</v>
      </c>
      <c r="H467" s="8">
        <v>-1</v>
      </c>
      <c r="I467">
        <v>-1</v>
      </c>
      <c r="N467" s="20">
        <v>0</v>
      </c>
      <c r="O467">
        <v>3.78</v>
      </c>
      <c r="P467">
        <v>3.78</v>
      </c>
      <c r="Q467">
        <v>21.5</v>
      </c>
      <c r="R467" t="s">
        <v>519</v>
      </c>
      <c r="S467">
        <v>21.5</v>
      </c>
      <c r="T467" s="20">
        <v>0</v>
      </c>
      <c r="W467"/>
      <c r="AO467">
        <v>20</v>
      </c>
      <c r="AP467" s="20">
        <v>0</v>
      </c>
      <c r="AR467" s="23">
        <v>1.6206896551724139</v>
      </c>
      <c r="AS467" s="23">
        <v>1.586206896551724</v>
      </c>
      <c r="AT467" s="23">
        <v>0.2068965517241379</v>
      </c>
      <c r="AU467" s="23">
        <v>0.27586206896551718</v>
      </c>
      <c r="AV467" s="23">
        <v>0.43925233644859812</v>
      </c>
      <c r="AW467" s="23">
        <v>0.42990654205607481</v>
      </c>
      <c r="AX467" s="23">
        <v>5.6074766355140193E-2</v>
      </c>
      <c r="AY467" s="23">
        <v>7.476635514018691E-2</v>
      </c>
      <c r="AZ467" s="20">
        <v>1.1399999999999999</v>
      </c>
      <c r="BA467" s="20">
        <v>3.44</v>
      </c>
      <c r="BB467" s="20">
        <v>2.2999999999999998</v>
      </c>
      <c r="BC467" s="20">
        <v>2.522413793103448</v>
      </c>
      <c r="BD467">
        <v>2.522413793103448</v>
      </c>
      <c r="BE467">
        <v>6.5206577247021036</v>
      </c>
    </row>
    <row r="468" spans="1:57" x14ac:dyDescent="0.3">
      <c r="A468" t="s">
        <v>385</v>
      </c>
      <c r="B468" s="17" t="s">
        <v>1047</v>
      </c>
      <c r="C468" s="12"/>
      <c r="F468">
        <v>3.33</v>
      </c>
      <c r="G468" t="s">
        <v>380</v>
      </c>
      <c r="H468" s="8">
        <v>-1</v>
      </c>
      <c r="I468">
        <v>-1</v>
      </c>
      <c r="N468" s="20">
        <v>0</v>
      </c>
      <c r="O468">
        <v>3.78</v>
      </c>
      <c r="P468">
        <v>3.78</v>
      </c>
      <c r="Q468">
        <v>24.4</v>
      </c>
      <c r="R468" t="s">
        <v>519</v>
      </c>
      <c r="S468">
        <v>24.4</v>
      </c>
      <c r="T468" s="20">
        <v>0</v>
      </c>
      <c r="W468"/>
      <c r="AO468">
        <v>20</v>
      </c>
      <c r="AP468" s="20">
        <v>0</v>
      </c>
      <c r="AR468" s="23">
        <v>1.59375</v>
      </c>
      <c r="AS468" s="23">
        <v>1.5</v>
      </c>
      <c r="AT468" s="23">
        <v>0.1875</v>
      </c>
      <c r="AU468" s="23">
        <v>0.25</v>
      </c>
      <c r="AV468" s="23">
        <v>0.45132743362831862</v>
      </c>
      <c r="AW468" s="23">
        <v>0.4247787610619469</v>
      </c>
      <c r="AX468" s="23">
        <v>5.3097345132743362E-2</v>
      </c>
      <c r="AY468" s="23">
        <v>7.0796460176991149E-2</v>
      </c>
      <c r="AZ468" s="20">
        <v>1.1399999999999999</v>
      </c>
      <c r="BA468" s="20">
        <v>3.44</v>
      </c>
      <c r="BB468" s="20">
        <v>2.2999999999999998</v>
      </c>
      <c r="BC468" s="20">
        <v>2.5031249999999998</v>
      </c>
      <c r="BD468">
        <v>2.5031249999999998</v>
      </c>
      <c r="BE468">
        <v>6.5535408569394704</v>
      </c>
    </row>
    <row r="469" spans="1:57" x14ac:dyDescent="0.3">
      <c r="A469" t="s">
        <v>386</v>
      </c>
      <c r="B469" s="17" t="s">
        <v>1048</v>
      </c>
      <c r="C469" s="12"/>
      <c r="F469">
        <v>3.35</v>
      </c>
      <c r="G469" t="s">
        <v>380</v>
      </c>
      <c r="H469" s="8">
        <v>-1</v>
      </c>
      <c r="I469">
        <v>-1</v>
      </c>
      <c r="N469" s="20">
        <v>0</v>
      </c>
      <c r="O469">
        <v>3.8</v>
      </c>
      <c r="P469">
        <v>3.8</v>
      </c>
      <c r="Q469">
        <v>29.2</v>
      </c>
      <c r="R469" t="s">
        <v>519</v>
      </c>
      <c r="S469">
        <v>29.2</v>
      </c>
      <c r="T469" s="20">
        <v>0</v>
      </c>
      <c r="W469"/>
      <c r="AO469">
        <v>20</v>
      </c>
      <c r="AP469" s="20">
        <v>0</v>
      </c>
      <c r="AR469" s="23">
        <v>1.5526315789473679</v>
      </c>
      <c r="AS469" s="23">
        <v>1.368421052631579</v>
      </c>
      <c r="AT469" s="23">
        <v>0.15789473684210531</v>
      </c>
      <c r="AU469" s="23">
        <v>0.2105263157894737</v>
      </c>
      <c r="AV469" s="23">
        <v>0.47199999999999998</v>
      </c>
      <c r="AW469" s="23">
        <v>0.41599999999999998</v>
      </c>
      <c r="AX469" s="23">
        <v>4.8000000000000001E-2</v>
      </c>
      <c r="AY469" s="23">
        <v>6.4000000000000001E-2</v>
      </c>
      <c r="AZ469" s="20">
        <v>1.1399999999999999</v>
      </c>
      <c r="BA469" s="20">
        <v>3.44</v>
      </c>
      <c r="BB469" s="20">
        <v>2.2999999999999998</v>
      </c>
      <c r="BC469" s="20">
        <v>2.4736842105263159</v>
      </c>
      <c r="BD469">
        <v>2.473684210526315</v>
      </c>
      <c r="BE469">
        <v>6.6037309008807101</v>
      </c>
    </row>
    <row r="470" spans="1:57" x14ac:dyDescent="0.3">
      <c r="A470" t="s">
        <v>387</v>
      </c>
      <c r="B470" s="17" t="s">
        <v>1049</v>
      </c>
      <c r="C470" s="12"/>
      <c r="F470">
        <v>3.36</v>
      </c>
      <c r="G470" t="s">
        <v>380</v>
      </c>
      <c r="H470" s="8">
        <v>-1</v>
      </c>
      <c r="I470">
        <v>-1</v>
      </c>
      <c r="N470" s="20">
        <v>0</v>
      </c>
      <c r="O470">
        <v>3.8</v>
      </c>
      <c r="P470">
        <v>3.8</v>
      </c>
      <c r="Q470">
        <v>33.4</v>
      </c>
      <c r="R470" t="s">
        <v>519</v>
      </c>
      <c r="S470">
        <v>33.4</v>
      </c>
      <c r="T470" s="20">
        <v>0</v>
      </c>
      <c r="W470"/>
      <c r="AO470">
        <v>20</v>
      </c>
      <c r="AP470" s="20">
        <v>0</v>
      </c>
      <c r="AR470" s="23">
        <v>1.5227272727272729</v>
      </c>
      <c r="AS470" s="23">
        <v>1.2727272727272729</v>
      </c>
      <c r="AT470" s="23">
        <v>0.13636363636363641</v>
      </c>
      <c r="AU470" s="23">
        <v>0.1818181818181818</v>
      </c>
      <c r="AV470" s="23">
        <v>0.48905109489051091</v>
      </c>
      <c r="AW470" s="23">
        <v>0.40875912408759119</v>
      </c>
      <c r="AX470" s="23">
        <v>4.3795620437956199E-2</v>
      </c>
      <c r="AY470" s="23">
        <v>5.8394160583941597E-2</v>
      </c>
      <c r="AZ470" s="20">
        <v>1.1399999999999999</v>
      </c>
      <c r="BA470" s="20">
        <v>3.44</v>
      </c>
      <c r="BB470" s="20">
        <v>2.2999999999999998</v>
      </c>
      <c r="BC470" s="20">
        <v>2.452272727272728</v>
      </c>
      <c r="BD470">
        <v>2.4522727272727272</v>
      </c>
      <c r="BE470">
        <v>6.6402327510197949</v>
      </c>
    </row>
    <row r="471" spans="1:57" x14ac:dyDescent="0.3">
      <c r="A471" t="s">
        <v>388</v>
      </c>
      <c r="B471" s="17" t="s">
        <v>1050</v>
      </c>
      <c r="C471" s="12"/>
      <c r="F471">
        <v>3.33</v>
      </c>
      <c r="G471" t="s">
        <v>380</v>
      </c>
      <c r="H471" s="8">
        <v>-1</v>
      </c>
      <c r="I471">
        <v>-1</v>
      </c>
      <c r="N471" s="20">
        <v>0</v>
      </c>
      <c r="O471">
        <v>3.76</v>
      </c>
      <c r="P471">
        <v>3.76</v>
      </c>
      <c r="Q471">
        <v>34.1</v>
      </c>
      <c r="R471" t="s">
        <v>519</v>
      </c>
      <c r="S471">
        <v>17.100000000000001</v>
      </c>
      <c r="T471" s="20">
        <v>0</v>
      </c>
      <c r="W471"/>
      <c r="AO471">
        <v>22</v>
      </c>
      <c r="AP471" s="20">
        <v>0</v>
      </c>
      <c r="AR471" s="23">
        <v>1.7391304347826091</v>
      </c>
      <c r="AS471" s="23">
        <v>2</v>
      </c>
      <c r="AT471" s="23">
        <v>0.2608695652173913</v>
      </c>
      <c r="AU471" s="23">
        <v>0.34782608695652167</v>
      </c>
      <c r="AV471" s="23">
        <v>0.4</v>
      </c>
      <c r="AW471" s="23">
        <v>0.46</v>
      </c>
      <c r="AX471" s="23">
        <v>0.06</v>
      </c>
      <c r="AY471" s="23">
        <v>0.08</v>
      </c>
      <c r="AZ471" s="20">
        <v>1.1399999999999999</v>
      </c>
      <c r="BA471" s="20">
        <v>3.44</v>
      </c>
      <c r="BB471" s="20">
        <v>2.2999999999999998</v>
      </c>
      <c r="BC471" s="20">
        <v>2.63</v>
      </c>
      <c r="BD471">
        <v>2.63</v>
      </c>
      <c r="BE471">
        <v>6.444942219787217</v>
      </c>
    </row>
    <row r="472" spans="1:57" x14ac:dyDescent="0.3">
      <c r="A472" t="s">
        <v>389</v>
      </c>
      <c r="B472" s="17" t="s">
        <v>1051</v>
      </c>
      <c r="C472" s="12"/>
      <c r="F472">
        <v>3.33</v>
      </c>
      <c r="G472" t="s">
        <v>380</v>
      </c>
      <c r="H472" s="8">
        <v>-1</v>
      </c>
      <c r="I472">
        <v>-1</v>
      </c>
      <c r="N472" s="20">
        <v>0</v>
      </c>
      <c r="O472">
        <v>3.77</v>
      </c>
      <c r="P472">
        <v>3.77</v>
      </c>
      <c r="Q472">
        <v>40.9</v>
      </c>
      <c r="R472" t="s">
        <v>519</v>
      </c>
      <c r="S472">
        <v>20.5</v>
      </c>
      <c r="T472" s="20">
        <v>0</v>
      </c>
      <c r="W472"/>
      <c r="AO472">
        <v>22</v>
      </c>
      <c r="AP472" s="20">
        <v>0</v>
      </c>
      <c r="AR472" s="23">
        <v>1.6923076923076921</v>
      </c>
      <c r="AS472" s="23">
        <v>1.846153846153846</v>
      </c>
      <c r="AT472" s="23">
        <v>0.23076923076923081</v>
      </c>
      <c r="AU472" s="23">
        <v>0.30769230769230771</v>
      </c>
      <c r="AV472" s="23">
        <v>0.41509433962264147</v>
      </c>
      <c r="AW472" s="23">
        <v>0.45283018867924529</v>
      </c>
      <c r="AX472" s="23">
        <v>5.6603773584905669E-2</v>
      </c>
      <c r="AY472" s="23">
        <v>7.5471698113207558E-2</v>
      </c>
      <c r="AZ472" s="20">
        <v>1.1399999999999999</v>
      </c>
      <c r="BA472" s="20">
        <v>3.44</v>
      </c>
      <c r="BB472" s="20">
        <v>2.2999999999999998</v>
      </c>
      <c r="BC472" s="20">
        <v>2.5938461538461541</v>
      </c>
      <c r="BD472">
        <v>2.5938461538461541</v>
      </c>
      <c r="BE472">
        <v>6.4941501715695384</v>
      </c>
    </row>
    <row r="473" spans="1:57" x14ac:dyDescent="0.3">
      <c r="A473" t="s">
        <v>390</v>
      </c>
      <c r="B473" s="17" t="s">
        <v>1052</v>
      </c>
      <c r="C473" s="12"/>
      <c r="F473">
        <v>3.32</v>
      </c>
      <c r="G473" t="s">
        <v>380</v>
      </c>
      <c r="H473" s="8">
        <v>-1</v>
      </c>
      <c r="I473">
        <v>-1</v>
      </c>
      <c r="N473" s="20">
        <v>0</v>
      </c>
      <c r="O473">
        <v>3.79</v>
      </c>
      <c r="P473">
        <v>3.79</v>
      </c>
      <c r="Q473">
        <v>43.8</v>
      </c>
      <c r="R473" t="s">
        <v>519</v>
      </c>
      <c r="S473">
        <v>21.9</v>
      </c>
      <c r="T473" s="20">
        <v>0</v>
      </c>
      <c r="W473"/>
      <c r="AO473">
        <v>22</v>
      </c>
      <c r="AP473" s="20">
        <v>0</v>
      </c>
      <c r="AR473" s="23">
        <v>1.655172413793103</v>
      </c>
      <c r="AS473" s="23">
        <v>1.7241379310344831</v>
      </c>
      <c r="AT473" s="23">
        <v>0.2068965517241379</v>
      </c>
      <c r="AU473" s="23">
        <v>0.27586206896551718</v>
      </c>
      <c r="AV473" s="23">
        <v>0.42857142857142849</v>
      </c>
      <c r="AW473" s="23">
        <v>0.4464285714285714</v>
      </c>
      <c r="AX473" s="23">
        <v>5.3571428571428568E-2</v>
      </c>
      <c r="AY473" s="23">
        <v>7.1428571428571425E-2</v>
      </c>
      <c r="AZ473" s="20">
        <v>1.1399999999999999</v>
      </c>
      <c r="BA473" s="20">
        <v>3.44</v>
      </c>
      <c r="BB473" s="20">
        <v>2.2999999999999998</v>
      </c>
      <c r="BC473" s="20">
        <v>2.5651724137931029</v>
      </c>
      <c r="BD473">
        <v>2.5651724137931029</v>
      </c>
      <c r="BE473">
        <v>6.53317716781069</v>
      </c>
    </row>
    <row r="474" spans="1:57" x14ac:dyDescent="0.3">
      <c r="A474" t="s">
        <v>391</v>
      </c>
      <c r="B474" s="17" t="s">
        <v>1053</v>
      </c>
      <c r="C474" s="12"/>
      <c r="F474">
        <v>3.33</v>
      </c>
      <c r="G474" t="s">
        <v>380</v>
      </c>
      <c r="H474" s="8">
        <v>-1</v>
      </c>
      <c r="I474">
        <v>-1</v>
      </c>
      <c r="N474" s="20">
        <v>0</v>
      </c>
      <c r="O474">
        <v>3.78</v>
      </c>
      <c r="P474">
        <v>3.78</v>
      </c>
      <c r="Q474">
        <v>47.3</v>
      </c>
      <c r="R474" t="s">
        <v>519</v>
      </c>
      <c r="S474">
        <v>23.7</v>
      </c>
      <c r="T474" s="20">
        <v>0</v>
      </c>
      <c r="W474"/>
      <c r="AO474">
        <v>22</v>
      </c>
      <c r="AP474" s="20">
        <v>0</v>
      </c>
      <c r="AR474" s="23">
        <v>1.625</v>
      </c>
      <c r="AS474" s="23">
        <v>1.625</v>
      </c>
      <c r="AT474" s="23">
        <v>0.1875</v>
      </c>
      <c r="AU474" s="23">
        <v>0.25</v>
      </c>
      <c r="AV474" s="23">
        <v>0.44067796610169491</v>
      </c>
      <c r="AW474" s="23">
        <v>0.44067796610169491</v>
      </c>
      <c r="AX474" s="23">
        <v>5.0847457627118647E-2</v>
      </c>
      <c r="AY474" s="23">
        <v>6.7796610169491525E-2</v>
      </c>
      <c r="AZ474" s="20">
        <v>1.1399999999999999</v>
      </c>
      <c r="BA474" s="20">
        <v>3.44</v>
      </c>
      <c r="BB474" s="20">
        <v>2.2999999999999998</v>
      </c>
      <c r="BC474" s="20">
        <v>2.5418750000000001</v>
      </c>
      <c r="BD474">
        <v>2.5418750000000001</v>
      </c>
      <c r="BE474">
        <v>6.5648866022566246</v>
      </c>
    </row>
    <row r="475" spans="1:57" x14ac:dyDescent="0.3">
      <c r="A475" t="s">
        <v>392</v>
      </c>
      <c r="B475" s="17" t="s">
        <v>1054</v>
      </c>
      <c r="C475" s="12"/>
      <c r="F475">
        <v>3.35</v>
      </c>
      <c r="G475" t="s">
        <v>380</v>
      </c>
      <c r="H475" s="8">
        <v>-1</v>
      </c>
      <c r="I475">
        <v>-1</v>
      </c>
      <c r="N475" s="20">
        <v>0</v>
      </c>
      <c r="O475">
        <v>3.81</v>
      </c>
      <c r="P475">
        <v>3.81</v>
      </c>
      <c r="Q475">
        <v>28.3</v>
      </c>
      <c r="R475" t="s">
        <v>519</v>
      </c>
      <c r="S475">
        <v>28.3</v>
      </c>
      <c r="T475" s="20">
        <v>0</v>
      </c>
      <c r="W475"/>
      <c r="AO475">
        <v>22</v>
      </c>
      <c r="AP475" s="20">
        <v>0</v>
      </c>
      <c r="AR475" s="23">
        <v>1.5789473684210531</v>
      </c>
      <c r="AS475" s="23">
        <v>1.4736842105263159</v>
      </c>
      <c r="AT475" s="23">
        <v>0.15789473684210531</v>
      </c>
      <c r="AU475" s="23">
        <v>0.2105263157894737</v>
      </c>
      <c r="AV475" s="23">
        <v>0.46153846153846162</v>
      </c>
      <c r="AW475" s="23">
        <v>0.43076923076923068</v>
      </c>
      <c r="AX475" s="23">
        <v>4.6153846153846149E-2</v>
      </c>
      <c r="AY475" s="23">
        <v>6.1538461538461528E-2</v>
      </c>
      <c r="AZ475" s="20">
        <v>1.1399999999999999</v>
      </c>
      <c r="BA475" s="20">
        <v>3.44</v>
      </c>
      <c r="BB475" s="20">
        <v>2.2999999999999998</v>
      </c>
      <c r="BC475" s="20">
        <v>2.5063157894736841</v>
      </c>
      <c r="BD475">
        <v>2.5063157894736841</v>
      </c>
      <c r="BE475">
        <v>6.6132852127267361</v>
      </c>
    </row>
    <row r="476" spans="1:57" x14ac:dyDescent="0.3">
      <c r="A476" t="s">
        <v>1133</v>
      </c>
      <c r="B476" s="17" t="s">
        <v>1055</v>
      </c>
      <c r="C476" s="12"/>
      <c r="F476">
        <v>3.36</v>
      </c>
      <c r="G476" t="s">
        <v>380</v>
      </c>
      <c r="H476" s="8">
        <v>-1</v>
      </c>
      <c r="I476">
        <v>-1</v>
      </c>
      <c r="N476" s="20">
        <v>0</v>
      </c>
      <c r="O476">
        <v>3.74</v>
      </c>
      <c r="P476">
        <v>3.74</v>
      </c>
      <c r="Q476">
        <v>30.8</v>
      </c>
      <c r="R476" t="s">
        <v>519</v>
      </c>
      <c r="S476">
        <v>30.8</v>
      </c>
      <c r="T476" s="20">
        <v>0</v>
      </c>
      <c r="W476"/>
      <c r="AO476">
        <v>22</v>
      </c>
      <c r="AP476" s="20">
        <v>0</v>
      </c>
      <c r="AR476" s="23">
        <v>1.545454545454545</v>
      </c>
      <c r="AS476" s="23">
        <v>1.363636363636364</v>
      </c>
      <c r="AT476" s="23">
        <v>0.13636363636363641</v>
      </c>
      <c r="AU476" s="23">
        <v>0.1818181818181818</v>
      </c>
      <c r="AV476" s="23">
        <v>0.47887323943661969</v>
      </c>
      <c r="AW476" s="23">
        <v>0.42253521126760563</v>
      </c>
      <c r="AX476" s="23">
        <v>4.2253521126760563E-2</v>
      </c>
      <c r="AY476" s="23">
        <v>5.6338028169014093E-2</v>
      </c>
      <c r="AZ476" s="20">
        <v>1.1399999999999999</v>
      </c>
      <c r="BA476" s="20">
        <v>3.44</v>
      </c>
      <c r="BB476" s="20">
        <v>2.2999999999999998</v>
      </c>
      <c r="BC476" s="20">
        <v>2.4804545454545459</v>
      </c>
      <c r="BD476">
        <v>2.480454545454545</v>
      </c>
      <c r="BE476">
        <v>6.6484842021595449</v>
      </c>
    </row>
    <row r="477" spans="1:57" x14ac:dyDescent="0.3">
      <c r="A477" s="1" t="s">
        <v>394</v>
      </c>
      <c r="B477" s="17" t="s">
        <v>1056</v>
      </c>
      <c r="C477" s="12"/>
      <c r="F477">
        <v>3.29</v>
      </c>
      <c r="G477" t="s">
        <v>393</v>
      </c>
      <c r="H477" s="8">
        <v>-1</v>
      </c>
      <c r="I477">
        <v>-1</v>
      </c>
      <c r="N477" s="20">
        <v>0</v>
      </c>
      <c r="O477">
        <v>3.85</v>
      </c>
      <c r="P477">
        <v>3.85</v>
      </c>
      <c r="Q477">
        <v>21.37</v>
      </c>
      <c r="R477" t="s">
        <v>1131</v>
      </c>
      <c r="T477" s="20">
        <v>0</v>
      </c>
      <c r="W477"/>
      <c r="AO477">
        <v>26</v>
      </c>
      <c r="AP477" s="20">
        <v>0</v>
      </c>
      <c r="AR477" s="23">
        <v>1.791666666666667</v>
      </c>
      <c r="AS477" s="23">
        <v>2.416666666666667</v>
      </c>
      <c r="AT477" s="23">
        <v>1.166666666666667</v>
      </c>
      <c r="AU477" s="23">
        <v>1.166666666666667</v>
      </c>
      <c r="AV477" s="23">
        <v>0.27388535031847128</v>
      </c>
      <c r="AW477" s="23">
        <v>0.36942675159235672</v>
      </c>
      <c r="AX477" s="23">
        <v>0.178343949044586</v>
      </c>
      <c r="AY477" s="23">
        <v>0.178343949044586</v>
      </c>
      <c r="AZ477" s="20">
        <v>0.82</v>
      </c>
      <c r="BA477" s="20">
        <v>3.44</v>
      </c>
      <c r="BB477" s="20">
        <v>2.62</v>
      </c>
      <c r="BC477" s="20">
        <v>2.689166666666666</v>
      </c>
      <c r="BD477">
        <v>2.6891666666666669</v>
      </c>
      <c r="BE477">
        <v>6.2990365295585002</v>
      </c>
    </row>
    <row r="478" spans="1:57" s="4" customFormat="1" x14ac:dyDescent="0.3">
      <c r="A478" s="4" t="s">
        <v>395</v>
      </c>
      <c r="B478" s="33" t="s">
        <v>1057</v>
      </c>
      <c r="C478" s="29"/>
      <c r="F478" s="4">
        <v>3.17</v>
      </c>
      <c r="G478" s="4" t="s">
        <v>393</v>
      </c>
      <c r="H478" s="30">
        <v>-2</v>
      </c>
      <c r="I478" s="4">
        <v>-1</v>
      </c>
      <c r="N478" s="31">
        <v>0</v>
      </c>
      <c r="O478" s="4">
        <v>-1</v>
      </c>
      <c r="Q478" s="4">
        <v>21.88</v>
      </c>
      <c r="T478" s="31">
        <v>0</v>
      </c>
      <c r="AO478" s="4">
        <v>26</v>
      </c>
      <c r="AP478" s="31">
        <v>0</v>
      </c>
      <c r="AR478" s="4">
        <v>1.7272727272727271</v>
      </c>
      <c r="AS478" s="4">
        <v>2.1818181818181821</v>
      </c>
      <c r="AT478" s="4">
        <v>1.0181818181818181</v>
      </c>
      <c r="AU478" s="4">
        <v>1.0181818181818181</v>
      </c>
      <c r="AV478" s="4">
        <v>0.29051987767584098</v>
      </c>
      <c r="AW478" s="4">
        <v>0.36697247706422009</v>
      </c>
      <c r="AX478" s="4">
        <v>0.17125382262996941</v>
      </c>
      <c r="AY478" s="4">
        <v>0.17125382262996941</v>
      </c>
      <c r="AZ478" s="31">
        <v>0.82</v>
      </c>
      <c r="BA478" s="31">
        <v>3.44</v>
      </c>
      <c r="BB478" s="31">
        <v>2.62</v>
      </c>
      <c r="BC478" s="31">
        <v>2.6647272727272728</v>
      </c>
      <c r="BD478" s="4">
        <v>2.6647272727272728</v>
      </c>
      <c r="BE478" s="4">
        <v>6.4638943890893454</v>
      </c>
    </row>
    <row r="479" spans="1:57" s="4" customFormat="1" x14ac:dyDescent="0.3">
      <c r="A479" s="4" t="s">
        <v>396</v>
      </c>
      <c r="B479" s="33" t="s">
        <v>1058</v>
      </c>
      <c r="C479" s="29"/>
      <c r="F479" s="4">
        <v>3.19</v>
      </c>
      <c r="G479" s="4" t="s">
        <v>393</v>
      </c>
      <c r="H479" s="30">
        <v>-2</v>
      </c>
      <c r="I479" s="4">
        <v>-1</v>
      </c>
      <c r="N479" s="31">
        <v>0</v>
      </c>
      <c r="O479" s="4">
        <v>-1</v>
      </c>
      <c r="Q479" s="4">
        <v>23.3</v>
      </c>
      <c r="T479" s="31">
        <v>0</v>
      </c>
      <c r="AO479" s="4">
        <v>26</v>
      </c>
      <c r="AP479" s="31">
        <v>0</v>
      </c>
      <c r="AR479" s="4">
        <v>1.693548387096774</v>
      </c>
      <c r="AS479" s="4">
        <v>2.0483870967741939</v>
      </c>
      <c r="AT479" s="4">
        <v>1.064516129032258</v>
      </c>
      <c r="AU479" s="4">
        <v>1.129032258064516</v>
      </c>
      <c r="AV479" s="4">
        <v>0.28532608695652167</v>
      </c>
      <c r="AW479" s="4">
        <v>0.34510869565217389</v>
      </c>
      <c r="AX479" s="4">
        <v>0.17934782608695651</v>
      </c>
      <c r="AY479" s="4">
        <v>0.19021739130434781</v>
      </c>
      <c r="AZ479" s="31">
        <v>0.82</v>
      </c>
      <c r="BA479" s="31">
        <v>3.44</v>
      </c>
      <c r="BB479" s="31">
        <v>2.62</v>
      </c>
      <c r="BC479" s="31">
        <v>2.620645161290323</v>
      </c>
      <c r="BD479" s="4">
        <v>2.620645161290323</v>
      </c>
      <c r="BE479" s="4">
        <v>6.4654289883277096</v>
      </c>
    </row>
    <row r="480" spans="1:57" s="4" customFormat="1" x14ac:dyDescent="0.3">
      <c r="A480" s="4" t="s">
        <v>397</v>
      </c>
      <c r="B480" s="33" t="s">
        <v>1059</v>
      </c>
      <c r="C480" s="29"/>
      <c r="F480" s="4">
        <v>3.19</v>
      </c>
      <c r="G480" s="4" t="s">
        <v>393</v>
      </c>
      <c r="H480" s="30">
        <v>-2</v>
      </c>
      <c r="I480" s="4">
        <v>-1</v>
      </c>
      <c r="N480" s="31">
        <v>0</v>
      </c>
      <c r="O480" s="4">
        <v>-1</v>
      </c>
      <c r="Q480" s="4">
        <v>25.26</v>
      </c>
      <c r="T480" s="31">
        <v>0</v>
      </c>
      <c r="U480" s="31"/>
      <c r="V480" s="31"/>
      <c r="AO480" s="4">
        <v>26</v>
      </c>
      <c r="AP480" s="31">
        <v>0</v>
      </c>
      <c r="AQ480" s="31"/>
      <c r="AR480" s="4">
        <v>1.661764705882353</v>
      </c>
      <c r="AS480" s="4">
        <v>1.9264705882352939</v>
      </c>
      <c r="AT480" s="4">
        <v>0.97058823529411764</v>
      </c>
      <c r="AU480" s="4">
        <v>1.029411764705882</v>
      </c>
      <c r="AV480" s="4">
        <v>0.29736842105263162</v>
      </c>
      <c r="AW480" s="4">
        <v>0.34473684210526317</v>
      </c>
      <c r="AX480" s="4">
        <v>0.1736842105263158</v>
      </c>
      <c r="AY480" s="4">
        <v>0.18421052631578949</v>
      </c>
      <c r="AZ480" s="31">
        <v>0.82</v>
      </c>
      <c r="BA480" s="31">
        <v>3.44</v>
      </c>
      <c r="BB480" s="31">
        <v>2.62</v>
      </c>
      <c r="BC480" s="31">
        <v>2.5938235294117651</v>
      </c>
      <c r="BD480" s="4">
        <v>2.5938235294117651</v>
      </c>
      <c r="BE480" s="4">
        <v>6.5012509424665001</v>
      </c>
    </row>
    <row r="481" spans="1:57" s="4" customFormat="1" x14ac:dyDescent="0.3">
      <c r="A481" s="4" t="s">
        <v>398</v>
      </c>
      <c r="B481" s="33" t="s">
        <v>1060</v>
      </c>
      <c r="C481" s="29"/>
      <c r="F481" s="4">
        <v>3.17</v>
      </c>
      <c r="G481" s="4" t="s">
        <v>393</v>
      </c>
      <c r="H481" s="30">
        <v>-2</v>
      </c>
      <c r="I481" s="4">
        <v>-1</v>
      </c>
      <c r="N481" s="31">
        <v>0</v>
      </c>
      <c r="O481" s="4">
        <v>-1</v>
      </c>
      <c r="Q481" s="4">
        <v>27.23</v>
      </c>
      <c r="T481" s="31">
        <v>0</v>
      </c>
      <c r="U481" s="31"/>
      <c r="V481" s="31"/>
      <c r="AO481" s="4">
        <v>26</v>
      </c>
      <c r="AP481" s="31">
        <v>0</v>
      </c>
      <c r="AQ481" s="31"/>
      <c r="AR481" s="4">
        <v>1.6351351351351351</v>
      </c>
      <c r="AS481" s="4">
        <v>1.8243243243243239</v>
      </c>
      <c r="AT481" s="4">
        <v>0.89189189189189189</v>
      </c>
      <c r="AU481" s="4">
        <v>0.94594594594594594</v>
      </c>
      <c r="AV481" s="4">
        <v>0.30867346938775508</v>
      </c>
      <c r="AW481" s="4">
        <v>0.34438775510204078</v>
      </c>
      <c r="AX481" s="4">
        <v>0.1683673469387755</v>
      </c>
      <c r="AY481" s="4">
        <v>0.1785714285714286</v>
      </c>
      <c r="AZ481" s="31">
        <v>0.82</v>
      </c>
      <c r="BA481" s="31">
        <v>3.44</v>
      </c>
      <c r="BB481" s="31">
        <v>2.62</v>
      </c>
      <c r="BC481" s="31">
        <v>2.5713513513513511</v>
      </c>
      <c r="BD481" s="4">
        <v>2.571351351351352</v>
      </c>
      <c r="BE481" s="4">
        <v>6.5312639310692706</v>
      </c>
    </row>
    <row r="482" spans="1:57" s="4" customFormat="1" x14ac:dyDescent="0.3">
      <c r="A482" s="4" t="s">
        <v>399</v>
      </c>
      <c r="B482" s="33" t="s">
        <v>1061</v>
      </c>
      <c r="C482" s="29"/>
      <c r="F482" s="4">
        <v>3.15</v>
      </c>
      <c r="G482" s="4" t="s">
        <v>393</v>
      </c>
      <c r="H482" s="30">
        <v>-2</v>
      </c>
      <c r="I482" s="4">
        <v>-1</v>
      </c>
      <c r="N482" s="31">
        <v>0</v>
      </c>
      <c r="O482" s="4">
        <v>-1</v>
      </c>
      <c r="Q482" s="4">
        <v>33.19</v>
      </c>
      <c r="T482" s="31">
        <v>0</v>
      </c>
      <c r="U482" s="31"/>
      <c r="V482" s="31"/>
      <c r="AO482" s="4">
        <v>26</v>
      </c>
      <c r="AP482" s="31">
        <v>0</v>
      </c>
      <c r="AQ482" s="31"/>
      <c r="AR482" s="4">
        <v>1.593023255813953</v>
      </c>
      <c r="AS482" s="4">
        <v>1.6627906976744189</v>
      </c>
      <c r="AT482" s="4">
        <v>0.76744186046511631</v>
      </c>
      <c r="AU482" s="4">
        <v>0.81395348837209303</v>
      </c>
      <c r="AV482" s="4">
        <v>0.32932692307692307</v>
      </c>
      <c r="AW482" s="4">
        <v>0.34375000000000011</v>
      </c>
      <c r="AX482" s="4">
        <v>0.1586538461538462</v>
      </c>
      <c r="AY482" s="4">
        <v>0.16826923076923081</v>
      </c>
      <c r="AZ482" s="31">
        <v>0.82</v>
      </c>
      <c r="BA482" s="31">
        <v>3.44</v>
      </c>
      <c r="BB482" s="31">
        <v>2.62</v>
      </c>
      <c r="BC482" s="31">
        <v>2.5358139534883719</v>
      </c>
      <c r="BD482" s="4">
        <v>2.5358139534883719</v>
      </c>
      <c r="BE482" s="4">
        <v>6.5787263316503957</v>
      </c>
    </row>
    <row r="483" spans="1:57" s="4" customFormat="1" x14ac:dyDescent="0.3">
      <c r="A483" s="4" t="s">
        <v>400</v>
      </c>
      <c r="B483" s="33" t="s">
        <v>1062</v>
      </c>
      <c r="C483" s="29"/>
      <c r="F483" s="4">
        <v>3.15</v>
      </c>
      <c r="G483" s="4" t="s">
        <v>393</v>
      </c>
      <c r="H483" s="38">
        <v>-2</v>
      </c>
      <c r="I483" s="4">
        <v>-1</v>
      </c>
      <c r="N483" s="31">
        <v>0</v>
      </c>
      <c r="O483" s="4">
        <v>-1</v>
      </c>
      <c r="Q483" s="4">
        <v>38.67</v>
      </c>
      <c r="T483" s="31">
        <v>0</v>
      </c>
      <c r="U483" s="31"/>
      <c r="V483" s="31"/>
      <c r="AO483" s="4">
        <v>26</v>
      </c>
      <c r="AP483" s="31">
        <v>0</v>
      </c>
      <c r="AQ483" s="31"/>
      <c r="AR483" s="4">
        <v>1.561224489795918</v>
      </c>
      <c r="AS483" s="4">
        <v>1.5408163265306121</v>
      </c>
      <c r="AT483" s="4">
        <v>0.67346938775510201</v>
      </c>
      <c r="AU483" s="4">
        <v>0.7142857142857143</v>
      </c>
      <c r="AV483" s="4">
        <v>0.34772727272727277</v>
      </c>
      <c r="AW483" s="4">
        <v>0.3431818181818182</v>
      </c>
      <c r="AX483" s="4">
        <v>0.15</v>
      </c>
      <c r="AY483" s="4">
        <v>0.15909090909090909</v>
      </c>
      <c r="AZ483" s="31">
        <v>0.82</v>
      </c>
      <c r="BA483" s="31">
        <v>3.44</v>
      </c>
      <c r="BB483" s="31">
        <v>2.62</v>
      </c>
      <c r="BC483" s="31">
        <v>2.5089795918367348</v>
      </c>
      <c r="BD483" s="4">
        <v>2.5089795918367348</v>
      </c>
      <c r="BE483" s="4">
        <v>6.6145652871912439</v>
      </c>
    </row>
    <row r="484" spans="1:57" x14ac:dyDescent="0.3">
      <c r="A484" t="s">
        <v>381</v>
      </c>
      <c r="B484" s="12" t="s">
        <v>838</v>
      </c>
      <c r="C484" s="12"/>
      <c r="F484">
        <v>3.46</v>
      </c>
      <c r="G484" t="s">
        <v>401</v>
      </c>
      <c r="H484" s="8">
        <v>-1</v>
      </c>
      <c r="I484">
        <v>-1</v>
      </c>
      <c r="N484" s="20">
        <v>0</v>
      </c>
      <c r="O484">
        <v>3.7829999999999999</v>
      </c>
      <c r="P484">
        <v>3.7829999999999999</v>
      </c>
      <c r="Q484">
        <v>27.18</v>
      </c>
      <c r="R484" t="s">
        <v>1131</v>
      </c>
      <c r="T484" s="20">
        <v>0</v>
      </c>
      <c r="U484" s="20"/>
      <c r="V484" s="20"/>
      <c r="W484"/>
      <c r="AO484">
        <v>20</v>
      </c>
      <c r="AP484" s="20">
        <v>0</v>
      </c>
      <c r="AQ484" s="20"/>
      <c r="AR484" s="23">
        <v>1.882352941176471</v>
      </c>
      <c r="AS484" s="23">
        <v>2.3529411764705879</v>
      </c>
      <c r="AT484" s="23">
        <v>0.35294117647058831</v>
      </c>
      <c r="AU484" s="23">
        <v>0.47058823529411759</v>
      </c>
      <c r="AV484" s="23">
        <v>0.37209302325581389</v>
      </c>
      <c r="AW484" s="23">
        <v>0.46511627906976749</v>
      </c>
      <c r="AX484" s="23">
        <v>6.9767441860465129E-2</v>
      </c>
      <c r="AY484" s="23">
        <v>9.3023255813953487E-2</v>
      </c>
      <c r="AZ484" s="20">
        <v>1.1399999999999999</v>
      </c>
      <c r="BA484" s="20">
        <v>3.44</v>
      </c>
      <c r="BB484" s="20">
        <v>2.2999999999999998</v>
      </c>
      <c r="BC484" s="20">
        <v>2.6882352941176468</v>
      </c>
      <c r="BD484">
        <v>2.6882352941176468</v>
      </c>
      <c r="BE484">
        <v>6.2192249941001183</v>
      </c>
    </row>
    <row r="485" spans="1:57" x14ac:dyDescent="0.3">
      <c r="A485" t="s">
        <v>385</v>
      </c>
      <c r="B485" s="17" t="s">
        <v>1063</v>
      </c>
      <c r="C485" s="12"/>
      <c r="F485">
        <v>3.58</v>
      </c>
      <c r="G485" t="s">
        <v>401</v>
      </c>
      <c r="H485" s="8">
        <v>-1</v>
      </c>
      <c r="I485">
        <v>-1</v>
      </c>
      <c r="N485" s="20">
        <v>0</v>
      </c>
      <c r="O485">
        <v>3.802</v>
      </c>
      <c r="P485">
        <v>3.802</v>
      </c>
      <c r="Q485">
        <v>24.7</v>
      </c>
      <c r="R485" t="s">
        <v>439</v>
      </c>
      <c r="T485" s="20">
        <v>0</v>
      </c>
      <c r="U485" s="20"/>
      <c r="V485" s="20"/>
      <c r="W485"/>
      <c r="AO485">
        <v>20</v>
      </c>
      <c r="AP485" s="20">
        <v>0</v>
      </c>
      <c r="AQ485" s="20"/>
      <c r="AR485" s="23">
        <v>1.606060606060606</v>
      </c>
      <c r="AS485" s="23">
        <v>1.545454545454545</v>
      </c>
      <c r="AT485" s="23">
        <v>0.1818181818181818</v>
      </c>
      <c r="AU485" s="23">
        <v>0.2424242424242424</v>
      </c>
      <c r="AV485" s="23">
        <v>0.44915254237288132</v>
      </c>
      <c r="AW485" s="23">
        <v>0.43220338983050849</v>
      </c>
      <c r="AX485" s="23">
        <v>5.0847457627118647E-2</v>
      </c>
      <c r="AY485" s="23">
        <v>6.7796610169491525E-2</v>
      </c>
      <c r="AZ485" s="20">
        <v>1.1399999999999999</v>
      </c>
      <c r="BA485" s="20">
        <v>3.44</v>
      </c>
      <c r="BB485" s="20">
        <v>2.2999999999999998</v>
      </c>
      <c r="BC485" s="20">
        <v>2.51939393939394</v>
      </c>
      <c r="BD485">
        <v>2.51939393939394</v>
      </c>
      <c r="BE485">
        <v>6.5741021946079687</v>
      </c>
    </row>
    <row r="486" spans="1:57" x14ac:dyDescent="0.3">
      <c r="A486" t="s">
        <v>51</v>
      </c>
      <c r="B486" s="12" t="s">
        <v>703</v>
      </c>
      <c r="C486" s="12"/>
      <c r="F486">
        <v>5.5</v>
      </c>
      <c r="G486" t="s">
        <v>52</v>
      </c>
      <c r="H486" s="8" t="s">
        <v>536</v>
      </c>
      <c r="I486" t="s">
        <v>617</v>
      </c>
      <c r="N486" s="20">
        <v>1</v>
      </c>
      <c r="O486">
        <v>-1</v>
      </c>
      <c r="P486"/>
      <c r="Q486"/>
      <c r="T486" s="20">
        <v>12.88926011</v>
      </c>
      <c r="U486" s="20">
        <v>12.88926011</v>
      </c>
      <c r="V486" s="20">
        <v>12.88926011</v>
      </c>
      <c r="W486"/>
      <c r="AO486">
        <v>18</v>
      </c>
      <c r="AP486" s="20">
        <v>195.03203980213701</v>
      </c>
      <c r="AQ486" s="20">
        <v>9.2292528029042184E-2</v>
      </c>
      <c r="AR486" s="23">
        <v>2</v>
      </c>
      <c r="AS486" s="23">
        <v>3</v>
      </c>
      <c r="AT486" s="23">
        <v>1.857142857142857</v>
      </c>
      <c r="AU486" s="23">
        <v>4</v>
      </c>
      <c r="AV486" s="23">
        <v>0.18421052631578949</v>
      </c>
      <c r="AW486" s="23">
        <v>0.27631578947368418</v>
      </c>
      <c r="AX486" s="23">
        <v>0.1710526315789474</v>
      </c>
      <c r="AY486" s="23">
        <v>0.36842105263157893</v>
      </c>
      <c r="AZ486" s="20">
        <v>0.95</v>
      </c>
      <c r="BA486" s="20">
        <v>3.44</v>
      </c>
      <c r="BB486" s="20">
        <v>2.4900000000000002</v>
      </c>
      <c r="BC486" s="20">
        <v>2.782142857142857</v>
      </c>
      <c r="BD486">
        <v>2.7821428571428579</v>
      </c>
      <c r="BE486">
        <v>6.2021612289285706</v>
      </c>
    </row>
    <row r="487" spans="1:57" x14ac:dyDescent="0.3">
      <c r="A487" t="s">
        <v>403</v>
      </c>
      <c r="B487" s="16" t="s">
        <v>956</v>
      </c>
      <c r="C487" s="12"/>
      <c r="F487">
        <v>3.76</v>
      </c>
      <c r="G487" t="s">
        <v>402</v>
      </c>
      <c r="H487" s="8">
        <v>-1</v>
      </c>
      <c r="I487">
        <v>-1</v>
      </c>
      <c r="N487" s="20">
        <v>0</v>
      </c>
      <c r="O487">
        <v>3.9</v>
      </c>
      <c r="P487">
        <v>3.9</v>
      </c>
      <c r="Q487">
        <f>15.91*2</f>
        <v>31.82</v>
      </c>
      <c r="T487" s="20">
        <v>0</v>
      </c>
      <c r="U487" s="20"/>
      <c r="V487" s="20"/>
      <c r="W487"/>
      <c r="AO487">
        <v>20</v>
      </c>
      <c r="AP487" s="20">
        <v>0</v>
      </c>
      <c r="AQ487" s="20"/>
      <c r="AR487" s="23">
        <v>1.882352941176471</v>
      </c>
      <c r="AS487" s="23">
        <v>2.3529411764705879</v>
      </c>
      <c r="AT487" s="23">
        <v>0.43529411764705878</v>
      </c>
      <c r="AU487" s="23">
        <v>0.82352941176470584</v>
      </c>
      <c r="AV487" s="23">
        <v>0.34261241970021411</v>
      </c>
      <c r="AW487" s="23">
        <v>0.42826552462526768</v>
      </c>
      <c r="AX487" s="23">
        <v>7.922912205567452E-2</v>
      </c>
      <c r="AY487" s="23">
        <v>0.1498929336188437</v>
      </c>
      <c r="AZ487" s="20">
        <v>0.82</v>
      </c>
      <c r="BA487" s="20">
        <v>3.44</v>
      </c>
      <c r="BB487" s="20">
        <v>2.62</v>
      </c>
      <c r="BC487" s="20">
        <v>2.5324117647058819</v>
      </c>
      <c r="BD487">
        <v>2.532941176470588</v>
      </c>
      <c r="BE487">
        <v>5.690008021176471</v>
      </c>
    </row>
    <row r="488" spans="1:57" x14ac:dyDescent="0.3">
      <c r="A488" t="s">
        <v>404</v>
      </c>
      <c r="B488" s="16" t="s">
        <v>957</v>
      </c>
      <c r="C488" s="12"/>
      <c r="F488">
        <v>3.88</v>
      </c>
      <c r="G488" t="s">
        <v>402</v>
      </c>
      <c r="H488" s="8">
        <v>-1</v>
      </c>
      <c r="I488">
        <v>-1</v>
      </c>
      <c r="N488" s="20">
        <v>0</v>
      </c>
      <c r="O488">
        <v>3.8050000000000002</v>
      </c>
      <c r="P488">
        <v>3.8050000000000002</v>
      </c>
      <c r="Q488">
        <v>27.44</v>
      </c>
      <c r="R488" t="s">
        <v>1131</v>
      </c>
      <c r="T488" s="20">
        <v>0</v>
      </c>
      <c r="U488" s="20"/>
      <c r="V488" s="20"/>
      <c r="W488"/>
      <c r="AO488">
        <v>20</v>
      </c>
      <c r="AP488" s="20">
        <v>0</v>
      </c>
      <c r="AQ488" s="20"/>
      <c r="AR488">
        <v>1.882352941176471</v>
      </c>
      <c r="AS488">
        <v>2.3529411764705879</v>
      </c>
      <c r="AT488">
        <v>0.43529411764705878</v>
      </c>
      <c r="AU488">
        <v>0.82352941176470584</v>
      </c>
      <c r="AV488">
        <v>0.34261241970021411</v>
      </c>
      <c r="AW488">
        <v>0.42826552462526768</v>
      </c>
      <c r="AX488">
        <v>7.922912205567452E-2</v>
      </c>
      <c r="AY488">
        <v>0.1498929336188437</v>
      </c>
      <c r="AZ488" s="20">
        <v>1.1850000000000001</v>
      </c>
      <c r="BA488" s="20">
        <v>3.44</v>
      </c>
      <c r="BB488" s="20">
        <v>2.2549999999999999</v>
      </c>
      <c r="BC488" s="20">
        <v>2.6947647058823532</v>
      </c>
      <c r="BD488">
        <v>2.6952941176470588</v>
      </c>
      <c r="BE488">
        <v>6.2494732999824709</v>
      </c>
    </row>
    <row r="489" spans="1:57" x14ac:dyDescent="0.3">
      <c r="A489" t="s">
        <v>405</v>
      </c>
      <c r="B489" s="16" t="s">
        <v>958</v>
      </c>
      <c r="C489" s="12"/>
      <c r="F489">
        <v>4.51</v>
      </c>
      <c r="G489" t="s">
        <v>402</v>
      </c>
      <c r="H489" s="8">
        <v>-1</v>
      </c>
      <c r="I489">
        <v>-1</v>
      </c>
      <c r="J489" s="1" t="s">
        <v>1184</v>
      </c>
      <c r="N489" s="20">
        <v>0</v>
      </c>
      <c r="O489">
        <v>-1</v>
      </c>
      <c r="P489"/>
      <c r="Q489"/>
      <c r="T489" s="20">
        <v>0</v>
      </c>
      <c r="U489" s="20"/>
      <c r="V489" s="20"/>
      <c r="W489"/>
      <c r="AO489">
        <v>14</v>
      </c>
      <c r="AP489" s="20">
        <v>0</v>
      </c>
      <c r="AQ489" s="20"/>
      <c r="AR489" s="23">
        <v>1.9090909090909089</v>
      </c>
      <c r="AS489" s="23">
        <v>2.545454545454545</v>
      </c>
      <c r="AT489" s="23">
        <v>0.60909090909090913</v>
      </c>
      <c r="AU489" s="23">
        <v>2.790909090909091</v>
      </c>
      <c r="AV489" s="23">
        <v>0.24305555555555561</v>
      </c>
      <c r="AW489" s="23">
        <v>0.32407407407407413</v>
      </c>
      <c r="AX489" s="23">
        <v>7.7546296296296308E-2</v>
      </c>
      <c r="AY489" s="23">
        <v>0.35532407407407413</v>
      </c>
      <c r="AZ489" s="20">
        <v>0.82</v>
      </c>
      <c r="BA489" s="20">
        <v>3.44</v>
      </c>
      <c r="BB489" s="20">
        <v>2.62</v>
      </c>
      <c r="BC489" s="20">
        <v>2.6393636363636359</v>
      </c>
      <c r="BD489">
        <v>2.6363636363636358</v>
      </c>
      <c r="BE489">
        <v>6.0025089159090914</v>
      </c>
    </row>
    <row r="490" spans="1:57" x14ac:dyDescent="0.3">
      <c r="A490" t="s">
        <v>1190</v>
      </c>
      <c r="B490" s="16" t="s">
        <v>959</v>
      </c>
      <c r="C490" s="12"/>
      <c r="F490">
        <v>5.4</v>
      </c>
      <c r="G490" t="s">
        <v>402</v>
      </c>
      <c r="H490" s="8">
        <v>-1</v>
      </c>
      <c r="I490">
        <v>-1</v>
      </c>
      <c r="J490" t="s">
        <v>1164</v>
      </c>
      <c r="N490" s="20">
        <v>0</v>
      </c>
      <c r="O490">
        <v>3.89</v>
      </c>
      <c r="P490">
        <v>3.89</v>
      </c>
      <c r="Q490">
        <v>10.34</v>
      </c>
      <c r="R490" t="s">
        <v>440</v>
      </c>
      <c r="T490" s="20">
        <v>0</v>
      </c>
      <c r="U490" s="20"/>
      <c r="V490" s="20"/>
      <c r="W490"/>
      <c r="AO490">
        <v>14</v>
      </c>
      <c r="AP490" s="20">
        <v>0</v>
      </c>
      <c r="AQ490" s="20"/>
      <c r="AR490">
        <v>2</v>
      </c>
      <c r="AS490">
        <v>2.8</v>
      </c>
      <c r="AT490">
        <v>0.67</v>
      </c>
      <c r="AU490">
        <v>3.07</v>
      </c>
      <c r="AV490">
        <v>0.23419203747072601</v>
      </c>
      <c r="AW490">
        <v>0.32786885245901642</v>
      </c>
      <c r="AX490">
        <v>7.8454332552693226E-2</v>
      </c>
      <c r="AY490">
        <v>0.35948477751756441</v>
      </c>
      <c r="AZ490" s="20">
        <v>1.1000000000000001</v>
      </c>
      <c r="BA490" s="20">
        <v>3.44</v>
      </c>
      <c r="BB490" s="20">
        <v>2.34</v>
      </c>
      <c r="BC490" s="20">
        <v>2.8212999999999999</v>
      </c>
      <c r="BD490">
        <v>2.8180000000000001</v>
      </c>
      <c r="BE490">
        <v>6.3696075919999986</v>
      </c>
    </row>
    <row r="491" spans="1:57" x14ac:dyDescent="0.3">
      <c r="A491" t="s">
        <v>406</v>
      </c>
      <c r="B491" s="16" t="s">
        <v>960</v>
      </c>
      <c r="C491" s="12"/>
      <c r="F491">
        <v>0.01</v>
      </c>
      <c r="G491" t="s">
        <v>408</v>
      </c>
      <c r="H491" s="8">
        <v>-1</v>
      </c>
      <c r="I491" t="s">
        <v>673</v>
      </c>
      <c r="N491" s="20">
        <v>0</v>
      </c>
      <c r="O491">
        <v>5.3959999999999999</v>
      </c>
      <c r="P491">
        <v>5.4489999999999998</v>
      </c>
      <c r="Q491">
        <v>20.521999999999998</v>
      </c>
      <c r="R491" t="s">
        <v>1135</v>
      </c>
      <c r="T491" s="20">
        <v>0</v>
      </c>
      <c r="U491" s="20"/>
      <c r="V491" s="20"/>
      <c r="W491"/>
      <c r="AO491">
        <v>13.84</v>
      </c>
      <c r="AP491" s="20">
        <v>0</v>
      </c>
      <c r="AQ491" s="20"/>
      <c r="AR491" s="23">
        <v>2</v>
      </c>
      <c r="AS491" s="23">
        <v>2.3221476510067109</v>
      </c>
      <c r="AT491" s="23">
        <v>1.593959731543624</v>
      </c>
      <c r="AU491" s="23">
        <v>0</v>
      </c>
      <c r="AV491" s="23">
        <v>0.33806012478729441</v>
      </c>
      <c r="AW491" s="23">
        <v>0.39251276233692572</v>
      </c>
      <c r="AX491" s="23">
        <v>0.26942711287577992</v>
      </c>
      <c r="AY491" s="23">
        <v>0</v>
      </c>
      <c r="AZ491" s="20">
        <v>1.1000000000000001</v>
      </c>
      <c r="BA491" s="20">
        <v>3.44</v>
      </c>
      <c r="BB491" s="20">
        <v>2.34</v>
      </c>
      <c r="BC491" s="20">
        <v>2.5943624161073831</v>
      </c>
      <c r="BD491">
        <v>2.5943624161073831</v>
      </c>
      <c r="BE491">
        <v>5.8869633505033558</v>
      </c>
    </row>
    <row r="492" spans="1:57" x14ac:dyDescent="0.3">
      <c r="A492" t="s">
        <v>407</v>
      </c>
      <c r="B492" s="16" t="s">
        <v>961</v>
      </c>
      <c r="C492" s="12"/>
      <c r="F492">
        <v>0.15</v>
      </c>
      <c r="G492" t="s">
        <v>408</v>
      </c>
      <c r="H492" s="8">
        <v>-1</v>
      </c>
      <c r="I492" t="s">
        <v>673</v>
      </c>
      <c r="N492" s="20">
        <v>0</v>
      </c>
      <c r="O492">
        <v>5.484</v>
      </c>
      <c r="P492">
        <v>5.4790000000000001</v>
      </c>
      <c r="Q492">
        <v>20.064</v>
      </c>
      <c r="R492" t="s">
        <v>1135</v>
      </c>
      <c r="T492" s="20">
        <v>0</v>
      </c>
      <c r="U492" s="20"/>
      <c r="V492" s="20"/>
      <c r="W492"/>
      <c r="AO492">
        <v>12.7</v>
      </c>
      <c r="AP492" s="20">
        <v>0</v>
      </c>
      <c r="AQ492" s="20"/>
      <c r="AR492" s="23">
        <v>2</v>
      </c>
      <c r="AS492" s="23">
        <v>2.2378854625550662</v>
      </c>
      <c r="AT492" s="23">
        <v>1.6740088105726869</v>
      </c>
      <c r="AU492" s="23">
        <v>0</v>
      </c>
      <c r="AV492" s="23">
        <v>0.33830104321907611</v>
      </c>
      <c r="AW492" s="23">
        <v>0.37853949329359171</v>
      </c>
      <c r="AX492" s="23">
        <v>0.2831594634873324</v>
      </c>
      <c r="AY492" s="23">
        <v>0</v>
      </c>
      <c r="AZ492" s="20">
        <v>1.1000000000000001</v>
      </c>
      <c r="BA492" s="20">
        <v>3.44</v>
      </c>
      <c r="BB492" s="20">
        <v>2.34</v>
      </c>
      <c r="BC492" s="20">
        <v>2.5518942731277532</v>
      </c>
      <c r="BD492">
        <v>2.5518942731277532</v>
      </c>
      <c r="BE492">
        <v>5.8039684980176212</v>
      </c>
    </row>
    <row r="493" spans="1:57" x14ac:dyDescent="0.3">
      <c r="A493" t="s">
        <v>409</v>
      </c>
      <c r="B493" s="16" t="s">
        <v>962</v>
      </c>
      <c r="C493" s="12"/>
      <c r="F493">
        <v>3.22</v>
      </c>
      <c r="G493" t="s">
        <v>411</v>
      </c>
      <c r="H493" s="8">
        <v>-1</v>
      </c>
      <c r="I493">
        <v>-1</v>
      </c>
      <c r="N493" s="20">
        <v>0</v>
      </c>
      <c r="O493">
        <v>7.8239999999999998</v>
      </c>
      <c r="P493">
        <v>7.8432000000000004</v>
      </c>
      <c r="Q493">
        <v>7.9165000000000001</v>
      </c>
      <c r="R493" t="s">
        <v>1136</v>
      </c>
      <c r="T493" s="20">
        <v>0</v>
      </c>
      <c r="U493" s="20"/>
      <c r="V493" s="20"/>
      <c r="W493"/>
      <c r="AO493">
        <v>6</v>
      </c>
      <c r="AP493" s="20">
        <v>0</v>
      </c>
      <c r="AQ493" s="20"/>
      <c r="AR493" s="23">
        <v>1.7690531177829101</v>
      </c>
      <c r="AS493" s="23">
        <v>2.7713625866050808</v>
      </c>
      <c r="AT493" s="23">
        <v>1</v>
      </c>
      <c r="AU493" s="23">
        <v>0</v>
      </c>
      <c r="AV493" s="23">
        <v>0.31929970821175491</v>
      </c>
      <c r="AW493" s="23">
        <v>0.50020842017507294</v>
      </c>
      <c r="AX493" s="23">
        <v>0.18049187161317221</v>
      </c>
      <c r="AY493" s="23">
        <v>0</v>
      </c>
      <c r="AZ493" s="20">
        <v>1.1000000000000001</v>
      </c>
      <c r="BA493" s="20">
        <v>3.44</v>
      </c>
      <c r="BB493" s="20">
        <v>2.34</v>
      </c>
      <c r="BC493" s="20">
        <v>2.8367205542725169</v>
      </c>
      <c r="BD493">
        <v>2.8367205542725169</v>
      </c>
      <c r="BE493">
        <v>6.3438920491916866</v>
      </c>
    </row>
    <row r="494" spans="1:57" x14ac:dyDescent="0.3">
      <c r="A494" t="s">
        <v>90</v>
      </c>
      <c r="B494" s="16" t="s">
        <v>963</v>
      </c>
      <c r="C494" s="12"/>
      <c r="F494">
        <v>3.87</v>
      </c>
      <c r="G494" t="s">
        <v>411</v>
      </c>
      <c r="H494" s="8">
        <v>-1</v>
      </c>
      <c r="I494">
        <v>-1</v>
      </c>
      <c r="N494" s="20">
        <v>0</v>
      </c>
      <c r="O494">
        <v>3.9186000000000001</v>
      </c>
      <c r="P494">
        <v>3.9186000000000001</v>
      </c>
      <c r="Q494">
        <v>7.9149000000000003</v>
      </c>
      <c r="R494" t="s">
        <v>439</v>
      </c>
      <c r="T494" s="20">
        <v>0</v>
      </c>
      <c r="U494" s="20"/>
      <c r="V494" s="20"/>
      <c r="W494"/>
      <c r="AO494">
        <v>6</v>
      </c>
      <c r="AP494" s="20">
        <v>0</v>
      </c>
      <c r="AQ494" s="20"/>
      <c r="AR494" s="23">
        <v>2</v>
      </c>
      <c r="AS494" s="23">
        <v>2.7713625866050808</v>
      </c>
      <c r="AT494" s="23">
        <v>0.76905311778290997</v>
      </c>
      <c r="AU494" s="23">
        <v>3.2332563510392611</v>
      </c>
      <c r="AV494" s="23">
        <v>0.2279547249276126</v>
      </c>
      <c r="AW494" s="23">
        <v>0.31587259805211898</v>
      </c>
      <c r="AX494" s="23">
        <v>8.765464595946304E-2</v>
      </c>
      <c r="AY494" s="23">
        <v>0.36851803106080561</v>
      </c>
      <c r="AZ494" s="20">
        <v>1.1000000000000001</v>
      </c>
      <c r="BA494" s="20">
        <v>3.44</v>
      </c>
      <c r="BB494" s="20">
        <v>2.34</v>
      </c>
      <c r="BC494" s="20">
        <v>2.813625866050808</v>
      </c>
      <c r="BD494">
        <v>2.8136258660508089</v>
      </c>
      <c r="BE494">
        <v>6.3665749591224019</v>
      </c>
    </row>
    <row r="495" spans="1:57" x14ac:dyDescent="0.3">
      <c r="A495" t="s">
        <v>410</v>
      </c>
      <c r="B495" s="12" t="s">
        <v>839</v>
      </c>
      <c r="C495" s="12"/>
      <c r="F495">
        <v>3.56</v>
      </c>
      <c r="G495" t="s">
        <v>411</v>
      </c>
      <c r="H495" s="8" t="s">
        <v>602</v>
      </c>
      <c r="I495" t="s">
        <v>674</v>
      </c>
      <c r="N495" s="20">
        <v>2</v>
      </c>
      <c r="O495">
        <v>-1</v>
      </c>
      <c r="P495"/>
      <c r="Q495"/>
      <c r="T495" s="20">
        <v>5.44114334</v>
      </c>
      <c r="U495" s="20">
        <v>5.44114334</v>
      </c>
      <c r="V495" s="20">
        <v>5.44114334</v>
      </c>
      <c r="W495"/>
      <c r="AO495">
        <v>6</v>
      </c>
      <c r="AP495" s="20">
        <v>112.4131248985337</v>
      </c>
      <c r="AQ495" s="20">
        <v>0.106749100790779</v>
      </c>
      <c r="AR495" s="23">
        <v>2</v>
      </c>
      <c r="AS495" s="23">
        <v>2.4</v>
      </c>
      <c r="AT495" s="23">
        <v>0.4</v>
      </c>
      <c r="AU495" s="23">
        <v>0</v>
      </c>
      <c r="AV495" s="23">
        <v>0.41666666666666669</v>
      </c>
      <c r="AW495" s="23">
        <v>0.5</v>
      </c>
      <c r="AX495" s="23">
        <v>8.3333333333333343E-2</v>
      </c>
      <c r="AY495" s="23">
        <v>0</v>
      </c>
      <c r="AZ495" s="20">
        <v>1</v>
      </c>
      <c r="BA495" s="20">
        <v>3.44</v>
      </c>
      <c r="BB495" s="20">
        <v>2.44</v>
      </c>
      <c r="BC495" s="20">
        <v>2.5720000000000001</v>
      </c>
      <c r="BD495">
        <v>2.5720000000000001</v>
      </c>
      <c r="BE495">
        <v>5.8278852370000003</v>
      </c>
    </row>
    <row r="496" spans="1:57" x14ac:dyDescent="0.3">
      <c r="A496" t="s">
        <v>413</v>
      </c>
      <c r="B496" s="12" t="s">
        <v>840</v>
      </c>
      <c r="C496" s="12"/>
      <c r="F496">
        <v>2.86</v>
      </c>
      <c r="G496" t="s">
        <v>412</v>
      </c>
      <c r="H496" s="8">
        <v>-1</v>
      </c>
      <c r="I496">
        <v>-1</v>
      </c>
      <c r="N496" s="20">
        <v>0</v>
      </c>
      <c r="O496">
        <v>3.91</v>
      </c>
      <c r="P496">
        <v>3.91</v>
      </c>
      <c r="Q496">
        <v>18.495999999999999</v>
      </c>
      <c r="R496" t="s">
        <v>439</v>
      </c>
      <c r="T496" s="20">
        <v>0</v>
      </c>
      <c r="U496" s="20"/>
      <c r="V496" s="20"/>
      <c r="W496"/>
      <c r="AO496">
        <v>22</v>
      </c>
      <c r="AP496" s="20">
        <v>0</v>
      </c>
      <c r="AQ496" s="20"/>
      <c r="AR496" s="23">
        <v>2</v>
      </c>
      <c r="AS496" s="23">
        <v>3.052631578947369</v>
      </c>
      <c r="AT496" s="23">
        <v>1.8947368421052631</v>
      </c>
      <c r="AU496" s="23">
        <v>3.6842105263157889</v>
      </c>
      <c r="AV496" s="23">
        <v>0.18811881188118809</v>
      </c>
      <c r="AW496" s="23">
        <v>0.28712871287128722</v>
      </c>
      <c r="AX496" s="23">
        <v>0.17821782178217821</v>
      </c>
      <c r="AY496" s="23">
        <v>0.34653465346534651</v>
      </c>
      <c r="AZ496" s="20">
        <v>0.95</v>
      </c>
      <c r="BA496" s="20">
        <v>3.44</v>
      </c>
      <c r="BB496" s="20">
        <v>2.4900000000000002</v>
      </c>
      <c r="BC496" s="20">
        <v>2.7347368421052631</v>
      </c>
      <c r="BD496">
        <v>2.7347368421052631</v>
      </c>
      <c r="BE496">
        <v>6.1677369702631566</v>
      </c>
    </row>
    <row r="497" spans="1:57" x14ac:dyDescent="0.3">
      <c r="A497" t="s">
        <v>414</v>
      </c>
      <c r="B497" s="12" t="s">
        <v>841</v>
      </c>
      <c r="C497" s="12"/>
      <c r="F497">
        <v>2.58</v>
      </c>
      <c r="G497" t="s">
        <v>412</v>
      </c>
      <c r="H497" s="8">
        <v>-1</v>
      </c>
      <c r="I497">
        <v>-1</v>
      </c>
      <c r="N497" s="20">
        <v>0</v>
      </c>
      <c r="O497">
        <v>3.9119999999999999</v>
      </c>
      <c r="P497">
        <v>3.9119999999999999</v>
      </c>
      <c r="Q497">
        <v>18.582000000000001</v>
      </c>
      <c r="R497" t="s">
        <v>439</v>
      </c>
      <c r="T497" s="20">
        <v>0</v>
      </c>
      <c r="U497" s="20"/>
      <c r="V497" s="20"/>
      <c r="W497"/>
      <c r="AO497">
        <v>22</v>
      </c>
      <c r="AP497" s="20">
        <v>0</v>
      </c>
      <c r="AQ497" s="20"/>
      <c r="AR497" s="23">
        <v>2</v>
      </c>
      <c r="AS497" s="23">
        <v>3.1578947368421049</v>
      </c>
      <c r="AT497" s="23">
        <v>2.4210526315789469</v>
      </c>
      <c r="AU497" s="23">
        <v>4.4210526315789478</v>
      </c>
      <c r="AV497" s="23">
        <v>0.16666666666666671</v>
      </c>
      <c r="AW497" s="23">
        <v>0.26315789473684209</v>
      </c>
      <c r="AX497" s="23">
        <v>0.2017543859649123</v>
      </c>
      <c r="AY497" s="23">
        <v>0.36842105263157898</v>
      </c>
      <c r="AZ497" s="20">
        <v>0.95</v>
      </c>
      <c r="BA497" s="20">
        <v>3.44</v>
      </c>
      <c r="BB497" s="20">
        <v>2.4900000000000002</v>
      </c>
      <c r="BC497" s="20">
        <v>2.8073684210526308</v>
      </c>
      <c r="BD497">
        <v>2.8073684210526308</v>
      </c>
      <c r="BE497">
        <v>6.2210650663157896</v>
      </c>
    </row>
    <row r="498" spans="1:57" x14ac:dyDescent="0.3">
      <c r="A498" t="s">
        <v>415</v>
      </c>
      <c r="B498" s="12" t="s">
        <v>842</v>
      </c>
      <c r="C498" s="12"/>
      <c r="F498">
        <v>2.57</v>
      </c>
      <c r="G498" t="s">
        <v>412</v>
      </c>
      <c r="H498" s="8">
        <v>-1</v>
      </c>
      <c r="I498">
        <v>-1</v>
      </c>
      <c r="N498" s="20">
        <v>0</v>
      </c>
      <c r="O498">
        <v>3.9607600000000001</v>
      </c>
      <c r="P498">
        <v>3.9607600000000001</v>
      </c>
      <c r="Q498">
        <v>18.789100000000001</v>
      </c>
      <c r="R498" t="s">
        <v>439</v>
      </c>
      <c r="T498" s="20">
        <v>0</v>
      </c>
      <c r="U498" s="20"/>
      <c r="V498" s="20"/>
      <c r="W498"/>
      <c r="AO498">
        <v>22</v>
      </c>
      <c r="AP498" s="20">
        <v>0</v>
      </c>
      <c r="AQ498" s="20"/>
      <c r="AR498" s="23">
        <v>2</v>
      </c>
      <c r="AS498" s="23">
        <v>3.052631578947369</v>
      </c>
      <c r="AT498" s="23">
        <v>1.8947368421052631</v>
      </c>
      <c r="AU498" s="23">
        <v>3.6842105263157889</v>
      </c>
      <c r="AV498" s="23">
        <v>0.18811881188118809</v>
      </c>
      <c r="AW498" s="23">
        <v>0.28712871287128722</v>
      </c>
      <c r="AX498" s="23">
        <v>0.17821782178217821</v>
      </c>
      <c r="AY498" s="23">
        <v>0.34653465346534651</v>
      </c>
      <c r="AZ498" s="20">
        <v>0.89</v>
      </c>
      <c r="BA498" s="20">
        <v>3.44</v>
      </c>
      <c r="BB498" s="20">
        <v>2.5499999999999998</v>
      </c>
      <c r="BC498" s="20">
        <v>2.7284210526315791</v>
      </c>
      <c r="BD498">
        <v>2.7284210526315791</v>
      </c>
      <c r="BE498">
        <v>6.1471768202631578</v>
      </c>
    </row>
    <row r="499" spans="1:57" x14ac:dyDescent="0.3">
      <c r="A499" t="s">
        <v>416</v>
      </c>
      <c r="B499" s="12" t="s">
        <v>843</v>
      </c>
      <c r="C499" s="12"/>
      <c r="F499">
        <v>2.6</v>
      </c>
      <c r="G499" t="s">
        <v>412</v>
      </c>
      <c r="H499" s="8">
        <v>-1</v>
      </c>
      <c r="I499">
        <v>-1</v>
      </c>
      <c r="N499" s="20">
        <v>0</v>
      </c>
      <c r="O499">
        <v>3.9350499999999999</v>
      </c>
      <c r="P499">
        <v>3.9350499999999999</v>
      </c>
      <c r="Q499">
        <v>18.790900000000001</v>
      </c>
      <c r="R499" t="s">
        <v>439</v>
      </c>
      <c r="T499" s="20">
        <v>0</v>
      </c>
      <c r="U499" s="20"/>
      <c r="V499" s="20"/>
      <c r="W499"/>
      <c r="AO499">
        <v>22</v>
      </c>
      <c r="AP499" s="20">
        <v>0</v>
      </c>
      <c r="AQ499" s="20"/>
      <c r="AR499" s="23">
        <v>2</v>
      </c>
      <c r="AS499" s="23">
        <v>3.1578947368421049</v>
      </c>
      <c r="AT499" s="23">
        <v>2.4210526315789469</v>
      </c>
      <c r="AU499" s="23">
        <v>4.4210526315789478</v>
      </c>
      <c r="AV499" s="23">
        <v>0.16666666666666671</v>
      </c>
      <c r="AW499" s="23">
        <v>0.26315789473684209</v>
      </c>
      <c r="AX499" s="23">
        <v>0.2017543859649123</v>
      </c>
      <c r="AY499" s="23">
        <v>0.36842105263157898</v>
      </c>
      <c r="AZ499" s="20">
        <v>0.89</v>
      </c>
      <c r="BA499" s="20">
        <v>3.44</v>
      </c>
      <c r="BB499" s="20">
        <v>2.5499999999999998</v>
      </c>
      <c r="BC499" s="20">
        <v>2.804210526315789</v>
      </c>
      <c r="BD499">
        <v>2.804210526315789</v>
      </c>
      <c r="BE499">
        <v>6.2107849913157898</v>
      </c>
    </row>
    <row r="500" spans="1:57" x14ac:dyDescent="0.3">
      <c r="A500" t="s">
        <v>417</v>
      </c>
      <c r="B500" s="12" t="s">
        <v>844</v>
      </c>
      <c r="C500" s="12"/>
      <c r="F500">
        <v>2.57</v>
      </c>
      <c r="G500" t="s">
        <v>412</v>
      </c>
      <c r="H500" s="8">
        <v>-1</v>
      </c>
      <c r="I500">
        <v>-1</v>
      </c>
      <c r="N500" s="20">
        <v>0</v>
      </c>
      <c r="O500">
        <v>3.8856000000000002</v>
      </c>
      <c r="P500">
        <v>3.8856000000000002</v>
      </c>
      <c r="Q500">
        <v>18.356999999999999</v>
      </c>
      <c r="R500" t="s">
        <v>439</v>
      </c>
      <c r="T500" s="20">
        <v>0</v>
      </c>
      <c r="U500" s="20"/>
      <c r="V500" s="20"/>
      <c r="W500"/>
      <c r="AO500">
        <v>22</v>
      </c>
      <c r="AP500" s="20">
        <v>0</v>
      </c>
      <c r="AQ500" s="20"/>
      <c r="AR500" s="23">
        <v>2</v>
      </c>
      <c r="AS500" s="23">
        <v>3.2105263157894739</v>
      </c>
      <c r="AT500" s="23">
        <v>2.3684210526315792</v>
      </c>
      <c r="AU500" s="23">
        <v>3.6842105263157889</v>
      </c>
      <c r="AV500" s="23">
        <v>0.17757009345794389</v>
      </c>
      <c r="AW500" s="23">
        <v>0.28504672897196259</v>
      </c>
      <c r="AX500" s="23">
        <v>0.2102803738317757</v>
      </c>
      <c r="AY500" s="23">
        <v>0.32710280373831768</v>
      </c>
      <c r="AZ500" s="20">
        <v>0.95</v>
      </c>
      <c r="BA500" s="20">
        <v>3.44</v>
      </c>
      <c r="BB500" s="20">
        <v>2.4900000000000002</v>
      </c>
      <c r="BC500" s="20">
        <v>2.7931578947368418</v>
      </c>
      <c r="BD500">
        <v>2.7931578947368418</v>
      </c>
      <c r="BE500">
        <v>6.207524303947368</v>
      </c>
    </row>
    <row r="501" spans="1:57" x14ac:dyDescent="0.3">
      <c r="A501" t="s">
        <v>418</v>
      </c>
      <c r="B501" s="12" t="s">
        <v>845</v>
      </c>
      <c r="C501" s="12"/>
      <c r="F501">
        <v>2.5</v>
      </c>
      <c r="G501" t="s">
        <v>412</v>
      </c>
      <c r="H501" s="8">
        <v>-1</v>
      </c>
      <c r="I501">
        <v>-1</v>
      </c>
      <c r="N501" s="20">
        <v>0</v>
      </c>
      <c r="O501">
        <v>3.9121999999999999</v>
      </c>
      <c r="P501">
        <v>3.9121999999999999</v>
      </c>
      <c r="Q501">
        <v>18.724299999999999</v>
      </c>
      <c r="R501" t="s">
        <v>439</v>
      </c>
      <c r="T501" s="20">
        <v>0</v>
      </c>
      <c r="U501" s="20"/>
      <c r="V501" s="20"/>
      <c r="W501"/>
      <c r="AO501">
        <v>22</v>
      </c>
      <c r="AP501" s="20">
        <v>0</v>
      </c>
      <c r="AQ501" s="20"/>
      <c r="AR501" s="23">
        <v>2</v>
      </c>
      <c r="AS501" s="23">
        <v>3.2105263157894739</v>
      </c>
      <c r="AT501" s="23">
        <v>2.3684210526315792</v>
      </c>
      <c r="AU501" s="23">
        <v>3.6842105263157889</v>
      </c>
      <c r="AV501" s="23">
        <v>0.17757009345794389</v>
      </c>
      <c r="AW501" s="23">
        <v>0.28504672897196259</v>
      </c>
      <c r="AX501" s="23">
        <v>0.2102803738317757</v>
      </c>
      <c r="AY501" s="23">
        <v>0.32710280373831768</v>
      </c>
      <c r="AZ501" s="20">
        <v>0.89</v>
      </c>
      <c r="BA501" s="20">
        <v>3.44</v>
      </c>
      <c r="BB501" s="20">
        <v>2.5499999999999998</v>
      </c>
      <c r="BC501" s="20">
        <v>2.79</v>
      </c>
      <c r="BD501">
        <v>2.79</v>
      </c>
      <c r="BE501">
        <v>6.1972442289473681</v>
      </c>
    </row>
    <row r="502" spans="1:57" x14ac:dyDescent="0.3">
      <c r="A502" t="s">
        <v>419</v>
      </c>
      <c r="B502" s="12" t="s">
        <v>846</v>
      </c>
      <c r="C502" s="12"/>
      <c r="F502">
        <v>2.6</v>
      </c>
      <c r="G502" t="s">
        <v>412</v>
      </c>
      <c r="H502" s="8">
        <v>-1</v>
      </c>
      <c r="I502">
        <v>-1</v>
      </c>
      <c r="N502" s="20">
        <v>0</v>
      </c>
      <c r="O502">
        <v>3.8752</v>
      </c>
      <c r="P502">
        <v>3.8752</v>
      </c>
      <c r="Q502">
        <v>18.687000000000001</v>
      </c>
      <c r="R502" t="s">
        <v>439</v>
      </c>
      <c r="T502" s="20">
        <v>0</v>
      </c>
      <c r="U502" s="20"/>
      <c r="V502" s="20"/>
      <c r="W502"/>
      <c r="AO502">
        <v>22</v>
      </c>
      <c r="AP502" s="20">
        <v>0</v>
      </c>
      <c r="AQ502" s="20"/>
      <c r="AR502" s="23">
        <v>2</v>
      </c>
      <c r="AS502" s="23">
        <v>3.3157894736842111</v>
      </c>
      <c r="AT502" s="23">
        <v>2.8947368421052628</v>
      </c>
      <c r="AU502" s="23">
        <v>4.4210526315789478</v>
      </c>
      <c r="AV502" s="23">
        <v>0.1583333333333333</v>
      </c>
      <c r="AW502" s="23">
        <v>0.26250000000000001</v>
      </c>
      <c r="AX502" s="23">
        <v>0.22916666666666671</v>
      </c>
      <c r="AY502" s="23">
        <v>0.35</v>
      </c>
      <c r="AZ502" s="20">
        <v>1.5</v>
      </c>
      <c r="BA502" s="20">
        <v>3.44</v>
      </c>
      <c r="BB502" s="20">
        <v>1.94</v>
      </c>
      <c r="BC502" s="20">
        <v>2.86578947368421</v>
      </c>
      <c r="BD502">
        <v>2.8657894736842109</v>
      </c>
      <c r="BE502">
        <v>6.2608524000000001</v>
      </c>
    </row>
    <row r="503" spans="1:57" x14ac:dyDescent="0.3">
      <c r="A503" t="s">
        <v>426</v>
      </c>
      <c r="B503" s="12" t="s">
        <v>847</v>
      </c>
      <c r="C503" s="12"/>
      <c r="F503">
        <v>2.82</v>
      </c>
      <c r="G503" t="s">
        <v>412</v>
      </c>
      <c r="H503" s="8">
        <v>-1</v>
      </c>
      <c r="I503">
        <v>-1</v>
      </c>
      <c r="N503" s="20">
        <v>0</v>
      </c>
      <c r="O503">
        <v>3.9108999999999998</v>
      </c>
      <c r="P503">
        <v>3.9108999999999998</v>
      </c>
      <c r="Q503">
        <v>18.454999999999998</v>
      </c>
      <c r="R503" t="s">
        <v>439</v>
      </c>
      <c r="T503" s="20">
        <v>0</v>
      </c>
      <c r="U503" s="20"/>
      <c r="V503" s="20"/>
      <c r="W503"/>
      <c r="AO503">
        <v>22</v>
      </c>
      <c r="AP503" s="20">
        <v>0</v>
      </c>
      <c r="AQ503" s="20"/>
      <c r="AR503" s="23">
        <v>1.8947368421052631</v>
      </c>
      <c r="AS503" s="23">
        <v>3.052631578947369</v>
      </c>
      <c r="AT503" s="23">
        <v>2</v>
      </c>
      <c r="AU503" s="23">
        <v>2.2105263157894739</v>
      </c>
      <c r="AV503" s="23">
        <v>0.2068965517241379</v>
      </c>
      <c r="AW503" s="23">
        <v>0.33333333333333343</v>
      </c>
      <c r="AX503" s="23">
        <v>0.21839080459770119</v>
      </c>
      <c r="AY503" s="23">
        <v>0.2413793103448276</v>
      </c>
      <c r="AZ503" s="20">
        <v>0.95</v>
      </c>
      <c r="BA503" s="20">
        <v>3.44</v>
      </c>
      <c r="BB503" s="20">
        <v>2.4900000000000002</v>
      </c>
      <c r="BC503" s="20">
        <v>2.7452631578947368</v>
      </c>
      <c r="BD503">
        <v>2.7452631578947368</v>
      </c>
      <c r="BE503">
        <v>6.1573983386842102</v>
      </c>
    </row>
    <row r="504" spans="1:57" x14ac:dyDescent="0.3">
      <c r="A504" t="s">
        <v>420</v>
      </c>
      <c r="B504" s="12" t="s">
        <v>848</v>
      </c>
      <c r="C504" s="12"/>
      <c r="F504">
        <v>2.59</v>
      </c>
      <c r="G504" t="s">
        <v>412</v>
      </c>
      <c r="H504" s="8">
        <v>-1</v>
      </c>
      <c r="I504">
        <v>-1</v>
      </c>
      <c r="N504" s="20">
        <v>0</v>
      </c>
      <c r="O504">
        <v>3.91</v>
      </c>
      <c r="P504">
        <v>3.91</v>
      </c>
      <c r="Q504">
        <v>18.651</v>
      </c>
      <c r="R504" t="s">
        <v>439</v>
      </c>
      <c r="T504" s="20">
        <v>0</v>
      </c>
      <c r="U504" s="20"/>
      <c r="V504" s="20"/>
      <c r="W504"/>
      <c r="AO504">
        <v>22</v>
      </c>
      <c r="AP504" s="20">
        <v>0</v>
      </c>
      <c r="AQ504" s="20"/>
      <c r="AR504" s="23">
        <v>1.8947368421052631</v>
      </c>
      <c r="AS504" s="23">
        <v>3.1578947368421049</v>
      </c>
      <c r="AT504" s="23">
        <v>2.5263157894736841</v>
      </c>
      <c r="AU504" s="23">
        <v>2.947368421052631</v>
      </c>
      <c r="AV504" s="23">
        <v>0.18</v>
      </c>
      <c r="AW504" s="23">
        <v>0.3</v>
      </c>
      <c r="AX504" s="23">
        <v>0.24</v>
      </c>
      <c r="AY504" s="23">
        <v>0.28000000000000003</v>
      </c>
      <c r="AZ504" s="20">
        <v>0.95</v>
      </c>
      <c r="BA504" s="20">
        <v>3.44</v>
      </c>
      <c r="BB504" s="20">
        <v>2.4900000000000002</v>
      </c>
      <c r="BC504" s="20">
        <v>2.817894736842105</v>
      </c>
      <c r="BD504">
        <v>2.817894736842105</v>
      </c>
      <c r="BE504">
        <v>6.2107264347368423</v>
      </c>
    </row>
    <row r="505" spans="1:57" x14ac:dyDescent="0.3">
      <c r="A505" t="s">
        <v>421</v>
      </c>
      <c r="B505" s="12" t="s">
        <v>849</v>
      </c>
      <c r="C505" s="12"/>
      <c r="F505">
        <v>2.66</v>
      </c>
      <c r="G505" t="s">
        <v>412</v>
      </c>
      <c r="H505" s="8">
        <v>-1</v>
      </c>
      <c r="I505">
        <v>-1</v>
      </c>
      <c r="N505" s="20">
        <v>0</v>
      </c>
      <c r="O505">
        <v>3.9683000000000002</v>
      </c>
      <c r="P505">
        <v>3.9683000000000002</v>
      </c>
      <c r="Q505">
        <v>18.798999999999999</v>
      </c>
      <c r="R505" t="s">
        <v>439</v>
      </c>
      <c r="T505" s="20">
        <v>0</v>
      </c>
      <c r="U505" s="20"/>
      <c r="V505" s="20"/>
      <c r="W505"/>
      <c r="AO505">
        <v>22</v>
      </c>
      <c r="AP505" s="20">
        <v>0</v>
      </c>
      <c r="AQ505" s="20"/>
      <c r="AR505" s="23">
        <v>1.8947368421052631</v>
      </c>
      <c r="AS505" s="23">
        <v>3.052631578947369</v>
      </c>
      <c r="AT505" s="23">
        <v>2</v>
      </c>
      <c r="AU505" s="23">
        <v>2.2105263157894739</v>
      </c>
      <c r="AV505" s="23">
        <v>0.2068965517241379</v>
      </c>
      <c r="AW505" s="23">
        <v>0.33333333333333343</v>
      </c>
      <c r="AX505" s="23">
        <v>0.21839080459770119</v>
      </c>
      <c r="AY505" s="23">
        <v>0.2413793103448276</v>
      </c>
      <c r="AZ505" s="20">
        <v>0.89</v>
      </c>
      <c r="BA505" s="20">
        <v>3.44</v>
      </c>
      <c r="BB505" s="20">
        <v>2.5499999999999998</v>
      </c>
      <c r="BC505" s="20">
        <v>2.7389473684210519</v>
      </c>
      <c r="BD505">
        <v>2.7389473684210519</v>
      </c>
      <c r="BE505">
        <v>6.1368381886842096</v>
      </c>
    </row>
    <row r="506" spans="1:57" x14ac:dyDescent="0.3">
      <c r="A506" t="s">
        <v>422</v>
      </c>
      <c r="B506" s="12" t="s">
        <v>850</v>
      </c>
      <c r="C506" s="12"/>
      <c r="F506">
        <v>2.56</v>
      </c>
      <c r="G506" t="s">
        <v>412</v>
      </c>
      <c r="H506" s="8">
        <v>-1</v>
      </c>
      <c r="I506">
        <v>-1</v>
      </c>
      <c r="N506" s="20">
        <v>0</v>
      </c>
      <c r="O506">
        <v>3.9487999999999999</v>
      </c>
      <c r="P506">
        <v>3.9487999999999999</v>
      </c>
      <c r="Q506">
        <v>18.829999999999998</v>
      </c>
      <c r="R506" t="s">
        <v>439</v>
      </c>
      <c r="T506" s="20">
        <v>0</v>
      </c>
      <c r="U506" s="20"/>
      <c r="V506" s="20"/>
      <c r="W506"/>
      <c r="AO506">
        <v>22</v>
      </c>
      <c r="AP506" s="20">
        <v>0</v>
      </c>
      <c r="AQ506" s="20"/>
      <c r="AR506" s="23">
        <v>1.8947368421052631</v>
      </c>
      <c r="AS506" s="23">
        <v>3.1578947368421049</v>
      </c>
      <c r="AT506" s="23">
        <v>2.5263157894736841</v>
      </c>
      <c r="AU506" s="23">
        <v>2.947368421052631</v>
      </c>
      <c r="AV506" s="23">
        <v>0.18</v>
      </c>
      <c r="AW506" s="23">
        <v>0.3</v>
      </c>
      <c r="AX506" s="23">
        <v>0.24</v>
      </c>
      <c r="AY506" s="23">
        <v>0.28000000000000003</v>
      </c>
      <c r="AZ506" s="20">
        <v>0.89</v>
      </c>
      <c r="BA506" s="20">
        <v>3.44</v>
      </c>
      <c r="BB506" s="20">
        <v>2.5499999999999998</v>
      </c>
      <c r="BC506" s="20">
        <v>2.8147368421052632</v>
      </c>
      <c r="BD506">
        <v>2.8147368421052632</v>
      </c>
      <c r="BE506">
        <v>6.2004463597368424</v>
      </c>
    </row>
    <row r="507" spans="1:57" x14ac:dyDescent="0.3">
      <c r="A507" t="s">
        <v>423</v>
      </c>
      <c r="B507" s="12" t="s">
        <v>851</v>
      </c>
      <c r="C507" s="12"/>
      <c r="F507">
        <v>2.5099999999999998</v>
      </c>
      <c r="G507" t="s">
        <v>412</v>
      </c>
      <c r="H507" s="8">
        <v>-1</v>
      </c>
      <c r="I507">
        <v>-1</v>
      </c>
      <c r="N507" s="20">
        <v>0</v>
      </c>
      <c r="O507">
        <v>3.8788399999999998</v>
      </c>
      <c r="P507">
        <v>3.8788399999999998</v>
      </c>
      <c r="Q507">
        <v>18.3658</v>
      </c>
      <c r="R507" t="s">
        <v>439</v>
      </c>
      <c r="T507" s="20">
        <v>0</v>
      </c>
      <c r="U507" s="20"/>
      <c r="V507" s="20"/>
      <c r="W507"/>
      <c r="AO507">
        <v>22</v>
      </c>
      <c r="AP507" s="20">
        <v>0</v>
      </c>
      <c r="AQ507" s="20"/>
      <c r="AR507" s="23">
        <v>1.9473684210526321</v>
      </c>
      <c r="AS507" s="23">
        <v>3.2105263157894739</v>
      </c>
      <c r="AT507" s="23">
        <v>2.4210526315789469</v>
      </c>
      <c r="AU507" s="23">
        <v>2.947368421052631</v>
      </c>
      <c r="AV507" s="23">
        <v>0.185</v>
      </c>
      <c r="AW507" s="23">
        <v>0.30499999999999999</v>
      </c>
      <c r="AX507" s="23">
        <v>0.23</v>
      </c>
      <c r="AY507" s="23">
        <v>0.28000000000000003</v>
      </c>
      <c r="AZ507" s="20">
        <v>0.95</v>
      </c>
      <c r="BA507" s="20">
        <v>3.44</v>
      </c>
      <c r="BB507" s="20">
        <v>2.4900000000000002</v>
      </c>
      <c r="BC507" s="20">
        <v>2.798421052631578</v>
      </c>
      <c r="BD507">
        <v>2.7984210526315789</v>
      </c>
      <c r="BE507">
        <v>6.2023549881578939</v>
      </c>
    </row>
    <row r="508" spans="1:57" x14ac:dyDescent="0.3">
      <c r="A508" t="s">
        <v>424</v>
      </c>
      <c r="B508" s="12" t="s">
        <v>852</v>
      </c>
      <c r="C508" s="12"/>
      <c r="F508">
        <v>2.48</v>
      </c>
      <c r="G508" t="s">
        <v>412</v>
      </c>
      <c r="H508" s="8">
        <v>-1</v>
      </c>
      <c r="I508">
        <v>-1</v>
      </c>
      <c r="N508" s="20">
        <v>0</v>
      </c>
      <c r="O508">
        <v>3.9116</v>
      </c>
      <c r="P508">
        <v>3.9116</v>
      </c>
      <c r="Q508">
        <v>18.6922</v>
      </c>
      <c r="R508" t="s">
        <v>439</v>
      </c>
      <c r="T508" s="20">
        <v>0</v>
      </c>
      <c r="U508" s="20"/>
      <c r="V508" s="20"/>
      <c r="W508"/>
      <c r="AO508">
        <v>22</v>
      </c>
      <c r="AP508" s="20">
        <v>0</v>
      </c>
      <c r="AQ508" s="20"/>
      <c r="AR508" s="23">
        <v>1.9473684210526321</v>
      </c>
      <c r="AS508" s="23">
        <v>3.2105263157894739</v>
      </c>
      <c r="AT508" s="23">
        <v>2.4210526315789469</v>
      </c>
      <c r="AU508" s="23">
        <v>2.947368421052631</v>
      </c>
      <c r="AV508" s="23">
        <v>0.185</v>
      </c>
      <c r="AW508" s="23">
        <v>0.30499999999999999</v>
      </c>
      <c r="AX508" s="23">
        <v>0.23</v>
      </c>
      <c r="AY508" s="23">
        <v>0.28000000000000003</v>
      </c>
      <c r="AZ508" s="20">
        <v>0.89</v>
      </c>
      <c r="BA508" s="20">
        <v>3.44</v>
      </c>
      <c r="BB508" s="20">
        <v>2.5499999999999998</v>
      </c>
      <c r="BC508" s="20">
        <v>2.7952631578947358</v>
      </c>
      <c r="BD508">
        <v>2.7952631578947371</v>
      </c>
      <c r="BE508">
        <v>6.1920749131578949</v>
      </c>
    </row>
    <row r="509" spans="1:57" x14ac:dyDescent="0.3">
      <c r="A509" t="s">
        <v>425</v>
      </c>
      <c r="B509" s="12" t="s">
        <v>853</v>
      </c>
      <c r="C509" s="12"/>
      <c r="F509">
        <v>2.5299999999999998</v>
      </c>
      <c r="G509" t="s">
        <v>412</v>
      </c>
      <c r="H509" s="8">
        <v>-1</v>
      </c>
      <c r="I509">
        <v>-1</v>
      </c>
      <c r="N509" s="20">
        <v>0</v>
      </c>
      <c r="O509">
        <v>3.8759000000000001</v>
      </c>
      <c r="P509">
        <v>3.8759000000000001</v>
      </c>
      <c r="Q509">
        <v>18.463000000000001</v>
      </c>
      <c r="R509" t="s">
        <v>439</v>
      </c>
      <c r="T509" s="20">
        <v>0</v>
      </c>
      <c r="U509" s="20"/>
      <c r="V509" s="20"/>
      <c r="W509"/>
      <c r="AO509">
        <v>22</v>
      </c>
      <c r="AP509" s="20">
        <v>0</v>
      </c>
      <c r="AQ509" s="20"/>
      <c r="AR509" s="23">
        <v>1.9473684210526321</v>
      </c>
      <c r="AS509" s="23">
        <v>3.3157894736842111</v>
      </c>
      <c r="AT509" s="23">
        <v>2.947368421052631</v>
      </c>
      <c r="AU509" s="23">
        <v>3.6842105263157889</v>
      </c>
      <c r="AV509" s="23">
        <v>0.16371681415929201</v>
      </c>
      <c r="AW509" s="23">
        <v>0.27876106194690259</v>
      </c>
      <c r="AX509" s="23">
        <v>0.247787610619469</v>
      </c>
      <c r="AY509" s="23">
        <v>0.30973451327433632</v>
      </c>
      <c r="AZ509" s="20">
        <v>1.54</v>
      </c>
      <c r="BA509" s="20">
        <v>3.44</v>
      </c>
      <c r="BB509" s="20">
        <v>1.9</v>
      </c>
      <c r="BC509" s="20">
        <v>2.8710526315789471</v>
      </c>
      <c r="BD509">
        <v>2.871052631578948</v>
      </c>
      <c r="BE509">
        <v>6.255683084210526</v>
      </c>
    </row>
    <row r="510" spans="1:57" x14ac:dyDescent="0.3">
      <c r="A510" t="s">
        <v>63</v>
      </c>
      <c r="B510" s="12" t="s">
        <v>773</v>
      </c>
      <c r="C510" s="12"/>
      <c r="F510">
        <v>3.45</v>
      </c>
      <c r="G510" t="s">
        <v>432</v>
      </c>
      <c r="H510" s="8">
        <v>-1</v>
      </c>
      <c r="I510">
        <v>-1</v>
      </c>
      <c r="N510" s="20">
        <v>0</v>
      </c>
      <c r="O510">
        <v>3.8531</v>
      </c>
      <c r="P510">
        <v>3.8531</v>
      </c>
      <c r="Q510">
        <v>16.2151</v>
      </c>
      <c r="R510" t="s">
        <v>1137</v>
      </c>
      <c r="T510" s="20">
        <v>0</v>
      </c>
      <c r="U510" s="20"/>
      <c r="V510" s="20"/>
      <c r="W510"/>
      <c r="AO510">
        <v>20</v>
      </c>
      <c r="AP510" s="20">
        <v>0</v>
      </c>
      <c r="AQ510" s="20"/>
      <c r="AR510" s="23">
        <v>1.75</v>
      </c>
      <c r="AS510" s="23">
        <v>2.5</v>
      </c>
      <c r="AT510" s="23">
        <v>0.75</v>
      </c>
      <c r="AU510" s="23">
        <v>0</v>
      </c>
      <c r="AV510" s="23">
        <v>0.35</v>
      </c>
      <c r="AW510" s="23">
        <v>0.5</v>
      </c>
      <c r="AX510" s="23">
        <v>0.15</v>
      </c>
      <c r="AY510" s="23">
        <v>0</v>
      </c>
      <c r="AZ510" s="20">
        <v>1</v>
      </c>
      <c r="BA510" s="20">
        <v>3.44</v>
      </c>
      <c r="BB510" s="20">
        <v>2.44</v>
      </c>
      <c r="BC510" s="20">
        <v>2.7124999999999999</v>
      </c>
      <c r="BD510">
        <v>2.7124999999999999</v>
      </c>
      <c r="BE510">
        <v>6.264025610615688</v>
      </c>
    </row>
    <row r="511" spans="1:57" x14ac:dyDescent="0.3">
      <c r="A511" t="s">
        <v>63</v>
      </c>
      <c r="B511" s="12" t="s">
        <v>773</v>
      </c>
      <c r="C511" s="12"/>
      <c r="D511" t="s">
        <v>863</v>
      </c>
      <c r="E511">
        <v>1</v>
      </c>
      <c r="F511">
        <v>3.5</v>
      </c>
      <c r="G511" t="s">
        <v>432</v>
      </c>
      <c r="H511" s="8">
        <v>-1</v>
      </c>
      <c r="I511">
        <v>-1</v>
      </c>
      <c r="N511" s="20">
        <v>0</v>
      </c>
      <c r="O511">
        <v>3.843</v>
      </c>
      <c r="P511">
        <v>3.843</v>
      </c>
      <c r="Q511">
        <v>32.261000000000003</v>
      </c>
      <c r="R511" t="s">
        <v>1138</v>
      </c>
      <c r="T511" s="20">
        <v>0</v>
      </c>
      <c r="W511"/>
      <c r="AO511">
        <v>20</v>
      </c>
      <c r="AP511" s="20">
        <v>0</v>
      </c>
      <c r="AR511" s="23">
        <v>1.75</v>
      </c>
      <c r="AS511" s="23">
        <v>2.5</v>
      </c>
      <c r="AT511" s="23">
        <v>0.75</v>
      </c>
      <c r="AU511" s="23">
        <v>0</v>
      </c>
      <c r="AV511" s="23">
        <v>0.35</v>
      </c>
      <c r="AW511" s="23">
        <v>0.5</v>
      </c>
      <c r="AX511" s="23">
        <v>0.15</v>
      </c>
      <c r="AY511" s="23">
        <v>0</v>
      </c>
      <c r="AZ511" s="20">
        <v>1</v>
      </c>
      <c r="BA511" s="20">
        <v>3.44</v>
      </c>
      <c r="BB511" s="20">
        <v>2.44</v>
      </c>
      <c r="BC511" s="20">
        <v>2.7124999999999999</v>
      </c>
      <c r="BD511">
        <v>2.7124999999999999</v>
      </c>
      <c r="BE511">
        <v>6.264025610615688</v>
      </c>
    </row>
    <row r="512" spans="1:57" x14ac:dyDescent="0.3">
      <c r="A512" t="s">
        <v>363</v>
      </c>
      <c r="B512" s="17" t="s">
        <v>1064</v>
      </c>
      <c r="C512" s="12"/>
      <c r="F512">
        <v>3.52</v>
      </c>
      <c r="G512" t="s">
        <v>432</v>
      </c>
      <c r="H512" s="8">
        <v>-1</v>
      </c>
      <c r="I512">
        <v>-1</v>
      </c>
      <c r="N512" s="20">
        <v>0</v>
      </c>
      <c r="O512">
        <v>3.8693</v>
      </c>
      <c r="P512">
        <v>3.8693</v>
      </c>
      <c r="Q512">
        <v>16.124700000000001</v>
      </c>
      <c r="R512" t="s">
        <v>1138</v>
      </c>
      <c r="T512" s="20">
        <v>0</v>
      </c>
      <c r="W512"/>
      <c r="AO512">
        <v>20</v>
      </c>
      <c r="AP512" s="20">
        <v>0</v>
      </c>
      <c r="AR512" s="23">
        <v>1.6086956521739131</v>
      </c>
      <c r="AS512" s="23">
        <v>1.956521739130435</v>
      </c>
      <c r="AT512" s="23">
        <v>0.52173913043478259</v>
      </c>
      <c r="AU512" s="23">
        <v>0</v>
      </c>
      <c r="AV512" s="23">
        <v>0.3936170212765957</v>
      </c>
      <c r="AW512" s="23">
        <v>0.47872340425531912</v>
      </c>
      <c r="AX512" s="23">
        <v>0.1276595744680851</v>
      </c>
      <c r="AY512" s="23">
        <v>0</v>
      </c>
      <c r="AZ512" s="20">
        <v>1</v>
      </c>
      <c r="BA512" s="20">
        <v>3.44</v>
      </c>
      <c r="BB512" s="20">
        <v>2.44</v>
      </c>
      <c r="BC512" s="20">
        <v>2.6082608695652172</v>
      </c>
      <c r="BD512">
        <v>2.6082608695652181</v>
      </c>
      <c r="BE512">
        <v>6.5043590032654777</v>
      </c>
    </row>
    <row r="513" spans="1:57" x14ac:dyDescent="0.3">
      <c r="A513" t="s">
        <v>366</v>
      </c>
      <c r="B513" s="17" t="s">
        <v>1065</v>
      </c>
      <c r="C513" s="12"/>
      <c r="F513">
        <v>3.58</v>
      </c>
      <c r="G513" t="s">
        <v>432</v>
      </c>
      <c r="H513" s="8">
        <v>-1</v>
      </c>
      <c r="I513">
        <v>-1</v>
      </c>
      <c r="N513" s="20">
        <v>0</v>
      </c>
      <c r="O513">
        <v>3.8614999999999999</v>
      </c>
      <c r="P513">
        <v>3.8614999999999999</v>
      </c>
      <c r="Q513">
        <v>25.281600000000001</v>
      </c>
      <c r="R513" t="s">
        <v>1137</v>
      </c>
      <c r="T513" s="20">
        <v>0</v>
      </c>
      <c r="W513"/>
      <c r="AO513">
        <v>20</v>
      </c>
      <c r="AP513" s="20">
        <v>0</v>
      </c>
      <c r="AR513" s="23">
        <v>1.53125</v>
      </c>
      <c r="AS513" s="23">
        <v>1.59375</v>
      </c>
      <c r="AT513" s="23">
        <v>0.375</v>
      </c>
      <c r="AU513" s="23">
        <v>0</v>
      </c>
      <c r="AV513" s="23">
        <v>0.4375</v>
      </c>
      <c r="AW513" s="23">
        <v>0.45535714285714279</v>
      </c>
      <c r="AX513" s="23">
        <v>0.1071428571428571</v>
      </c>
      <c r="AY513" s="23">
        <v>0</v>
      </c>
      <c r="AZ513" s="20">
        <v>1</v>
      </c>
      <c r="BA513" s="20">
        <v>3.44</v>
      </c>
      <c r="BB513" s="20">
        <v>2.44</v>
      </c>
      <c r="BC513" s="20">
        <v>2.5262500000000001</v>
      </c>
      <c r="BD513">
        <v>2.5262500000000001</v>
      </c>
      <c r="BE513">
        <v>6.6075924153816246</v>
      </c>
    </row>
    <row r="514" spans="1:57" x14ac:dyDescent="0.3">
      <c r="A514" t="s">
        <v>368</v>
      </c>
      <c r="B514" s="17" t="s">
        <v>1066</v>
      </c>
      <c r="C514" s="12"/>
      <c r="F514">
        <v>3.52</v>
      </c>
      <c r="G514" t="s">
        <v>432</v>
      </c>
      <c r="H514" s="8">
        <v>-1</v>
      </c>
      <c r="I514">
        <v>-1</v>
      </c>
      <c r="N514" s="20">
        <v>0</v>
      </c>
      <c r="O514">
        <v>3.8675999999999999</v>
      </c>
      <c r="P514">
        <v>3.8675999999999999</v>
      </c>
      <c r="Q514">
        <v>34.564999999999998</v>
      </c>
      <c r="R514" t="s">
        <v>1139</v>
      </c>
      <c r="T514" s="20">
        <v>0</v>
      </c>
      <c r="W514"/>
      <c r="AO514">
        <v>20</v>
      </c>
      <c r="AP514" s="20">
        <v>0</v>
      </c>
      <c r="AR514" s="23">
        <v>1.4772727272727271</v>
      </c>
      <c r="AS514" s="23">
        <v>1.3409090909090911</v>
      </c>
      <c r="AT514" s="23">
        <v>0.27272727272727271</v>
      </c>
      <c r="AU514" s="23">
        <v>0</v>
      </c>
      <c r="AV514" s="23">
        <v>0.47794117647058831</v>
      </c>
      <c r="AW514" s="23">
        <v>0.43382352941176472</v>
      </c>
      <c r="AX514" s="23">
        <v>8.8235294117647051E-2</v>
      </c>
      <c r="AY514" s="23">
        <v>0</v>
      </c>
      <c r="AZ514" s="20">
        <v>1</v>
      </c>
      <c r="BA514" s="20">
        <v>3.44</v>
      </c>
      <c r="BB514" s="20">
        <v>2.44</v>
      </c>
      <c r="BC514" s="20">
        <v>2.4690909090909088</v>
      </c>
      <c r="BD514">
        <v>2.4690909090909088</v>
      </c>
      <c r="BE514">
        <v>6.679542975341362</v>
      </c>
    </row>
    <row r="515" spans="1:57" x14ac:dyDescent="0.3">
      <c r="A515" t="s">
        <v>427</v>
      </c>
      <c r="B515" s="17" t="s">
        <v>1064</v>
      </c>
      <c r="C515" s="12"/>
      <c r="D515" t="s">
        <v>863</v>
      </c>
      <c r="E515">
        <v>1</v>
      </c>
      <c r="F515">
        <v>3.57</v>
      </c>
      <c r="G515" t="s">
        <v>432</v>
      </c>
      <c r="H515" s="8">
        <v>-1</v>
      </c>
      <c r="I515">
        <v>-1</v>
      </c>
      <c r="N515" s="20">
        <v>0</v>
      </c>
      <c r="O515">
        <v>3.8532999999999999</v>
      </c>
      <c r="P515">
        <v>3.8532999999999999</v>
      </c>
      <c r="Q515">
        <v>31.7422</v>
      </c>
      <c r="R515" t="s">
        <v>1138</v>
      </c>
      <c r="T515" s="20">
        <v>0</v>
      </c>
      <c r="W515"/>
      <c r="AO515">
        <v>20</v>
      </c>
      <c r="AP515" s="20">
        <v>0</v>
      </c>
      <c r="AR515" s="23">
        <v>1.6086956521739131</v>
      </c>
      <c r="AS515" s="23">
        <v>1.956521739130435</v>
      </c>
      <c r="AT515" s="23">
        <v>0.52173913043478259</v>
      </c>
      <c r="AU515" s="23">
        <v>0</v>
      </c>
      <c r="AV515" s="23">
        <v>0.3936170212765957</v>
      </c>
      <c r="AW515" s="23">
        <v>0.47872340425531912</v>
      </c>
      <c r="AX515" s="23">
        <v>0.1276595744680851</v>
      </c>
      <c r="AY515" s="23">
        <v>0</v>
      </c>
      <c r="AZ515" s="20">
        <v>1</v>
      </c>
      <c r="BA515" s="20">
        <v>3.44</v>
      </c>
      <c r="BB515" s="20">
        <v>2.44</v>
      </c>
      <c r="BC515" s="20">
        <v>2.6082608695652172</v>
      </c>
      <c r="BD515">
        <v>2.6082608695652181</v>
      </c>
      <c r="BE515">
        <v>6.5043590032654777</v>
      </c>
    </row>
    <row r="516" spans="1:57" x14ac:dyDescent="0.3">
      <c r="A516" t="s">
        <v>428</v>
      </c>
      <c r="B516" s="17" t="s">
        <v>1065</v>
      </c>
      <c r="C516" s="12"/>
      <c r="D516" t="s">
        <v>863</v>
      </c>
      <c r="E516">
        <v>1</v>
      </c>
      <c r="F516">
        <v>3.52</v>
      </c>
      <c r="G516" t="s">
        <v>432</v>
      </c>
      <c r="H516" s="8">
        <v>-1</v>
      </c>
      <c r="I516">
        <v>-1</v>
      </c>
      <c r="N516" s="20">
        <v>0</v>
      </c>
      <c r="O516">
        <v>3.8580000000000001</v>
      </c>
      <c r="P516">
        <v>3.8580000000000001</v>
      </c>
      <c r="Q516">
        <v>23.879799999999999</v>
      </c>
      <c r="R516" t="s">
        <v>1137</v>
      </c>
      <c r="T516" s="20">
        <v>0</v>
      </c>
      <c r="W516"/>
      <c r="AO516">
        <v>20</v>
      </c>
      <c r="AP516" s="20">
        <v>0</v>
      </c>
      <c r="AR516" s="23">
        <v>1.53125</v>
      </c>
      <c r="AS516" s="23">
        <v>1.59375</v>
      </c>
      <c r="AT516" s="23">
        <v>0.375</v>
      </c>
      <c r="AU516" s="23">
        <v>0</v>
      </c>
      <c r="AV516" s="23">
        <v>0.4375</v>
      </c>
      <c r="AW516" s="23">
        <v>0.45535714285714279</v>
      </c>
      <c r="AX516" s="23">
        <v>0.1071428571428571</v>
      </c>
      <c r="AY516" s="23">
        <v>0</v>
      </c>
      <c r="AZ516" s="20">
        <v>1</v>
      </c>
      <c r="BA516" s="20">
        <v>3.44</v>
      </c>
      <c r="BB516" s="20">
        <v>2.44</v>
      </c>
      <c r="BC516" s="20">
        <v>2.5262500000000001</v>
      </c>
      <c r="BD516">
        <v>2.5262500000000001</v>
      </c>
      <c r="BE516">
        <v>6.6075924153816246</v>
      </c>
    </row>
    <row r="517" spans="1:57" x14ac:dyDescent="0.3">
      <c r="A517" t="s">
        <v>429</v>
      </c>
      <c r="B517" s="17" t="s">
        <v>1066</v>
      </c>
      <c r="C517" s="12"/>
      <c r="D517" t="s">
        <v>863</v>
      </c>
      <c r="E517">
        <v>1</v>
      </c>
      <c r="F517">
        <v>3.59</v>
      </c>
      <c r="G517" t="s">
        <v>432</v>
      </c>
      <c r="H517" s="8">
        <v>-1</v>
      </c>
      <c r="I517">
        <v>-1</v>
      </c>
      <c r="N517" s="20">
        <v>0</v>
      </c>
      <c r="O517">
        <v>3.8639000000000001</v>
      </c>
      <c r="P517">
        <v>3.8639000000000001</v>
      </c>
      <c r="Q517">
        <v>34.090000000000003</v>
      </c>
      <c r="R517" t="s">
        <v>1138</v>
      </c>
      <c r="T517" s="20">
        <v>0</v>
      </c>
      <c r="W517"/>
      <c r="AO517">
        <v>20</v>
      </c>
      <c r="AP517" s="20">
        <v>0</v>
      </c>
      <c r="AR517" s="23">
        <v>1.4772727272727271</v>
      </c>
      <c r="AS517" s="23">
        <v>1.3409090909090911</v>
      </c>
      <c r="AT517" s="23">
        <v>0.27272727272727271</v>
      </c>
      <c r="AU517" s="23">
        <v>0</v>
      </c>
      <c r="AV517" s="23">
        <v>0.47794117647058831</v>
      </c>
      <c r="AW517" s="23">
        <v>0.43382352941176472</v>
      </c>
      <c r="AX517" s="23">
        <v>8.8235294117647051E-2</v>
      </c>
      <c r="AY517" s="23">
        <v>0</v>
      </c>
      <c r="AZ517" s="20">
        <v>1</v>
      </c>
      <c r="BA517" s="20">
        <v>3.44</v>
      </c>
      <c r="BB517" s="20">
        <v>2.44</v>
      </c>
      <c r="BC517" s="20">
        <v>2.4690909090909088</v>
      </c>
      <c r="BD517">
        <v>2.4690909090909088</v>
      </c>
      <c r="BE517">
        <v>6.679542975341362</v>
      </c>
    </row>
    <row r="518" spans="1:57" x14ac:dyDescent="0.3">
      <c r="A518" t="s">
        <v>430</v>
      </c>
      <c r="B518" s="17" t="s">
        <v>1064</v>
      </c>
      <c r="C518" s="12"/>
      <c r="D518" t="s">
        <v>863</v>
      </c>
      <c r="E518">
        <v>1</v>
      </c>
      <c r="F518">
        <v>3.57</v>
      </c>
      <c r="G518" t="s">
        <v>432</v>
      </c>
      <c r="H518" s="8">
        <v>-1</v>
      </c>
      <c r="I518">
        <v>-1</v>
      </c>
      <c r="N518" s="20">
        <v>0</v>
      </c>
      <c r="O518">
        <v>3.8664000000000001</v>
      </c>
      <c r="P518">
        <v>3.8664000000000001</v>
      </c>
      <c r="Q518">
        <v>16.116399999999999</v>
      </c>
      <c r="R518" t="s">
        <v>1137</v>
      </c>
      <c r="T518" s="20">
        <v>0</v>
      </c>
      <c r="W518"/>
      <c r="AO518">
        <v>20</v>
      </c>
      <c r="AP518" s="20">
        <v>0</v>
      </c>
      <c r="AR518" s="23">
        <v>1.6086956521739131</v>
      </c>
      <c r="AS518" s="23">
        <v>1.956521739130435</v>
      </c>
      <c r="AT518" s="23">
        <v>0.52173913043478259</v>
      </c>
      <c r="AU518" s="23">
        <v>0</v>
      </c>
      <c r="AV518" s="23">
        <v>0.3936170212765957</v>
      </c>
      <c r="AW518" s="23">
        <v>0.47872340425531912</v>
      </c>
      <c r="AX518" s="23">
        <v>0.1276595744680851</v>
      </c>
      <c r="AY518" s="23">
        <v>0</v>
      </c>
      <c r="AZ518" s="20">
        <v>1</v>
      </c>
      <c r="BA518" s="20">
        <v>3.44</v>
      </c>
      <c r="BB518" s="20">
        <v>2.44</v>
      </c>
      <c r="BC518" s="20">
        <v>2.6082608695652172</v>
      </c>
      <c r="BD518">
        <v>2.6082608695652181</v>
      </c>
      <c r="BE518">
        <v>6.5043590032654777</v>
      </c>
    </row>
    <row r="519" spans="1:57" x14ac:dyDescent="0.3">
      <c r="A519" t="s">
        <v>431</v>
      </c>
      <c r="B519" s="17" t="s">
        <v>1065</v>
      </c>
      <c r="C519" s="12"/>
      <c r="D519" t="s">
        <v>863</v>
      </c>
      <c r="E519">
        <v>1</v>
      </c>
      <c r="F519">
        <v>3.57</v>
      </c>
      <c r="G519" t="s">
        <v>432</v>
      </c>
      <c r="H519" s="8">
        <v>-1</v>
      </c>
      <c r="I519">
        <v>-1</v>
      </c>
      <c r="N519" s="20">
        <v>0</v>
      </c>
      <c r="O519">
        <v>3.8982000000000001</v>
      </c>
      <c r="P519">
        <v>3.8982000000000001</v>
      </c>
      <c r="Q519">
        <v>51.103099999999998</v>
      </c>
      <c r="R519" t="s">
        <v>1140</v>
      </c>
      <c r="T519" s="20">
        <v>0</v>
      </c>
      <c r="W519"/>
      <c r="AO519">
        <v>20</v>
      </c>
      <c r="AP519" s="20">
        <v>0</v>
      </c>
      <c r="AR519" s="23">
        <v>1.53125</v>
      </c>
      <c r="AS519" s="23">
        <v>1.59375</v>
      </c>
      <c r="AT519" s="23">
        <v>0.375</v>
      </c>
      <c r="AU519" s="23">
        <v>0</v>
      </c>
      <c r="AV519" s="23">
        <v>0.4375</v>
      </c>
      <c r="AW519" s="23">
        <v>0.45535714285714279</v>
      </c>
      <c r="AX519" s="23">
        <v>0.1071428571428571</v>
      </c>
      <c r="AY519" s="23">
        <v>0</v>
      </c>
      <c r="AZ519" s="20">
        <v>1</v>
      </c>
      <c r="BA519" s="20">
        <v>3.44</v>
      </c>
      <c r="BB519" s="20">
        <v>2.44</v>
      </c>
      <c r="BC519" s="20">
        <v>2.5262500000000001</v>
      </c>
      <c r="BD519">
        <v>2.5262500000000001</v>
      </c>
      <c r="BE519">
        <v>6.6075924153816246</v>
      </c>
    </row>
    <row r="520" spans="1:57" x14ac:dyDescent="0.3">
      <c r="A520" t="s">
        <v>107</v>
      </c>
      <c r="B520" s="17" t="s">
        <v>1066</v>
      </c>
      <c r="C520" s="12"/>
      <c r="D520" t="s">
        <v>863</v>
      </c>
      <c r="E520">
        <v>1</v>
      </c>
      <c r="F520">
        <v>3.61</v>
      </c>
      <c r="G520" t="s">
        <v>432</v>
      </c>
      <c r="H520" s="8">
        <v>-1</v>
      </c>
      <c r="I520">
        <v>-1</v>
      </c>
      <c r="N520" s="20">
        <v>0</v>
      </c>
      <c r="O520">
        <v>3.8875000000000002</v>
      </c>
      <c r="P520">
        <v>3.8875000000000002</v>
      </c>
      <c r="Q520">
        <v>34.478000000000002</v>
      </c>
      <c r="R520" t="s">
        <v>451</v>
      </c>
      <c r="T520" s="20">
        <v>0</v>
      </c>
      <c r="W520"/>
      <c r="AO520">
        <v>20</v>
      </c>
      <c r="AP520" s="20">
        <v>0</v>
      </c>
      <c r="AR520" s="23">
        <v>1.4772727272727271</v>
      </c>
      <c r="AS520" s="23">
        <v>1.3409090909090911</v>
      </c>
      <c r="AT520" s="23">
        <v>0.27272727272727271</v>
      </c>
      <c r="AU520" s="23">
        <v>0</v>
      </c>
      <c r="AV520" s="23">
        <v>0.47794117647058831</v>
      </c>
      <c r="AW520" s="23">
        <v>0.43382352941176472</v>
      </c>
      <c r="AX520" s="23">
        <v>8.8235294117647051E-2</v>
      </c>
      <c r="AY520" s="23">
        <v>0</v>
      </c>
      <c r="AZ520" s="20">
        <v>1</v>
      </c>
      <c r="BA520" s="20">
        <v>3.44</v>
      </c>
      <c r="BB520" s="20">
        <v>2.44</v>
      </c>
      <c r="BC520" s="20">
        <v>2.4690909090909088</v>
      </c>
      <c r="BD520">
        <v>2.4690909090909088</v>
      </c>
      <c r="BE520">
        <v>6.679542975341362</v>
      </c>
    </row>
    <row r="521" spans="1:57" x14ac:dyDescent="0.3">
      <c r="A521" t="s">
        <v>4</v>
      </c>
      <c r="B521" s="12"/>
      <c r="C521" s="12"/>
      <c r="F521">
        <v>3.5</v>
      </c>
      <c r="G521" s="3"/>
      <c r="H521" s="8"/>
      <c r="O521">
        <v>3.86</v>
      </c>
      <c r="P521">
        <v>3.86</v>
      </c>
      <c r="Q521">
        <v>29.5</v>
      </c>
      <c r="W521"/>
    </row>
    <row r="522" spans="1:57" x14ac:dyDescent="0.3">
      <c r="A522" t="s">
        <v>1177</v>
      </c>
      <c r="F522">
        <v>3.6</v>
      </c>
      <c r="O522">
        <v>3.85</v>
      </c>
      <c r="P522">
        <v>3.85</v>
      </c>
      <c r="Q522">
        <v>29.5</v>
      </c>
    </row>
    <row r="523" spans="1:57" x14ac:dyDescent="0.3">
      <c r="A523" t="s">
        <v>1178</v>
      </c>
      <c r="F523">
        <v>3.8</v>
      </c>
      <c r="O523">
        <v>3.88</v>
      </c>
      <c r="P523">
        <v>3.88</v>
      </c>
      <c r="Q523">
        <v>29.8</v>
      </c>
    </row>
    <row r="524" spans="1:57" x14ac:dyDescent="0.3">
      <c r="A524" t="s">
        <v>308</v>
      </c>
      <c r="F524">
        <v>4.2</v>
      </c>
      <c r="O524">
        <v>3.86</v>
      </c>
      <c r="P524">
        <v>3.86</v>
      </c>
      <c r="Q524">
        <v>29.8</v>
      </c>
    </row>
  </sheetData>
  <hyperlinks>
    <hyperlink ref="G287" r:id="rId1" tooltip="Persistent link using digital object identifier" display="https://doi.org/10.1016/j.pnsc.2012.03.002" xr:uid="{00000000-0004-0000-0300-000000000000}"/>
    <hyperlink ref="G288" r:id="rId2" tooltip="Persistent link using digital object identifier" display="https://doi.org/10.1016/j.pnsc.2012.03.002" xr:uid="{00000000-0004-0000-0300-000001000000}"/>
    <hyperlink ref="W3" r:id="rId3" xr:uid="{00000000-0004-0000-0300-000002000000}"/>
    <hyperlink ref="L2" r:id="rId4" display="https://sci-hub.ru/10.1016/0025-5408(81)90063-5" xr:uid="{00000000-0004-0000-0300-000003000000}"/>
    <hyperlink ref="L6" r:id="rId5" xr:uid="{00000000-0004-0000-0300-000004000000}"/>
    <hyperlink ref="L7" r:id="rId6" xr:uid="{00000000-0004-0000-0300-000005000000}"/>
    <hyperlink ref="L8" r:id="rId7" xr:uid="{00000000-0004-0000-0300-000006000000}"/>
    <hyperlink ref="I6" r:id="rId8" display="https://www.crystallography.net/cod/1544425.html" xr:uid="{00000000-0004-0000-0300-00000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14"/>
  <sheetViews>
    <sheetView workbookViewId="0">
      <selection activeCell="C16" sqref="C16"/>
    </sheetView>
  </sheetViews>
  <sheetFormatPr defaultRowHeight="14.4" x14ac:dyDescent="0.3"/>
  <cols>
    <col min="2" max="2" width="16.33203125" customWidth="1"/>
    <col min="3" max="3" width="15.77734375" customWidth="1"/>
    <col min="16" max="16" width="15.88671875" customWidth="1"/>
  </cols>
  <sheetData>
    <row r="1" spans="2:17" x14ac:dyDescent="0.3">
      <c r="B1" t="s">
        <v>965</v>
      </c>
      <c r="C1" t="s">
        <v>966</v>
      </c>
    </row>
    <row r="2" spans="2:17" x14ac:dyDescent="0.3">
      <c r="B2" t="s">
        <v>246</v>
      </c>
      <c r="C2">
        <v>2</v>
      </c>
      <c r="P2" t="s">
        <v>969</v>
      </c>
    </row>
    <row r="3" spans="2:17" x14ac:dyDescent="0.3">
      <c r="B3" t="s">
        <v>248</v>
      </c>
      <c r="C3">
        <v>2</v>
      </c>
      <c r="P3" t="s">
        <v>970</v>
      </c>
    </row>
    <row r="4" spans="2:17" x14ac:dyDescent="0.3">
      <c r="B4" t="s">
        <v>678</v>
      </c>
      <c r="C4">
        <v>1</v>
      </c>
    </row>
    <row r="5" spans="2:17" x14ac:dyDescent="0.3">
      <c r="B5" t="s">
        <v>888</v>
      </c>
      <c r="C5">
        <v>2</v>
      </c>
    </row>
    <row r="6" spans="2:17" x14ac:dyDescent="0.3">
      <c r="B6" t="s">
        <v>964</v>
      </c>
      <c r="C6">
        <v>5</v>
      </c>
      <c r="P6" t="s">
        <v>971</v>
      </c>
      <c r="Q6">
        <v>194</v>
      </c>
    </row>
    <row r="7" spans="2:17" x14ac:dyDescent="0.3">
      <c r="B7" t="s">
        <v>676</v>
      </c>
      <c r="C7">
        <v>17</v>
      </c>
      <c r="P7" t="s">
        <v>972</v>
      </c>
      <c r="Q7">
        <v>148</v>
      </c>
    </row>
    <row r="8" spans="2:17" x14ac:dyDescent="0.3">
      <c r="B8" t="s">
        <v>863</v>
      </c>
      <c r="C8">
        <v>21</v>
      </c>
    </row>
    <row r="9" spans="2:17" x14ac:dyDescent="0.3">
      <c r="B9" t="s">
        <v>890</v>
      </c>
      <c r="C9">
        <v>2</v>
      </c>
    </row>
    <row r="10" spans="2:17" x14ac:dyDescent="0.3">
      <c r="B10" t="s">
        <v>967</v>
      </c>
      <c r="C10">
        <f>SUM(C2:C9)</f>
        <v>52</v>
      </c>
    </row>
    <row r="11" spans="2:17" x14ac:dyDescent="0.3">
      <c r="B11" t="s">
        <v>968</v>
      </c>
      <c r="C11">
        <f>525-52</f>
        <v>473</v>
      </c>
    </row>
    <row r="13" spans="2:17" x14ac:dyDescent="0.3">
      <c r="B13" t="s">
        <v>522</v>
      </c>
      <c r="C13">
        <v>194</v>
      </c>
    </row>
    <row r="14" spans="2:17" x14ac:dyDescent="0.3">
      <c r="B14" t="s">
        <v>973</v>
      </c>
      <c r="C14">
        <f>525-C13</f>
        <v>331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5"/>
  <sheetViews>
    <sheetView workbookViewId="0">
      <selection activeCell="G28" sqref="G28"/>
    </sheetView>
  </sheetViews>
  <sheetFormatPr defaultRowHeight="14.4" x14ac:dyDescent="0.3"/>
  <cols>
    <col min="1" max="1" width="15.33203125" customWidth="1"/>
    <col min="2" max="2" width="11.6640625" customWidth="1"/>
    <col min="4" max="4" width="18.109375" customWidth="1"/>
    <col min="7" max="7" width="12.21875" customWidth="1"/>
    <col min="16" max="16" width="13" customWidth="1"/>
    <col min="19" max="20" width="14.88671875" customWidth="1"/>
  </cols>
  <sheetData>
    <row r="1" spans="1:20" x14ac:dyDescent="0.3">
      <c r="A1" s="12" t="s">
        <v>775</v>
      </c>
      <c r="B1">
        <v>438</v>
      </c>
      <c r="D1" t="s">
        <v>215</v>
      </c>
      <c r="E1">
        <v>916</v>
      </c>
      <c r="G1" t="s">
        <v>221</v>
      </c>
      <c r="H1">
        <v>1402</v>
      </c>
      <c r="J1" t="s">
        <v>46</v>
      </c>
      <c r="K1">
        <v>486</v>
      </c>
      <c r="M1" t="s">
        <v>244</v>
      </c>
      <c r="N1">
        <f>65+16</f>
        <v>81</v>
      </c>
      <c r="P1" t="s">
        <v>262</v>
      </c>
      <c r="Q1">
        <v>519</v>
      </c>
      <c r="S1" t="s">
        <v>889</v>
      </c>
      <c r="T1">
        <v>1035</v>
      </c>
    </row>
    <row r="2" spans="1:20" x14ac:dyDescent="0.3">
      <c r="A2" t="s">
        <v>1068</v>
      </c>
      <c r="B2">
        <v>93</v>
      </c>
      <c r="D2" t="s">
        <v>1072</v>
      </c>
      <c r="E2">
        <v>16</v>
      </c>
      <c r="G2" t="s">
        <v>1076</v>
      </c>
      <c r="H2">
        <v>4.2</v>
      </c>
      <c r="J2" t="s">
        <v>1078</v>
      </c>
      <c r="K2">
        <v>1</v>
      </c>
      <c r="M2" t="s">
        <v>888</v>
      </c>
      <c r="N2">
        <f>64+16</f>
        <v>80</v>
      </c>
      <c r="P2" t="s">
        <v>1085</v>
      </c>
      <c r="Q2">
        <f>0.051*10</f>
        <v>0.51</v>
      </c>
      <c r="S2" t="s">
        <v>1085</v>
      </c>
      <c r="T2">
        <f>0.03*10</f>
        <v>0.3</v>
      </c>
    </row>
    <row r="3" spans="1:20" x14ac:dyDescent="0.3">
      <c r="A3" t="s">
        <v>964</v>
      </c>
      <c r="B3">
        <v>115</v>
      </c>
      <c r="D3" t="s">
        <v>1073</v>
      </c>
      <c r="E3">
        <f>E2*0.018</f>
        <v>0.28799999999999998</v>
      </c>
      <c r="G3" t="s">
        <v>1077</v>
      </c>
      <c r="H3">
        <f>15*0.042</f>
        <v>0.63</v>
      </c>
      <c r="J3" t="s">
        <v>1079</v>
      </c>
      <c r="K3">
        <f>2*0.01</f>
        <v>0.02</v>
      </c>
      <c r="M3" t="s">
        <v>1082</v>
      </c>
      <c r="N3">
        <f>0.01</f>
        <v>0.01</v>
      </c>
      <c r="P3" t="s">
        <v>1074</v>
      </c>
      <c r="Q3">
        <f>14*Q2</f>
        <v>7.1400000000000006</v>
      </c>
      <c r="S3" t="s">
        <v>1074</v>
      </c>
      <c r="T3">
        <f>14*T2</f>
        <v>4.2</v>
      </c>
    </row>
    <row r="4" spans="1:20" x14ac:dyDescent="0.3">
      <c r="A4" t="s">
        <v>1069</v>
      </c>
      <c r="B4">
        <f>2*0.0125</f>
        <v>2.5000000000000001E-2</v>
      </c>
      <c r="D4" t="s">
        <v>1074</v>
      </c>
      <c r="E4">
        <f>E3*14</f>
        <v>4.032</v>
      </c>
      <c r="G4" t="s">
        <v>1074</v>
      </c>
      <c r="H4">
        <f>H3*14</f>
        <v>8.82</v>
      </c>
      <c r="J4" t="s">
        <v>1080</v>
      </c>
      <c r="K4">
        <f>K3*103</f>
        <v>2.06</v>
      </c>
      <c r="M4" t="s">
        <v>1083</v>
      </c>
      <c r="N4">
        <f>N3*N2</f>
        <v>0.8</v>
      </c>
      <c r="P4" t="s">
        <v>1086</v>
      </c>
      <c r="Q4">
        <f>100*Q3/Q1</f>
        <v>1.3757225433526012</v>
      </c>
      <c r="S4" t="s">
        <v>1086</v>
      </c>
      <c r="T4">
        <f>100*T3/T1</f>
        <v>0.40579710144927539</v>
      </c>
    </row>
    <row r="5" spans="1:20" x14ac:dyDescent="0.3">
      <c r="A5" t="s">
        <v>1070</v>
      </c>
      <c r="B5">
        <f>B3*B4</f>
        <v>2.875</v>
      </c>
      <c r="D5" t="s">
        <v>1075</v>
      </c>
      <c r="E5">
        <f>100*E4/E1</f>
        <v>0.44017467248908293</v>
      </c>
      <c r="G5" t="s">
        <v>1075</v>
      </c>
      <c r="H5">
        <f>100*H4/H1</f>
        <v>0.62910128388017117</v>
      </c>
      <c r="J5" t="s">
        <v>1081</v>
      </c>
      <c r="K5">
        <f>100*K4/K1</f>
        <v>0.42386831275720166</v>
      </c>
      <c r="M5" t="s">
        <v>1084</v>
      </c>
      <c r="N5">
        <f>100*N4/N1</f>
        <v>0.98765432098765427</v>
      </c>
    </row>
    <row r="6" spans="1:20" x14ac:dyDescent="0.3">
      <c r="A6" t="s">
        <v>1071</v>
      </c>
      <c r="B6">
        <f>100*B5/B1</f>
        <v>0.65639269406392697</v>
      </c>
    </row>
    <row r="10" spans="1:20" x14ac:dyDescent="0.3">
      <c r="A10" t="s">
        <v>4</v>
      </c>
      <c r="B10">
        <v>558</v>
      </c>
      <c r="D10" t="s">
        <v>10</v>
      </c>
      <c r="E10">
        <v>698</v>
      </c>
      <c r="G10" t="s">
        <v>891</v>
      </c>
      <c r="H10">
        <v>533</v>
      </c>
      <c r="K10" t="s">
        <v>63</v>
      </c>
      <c r="L10">
        <v>520</v>
      </c>
    </row>
    <row r="11" spans="1:20" x14ac:dyDescent="0.3">
      <c r="A11" t="s">
        <v>1079</v>
      </c>
      <c r="B11">
        <f>0.03</f>
        <v>0.03</v>
      </c>
      <c r="D11" t="s">
        <v>1085</v>
      </c>
      <c r="E11">
        <v>0.15</v>
      </c>
      <c r="G11" t="s">
        <v>1088</v>
      </c>
      <c r="H11">
        <v>19.5</v>
      </c>
      <c r="I11">
        <v>139</v>
      </c>
      <c r="K11" t="s">
        <v>1091</v>
      </c>
      <c r="L11">
        <v>2</v>
      </c>
      <c r="M11">
        <v>40</v>
      </c>
    </row>
    <row r="12" spans="1:20" x14ac:dyDescent="0.3">
      <c r="A12" t="s">
        <v>1080</v>
      </c>
      <c r="B12">
        <f>103*B11</f>
        <v>3.09</v>
      </c>
      <c r="D12" t="s">
        <v>1074</v>
      </c>
      <c r="E12">
        <f>14*E11</f>
        <v>2.1</v>
      </c>
      <c r="G12" t="s">
        <v>676</v>
      </c>
      <c r="H12">
        <v>5.8</v>
      </c>
      <c r="I12">
        <v>14</v>
      </c>
      <c r="K12" t="s">
        <v>246</v>
      </c>
      <c r="L12">
        <v>0.5</v>
      </c>
      <c r="M12">
        <v>145</v>
      </c>
    </row>
    <row r="13" spans="1:20" x14ac:dyDescent="0.3">
      <c r="A13" t="s">
        <v>1087</v>
      </c>
      <c r="B13">
        <f>100*B12/B10</f>
        <v>0.55376344086021501</v>
      </c>
      <c r="D13" t="s">
        <v>1086</v>
      </c>
      <c r="E13">
        <f>100*E12/E10</f>
        <v>0.3008595988538682</v>
      </c>
      <c r="G13" t="s">
        <v>1089</v>
      </c>
      <c r="H13">
        <f>H12*I12/(H11*I11)</f>
        <v>2.995757240361557E-2</v>
      </c>
      <c r="K13" t="s">
        <v>1089</v>
      </c>
      <c r="L13">
        <f>L12*M12/(L11*M11)</f>
        <v>0.90625</v>
      </c>
    </row>
    <row r="14" spans="1:20" x14ac:dyDescent="0.3">
      <c r="G14" t="s">
        <v>1090</v>
      </c>
      <c r="H14">
        <f>2*H11/H10</f>
        <v>7.3170731707317069E-2</v>
      </c>
      <c r="K14" t="s">
        <v>1090</v>
      </c>
      <c r="L14">
        <f>2*L11/L10</f>
        <v>7.6923076923076927E-3</v>
      </c>
    </row>
    <row r="15" spans="1:20" x14ac:dyDescent="0.3">
      <c r="G15" t="s">
        <v>1075</v>
      </c>
      <c r="H15">
        <f>100*H13*H14</f>
        <v>0.21920174929474806</v>
      </c>
      <c r="K15" t="s">
        <v>1075</v>
      </c>
      <c r="L15">
        <f>100*L13*L14</f>
        <v>0.69711538461538469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>
      <selection activeCell="H7" sqref="H7:H14"/>
    </sheetView>
  </sheetViews>
  <sheetFormatPr defaultRowHeight="14.4" x14ac:dyDescent="0.3"/>
  <cols>
    <col min="1" max="2" width="11.5546875" customWidth="1"/>
    <col min="5" max="5" width="13.77734375" customWidth="1"/>
    <col min="7" max="8" width="12" bestFit="1" customWidth="1"/>
  </cols>
  <sheetData>
    <row r="1" spans="1:8" x14ac:dyDescent="0.3">
      <c r="A1" t="s">
        <v>1122</v>
      </c>
      <c r="B1">
        <f>1.5406*10^(-10)</f>
        <v>1.5406000000000001E-10</v>
      </c>
    </row>
    <row r="3" spans="1:8" x14ac:dyDescent="0.3">
      <c r="A3" t="s">
        <v>1123</v>
      </c>
      <c r="B3" t="s">
        <v>1124</v>
      </c>
      <c r="C3" t="s">
        <v>1125</v>
      </c>
      <c r="D3" t="s">
        <v>1130</v>
      </c>
      <c r="E3" t="s">
        <v>1126</v>
      </c>
      <c r="F3" t="s">
        <v>1127</v>
      </c>
      <c r="G3" t="s">
        <v>1128</v>
      </c>
      <c r="H3" t="s">
        <v>1129</v>
      </c>
    </row>
    <row r="4" spans="1:8" x14ac:dyDescent="0.3">
      <c r="A4">
        <v>1</v>
      </c>
      <c r="B4">
        <v>0</v>
      </c>
      <c r="C4">
        <v>0</v>
      </c>
      <c r="D4">
        <v>1</v>
      </c>
      <c r="E4">
        <v>7.9020000000000001</v>
      </c>
      <c r="F4">
        <f>SIN(RADIANS(E4/2))</f>
        <v>6.8903320257000619E-2</v>
      </c>
      <c r="G4">
        <f>D4*$B$1/(2*F4)</f>
        <v>1.1179432241100705E-9</v>
      </c>
      <c r="H4">
        <f>G4*10^10</f>
        <v>11.179432241100704</v>
      </c>
    </row>
    <row r="5" spans="1:8" x14ac:dyDescent="0.3">
      <c r="A5">
        <v>1</v>
      </c>
      <c r="B5">
        <v>0</v>
      </c>
      <c r="C5">
        <v>0</v>
      </c>
      <c r="D5">
        <v>2</v>
      </c>
      <c r="E5">
        <v>27.532</v>
      </c>
      <c r="F5">
        <f>SIN(RADIANS(E5/2))</f>
        <v>0.23795713293153206</v>
      </c>
      <c r="G5">
        <f>D5*$B$1/(2*F5)</f>
        <v>6.4742753495995452E-10</v>
      </c>
      <c r="H5">
        <f>G5*10^10</f>
        <v>6.4742753495995453</v>
      </c>
    </row>
    <row r="7" spans="1:8" x14ac:dyDescent="0.3">
      <c r="A7">
        <v>1</v>
      </c>
      <c r="B7">
        <v>0</v>
      </c>
      <c r="C7">
        <v>0</v>
      </c>
      <c r="D7">
        <v>1</v>
      </c>
      <c r="E7">
        <v>5.8819999999999997</v>
      </c>
      <c r="F7">
        <f>SIN(RADIANS(E7/2))</f>
        <v>5.1307595646900246E-2</v>
      </c>
      <c r="G7">
        <f>D7*$B$1/(2*F7)</f>
        <v>1.5013371612679298E-9</v>
      </c>
      <c r="H7">
        <f>G7*10^10</f>
        <v>15.013371612679299</v>
      </c>
    </row>
    <row r="8" spans="1:8" x14ac:dyDescent="0.3">
      <c r="A8">
        <v>1</v>
      </c>
      <c r="B8">
        <v>0</v>
      </c>
      <c r="C8">
        <v>0</v>
      </c>
      <c r="D8">
        <v>1</v>
      </c>
      <c r="E8">
        <v>5.923</v>
      </c>
      <c r="F8">
        <f t="shared" ref="F8:F14" si="0">SIN(RADIANS(E8/2))</f>
        <v>5.1664913602616352E-2</v>
      </c>
      <c r="G8">
        <f t="shared" ref="G8:G14" si="1">D8*$B$1/(2*F8)</f>
        <v>1.4909538142748224E-9</v>
      </c>
      <c r="H8">
        <f t="shared" ref="H8:H14" si="2">G8*10^10</f>
        <v>14.909538142748223</v>
      </c>
    </row>
    <row r="9" spans="1:8" x14ac:dyDescent="0.3">
      <c r="A9">
        <v>1</v>
      </c>
      <c r="B9">
        <v>0</v>
      </c>
      <c r="C9">
        <v>0</v>
      </c>
      <c r="D9">
        <v>1</v>
      </c>
      <c r="E9">
        <v>6.056</v>
      </c>
      <c r="F9">
        <f t="shared" si="0"/>
        <v>5.2823972428976546E-2</v>
      </c>
      <c r="G9">
        <f t="shared" si="1"/>
        <v>1.4582394405034421E-9</v>
      </c>
      <c r="H9">
        <f t="shared" si="2"/>
        <v>14.582394405034421</v>
      </c>
    </row>
    <row r="10" spans="1:8" x14ac:dyDescent="0.3">
      <c r="A10">
        <v>1</v>
      </c>
      <c r="B10">
        <v>0</v>
      </c>
      <c r="C10">
        <v>0</v>
      </c>
      <c r="D10">
        <v>1</v>
      </c>
      <c r="E10">
        <v>5.8890000000000002</v>
      </c>
      <c r="F10">
        <f t="shared" si="0"/>
        <v>5.1368601617766706E-2</v>
      </c>
      <c r="G10">
        <f t="shared" si="1"/>
        <v>1.4995541551467477E-9</v>
      </c>
      <c r="H10">
        <f t="shared" si="2"/>
        <v>14.995541551467477</v>
      </c>
    </row>
    <row r="11" spans="1:8" x14ac:dyDescent="0.3">
      <c r="A11">
        <v>1</v>
      </c>
      <c r="B11">
        <v>0</v>
      </c>
      <c r="C11">
        <v>0</v>
      </c>
      <c r="D11">
        <v>1</v>
      </c>
      <c r="E11">
        <v>5.6550000000000002</v>
      </c>
      <c r="F11">
        <f t="shared" si="0"/>
        <v>4.9329156681879455E-2</v>
      </c>
      <c r="G11">
        <f t="shared" si="1"/>
        <v>1.5615511227317649E-9</v>
      </c>
      <c r="H11">
        <f t="shared" si="2"/>
        <v>15.615511227317649</v>
      </c>
    </row>
    <row r="12" spans="1:8" x14ac:dyDescent="0.3">
      <c r="A12">
        <v>1</v>
      </c>
      <c r="B12">
        <v>0</v>
      </c>
      <c r="C12">
        <v>0</v>
      </c>
      <c r="D12">
        <v>1</v>
      </c>
      <c r="E12">
        <v>5.5209999999999999</v>
      </c>
      <c r="F12">
        <f t="shared" si="0"/>
        <v>4.8161176241929088E-2</v>
      </c>
      <c r="G12">
        <f t="shared" si="1"/>
        <v>1.5994210692250023E-9</v>
      </c>
      <c r="H12">
        <f t="shared" si="2"/>
        <v>15.994210692250023</v>
      </c>
    </row>
    <row r="13" spans="1:8" x14ac:dyDescent="0.3">
      <c r="A13">
        <v>1</v>
      </c>
      <c r="B13">
        <v>0</v>
      </c>
      <c r="C13">
        <v>0</v>
      </c>
      <c r="D13">
        <v>1</v>
      </c>
      <c r="E13">
        <v>5.4210000000000003</v>
      </c>
      <c r="F13">
        <f t="shared" si="0"/>
        <v>4.7289506048025523E-2</v>
      </c>
      <c r="G13">
        <f t="shared" si="1"/>
        <v>1.6289026136532511E-9</v>
      </c>
      <c r="H13">
        <f t="shared" si="2"/>
        <v>16.28902613653251</v>
      </c>
    </row>
    <row r="14" spans="1:8" x14ac:dyDescent="0.3">
      <c r="A14">
        <v>1</v>
      </c>
      <c r="B14">
        <v>0</v>
      </c>
      <c r="C14">
        <v>0</v>
      </c>
      <c r="D14">
        <v>1</v>
      </c>
      <c r="E14">
        <v>5.0439999999999996</v>
      </c>
      <c r="F14">
        <f t="shared" si="0"/>
        <v>4.40029911191629E-2</v>
      </c>
      <c r="G14">
        <f t="shared" si="1"/>
        <v>1.7505628149549621E-9</v>
      </c>
      <c r="H14">
        <f t="shared" si="2"/>
        <v>17.505628149549622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J32" sqref="J32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M1090"/>
  <sheetViews>
    <sheetView workbookViewId="0">
      <pane ySplit="1" topLeftCell="A213" activePane="bottomLeft" state="frozen"/>
      <selection pane="bottomLeft" activeCell="C222" sqref="C222"/>
    </sheetView>
  </sheetViews>
  <sheetFormatPr defaultRowHeight="14.4" x14ac:dyDescent="0.3"/>
  <cols>
    <col min="1" max="1" width="30.109375" customWidth="1"/>
    <col min="2" max="2" width="15.109375" customWidth="1"/>
    <col min="3" max="3" width="33.33203125" customWidth="1"/>
    <col min="6" max="6" width="27.6640625" customWidth="1"/>
    <col min="7" max="7" width="19.33203125" customWidth="1"/>
    <col min="9" max="9" width="15.77734375" customWidth="1"/>
    <col min="10" max="12" width="12.33203125" customWidth="1"/>
    <col min="20" max="71" width="8.88671875" customWidth="1"/>
    <col min="72" max="72" width="12.109375" style="68" customWidth="1"/>
    <col min="73" max="73" width="8.88671875" style="68"/>
    <col min="74" max="75" width="10.33203125" style="68" customWidth="1"/>
    <col min="76" max="76" width="20.21875" style="68" customWidth="1"/>
    <col min="77" max="77" width="8.88671875" style="68"/>
    <col min="78" max="78" width="12.5546875" style="68" customWidth="1"/>
    <col min="79" max="79" width="18.109375" style="68" customWidth="1"/>
    <col min="80" max="80" width="10.5546875" style="68" customWidth="1"/>
    <col min="81" max="81" width="8.88671875" style="68"/>
    <col min="82" max="82" width="10.6640625" style="68" customWidth="1"/>
    <col min="83" max="83" width="11.21875" style="68" customWidth="1"/>
    <col min="84" max="84" width="10" style="68" customWidth="1"/>
    <col min="85" max="85" width="8.88671875" style="68"/>
    <col min="86" max="88" width="13.21875" style="68" customWidth="1"/>
    <col min="89" max="89" width="12.6640625" style="70" customWidth="1"/>
    <col min="90" max="90" width="13.88671875" customWidth="1"/>
  </cols>
  <sheetData>
    <row r="1" spans="1:89" x14ac:dyDescent="0.3">
      <c r="A1" s="94" t="s">
        <v>112</v>
      </c>
      <c r="B1" t="s">
        <v>2778</v>
      </c>
      <c r="C1" s="10" t="s">
        <v>684</v>
      </c>
      <c r="D1" s="15" t="s">
        <v>892</v>
      </c>
      <c r="E1" t="s">
        <v>113</v>
      </c>
      <c r="F1" t="s">
        <v>50</v>
      </c>
      <c r="G1" s="49" t="s">
        <v>522</v>
      </c>
      <c r="H1" s="50" t="s">
        <v>605</v>
      </c>
      <c r="I1" s="51" t="s">
        <v>1146</v>
      </c>
      <c r="J1" s="93" t="s">
        <v>1722</v>
      </c>
      <c r="K1" s="93" t="s">
        <v>1723</v>
      </c>
      <c r="L1" s="93" t="s">
        <v>1724</v>
      </c>
      <c r="M1" s="10" t="s">
        <v>1841</v>
      </c>
      <c r="N1" s="10" t="s">
        <v>1842</v>
      </c>
      <c r="O1" s="10" t="s">
        <v>1843</v>
      </c>
      <c r="P1" s="10" t="s">
        <v>1844</v>
      </c>
      <c r="Q1" s="10" t="s">
        <v>1845</v>
      </c>
      <c r="R1" s="10" t="s">
        <v>1846</v>
      </c>
      <c r="S1" s="10" t="s">
        <v>1847</v>
      </c>
      <c r="T1" s="52" t="s">
        <v>1096</v>
      </c>
      <c r="U1" s="53" t="s">
        <v>1108</v>
      </c>
      <c r="V1" s="48" t="s">
        <v>1191</v>
      </c>
      <c r="W1" s="48" t="s">
        <v>1203</v>
      </c>
      <c r="X1" t="s">
        <v>467</v>
      </c>
      <c r="Y1" t="s">
        <v>468</v>
      </c>
      <c r="Z1" t="s">
        <v>469</v>
      </c>
      <c r="AA1" t="s">
        <v>438</v>
      </c>
      <c r="AB1" t="s">
        <v>1132</v>
      </c>
      <c r="AC1" s="21" t="s">
        <v>1105</v>
      </c>
      <c r="AD1" s="21" t="s">
        <v>1106</v>
      </c>
      <c r="AE1" s="21" t="s">
        <v>1107</v>
      </c>
      <c r="AF1" s="10" t="s">
        <v>1192</v>
      </c>
      <c r="AG1" s="10" t="s">
        <v>1193</v>
      </c>
      <c r="AH1" s="10" t="s">
        <v>1194</v>
      </c>
      <c r="AI1" s="10" t="s">
        <v>1199</v>
      </c>
      <c r="AJ1" s="10" t="s">
        <v>1200</v>
      </c>
      <c r="AK1" s="10" t="s">
        <v>1201</v>
      </c>
      <c r="AL1" t="s">
        <v>466</v>
      </c>
      <c r="AM1" s="10" t="s">
        <v>1094</v>
      </c>
      <c r="AN1" s="43" t="s">
        <v>1103</v>
      </c>
      <c r="AO1" s="45" t="s">
        <v>1196</v>
      </c>
      <c r="AP1" s="43" t="s">
        <v>1195</v>
      </c>
      <c r="AQ1" s="43" t="s">
        <v>1202</v>
      </c>
      <c r="AR1" s="55" t="s">
        <v>1104</v>
      </c>
      <c r="AS1" s="39" t="s">
        <v>1197</v>
      </c>
      <c r="AT1" s="42" t="s">
        <v>1198</v>
      </c>
      <c r="AU1" s="42" t="s">
        <v>1204</v>
      </c>
      <c r="AV1" s="22" t="s">
        <v>1113</v>
      </c>
      <c r="AW1" s="22" t="s">
        <v>1114</v>
      </c>
      <c r="AX1" s="22" t="s">
        <v>1115</v>
      </c>
      <c r="AY1" s="22" t="s">
        <v>1116</v>
      </c>
      <c r="AZ1" s="22" t="s">
        <v>1117</v>
      </c>
      <c r="BA1" s="22" t="s">
        <v>1118</v>
      </c>
      <c r="BB1" s="22" t="s">
        <v>1119</v>
      </c>
      <c r="BC1" s="22" t="s">
        <v>1120</v>
      </c>
      <c r="BD1" s="21" t="s">
        <v>1109</v>
      </c>
      <c r="BE1" s="21" t="s">
        <v>1110</v>
      </c>
      <c r="BF1" s="21" t="s">
        <v>1111</v>
      </c>
      <c r="BG1" s="21" t="s">
        <v>1112</v>
      </c>
      <c r="BH1" s="10" t="s">
        <v>1092</v>
      </c>
      <c r="BI1" s="10" t="s">
        <v>1093</v>
      </c>
      <c r="BJ1" s="63" t="s">
        <v>1205</v>
      </c>
      <c r="BK1" s="63" t="s">
        <v>1206</v>
      </c>
      <c r="BL1" s="63" t="s">
        <v>1207</v>
      </c>
      <c r="BM1" s="10" t="s">
        <v>1211</v>
      </c>
      <c r="BN1" s="10" t="s">
        <v>1208</v>
      </c>
      <c r="BO1" s="10" t="s">
        <v>1209</v>
      </c>
      <c r="BP1" s="10" t="s">
        <v>1210</v>
      </c>
      <c r="BQ1" s="10" t="s">
        <v>1247</v>
      </c>
      <c r="BR1" s="10" t="s">
        <v>1248</v>
      </c>
      <c r="BS1" s="66" t="s">
        <v>1249</v>
      </c>
      <c r="BT1" s="67" t="s">
        <v>1251</v>
      </c>
      <c r="BU1" s="67" t="s">
        <v>1252</v>
      </c>
      <c r="BV1" s="67" t="s">
        <v>1253</v>
      </c>
      <c r="BW1" s="67" t="s">
        <v>1306</v>
      </c>
      <c r="BX1" s="67" t="s">
        <v>1254</v>
      </c>
      <c r="BY1" s="68" t="s">
        <v>1250</v>
      </c>
      <c r="BZ1" s="68" t="s">
        <v>1267</v>
      </c>
      <c r="CA1" s="67" t="s">
        <v>1256</v>
      </c>
      <c r="CB1" s="67" t="s">
        <v>1257</v>
      </c>
      <c r="CC1" s="67" t="s">
        <v>1258</v>
      </c>
      <c r="CD1" s="67" t="s">
        <v>1259</v>
      </c>
      <c r="CE1" s="67" t="s">
        <v>1260</v>
      </c>
      <c r="CF1" s="67" t="s">
        <v>1261</v>
      </c>
      <c r="CG1" s="67" t="s">
        <v>1262</v>
      </c>
      <c r="CH1" s="67" t="s">
        <v>1285</v>
      </c>
      <c r="CI1" s="67" t="s">
        <v>1286</v>
      </c>
      <c r="CJ1" s="67" t="s">
        <v>1295</v>
      </c>
      <c r="CK1" s="69" t="s">
        <v>1265</v>
      </c>
    </row>
    <row r="2" spans="1:89" x14ac:dyDescent="0.3">
      <c r="A2" t="s">
        <v>0</v>
      </c>
      <c r="B2" t="s">
        <v>0</v>
      </c>
      <c r="C2" t="s">
        <v>685</v>
      </c>
      <c r="D2" s="12"/>
      <c r="E2">
        <v>3.5</v>
      </c>
      <c r="F2" t="s">
        <v>454</v>
      </c>
      <c r="G2" s="8" t="s">
        <v>523</v>
      </c>
      <c r="H2" t="s">
        <v>606</v>
      </c>
      <c r="M2" t="b">
        <v>1</v>
      </c>
      <c r="N2" t="b">
        <v>1</v>
      </c>
      <c r="O2" t="b">
        <v>0</v>
      </c>
      <c r="P2" t="b">
        <v>0</v>
      </c>
      <c r="Q2" t="s">
        <v>523</v>
      </c>
      <c r="R2" t="s">
        <v>606</v>
      </c>
      <c r="T2" s="81">
        <v>4</v>
      </c>
      <c r="U2" s="20">
        <v>4</v>
      </c>
      <c r="V2">
        <v>4</v>
      </c>
      <c r="W2">
        <v>0</v>
      </c>
      <c r="X2" s="1">
        <v>6.6</v>
      </c>
      <c r="Y2" s="1">
        <v>7.94</v>
      </c>
      <c r="Z2" s="1">
        <v>33.700000000000003</v>
      </c>
      <c r="AB2" s="1">
        <v>16.850000000000001</v>
      </c>
      <c r="AC2" s="20">
        <v>6.6040679999999998</v>
      </c>
      <c r="AD2" s="20">
        <v>7.9389519999999996</v>
      </c>
      <c r="AE2" s="20">
        <v>33.703336</v>
      </c>
      <c r="AF2">
        <v>7.83</v>
      </c>
      <c r="AG2">
        <v>33.209989999999998</v>
      </c>
      <c r="AH2">
        <v>6.46</v>
      </c>
      <c r="AI2">
        <v>0</v>
      </c>
      <c r="AM2">
        <v>34</v>
      </c>
      <c r="AN2" s="44">
        <f>X2*Y2*Z2</f>
        <v>1766.0147999999999</v>
      </c>
      <c r="AO2" s="46">
        <v>1767.0449718798691</v>
      </c>
      <c r="AP2" s="44">
        <v>1679.8210721820001</v>
      </c>
      <c r="AQ2" s="44">
        <v>0</v>
      </c>
      <c r="AR2" s="41"/>
      <c r="AS2" s="40">
        <v>7.6964651247849417E-2</v>
      </c>
      <c r="AT2" s="41">
        <v>8.0961003676030277E-2</v>
      </c>
      <c r="AU2" s="41"/>
      <c r="AV2" s="23">
        <v>1.62962962962963</v>
      </c>
      <c r="AW2" s="23">
        <v>2.518518518518519</v>
      </c>
      <c r="AX2" s="23">
        <v>0.88888888888888884</v>
      </c>
      <c r="AY2" s="23">
        <v>0</v>
      </c>
      <c r="AZ2" s="23">
        <v>0.32352941176470579</v>
      </c>
      <c r="BA2" s="23">
        <v>0.5</v>
      </c>
      <c r="BB2" s="23">
        <v>0.1764705882352941</v>
      </c>
      <c r="BC2" s="23">
        <v>0</v>
      </c>
      <c r="BD2" s="20">
        <v>0.82</v>
      </c>
      <c r="BE2" s="20">
        <v>3.44</v>
      </c>
      <c r="BF2" s="20">
        <v>2.62</v>
      </c>
      <c r="BG2" s="20">
        <v>2.642962962962963</v>
      </c>
      <c r="BH2">
        <v>2.642962962962963</v>
      </c>
      <c r="BI2">
        <v>5.9587362692592576</v>
      </c>
      <c r="BJ2" s="64">
        <v>0.48264383878002159</v>
      </c>
      <c r="BK2" s="64">
        <v>0.50770488753139842</v>
      </c>
      <c r="BL2" s="64"/>
      <c r="BM2" t="s">
        <v>459</v>
      </c>
      <c r="BN2">
        <v>3.8482325623924708E-2</v>
      </c>
      <c r="BO2">
        <v>4.0480501838015132E-2</v>
      </c>
      <c r="BQ2">
        <v>7.8962827461939847E-2</v>
      </c>
      <c r="BR2" t="s">
        <v>459</v>
      </c>
      <c r="BS2">
        <v>0.49517436315571001</v>
      </c>
      <c r="BT2" s="68" t="s">
        <v>1264</v>
      </c>
      <c r="BU2" s="68">
        <f t="shared" ref="BU2:BU10" si="0">1200+273</f>
        <v>1473</v>
      </c>
      <c r="BV2" s="68">
        <v>48</v>
      </c>
      <c r="BX2" s="68" t="s">
        <v>464</v>
      </c>
      <c r="BY2" s="68" t="s">
        <v>464</v>
      </c>
      <c r="BZ2" s="68">
        <v>0</v>
      </c>
      <c r="CB2" s="68">
        <v>2.85</v>
      </c>
      <c r="CC2" s="68">
        <v>14.3</v>
      </c>
      <c r="CD2" s="68" t="s">
        <v>464</v>
      </c>
      <c r="CE2" s="68" t="s">
        <v>464</v>
      </c>
      <c r="CF2" s="68" t="s">
        <v>1266</v>
      </c>
      <c r="CG2" s="68">
        <v>450</v>
      </c>
      <c r="CK2" s="70">
        <v>130</v>
      </c>
    </row>
    <row r="3" spans="1:89" x14ac:dyDescent="0.3">
      <c r="A3" t="s">
        <v>1</v>
      </c>
      <c r="B3" t="s">
        <v>153</v>
      </c>
      <c r="C3" t="s">
        <v>3918</v>
      </c>
      <c r="D3" s="12"/>
      <c r="E3">
        <v>3.2</v>
      </c>
      <c r="F3" t="s">
        <v>454</v>
      </c>
      <c r="G3" s="8" t="s">
        <v>524</v>
      </c>
      <c r="H3" t="s">
        <v>607</v>
      </c>
      <c r="M3" t="b">
        <v>1</v>
      </c>
      <c r="N3" t="b">
        <v>1</v>
      </c>
      <c r="O3" t="b">
        <v>0</v>
      </c>
      <c r="P3" t="b">
        <v>0</v>
      </c>
      <c r="Q3" t="s">
        <v>524</v>
      </c>
      <c r="R3" t="s">
        <v>607</v>
      </c>
      <c r="T3">
        <v>8</v>
      </c>
      <c r="U3" s="20">
        <v>1</v>
      </c>
      <c r="V3">
        <v>1</v>
      </c>
      <c r="W3">
        <v>0</v>
      </c>
      <c r="X3">
        <v>7.806</v>
      </c>
      <c r="Y3">
        <v>7.6680000000000001</v>
      </c>
      <c r="Z3">
        <v>21.54</v>
      </c>
      <c r="AA3" s="1" t="s">
        <v>513</v>
      </c>
      <c r="AB3" s="1">
        <v>10.77</v>
      </c>
      <c r="AC3" s="20">
        <v>3.9327019999999999</v>
      </c>
      <c r="AD3" s="20">
        <v>3.9458000000000002</v>
      </c>
      <c r="AE3" s="20">
        <v>11.356398779999999</v>
      </c>
      <c r="AF3">
        <v>3.9060000000000001</v>
      </c>
      <c r="AG3">
        <v>21.603000000000002</v>
      </c>
      <c r="AH3">
        <v>3.8879000000000001</v>
      </c>
      <c r="AI3">
        <v>0</v>
      </c>
      <c r="AL3">
        <v>2</v>
      </c>
      <c r="AM3">
        <v>14</v>
      </c>
      <c r="AN3" s="44">
        <f t="shared" ref="AN3:AN91" si="1">X3*Y3*Z3</f>
        <v>1289.30702832</v>
      </c>
      <c r="AO3" s="46">
        <v>173.54502164551991</v>
      </c>
      <c r="AP3" s="44">
        <v>328.06612625219998</v>
      </c>
      <c r="AQ3" s="44">
        <v>0</v>
      </c>
      <c r="AR3" s="41"/>
      <c r="AS3" s="40">
        <v>8.0670709348241429E-2</v>
      </c>
      <c r="AT3" s="41">
        <v>4.2674323496713393E-2</v>
      </c>
      <c r="AU3" s="41"/>
      <c r="AV3" s="23">
        <v>1.7272727272727271</v>
      </c>
      <c r="AW3" s="23">
        <v>2.545454545454545</v>
      </c>
      <c r="AX3" s="23">
        <v>0.81818181818181823</v>
      </c>
      <c r="AY3" s="23">
        <v>0</v>
      </c>
      <c r="AZ3" s="23">
        <v>0.3392857142857143</v>
      </c>
      <c r="BA3" s="23">
        <v>0.5</v>
      </c>
      <c r="BB3" s="23">
        <v>0.1607142857142857</v>
      </c>
      <c r="BC3" s="23">
        <v>0</v>
      </c>
      <c r="BD3" s="20">
        <v>0.82</v>
      </c>
      <c r="BE3" s="20">
        <v>3.44</v>
      </c>
      <c r="BF3" s="20">
        <v>2.62</v>
      </c>
      <c r="BG3" s="20">
        <v>2.6545454545454539</v>
      </c>
      <c r="BH3">
        <v>2.6545454545454539</v>
      </c>
      <c r="BI3">
        <v>5.9946911436363637</v>
      </c>
      <c r="BJ3" s="64">
        <v>0.48450364842179561</v>
      </c>
      <c r="BK3" s="64"/>
      <c r="BL3" s="64"/>
      <c r="BN3">
        <v>4.0335354674120701E-2</v>
      </c>
      <c r="BO3">
        <v>2.13371617483567E-2</v>
      </c>
      <c r="BQ3">
        <v>6.1672516422477411E-2</v>
      </c>
      <c r="BR3">
        <v>3.0836258211238698E-2</v>
      </c>
      <c r="BS3">
        <v>0.48450364842179561</v>
      </c>
      <c r="BT3" s="68" t="s">
        <v>1264</v>
      </c>
      <c r="BU3" s="68">
        <f t="shared" si="0"/>
        <v>1473</v>
      </c>
      <c r="BV3" s="68">
        <v>48</v>
      </c>
      <c r="BX3" s="68" t="s">
        <v>464</v>
      </c>
      <c r="BY3" s="68" t="s">
        <v>464</v>
      </c>
      <c r="BZ3" s="68">
        <v>0</v>
      </c>
      <c r="CB3" s="68">
        <v>2.85</v>
      </c>
      <c r="CC3" s="68">
        <v>14.3</v>
      </c>
      <c r="CD3" s="68" t="s">
        <v>464</v>
      </c>
      <c r="CE3" s="68" t="s">
        <v>464</v>
      </c>
      <c r="CF3" s="68" t="s">
        <v>1266</v>
      </c>
      <c r="CG3" s="68">
        <v>450</v>
      </c>
      <c r="CK3" s="70">
        <v>28</v>
      </c>
    </row>
    <row r="4" spans="1:89" x14ac:dyDescent="0.3">
      <c r="A4" t="s">
        <v>2</v>
      </c>
      <c r="B4" t="s">
        <v>153</v>
      </c>
      <c r="C4" t="s">
        <v>3919</v>
      </c>
      <c r="D4" s="12"/>
      <c r="E4">
        <v>3.35</v>
      </c>
      <c r="F4" t="s">
        <v>454</v>
      </c>
      <c r="G4" s="8" t="s">
        <v>525</v>
      </c>
      <c r="H4">
        <v>-1</v>
      </c>
      <c r="M4" t="b">
        <v>1</v>
      </c>
      <c r="N4" t="b">
        <v>0</v>
      </c>
      <c r="O4" t="b">
        <v>0</v>
      </c>
      <c r="P4" t="b">
        <v>0</v>
      </c>
      <c r="Q4" t="s">
        <v>525</v>
      </c>
      <c r="R4">
        <v>-1</v>
      </c>
      <c r="T4">
        <v>1</v>
      </c>
      <c r="U4" s="20">
        <v>2</v>
      </c>
      <c r="V4">
        <v>0</v>
      </c>
      <c r="W4">
        <v>0</v>
      </c>
      <c r="X4">
        <v>3.8849999999999998</v>
      </c>
      <c r="Y4">
        <v>3.8849999999999998</v>
      </c>
      <c r="Z4">
        <v>10.989000000000001</v>
      </c>
      <c r="AA4" s="1" t="s">
        <v>439</v>
      </c>
      <c r="AB4">
        <v>10.989000000000001</v>
      </c>
      <c r="AC4" s="20">
        <v>11.92921406</v>
      </c>
      <c r="AD4" s="20">
        <v>11.92921406</v>
      </c>
      <c r="AE4" s="20">
        <v>11.92921406</v>
      </c>
      <c r="AF4">
        <v>0</v>
      </c>
      <c r="AI4">
        <v>0</v>
      </c>
      <c r="AL4">
        <v>2</v>
      </c>
      <c r="AM4">
        <v>14</v>
      </c>
      <c r="AN4" s="44">
        <f t="shared" si="1"/>
        <v>165.859449525</v>
      </c>
      <c r="AO4" s="46">
        <v>349.00875366799971</v>
      </c>
      <c r="AP4" s="44">
        <v>0</v>
      </c>
      <c r="AQ4" s="44">
        <v>0</v>
      </c>
      <c r="AR4" s="41"/>
      <c r="AS4" s="40">
        <v>8.0227214090553903E-2</v>
      </c>
      <c r="AT4" s="41"/>
      <c r="AU4" s="41"/>
      <c r="AV4" s="23">
        <v>1.7272727272727271</v>
      </c>
      <c r="AW4" s="23">
        <v>2.545454545454545</v>
      </c>
      <c r="AX4" s="23">
        <v>0.81818181818181823</v>
      </c>
      <c r="AY4" s="23">
        <v>0</v>
      </c>
      <c r="AZ4" s="23">
        <v>0.3392857142857143</v>
      </c>
      <c r="BA4" s="23">
        <v>0.5</v>
      </c>
      <c r="BB4" s="23">
        <v>0.1607142857142857</v>
      </c>
      <c r="BC4" s="23">
        <v>0</v>
      </c>
      <c r="BD4" s="20">
        <v>0.82</v>
      </c>
      <c r="BE4" s="20">
        <v>3.44</v>
      </c>
      <c r="BF4" s="20">
        <v>2.62</v>
      </c>
      <c r="BG4" s="20">
        <v>2.6545454545454539</v>
      </c>
      <c r="BH4">
        <v>2.6545454545454552</v>
      </c>
      <c r="BI4">
        <v>5.9865512095454543</v>
      </c>
      <c r="BJ4" s="64">
        <v>0.50734392504100967</v>
      </c>
      <c r="BK4" s="64"/>
      <c r="BL4" s="64"/>
      <c r="BN4">
        <v>4.0113607045276937E-2</v>
      </c>
      <c r="BQ4">
        <v>8.0227214090553903E-2</v>
      </c>
      <c r="BR4">
        <v>4.0113607045276937E-2</v>
      </c>
      <c r="BS4">
        <v>0.50734392504100967</v>
      </c>
      <c r="BT4" s="68" t="s">
        <v>1264</v>
      </c>
      <c r="BU4" s="68">
        <f t="shared" si="0"/>
        <v>1473</v>
      </c>
      <c r="BV4" s="68">
        <v>48</v>
      </c>
      <c r="BX4" s="68" t="s">
        <v>464</v>
      </c>
      <c r="BY4" s="68" t="s">
        <v>464</v>
      </c>
      <c r="BZ4" s="68">
        <v>0</v>
      </c>
      <c r="CB4" s="68">
        <v>2.85</v>
      </c>
      <c r="CC4" s="68">
        <v>14.3</v>
      </c>
      <c r="CD4" s="68" t="s">
        <v>464</v>
      </c>
      <c r="CE4" s="68" t="s">
        <v>464</v>
      </c>
      <c r="CF4" s="68" t="s">
        <v>1266</v>
      </c>
      <c r="CG4" s="68">
        <v>450</v>
      </c>
      <c r="CK4" s="70">
        <v>60</v>
      </c>
    </row>
    <row r="5" spans="1:89" x14ac:dyDescent="0.3">
      <c r="A5" t="s">
        <v>3</v>
      </c>
      <c r="B5" t="s">
        <v>153</v>
      </c>
      <c r="C5" t="s">
        <v>3920</v>
      </c>
      <c r="D5" s="12"/>
      <c r="E5">
        <v>3.3</v>
      </c>
      <c r="F5" t="s">
        <v>454</v>
      </c>
      <c r="G5" s="8" t="s">
        <v>526</v>
      </c>
      <c r="H5" t="s">
        <v>608</v>
      </c>
      <c r="M5" t="b">
        <v>1</v>
      </c>
      <c r="N5" t="b">
        <v>1</v>
      </c>
      <c r="O5" t="b">
        <v>0</v>
      </c>
      <c r="P5" t="b">
        <v>0</v>
      </c>
      <c r="Q5" t="s">
        <v>526</v>
      </c>
      <c r="R5" t="s">
        <v>608</v>
      </c>
      <c r="T5">
        <v>1</v>
      </c>
      <c r="U5" s="20">
        <v>1</v>
      </c>
      <c r="V5">
        <v>1</v>
      </c>
      <c r="W5">
        <v>0</v>
      </c>
      <c r="X5">
        <v>3.9049999999999998</v>
      </c>
      <c r="Y5">
        <v>3.9049999999999998</v>
      </c>
      <c r="Z5">
        <v>11.185</v>
      </c>
      <c r="AA5" s="1" t="s">
        <v>439</v>
      </c>
      <c r="AB5" s="1">
        <v>11.185</v>
      </c>
      <c r="AC5" s="20">
        <v>3.952105</v>
      </c>
      <c r="AD5" s="20">
        <v>3.952105</v>
      </c>
      <c r="AE5" s="20">
        <v>11.503833</v>
      </c>
      <c r="AF5">
        <v>3.9079999999999999</v>
      </c>
      <c r="AG5">
        <v>3.9079999999999999</v>
      </c>
      <c r="AH5">
        <v>11.16</v>
      </c>
      <c r="AI5">
        <v>0</v>
      </c>
      <c r="AL5">
        <v>2</v>
      </c>
      <c r="AM5">
        <v>14</v>
      </c>
      <c r="AN5" s="44">
        <f t="shared" si="1"/>
        <v>170.56034462499997</v>
      </c>
      <c r="AO5" s="46">
        <v>179.6799083471451</v>
      </c>
      <c r="AP5" s="44">
        <v>170.44069823999999</v>
      </c>
      <c r="AQ5" s="44">
        <v>0</v>
      </c>
      <c r="AR5" s="41"/>
      <c r="AS5" s="40">
        <v>7.7916335380980528E-2</v>
      </c>
      <c r="AT5" s="41">
        <v>8.2140006140355049E-2</v>
      </c>
      <c r="AU5" s="41"/>
      <c r="AV5" s="23">
        <v>1.7272727272727271</v>
      </c>
      <c r="AW5" s="23">
        <v>2.545454545454545</v>
      </c>
      <c r="AX5" s="23">
        <v>0.81818181818181823</v>
      </c>
      <c r="AY5" s="23">
        <v>0</v>
      </c>
      <c r="AZ5" s="23">
        <v>0.3392857142857143</v>
      </c>
      <c r="BA5" s="23">
        <v>0.5</v>
      </c>
      <c r="BB5" s="23">
        <v>0.1607142857142857</v>
      </c>
      <c r="BC5" s="23">
        <v>0</v>
      </c>
      <c r="BD5" s="20">
        <v>0.79</v>
      </c>
      <c r="BE5" s="20">
        <v>3.44</v>
      </c>
      <c r="BF5" s="20">
        <v>2.65</v>
      </c>
      <c r="BG5" s="20">
        <v>2.6518181818181819</v>
      </c>
      <c r="BH5">
        <v>2.6518181818181819</v>
      </c>
      <c r="BI5">
        <v>5.9730281035195452</v>
      </c>
      <c r="BJ5" s="64">
        <v>0.5243291310951993</v>
      </c>
      <c r="BK5" s="64">
        <v>0.55275184384813547</v>
      </c>
      <c r="BL5" s="64"/>
      <c r="BN5">
        <v>3.8958167690490257E-2</v>
      </c>
      <c r="BO5">
        <v>4.1070003070177517E-2</v>
      </c>
      <c r="BQ5">
        <v>8.0028170760667788E-2</v>
      </c>
      <c r="BR5">
        <v>4.0014085380333887E-2</v>
      </c>
      <c r="BS5">
        <v>0.53854048747166738</v>
      </c>
      <c r="BT5" s="68" t="s">
        <v>1264</v>
      </c>
      <c r="BU5" s="68">
        <f t="shared" si="0"/>
        <v>1473</v>
      </c>
      <c r="BV5" s="68">
        <v>48</v>
      </c>
      <c r="BX5" s="68" t="s">
        <v>464</v>
      </c>
      <c r="BY5" s="68" t="s">
        <v>464</v>
      </c>
      <c r="BZ5" s="68">
        <v>0</v>
      </c>
      <c r="CB5" s="68">
        <v>2.85</v>
      </c>
      <c r="CC5" s="68">
        <v>14.3</v>
      </c>
      <c r="CD5" s="68" t="s">
        <v>464</v>
      </c>
      <c r="CE5" s="68" t="s">
        <v>464</v>
      </c>
      <c r="CF5" s="68" t="s">
        <v>1266</v>
      </c>
      <c r="CG5" s="68">
        <v>450</v>
      </c>
      <c r="CK5" s="70">
        <v>12</v>
      </c>
    </row>
    <row r="6" spans="1:89" x14ac:dyDescent="0.3">
      <c r="A6" t="s">
        <v>4</v>
      </c>
      <c r="B6" t="s">
        <v>4</v>
      </c>
      <c r="C6" t="s">
        <v>3921</v>
      </c>
      <c r="D6" s="12"/>
      <c r="E6">
        <v>3.35</v>
      </c>
      <c r="F6" t="s">
        <v>454</v>
      </c>
      <c r="G6" s="98" t="s">
        <v>527</v>
      </c>
      <c r="H6" t="s">
        <v>609</v>
      </c>
      <c r="M6" t="b">
        <v>1</v>
      </c>
      <c r="N6" t="b">
        <v>1</v>
      </c>
      <c r="O6" t="b">
        <v>0</v>
      </c>
      <c r="P6" t="b">
        <v>0</v>
      </c>
      <c r="Q6" t="s">
        <v>527</v>
      </c>
      <c r="R6" t="s">
        <v>609</v>
      </c>
      <c r="T6">
        <v>8</v>
      </c>
      <c r="U6" s="20">
        <v>4</v>
      </c>
      <c r="V6">
        <v>4</v>
      </c>
      <c r="W6">
        <v>0</v>
      </c>
      <c r="X6">
        <v>7.7270000000000003</v>
      </c>
      <c r="Y6">
        <v>7.7270000000000003</v>
      </c>
      <c r="Z6">
        <v>29.466000000000001</v>
      </c>
      <c r="AA6" t="s">
        <v>452</v>
      </c>
      <c r="AB6">
        <v>14.733000000000001</v>
      </c>
      <c r="AC6" s="20">
        <v>7.8084429999999996</v>
      </c>
      <c r="AD6" s="20">
        <v>7.8548809999999998</v>
      </c>
      <c r="AE6" s="20">
        <v>15.19056011</v>
      </c>
      <c r="AF6">
        <v>3.8801999999999999</v>
      </c>
      <c r="AG6">
        <v>29.507999999999999</v>
      </c>
      <c r="AH6">
        <v>7.7140000000000004</v>
      </c>
      <c r="AI6">
        <v>0</v>
      </c>
      <c r="AL6">
        <v>3</v>
      </c>
      <c r="AM6">
        <v>20</v>
      </c>
      <c r="AN6" s="44">
        <f t="shared" si="1"/>
        <v>1759.3125835140002</v>
      </c>
      <c r="AO6" s="46">
        <v>924.74694800021894</v>
      </c>
      <c r="AP6" s="44">
        <v>883.22940750240002</v>
      </c>
      <c r="AQ6" s="44">
        <v>0</v>
      </c>
      <c r="AR6" s="41"/>
      <c r="AS6" s="40">
        <v>8.6510153045653584E-2</v>
      </c>
      <c r="AT6" s="41">
        <v>9.0576694254581439E-2</v>
      </c>
      <c r="AU6" s="41"/>
      <c r="AV6" s="23">
        <v>1.75</v>
      </c>
      <c r="AW6" s="23">
        <v>2.5</v>
      </c>
      <c r="AX6" s="23">
        <v>0.75</v>
      </c>
      <c r="AY6" s="23">
        <v>0</v>
      </c>
      <c r="AZ6" s="23">
        <v>0.35</v>
      </c>
      <c r="BA6" s="23">
        <v>0.5</v>
      </c>
      <c r="BB6" s="23">
        <v>0.15</v>
      </c>
      <c r="BC6" s="23">
        <v>0</v>
      </c>
      <c r="BD6" s="20">
        <v>0.82</v>
      </c>
      <c r="BE6" s="20">
        <v>3.44</v>
      </c>
      <c r="BF6" s="20">
        <v>2.62</v>
      </c>
      <c r="BG6" s="20">
        <v>2.6262500000000002</v>
      </c>
      <c r="BH6">
        <v>2.6262500000000002</v>
      </c>
      <c r="BI6">
        <v>5.96680968125</v>
      </c>
      <c r="BJ6" s="64">
        <v>0.50555206026575039</v>
      </c>
      <c r="BK6" s="64">
        <v>0</v>
      </c>
      <c r="BL6" s="64"/>
      <c r="BN6">
        <v>4.3255076522826792E-2</v>
      </c>
      <c r="BO6">
        <v>4.5288347127290719E-2</v>
      </c>
      <c r="BQ6">
        <v>8.8543423650117511E-2</v>
      </c>
      <c r="BR6">
        <v>4.4271711825058763E-2</v>
      </c>
      <c r="BS6">
        <v>0.2527760301328752</v>
      </c>
      <c r="BT6" s="68" t="s">
        <v>1264</v>
      </c>
      <c r="BU6" s="68">
        <f t="shared" si="0"/>
        <v>1473</v>
      </c>
      <c r="BV6" s="68">
        <v>48</v>
      </c>
      <c r="BX6" s="68" t="s">
        <v>464</v>
      </c>
      <c r="BY6" s="68" t="s">
        <v>464</v>
      </c>
      <c r="BZ6" s="68">
        <v>0</v>
      </c>
      <c r="CB6" s="68">
        <v>2.85</v>
      </c>
      <c r="CC6" s="68">
        <v>14.3</v>
      </c>
      <c r="CD6" s="68" t="s">
        <v>464</v>
      </c>
      <c r="CE6" s="68" t="s">
        <v>464</v>
      </c>
      <c r="CF6" s="68" t="s">
        <v>1266</v>
      </c>
      <c r="CG6" s="68">
        <v>450</v>
      </c>
      <c r="CK6" s="70">
        <v>14</v>
      </c>
    </row>
    <row r="7" spans="1:89" x14ac:dyDescent="0.3">
      <c r="A7" t="s">
        <v>5</v>
      </c>
      <c r="B7" t="s">
        <v>4</v>
      </c>
      <c r="C7" t="s">
        <v>3922</v>
      </c>
      <c r="D7" s="12"/>
      <c r="E7">
        <v>3.5</v>
      </c>
      <c r="F7" t="s">
        <v>454</v>
      </c>
      <c r="G7" s="8" t="s">
        <v>528</v>
      </c>
      <c r="H7" t="s">
        <v>610</v>
      </c>
      <c r="M7" t="b">
        <v>1</v>
      </c>
      <c r="N7" t="b">
        <v>1</v>
      </c>
      <c r="O7" t="b">
        <v>0</v>
      </c>
      <c r="P7" t="b">
        <v>0</v>
      </c>
      <c r="Q7" t="s">
        <v>528</v>
      </c>
      <c r="R7" t="s">
        <v>610</v>
      </c>
      <c r="T7">
        <v>4</v>
      </c>
      <c r="U7" s="20">
        <v>1</v>
      </c>
      <c r="V7">
        <v>1</v>
      </c>
      <c r="W7">
        <v>0</v>
      </c>
      <c r="X7">
        <v>7.7249999999999996</v>
      </c>
      <c r="Y7">
        <v>7.7249999999999996</v>
      </c>
      <c r="Z7">
        <v>14.909000000000001</v>
      </c>
      <c r="AA7" t="s">
        <v>451</v>
      </c>
      <c r="AB7">
        <v>14.909000000000001</v>
      </c>
      <c r="AC7" s="20">
        <v>3.9661010000000001</v>
      </c>
      <c r="AD7" s="20">
        <v>3.9661010000000001</v>
      </c>
      <c r="AE7" s="20">
        <v>15.283337</v>
      </c>
      <c r="AF7">
        <v>3.8586499999999999</v>
      </c>
      <c r="AG7">
        <v>3.8586499999999999</v>
      </c>
      <c r="AH7">
        <v>14.9108</v>
      </c>
      <c r="AI7">
        <v>0</v>
      </c>
      <c r="AL7">
        <v>3</v>
      </c>
      <c r="AM7">
        <v>20</v>
      </c>
      <c r="AN7" s="44">
        <f t="shared" si="1"/>
        <v>889.70389312500004</v>
      </c>
      <c r="AO7" s="46">
        <v>240.40623599981481</v>
      </c>
      <c r="AP7" s="44">
        <v>222.00958249733301</v>
      </c>
      <c r="AQ7" s="44">
        <v>0</v>
      </c>
      <c r="AR7" s="41"/>
      <c r="AS7" s="40">
        <v>8.3192517518619641E-2</v>
      </c>
      <c r="AT7" s="41">
        <v>9.0086201573034624E-2</v>
      </c>
      <c r="AU7" s="41"/>
      <c r="AV7" s="23">
        <v>1.75</v>
      </c>
      <c r="AW7" s="23">
        <v>2.5</v>
      </c>
      <c r="AX7" s="23">
        <v>0.75</v>
      </c>
      <c r="AY7" s="23">
        <v>0</v>
      </c>
      <c r="AZ7" s="23">
        <v>0.35</v>
      </c>
      <c r="BA7" s="23">
        <v>0.5</v>
      </c>
      <c r="BB7" s="23">
        <v>0.15</v>
      </c>
      <c r="BC7" s="23">
        <v>0</v>
      </c>
      <c r="BD7" s="20">
        <v>0.82</v>
      </c>
      <c r="BE7" s="20">
        <v>3.44</v>
      </c>
      <c r="BF7" s="20">
        <v>2.62</v>
      </c>
      <c r="BG7" s="20">
        <v>2.6262500000000002</v>
      </c>
      <c r="BH7">
        <v>2.6262500000000002</v>
      </c>
      <c r="BI7">
        <v>5.9612134765624996</v>
      </c>
      <c r="BJ7" s="64">
        <v>0.50467688585120674</v>
      </c>
      <c r="BK7" s="64">
        <v>0.54649654829675798</v>
      </c>
      <c r="BL7" s="64"/>
      <c r="BN7">
        <v>4.159625875930982E-2</v>
      </c>
      <c r="BO7">
        <v>4.5043100786517312E-2</v>
      </c>
      <c r="BQ7">
        <v>8.6639359545827133E-2</v>
      </c>
      <c r="BR7">
        <v>4.3319679772913573E-2</v>
      </c>
      <c r="BS7">
        <v>0.5255867170739823</v>
      </c>
      <c r="BT7" s="68" t="s">
        <v>1264</v>
      </c>
      <c r="BU7" s="68">
        <f t="shared" si="0"/>
        <v>1473</v>
      </c>
      <c r="BV7" s="68">
        <v>48</v>
      </c>
      <c r="BX7" s="68" t="s">
        <v>464</v>
      </c>
      <c r="BY7" s="68" t="s">
        <v>464</v>
      </c>
      <c r="BZ7" s="68">
        <v>0</v>
      </c>
      <c r="CB7" s="68">
        <v>2.85</v>
      </c>
      <c r="CC7" s="68">
        <v>14.3</v>
      </c>
      <c r="CD7" s="68" t="s">
        <v>464</v>
      </c>
      <c r="CE7" s="68" t="s">
        <v>464</v>
      </c>
      <c r="CF7" s="68" t="s">
        <v>1266</v>
      </c>
      <c r="CG7" s="68">
        <v>450</v>
      </c>
      <c r="CK7" s="70">
        <v>3</v>
      </c>
    </row>
    <row r="8" spans="1:89" x14ac:dyDescent="0.3">
      <c r="A8" t="s">
        <v>6</v>
      </c>
      <c r="B8" t="s">
        <v>4</v>
      </c>
      <c r="C8" t="s">
        <v>3923</v>
      </c>
      <c r="D8" s="12"/>
      <c r="E8">
        <v>3.5</v>
      </c>
      <c r="F8" t="s">
        <v>454</v>
      </c>
      <c r="G8" s="8" t="s">
        <v>529</v>
      </c>
      <c r="H8" t="s">
        <v>611</v>
      </c>
      <c r="M8" t="b">
        <v>1</v>
      </c>
      <c r="N8" t="b">
        <v>1</v>
      </c>
      <c r="O8" t="b">
        <v>0</v>
      </c>
      <c r="P8" t="b">
        <v>0</v>
      </c>
      <c r="Q8" t="s">
        <v>529</v>
      </c>
      <c r="R8" t="s">
        <v>611</v>
      </c>
      <c r="T8">
        <v>2</v>
      </c>
      <c r="U8" s="20">
        <v>8</v>
      </c>
      <c r="V8">
        <v>8</v>
      </c>
      <c r="W8">
        <v>0</v>
      </c>
      <c r="X8">
        <v>7.7270000000000003</v>
      </c>
      <c r="Y8">
        <v>7.7270000000000003</v>
      </c>
      <c r="Z8">
        <v>30.175999999999998</v>
      </c>
      <c r="AA8" t="s">
        <v>452</v>
      </c>
      <c r="AB8">
        <v>15.087999999999999</v>
      </c>
      <c r="AC8" s="20">
        <v>7.8252249999999997</v>
      </c>
      <c r="AD8" s="20">
        <v>7.8345229999999999</v>
      </c>
      <c r="AE8" s="20">
        <v>31.031406</v>
      </c>
      <c r="AF8">
        <v>30.184999999999999</v>
      </c>
      <c r="AG8">
        <v>7.74</v>
      </c>
      <c r="AH8">
        <v>7.7460000000000004</v>
      </c>
      <c r="AI8">
        <v>0</v>
      </c>
      <c r="AL8">
        <v>3</v>
      </c>
      <c r="AM8">
        <v>20</v>
      </c>
      <c r="AN8" s="44">
        <f t="shared" si="1"/>
        <v>1801.704219104</v>
      </c>
      <c r="AO8" s="46">
        <v>1902.4394671889761</v>
      </c>
      <c r="AP8" s="44">
        <v>1809.7126974</v>
      </c>
      <c r="AQ8" s="44">
        <v>0</v>
      </c>
      <c r="AR8" s="41"/>
      <c r="AS8" s="40">
        <v>8.4102544527429435E-2</v>
      </c>
      <c r="AT8" s="41">
        <v>8.8411823727529093E-2</v>
      </c>
      <c r="AU8" s="41"/>
      <c r="AV8" s="23">
        <v>1.75</v>
      </c>
      <c r="AW8" s="23">
        <v>2.5</v>
      </c>
      <c r="AX8" s="23">
        <v>0.75</v>
      </c>
      <c r="AY8" s="23">
        <v>0</v>
      </c>
      <c r="AZ8" s="23">
        <v>0.35</v>
      </c>
      <c r="BA8" s="23">
        <v>0.5</v>
      </c>
      <c r="BB8" s="23">
        <v>0.15</v>
      </c>
      <c r="BC8" s="23">
        <v>0</v>
      </c>
      <c r="BD8" s="20">
        <v>0.79</v>
      </c>
      <c r="BE8" s="20">
        <v>3.44</v>
      </c>
      <c r="BF8" s="20">
        <v>2.65</v>
      </c>
      <c r="BG8" s="20">
        <v>2.6243750000000001</v>
      </c>
      <c r="BH8">
        <v>2.6243750000000001</v>
      </c>
      <c r="BI8">
        <v>5.9519163411696878</v>
      </c>
      <c r="BJ8" s="64">
        <v>0.53407279423354193</v>
      </c>
      <c r="BK8" s="64">
        <v>0.5614378257728565</v>
      </c>
      <c r="BL8" s="64"/>
      <c r="BN8">
        <v>4.2051272263714717E-2</v>
      </c>
      <c r="BO8">
        <v>4.4205911863764553E-2</v>
      </c>
      <c r="BQ8">
        <v>8.6257184127479264E-2</v>
      </c>
      <c r="BR8">
        <v>4.3128592063739632E-2</v>
      </c>
      <c r="BS8">
        <v>0.54775531000319921</v>
      </c>
      <c r="BT8" s="68" t="s">
        <v>1264</v>
      </c>
      <c r="BU8" s="68">
        <f t="shared" si="0"/>
        <v>1473</v>
      </c>
      <c r="BV8" s="68">
        <v>48</v>
      </c>
      <c r="BX8" s="68" t="s">
        <v>464</v>
      </c>
      <c r="BY8" s="68" t="s">
        <v>464</v>
      </c>
      <c r="BZ8" s="68">
        <v>0</v>
      </c>
      <c r="CB8" s="68">
        <v>2.85</v>
      </c>
      <c r="CC8" s="68">
        <v>14.3</v>
      </c>
      <c r="CD8" s="68" t="s">
        <v>464</v>
      </c>
      <c r="CE8" s="68" t="s">
        <v>464</v>
      </c>
      <c r="CF8" s="68" t="s">
        <v>1266</v>
      </c>
      <c r="CG8" s="68">
        <v>450</v>
      </c>
      <c r="CK8" s="70">
        <v>2</v>
      </c>
    </row>
    <row r="9" spans="1:89" x14ac:dyDescent="0.3">
      <c r="A9" t="s">
        <v>7</v>
      </c>
      <c r="B9" t="s">
        <v>4</v>
      </c>
      <c r="C9" t="s">
        <v>3924</v>
      </c>
      <c r="D9" s="12"/>
      <c r="E9">
        <v>3.16</v>
      </c>
      <c r="F9" t="s">
        <v>454</v>
      </c>
      <c r="G9" s="74" t="s">
        <v>527</v>
      </c>
      <c r="H9">
        <v>-1</v>
      </c>
      <c r="J9" t="s">
        <v>1725</v>
      </c>
      <c r="M9" t="b">
        <v>1</v>
      </c>
      <c r="N9" t="b">
        <v>0</v>
      </c>
      <c r="O9" t="b">
        <v>0</v>
      </c>
      <c r="P9" t="b">
        <v>0</v>
      </c>
      <c r="Q9" t="s">
        <v>1848</v>
      </c>
      <c r="R9">
        <v>-1</v>
      </c>
      <c r="T9">
        <v>4</v>
      </c>
      <c r="U9" s="20">
        <v>0</v>
      </c>
      <c r="V9">
        <v>0</v>
      </c>
      <c r="W9">
        <v>0</v>
      </c>
      <c r="X9">
        <v>7.8310000000000004</v>
      </c>
      <c r="Y9">
        <v>7.8010000000000002</v>
      </c>
      <c r="Z9">
        <v>15.05</v>
      </c>
      <c r="AA9" t="s">
        <v>1141</v>
      </c>
      <c r="AB9">
        <v>15.05</v>
      </c>
      <c r="AC9" s="20">
        <v>0</v>
      </c>
      <c r="AD9" s="20"/>
      <c r="AE9" s="20"/>
      <c r="AF9">
        <v>0</v>
      </c>
      <c r="AI9">
        <v>0</v>
      </c>
      <c r="AL9">
        <v>3</v>
      </c>
      <c r="AM9">
        <v>20</v>
      </c>
      <c r="AN9" s="44">
        <f t="shared" si="1"/>
        <v>919.39894655000012</v>
      </c>
      <c r="AO9" s="46">
        <f>X9*Y9*Z9*SIN(RADIANS(97.44))</f>
        <v>911.65853089860946</v>
      </c>
      <c r="AP9" s="44">
        <v>0</v>
      </c>
      <c r="AQ9" s="44">
        <v>0</v>
      </c>
      <c r="AR9" s="41">
        <f>T9*AM9/AN9</f>
        <v>8.7013369223660861E-2</v>
      </c>
      <c r="AS9" s="40"/>
      <c r="AT9" s="41"/>
      <c r="AU9" s="41"/>
      <c r="AV9" s="23">
        <v>1.75</v>
      </c>
      <c r="AW9" s="23">
        <v>2.5</v>
      </c>
      <c r="AX9" s="23">
        <v>0.75</v>
      </c>
      <c r="AY9" s="23">
        <v>0</v>
      </c>
      <c r="AZ9" s="23">
        <v>0.35</v>
      </c>
      <c r="BA9" s="23">
        <v>0.5</v>
      </c>
      <c r="BB9" s="23">
        <v>0.15</v>
      </c>
      <c r="BC9" s="23">
        <v>0</v>
      </c>
      <c r="BD9" s="20">
        <v>0.82</v>
      </c>
      <c r="BE9" s="20">
        <v>3.44</v>
      </c>
      <c r="BF9" s="20">
        <v>2.62</v>
      </c>
      <c r="BG9" s="20">
        <v>2.62</v>
      </c>
      <c r="BH9">
        <v>2.62</v>
      </c>
      <c r="BI9">
        <v>5.9423863675000002</v>
      </c>
      <c r="BJ9" s="64"/>
      <c r="BK9" s="64"/>
      <c r="BL9" s="64"/>
      <c r="BM9">
        <v>4.350668461183043E-2</v>
      </c>
      <c r="BN9">
        <v>0</v>
      </c>
      <c r="BQ9">
        <v>8.7013369223660861E-2</v>
      </c>
      <c r="BR9">
        <v>2.1753342305915219E-2</v>
      </c>
      <c r="BS9">
        <v>0</v>
      </c>
      <c r="BT9" s="68" t="s">
        <v>1264</v>
      </c>
      <c r="BU9" s="68">
        <f t="shared" si="0"/>
        <v>1473</v>
      </c>
      <c r="BV9" s="68">
        <v>48</v>
      </c>
      <c r="BX9" s="68" t="s">
        <v>464</v>
      </c>
      <c r="BY9" s="68" t="s">
        <v>464</v>
      </c>
      <c r="BZ9" s="68">
        <v>0</v>
      </c>
      <c r="CB9" s="68">
        <v>2.85</v>
      </c>
      <c r="CC9" s="68">
        <v>14.3</v>
      </c>
      <c r="CD9" s="68" t="s">
        <v>464</v>
      </c>
      <c r="CE9" s="68" t="s">
        <v>464</v>
      </c>
      <c r="CF9" s="68" t="s">
        <v>1266</v>
      </c>
      <c r="CG9" s="68">
        <v>450</v>
      </c>
      <c r="CK9" s="70">
        <v>10</v>
      </c>
    </row>
    <row r="10" spans="1:89" x14ac:dyDescent="0.3">
      <c r="A10" t="s">
        <v>455</v>
      </c>
      <c r="C10" t="s">
        <v>3925</v>
      </c>
      <c r="D10" s="12"/>
      <c r="E10">
        <v>3.21</v>
      </c>
      <c r="F10" t="s">
        <v>454</v>
      </c>
      <c r="G10" s="8">
        <v>-1</v>
      </c>
      <c r="H10">
        <v>-1</v>
      </c>
      <c r="M10" t="b">
        <v>0</v>
      </c>
      <c r="N10" t="b">
        <v>0</v>
      </c>
      <c r="O10" t="b">
        <v>0</v>
      </c>
      <c r="P10" t="b">
        <v>1</v>
      </c>
      <c r="Q10">
        <v>-1</v>
      </c>
      <c r="R10">
        <v>-1</v>
      </c>
      <c r="T10">
        <v>8</v>
      </c>
      <c r="U10" s="20">
        <v>0</v>
      </c>
      <c r="V10">
        <v>0</v>
      </c>
      <c r="W10">
        <v>0</v>
      </c>
      <c r="X10">
        <v>7.7489999999999997</v>
      </c>
      <c r="Y10">
        <v>7.7359999999999998</v>
      </c>
      <c r="Z10">
        <v>37.369999999999997</v>
      </c>
      <c r="AA10" t="s">
        <v>1142</v>
      </c>
      <c r="AB10">
        <v>18.684999999999999</v>
      </c>
      <c r="AC10" s="20">
        <v>0</v>
      </c>
      <c r="AD10" s="20"/>
      <c r="AE10" s="20"/>
      <c r="AF10">
        <v>0</v>
      </c>
      <c r="AI10">
        <v>0</v>
      </c>
      <c r="AL10">
        <v>4</v>
      </c>
      <c r="AM10">
        <v>26</v>
      </c>
      <c r="AN10" s="44">
        <f t="shared" si="1"/>
        <v>2240.1918856799994</v>
      </c>
      <c r="AO10" s="46">
        <v>2240</v>
      </c>
      <c r="AP10" s="44">
        <v>0</v>
      </c>
      <c r="AQ10" s="44">
        <v>0</v>
      </c>
      <c r="AR10" s="41">
        <f>T10*AM10/AN10</f>
        <v>9.2849189093845236E-2</v>
      </c>
      <c r="AS10" s="40"/>
      <c r="AT10" s="41"/>
      <c r="AU10" s="41"/>
      <c r="AV10" s="23">
        <v>1.714285714285714</v>
      </c>
      <c r="AW10" s="23">
        <v>2.4761904761904758</v>
      </c>
      <c r="AX10" s="23">
        <v>0.76190476190476186</v>
      </c>
      <c r="AY10" s="23">
        <v>0</v>
      </c>
      <c r="AZ10" s="23">
        <v>0.34615384615384609</v>
      </c>
      <c r="BA10" s="23">
        <v>0.5</v>
      </c>
      <c r="BB10" s="23">
        <v>0.1538461538461538</v>
      </c>
      <c r="BC10" s="23">
        <v>0</v>
      </c>
      <c r="BD10" s="20">
        <v>0.82</v>
      </c>
      <c r="BE10" s="20">
        <v>3.44</v>
      </c>
      <c r="BF10" s="20">
        <v>2.62</v>
      </c>
      <c r="BG10" s="20">
        <v>2.612857142857143</v>
      </c>
      <c r="BH10">
        <v>2.612857142857143</v>
      </c>
      <c r="BI10">
        <v>5.9413964502380949</v>
      </c>
      <c r="BJ10" s="64"/>
      <c r="BK10" s="64"/>
      <c r="BL10" s="64"/>
      <c r="BM10">
        <v>4.6424594546922618E-2</v>
      </c>
      <c r="BN10">
        <v>0</v>
      </c>
      <c r="BQ10">
        <v>9.2849189093845236E-2</v>
      </c>
      <c r="BR10">
        <v>2.3212297273461309E-2</v>
      </c>
      <c r="BS10">
        <v>0</v>
      </c>
      <c r="BT10" s="68" t="s">
        <v>1264</v>
      </c>
      <c r="BU10" s="68">
        <f t="shared" si="0"/>
        <v>1473</v>
      </c>
      <c r="BV10" s="68">
        <v>48</v>
      </c>
      <c r="BX10" s="68" t="s">
        <v>464</v>
      </c>
      <c r="BY10" s="68" t="s">
        <v>464</v>
      </c>
      <c r="BZ10" s="68">
        <v>0</v>
      </c>
      <c r="CB10" s="68">
        <v>2.85</v>
      </c>
      <c r="CC10" s="68">
        <v>14.3</v>
      </c>
      <c r="CD10" s="68" t="s">
        <v>464</v>
      </c>
      <c r="CE10" s="68" t="s">
        <v>464</v>
      </c>
      <c r="CF10" s="68" t="s">
        <v>1266</v>
      </c>
      <c r="CG10" s="68">
        <v>450</v>
      </c>
      <c r="CK10" s="70">
        <v>5</v>
      </c>
    </row>
    <row r="11" spans="1:89" x14ac:dyDescent="0.3">
      <c r="A11" t="s">
        <v>8</v>
      </c>
      <c r="B11" t="s">
        <v>2777</v>
      </c>
      <c r="C11" t="s">
        <v>3926</v>
      </c>
      <c r="D11" s="12"/>
      <c r="E11">
        <v>3</v>
      </c>
      <c r="F11" t="s">
        <v>454</v>
      </c>
      <c r="G11" s="8" t="s">
        <v>530</v>
      </c>
      <c r="H11" t="s">
        <v>612</v>
      </c>
      <c r="M11" t="b">
        <v>1</v>
      </c>
      <c r="N11" t="b">
        <v>1</v>
      </c>
      <c r="O11" t="b">
        <v>0</v>
      </c>
      <c r="P11" t="b">
        <v>0</v>
      </c>
      <c r="Q11" t="s">
        <v>530</v>
      </c>
      <c r="R11" t="s">
        <v>612</v>
      </c>
      <c r="U11" s="20">
        <v>30</v>
      </c>
      <c r="V11">
        <v>4</v>
      </c>
      <c r="W11">
        <v>0</v>
      </c>
      <c r="AB11">
        <v>0</v>
      </c>
      <c r="AC11" s="20">
        <v>10.59112378</v>
      </c>
      <c r="AD11" s="20">
        <v>10.784736629999999</v>
      </c>
      <c r="AE11" s="20">
        <v>10.486176179999999</v>
      </c>
      <c r="AF11">
        <v>3.73</v>
      </c>
      <c r="AG11">
        <v>3.73</v>
      </c>
      <c r="AH11">
        <v>9.3699999999999992</v>
      </c>
      <c r="AI11">
        <v>0</v>
      </c>
      <c r="AL11" s="1" t="s">
        <v>459</v>
      </c>
      <c r="AM11">
        <v>4</v>
      </c>
      <c r="AN11" s="44">
        <f t="shared" si="1"/>
        <v>0</v>
      </c>
      <c r="AO11" s="46">
        <v>1182.741260108548</v>
      </c>
      <c r="AP11" s="44">
        <v>130.36387300000001</v>
      </c>
      <c r="AQ11" s="44">
        <v>0</v>
      </c>
      <c r="AR11" s="41"/>
      <c r="AS11" s="40">
        <v>0.1014592151701775</v>
      </c>
      <c r="AT11" s="41">
        <v>0.1227333894874388</v>
      </c>
      <c r="AU11" s="41"/>
      <c r="AV11" s="23">
        <v>2</v>
      </c>
      <c r="AW11" s="23">
        <v>2.666666666666667</v>
      </c>
      <c r="AX11" s="23">
        <v>0.66666666666666663</v>
      </c>
      <c r="AY11" s="23">
        <v>0</v>
      </c>
      <c r="AZ11" s="23">
        <v>0.375</v>
      </c>
      <c r="BA11" s="23">
        <v>0.5</v>
      </c>
      <c r="BB11" s="23">
        <v>0.125</v>
      </c>
      <c r="BC11" s="23">
        <v>0</v>
      </c>
      <c r="BD11" s="20">
        <v>1.54</v>
      </c>
      <c r="BE11" s="20">
        <v>3.44</v>
      </c>
      <c r="BF11" s="20">
        <v>1.9</v>
      </c>
      <c r="BG11" s="20">
        <v>2.8066666666666671</v>
      </c>
      <c r="BH11">
        <v>2.8066666666666662</v>
      </c>
      <c r="BI11">
        <v>6.1769976</v>
      </c>
      <c r="BJ11" s="64">
        <v>0.46900407026869628</v>
      </c>
      <c r="BK11" s="64">
        <v>0.56734579634715776</v>
      </c>
      <c r="BL11" s="64"/>
      <c r="BN11">
        <v>5.072960758508873E-2</v>
      </c>
      <c r="BO11">
        <v>6.136669474371937E-2</v>
      </c>
      <c r="BQ11">
        <v>0.1120963023288082</v>
      </c>
      <c r="BR11">
        <v>5.604815116440405E-2</v>
      </c>
      <c r="BS11">
        <v>0.51817493330792708</v>
      </c>
      <c r="BX11" s="68" t="s">
        <v>464</v>
      </c>
      <c r="BY11" s="68" t="s">
        <v>464</v>
      </c>
      <c r="BZ11" s="68">
        <v>0</v>
      </c>
      <c r="CB11" s="68">
        <v>2.85</v>
      </c>
      <c r="CC11" s="68">
        <v>14.3</v>
      </c>
      <c r="CD11" s="68" t="s">
        <v>464</v>
      </c>
      <c r="CE11" s="68" t="s">
        <v>464</v>
      </c>
      <c r="CF11" s="68" t="s">
        <v>1266</v>
      </c>
      <c r="CG11" s="68">
        <v>450</v>
      </c>
      <c r="CK11" s="70">
        <v>0</v>
      </c>
    </row>
    <row r="12" spans="1:89" x14ac:dyDescent="0.3">
      <c r="A12" t="s">
        <v>0</v>
      </c>
      <c r="B12" t="s">
        <v>0</v>
      </c>
      <c r="C12" t="s">
        <v>685</v>
      </c>
      <c r="D12" s="12"/>
      <c r="E12">
        <v>3.5</v>
      </c>
      <c r="F12" t="s">
        <v>454</v>
      </c>
      <c r="G12" s="8" t="s">
        <v>523</v>
      </c>
      <c r="H12" t="s">
        <v>606</v>
      </c>
      <c r="M12" t="b">
        <v>1</v>
      </c>
      <c r="N12" t="b">
        <v>1</v>
      </c>
      <c r="O12" t="b">
        <v>0</v>
      </c>
      <c r="P12" t="b">
        <v>0</v>
      </c>
      <c r="Q12" t="s">
        <v>523</v>
      </c>
      <c r="R12" t="s">
        <v>606</v>
      </c>
      <c r="T12" s="81">
        <v>4</v>
      </c>
      <c r="U12" s="20">
        <v>4</v>
      </c>
      <c r="V12">
        <v>4</v>
      </c>
      <c r="W12">
        <v>0</v>
      </c>
      <c r="X12" s="1">
        <v>6.6</v>
      </c>
      <c r="Y12" s="1">
        <v>7.94</v>
      </c>
      <c r="Z12" s="1">
        <v>33.700000000000003</v>
      </c>
      <c r="AB12" s="1">
        <v>16.850000000000001</v>
      </c>
      <c r="AC12" s="20">
        <v>6.6040679999999998</v>
      </c>
      <c r="AD12" s="20">
        <v>7.9389519999999996</v>
      </c>
      <c r="AE12" s="20">
        <v>33.703336</v>
      </c>
      <c r="AF12">
        <v>7.83</v>
      </c>
      <c r="AG12">
        <v>33.209989999999998</v>
      </c>
      <c r="AH12">
        <v>6.46</v>
      </c>
      <c r="AI12">
        <v>0</v>
      </c>
      <c r="AM12">
        <v>34</v>
      </c>
      <c r="AN12" s="44">
        <f>X12*Y12*Z12</f>
        <v>1766.0147999999999</v>
      </c>
      <c r="AO12" s="46">
        <v>1767.0449718798691</v>
      </c>
      <c r="AP12" s="44">
        <v>1679.8210721820001</v>
      </c>
      <c r="AQ12" s="44">
        <v>0</v>
      </c>
      <c r="AR12" s="41"/>
      <c r="AS12" s="40">
        <v>7.6964651247849417E-2</v>
      </c>
      <c r="AT12" s="41">
        <v>8.0961003676030277E-2</v>
      </c>
      <c r="AU12" s="41"/>
      <c r="AV12" s="23">
        <v>1.62962962962963</v>
      </c>
      <c r="AW12" s="23">
        <v>2.518518518518519</v>
      </c>
      <c r="AX12" s="23">
        <v>0.88888888888888884</v>
      </c>
      <c r="AY12" s="23">
        <v>0</v>
      </c>
      <c r="AZ12" s="23">
        <v>0.32352941176470579</v>
      </c>
      <c r="BA12" s="23">
        <v>0.5</v>
      </c>
      <c r="BB12" s="23">
        <v>0.1764705882352941</v>
      </c>
      <c r="BC12" s="23">
        <v>0</v>
      </c>
      <c r="BD12" s="20">
        <v>0.82</v>
      </c>
      <c r="BE12" s="20">
        <v>3.44</v>
      </c>
      <c r="BF12" s="20">
        <v>2.62</v>
      </c>
      <c r="BG12" s="20">
        <v>2.642962962962963</v>
      </c>
      <c r="BH12">
        <v>2.642962962962963</v>
      </c>
      <c r="BI12">
        <v>5.9587362692592576</v>
      </c>
      <c r="BJ12" s="64">
        <v>0.48264383878002159</v>
      </c>
      <c r="BK12" s="64">
        <v>0.50770488753139842</v>
      </c>
      <c r="BL12" s="64"/>
      <c r="BM12" t="s">
        <v>459</v>
      </c>
      <c r="BN12">
        <v>3.8482325623924708E-2</v>
      </c>
      <c r="BO12">
        <v>4.0480501838015132E-2</v>
      </c>
      <c r="BQ12">
        <v>7.8962827461939847E-2</v>
      </c>
      <c r="BR12" t="s">
        <v>459</v>
      </c>
      <c r="BS12">
        <v>0.49517436315571001</v>
      </c>
      <c r="BT12" s="68" t="s">
        <v>1264</v>
      </c>
      <c r="BU12" s="68">
        <f t="shared" ref="BU12:BU20" si="2">1200+273</f>
        <v>1473</v>
      </c>
      <c r="BV12" s="68">
        <v>48</v>
      </c>
      <c r="BX12" s="68" t="s">
        <v>1268</v>
      </c>
      <c r="BY12" s="68" t="s">
        <v>863</v>
      </c>
      <c r="BZ12" s="68">
        <v>0.1</v>
      </c>
      <c r="CB12" s="68">
        <v>2.85</v>
      </c>
      <c r="CC12" s="68">
        <v>14.3</v>
      </c>
      <c r="CD12" s="68" t="s">
        <v>464</v>
      </c>
      <c r="CE12" s="68" t="s">
        <v>464</v>
      </c>
      <c r="CF12" s="68" t="s">
        <v>1266</v>
      </c>
      <c r="CG12" s="68">
        <v>450</v>
      </c>
      <c r="CK12" s="70">
        <v>270</v>
      </c>
    </row>
    <row r="13" spans="1:89" x14ac:dyDescent="0.3">
      <c r="A13" t="s">
        <v>1</v>
      </c>
      <c r="B13" t="s">
        <v>153</v>
      </c>
      <c r="C13" t="s">
        <v>3918</v>
      </c>
      <c r="D13" s="12"/>
      <c r="E13">
        <v>3.2</v>
      </c>
      <c r="F13" t="s">
        <v>454</v>
      </c>
      <c r="G13" s="8" t="s">
        <v>524</v>
      </c>
      <c r="H13" t="s">
        <v>607</v>
      </c>
      <c r="M13" t="b">
        <v>1</v>
      </c>
      <c r="N13" t="b">
        <v>1</v>
      </c>
      <c r="O13" t="b">
        <v>0</v>
      </c>
      <c r="P13" t="b">
        <v>0</v>
      </c>
      <c r="Q13" t="s">
        <v>524</v>
      </c>
      <c r="R13" t="s">
        <v>607</v>
      </c>
      <c r="T13">
        <v>8</v>
      </c>
      <c r="U13" s="20">
        <v>1</v>
      </c>
      <c r="V13">
        <v>1</v>
      </c>
      <c r="W13">
        <v>0</v>
      </c>
      <c r="X13">
        <v>7.806</v>
      </c>
      <c r="Y13">
        <v>7.6680000000000001</v>
      </c>
      <c r="Z13">
        <v>21.54</v>
      </c>
      <c r="AA13" s="1" t="s">
        <v>513</v>
      </c>
      <c r="AB13" s="1">
        <v>10.77</v>
      </c>
      <c r="AC13" s="20">
        <v>3.9327019999999999</v>
      </c>
      <c r="AD13" s="20">
        <v>3.9458000000000002</v>
      </c>
      <c r="AE13" s="20">
        <v>11.356398779999999</v>
      </c>
      <c r="AF13">
        <v>3.9060000000000001</v>
      </c>
      <c r="AG13">
        <v>21.603000000000002</v>
      </c>
      <c r="AH13">
        <v>3.8879000000000001</v>
      </c>
      <c r="AI13">
        <v>0</v>
      </c>
      <c r="AL13">
        <v>2</v>
      </c>
      <c r="AM13">
        <v>14</v>
      </c>
      <c r="AN13" s="44">
        <f t="shared" ref="AN13:AN21" si="3">X13*Y13*Z13</f>
        <v>1289.30702832</v>
      </c>
      <c r="AO13" s="46">
        <v>173.54502164551991</v>
      </c>
      <c r="AP13" s="44">
        <v>328.06612625219998</v>
      </c>
      <c r="AQ13" s="44">
        <v>0</v>
      </c>
      <c r="AR13" s="41"/>
      <c r="AS13" s="40">
        <v>8.0670709348241429E-2</v>
      </c>
      <c r="AT13" s="41">
        <v>4.2674323496713393E-2</v>
      </c>
      <c r="AU13" s="41"/>
      <c r="AV13" s="23">
        <v>1.7272727272727271</v>
      </c>
      <c r="AW13" s="23">
        <v>2.545454545454545</v>
      </c>
      <c r="AX13" s="23">
        <v>0.81818181818181823</v>
      </c>
      <c r="AY13" s="23">
        <v>0</v>
      </c>
      <c r="AZ13" s="23">
        <v>0.3392857142857143</v>
      </c>
      <c r="BA13" s="23">
        <v>0.5</v>
      </c>
      <c r="BB13" s="23">
        <v>0.1607142857142857</v>
      </c>
      <c r="BC13" s="23">
        <v>0</v>
      </c>
      <c r="BD13" s="20">
        <v>0.82</v>
      </c>
      <c r="BE13" s="20">
        <v>3.44</v>
      </c>
      <c r="BF13" s="20">
        <v>2.62</v>
      </c>
      <c r="BG13" s="20">
        <v>2.6545454545454539</v>
      </c>
      <c r="BH13">
        <v>2.6545454545454539</v>
      </c>
      <c r="BI13">
        <v>5.9946911436363637</v>
      </c>
      <c r="BJ13" s="64">
        <v>0.48450364842179561</v>
      </c>
      <c r="BK13" s="64"/>
      <c r="BL13" s="64"/>
      <c r="BN13">
        <v>4.0335354674120701E-2</v>
      </c>
      <c r="BO13">
        <v>2.13371617483567E-2</v>
      </c>
      <c r="BQ13">
        <v>6.1672516422477411E-2</v>
      </c>
      <c r="BR13">
        <v>3.0836258211238698E-2</v>
      </c>
      <c r="BS13">
        <v>0.48450364842179561</v>
      </c>
      <c r="BT13" s="68" t="s">
        <v>1264</v>
      </c>
      <c r="BU13" s="68">
        <f t="shared" si="2"/>
        <v>1473</v>
      </c>
      <c r="BV13" s="68">
        <v>48</v>
      </c>
      <c r="BX13" s="68" t="s">
        <v>1268</v>
      </c>
      <c r="BY13" s="68" t="s">
        <v>863</v>
      </c>
      <c r="BZ13" s="68">
        <v>0.1</v>
      </c>
      <c r="CB13" s="68">
        <v>2.85</v>
      </c>
      <c r="CC13" s="68">
        <v>14.3</v>
      </c>
      <c r="CD13" s="68" t="s">
        <v>464</v>
      </c>
      <c r="CE13" s="68" t="s">
        <v>464</v>
      </c>
      <c r="CF13" s="68" t="s">
        <v>1266</v>
      </c>
      <c r="CG13" s="68">
        <v>450</v>
      </c>
      <c r="CK13" s="70">
        <v>54</v>
      </c>
    </row>
    <row r="14" spans="1:89" x14ac:dyDescent="0.3">
      <c r="A14" t="s">
        <v>2</v>
      </c>
      <c r="B14" t="s">
        <v>153</v>
      </c>
      <c r="C14" t="s">
        <v>3919</v>
      </c>
      <c r="D14" s="12"/>
      <c r="E14">
        <v>3.35</v>
      </c>
      <c r="F14" t="s">
        <v>454</v>
      </c>
      <c r="G14" s="8" t="s">
        <v>525</v>
      </c>
      <c r="H14">
        <v>-1</v>
      </c>
      <c r="M14" t="b">
        <v>1</v>
      </c>
      <c r="N14" t="b">
        <v>0</v>
      </c>
      <c r="O14" t="b">
        <v>0</v>
      </c>
      <c r="P14" t="b">
        <v>0</v>
      </c>
      <c r="Q14" t="s">
        <v>525</v>
      </c>
      <c r="R14">
        <v>-1</v>
      </c>
      <c r="T14">
        <v>1</v>
      </c>
      <c r="U14" s="20">
        <v>2</v>
      </c>
      <c r="V14">
        <v>0</v>
      </c>
      <c r="W14">
        <v>0</v>
      </c>
      <c r="X14">
        <v>3.8849999999999998</v>
      </c>
      <c r="Y14">
        <v>3.8849999999999998</v>
      </c>
      <c r="Z14">
        <v>10.989000000000001</v>
      </c>
      <c r="AA14" s="1" t="s">
        <v>439</v>
      </c>
      <c r="AB14">
        <v>10.989000000000001</v>
      </c>
      <c r="AC14" s="20">
        <v>11.92921406</v>
      </c>
      <c r="AD14" s="20">
        <v>11.92921406</v>
      </c>
      <c r="AE14" s="20">
        <v>11.92921406</v>
      </c>
      <c r="AF14">
        <v>0</v>
      </c>
      <c r="AI14">
        <v>0</v>
      </c>
      <c r="AL14">
        <v>2</v>
      </c>
      <c r="AM14">
        <v>14</v>
      </c>
      <c r="AN14" s="44">
        <f t="shared" si="3"/>
        <v>165.859449525</v>
      </c>
      <c r="AO14" s="46">
        <v>349.00875366799971</v>
      </c>
      <c r="AP14" s="44">
        <v>0</v>
      </c>
      <c r="AQ14" s="44">
        <v>0</v>
      </c>
      <c r="AR14" s="41"/>
      <c r="AS14" s="40">
        <v>8.0227214090553903E-2</v>
      </c>
      <c r="AT14" s="41"/>
      <c r="AU14" s="41"/>
      <c r="AV14" s="23">
        <v>1.7272727272727271</v>
      </c>
      <c r="AW14" s="23">
        <v>2.545454545454545</v>
      </c>
      <c r="AX14" s="23">
        <v>0.81818181818181823</v>
      </c>
      <c r="AY14" s="23">
        <v>0</v>
      </c>
      <c r="AZ14" s="23">
        <v>0.3392857142857143</v>
      </c>
      <c r="BA14" s="23">
        <v>0.5</v>
      </c>
      <c r="BB14" s="23">
        <v>0.1607142857142857</v>
      </c>
      <c r="BC14" s="23">
        <v>0</v>
      </c>
      <c r="BD14" s="20">
        <v>0.82</v>
      </c>
      <c r="BE14" s="20">
        <v>3.44</v>
      </c>
      <c r="BF14" s="20">
        <v>2.62</v>
      </c>
      <c r="BG14" s="20">
        <v>2.6545454545454539</v>
      </c>
      <c r="BH14">
        <v>2.6545454545454552</v>
      </c>
      <c r="BI14">
        <v>5.9865512095454543</v>
      </c>
      <c r="BJ14" s="64">
        <v>0.50734392504100967</v>
      </c>
      <c r="BK14" s="64"/>
      <c r="BL14" s="64"/>
      <c r="BN14">
        <v>4.0113607045276937E-2</v>
      </c>
      <c r="BQ14">
        <v>8.0227214090553903E-2</v>
      </c>
      <c r="BR14">
        <v>4.0113607045276937E-2</v>
      </c>
      <c r="BS14">
        <v>0.50734392504100967</v>
      </c>
      <c r="BT14" s="68" t="s">
        <v>1264</v>
      </c>
      <c r="BU14" s="68">
        <f t="shared" si="2"/>
        <v>1473</v>
      </c>
      <c r="BV14" s="68">
        <v>48</v>
      </c>
      <c r="BX14" s="68" t="s">
        <v>1268</v>
      </c>
      <c r="BY14" s="68" t="s">
        <v>863</v>
      </c>
      <c r="BZ14" s="68">
        <v>0.1</v>
      </c>
      <c r="CB14" s="68">
        <v>2.85</v>
      </c>
      <c r="CC14" s="68">
        <v>14.3</v>
      </c>
      <c r="CD14" s="68" t="s">
        <v>464</v>
      </c>
      <c r="CE14" s="68" t="s">
        <v>464</v>
      </c>
      <c r="CF14" s="68" t="s">
        <v>1266</v>
      </c>
      <c r="CG14" s="68">
        <v>450</v>
      </c>
      <c r="CK14" s="70">
        <v>90</v>
      </c>
    </row>
    <row r="15" spans="1:89" x14ac:dyDescent="0.3">
      <c r="A15" t="s">
        <v>3</v>
      </c>
      <c r="B15" t="s">
        <v>153</v>
      </c>
      <c r="C15" t="s">
        <v>3920</v>
      </c>
      <c r="D15" s="12"/>
      <c r="E15">
        <v>3.3</v>
      </c>
      <c r="F15" t="s">
        <v>454</v>
      </c>
      <c r="G15" s="8" t="s">
        <v>526</v>
      </c>
      <c r="H15" t="s">
        <v>608</v>
      </c>
      <c r="M15" t="b">
        <v>1</v>
      </c>
      <c r="N15" t="b">
        <v>1</v>
      </c>
      <c r="O15" t="b">
        <v>0</v>
      </c>
      <c r="P15" t="b">
        <v>0</v>
      </c>
      <c r="Q15" t="s">
        <v>526</v>
      </c>
      <c r="R15" t="s">
        <v>608</v>
      </c>
      <c r="T15">
        <v>1</v>
      </c>
      <c r="U15" s="20">
        <v>1</v>
      </c>
      <c r="V15">
        <v>1</v>
      </c>
      <c r="W15">
        <v>0</v>
      </c>
      <c r="X15">
        <v>3.9049999999999998</v>
      </c>
      <c r="Y15">
        <v>3.9049999999999998</v>
      </c>
      <c r="Z15">
        <v>11.185</v>
      </c>
      <c r="AA15" s="1" t="s">
        <v>439</v>
      </c>
      <c r="AB15" s="1">
        <v>11.185</v>
      </c>
      <c r="AC15" s="20">
        <v>3.952105</v>
      </c>
      <c r="AD15" s="20">
        <v>3.952105</v>
      </c>
      <c r="AE15" s="20">
        <v>11.503833</v>
      </c>
      <c r="AF15">
        <v>3.9079999999999999</v>
      </c>
      <c r="AG15">
        <v>3.9079999999999999</v>
      </c>
      <c r="AH15">
        <v>11.16</v>
      </c>
      <c r="AI15">
        <v>0</v>
      </c>
      <c r="AL15">
        <v>2</v>
      </c>
      <c r="AM15">
        <v>14</v>
      </c>
      <c r="AN15" s="44">
        <f t="shared" si="3"/>
        <v>170.56034462499997</v>
      </c>
      <c r="AO15" s="46">
        <v>179.6799083471451</v>
      </c>
      <c r="AP15" s="44">
        <v>170.44069823999999</v>
      </c>
      <c r="AQ15" s="44">
        <v>0</v>
      </c>
      <c r="AR15" s="41"/>
      <c r="AS15" s="40">
        <v>7.7916335380980528E-2</v>
      </c>
      <c r="AT15" s="41">
        <v>8.2140006140355049E-2</v>
      </c>
      <c r="AU15" s="41"/>
      <c r="AV15" s="23">
        <v>1.7272727272727271</v>
      </c>
      <c r="AW15" s="23">
        <v>2.545454545454545</v>
      </c>
      <c r="AX15" s="23">
        <v>0.81818181818181823</v>
      </c>
      <c r="AY15" s="23">
        <v>0</v>
      </c>
      <c r="AZ15" s="23">
        <v>0.3392857142857143</v>
      </c>
      <c r="BA15" s="23">
        <v>0.5</v>
      </c>
      <c r="BB15" s="23">
        <v>0.1607142857142857</v>
      </c>
      <c r="BC15" s="23">
        <v>0</v>
      </c>
      <c r="BD15" s="20">
        <v>0.79</v>
      </c>
      <c r="BE15" s="20">
        <v>3.44</v>
      </c>
      <c r="BF15" s="20">
        <v>2.65</v>
      </c>
      <c r="BG15" s="20">
        <v>2.6518181818181819</v>
      </c>
      <c r="BH15">
        <v>2.6518181818181819</v>
      </c>
      <c r="BI15">
        <v>5.9730281035195452</v>
      </c>
      <c r="BJ15" s="64">
        <v>0.5243291310951993</v>
      </c>
      <c r="BK15" s="64">
        <v>0.55275184384813547</v>
      </c>
      <c r="BL15" s="64"/>
      <c r="BN15">
        <v>3.8958167690490257E-2</v>
      </c>
      <c r="BO15">
        <v>4.1070003070177517E-2</v>
      </c>
      <c r="BQ15">
        <v>8.0028170760667788E-2</v>
      </c>
      <c r="BR15">
        <v>4.0014085380333887E-2</v>
      </c>
      <c r="BS15">
        <v>0.53854048747166738</v>
      </c>
      <c r="BT15" s="68" t="s">
        <v>1264</v>
      </c>
      <c r="BU15" s="68">
        <f t="shared" si="2"/>
        <v>1473</v>
      </c>
      <c r="BV15" s="68">
        <v>48</v>
      </c>
      <c r="BX15" s="68" t="s">
        <v>1268</v>
      </c>
      <c r="BY15" s="68" t="s">
        <v>863</v>
      </c>
      <c r="BZ15" s="68">
        <v>0.1</v>
      </c>
      <c r="CB15" s="68">
        <v>2.85</v>
      </c>
      <c r="CC15" s="68">
        <v>14.3</v>
      </c>
      <c r="CD15" s="68" t="s">
        <v>464</v>
      </c>
      <c r="CE15" s="68" t="s">
        <v>464</v>
      </c>
      <c r="CF15" s="68" t="s">
        <v>1266</v>
      </c>
      <c r="CG15" s="68">
        <v>450</v>
      </c>
      <c r="CK15" s="70">
        <v>28</v>
      </c>
    </row>
    <row r="16" spans="1:89" x14ac:dyDescent="0.3">
      <c r="A16" t="s">
        <v>4</v>
      </c>
      <c r="B16" t="s">
        <v>4</v>
      </c>
      <c r="C16" t="s">
        <v>3921</v>
      </c>
      <c r="D16" s="12"/>
      <c r="E16">
        <v>3.35</v>
      </c>
      <c r="F16" t="s">
        <v>454</v>
      </c>
      <c r="G16" s="8" t="s">
        <v>527</v>
      </c>
      <c r="H16" t="s">
        <v>609</v>
      </c>
      <c r="M16" t="b">
        <v>1</v>
      </c>
      <c r="N16" t="b">
        <v>1</v>
      </c>
      <c r="O16" t="b">
        <v>0</v>
      </c>
      <c r="P16" t="b">
        <v>0</v>
      </c>
      <c r="Q16" t="s">
        <v>527</v>
      </c>
      <c r="R16" t="s">
        <v>609</v>
      </c>
      <c r="T16">
        <v>8</v>
      </c>
      <c r="U16" s="20">
        <v>4</v>
      </c>
      <c r="V16">
        <v>4</v>
      </c>
      <c r="W16">
        <v>0</v>
      </c>
      <c r="X16">
        <v>7.7270000000000003</v>
      </c>
      <c r="Y16">
        <v>7.7270000000000003</v>
      </c>
      <c r="Z16">
        <v>29.466000000000001</v>
      </c>
      <c r="AA16" t="s">
        <v>452</v>
      </c>
      <c r="AB16">
        <v>14.733000000000001</v>
      </c>
      <c r="AC16" s="20">
        <v>7.8084429999999996</v>
      </c>
      <c r="AD16" s="20">
        <v>7.8548809999999998</v>
      </c>
      <c r="AE16" s="20">
        <v>15.19056011</v>
      </c>
      <c r="AF16">
        <v>3.8801999999999999</v>
      </c>
      <c r="AG16">
        <v>29.507999999999999</v>
      </c>
      <c r="AH16">
        <v>7.7140000000000004</v>
      </c>
      <c r="AI16">
        <v>0</v>
      </c>
      <c r="AL16">
        <v>3</v>
      </c>
      <c r="AM16">
        <v>20</v>
      </c>
      <c r="AN16" s="44">
        <f t="shared" si="3"/>
        <v>1759.3125835140002</v>
      </c>
      <c r="AO16" s="46">
        <v>924.74694800021894</v>
      </c>
      <c r="AP16" s="44">
        <v>883.22940750240002</v>
      </c>
      <c r="AQ16" s="44">
        <v>0</v>
      </c>
      <c r="AR16" s="41"/>
      <c r="AS16" s="40">
        <v>8.6510153045653584E-2</v>
      </c>
      <c r="AT16" s="41">
        <v>9.0576694254581439E-2</v>
      </c>
      <c r="AU16" s="41"/>
      <c r="AV16" s="23">
        <v>1.75</v>
      </c>
      <c r="AW16" s="23">
        <v>2.5</v>
      </c>
      <c r="AX16" s="23">
        <v>0.75</v>
      </c>
      <c r="AY16" s="23">
        <v>0</v>
      </c>
      <c r="AZ16" s="23">
        <v>0.35</v>
      </c>
      <c r="BA16" s="23">
        <v>0.5</v>
      </c>
      <c r="BB16" s="23">
        <v>0.15</v>
      </c>
      <c r="BC16" s="23">
        <v>0</v>
      </c>
      <c r="BD16" s="20">
        <v>0.82</v>
      </c>
      <c r="BE16" s="20">
        <v>3.44</v>
      </c>
      <c r="BF16" s="20">
        <v>2.62</v>
      </c>
      <c r="BG16" s="20">
        <v>2.6262500000000002</v>
      </c>
      <c r="BH16">
        <v>2.6262500000000002</v>
      </c>
      <c r="BI16">
        <v>5.96680968125</v>
      </c>
      <c r="BJ16" s="64">
        <v>0.50555206026575039</v>
      </c>
      <c r="BK16" s="64">
        <v>0</v>
      </c>
      <c r="BL16" s="64"/>
      <c r="BN16">
        <v>4.3255076522826792E-2</v>
      </c>
      <c r="BO16">
        <v>4.5288347127290719E-2</v>
      </c>
      <c r="BQ16">
        <v>8.8543423650117511E-2</v>
      </c>
      <c r="BR16">
        <v>4.4271711825058763E-2</v>
      </c>
      <c r="BS16">
        <v>0.2527760301328752</v>
      </c>
      <c r="BT16" s="68" t="s">
        <v>1264</v>
      </c>
      <c r="BU16" s="68">
        <f t="shared" si="2"/>
        <v>1473</v>
      </c>
      <c r="BV16" s="68">
        <v>48</v>
      </c>
      <c r="BX16" s="68" t="s">
        <v>1268</v>
      </c>
      <c r="BY16" s="68" t="s">
        <v>863</v>
      </c>
      <c r="BZ16" s="68">
        <v>0.1</v>
      </c>
      <c r="CB16" s="68">
        <v>2.85</v>
      </c>
      <c r="CC16" s="68">
        <v>14.3</v>
      </c>
      <c r="CD16" s="68" t="s">
        <v>464</v>
      </c>
      <c r="CE16" s="68" t="s">
        <v>464</v>
      </c>
      <c r="CF16" s="68" t="s">
        <v>1266</v>
      </c>
      <c r="CG16" s="68">
        <v>450</v>
      </c>
      <c r="CK16" s="70">
        <v>100</v>
      </c>
    </row>
    <row r="17" spans="1:89" x14ac:dyDescent="0.3">
      <c r="A17" t="s">
        <v>5</v>
      </c>
      <c r="B17" t="s">
        <v>4</v>
      </c>
      <c r="C17" t="s">
        <v>3922</v>
      </c>
      <c r="D17" s="12"/>
      <c r="E17">
        <v>3.5</v>
      </c>
      <c r="F17" t="s">
        <v>454</v>
      </c>
      <c r="G17" s="8" t="s">
        <v>528</v>
      </c>
      <c r="H17" t="s">
        <v>610</v>
      </c>
      <c r="M17" t="b">
        <v>1</v>
      </c>
      <c r="N17" t="b">
        <v>1</v>
      </c>
      <c r="O17" t="b">
        <v>0</v>
      </c>
      <c r="P17" t="b">
        <v>0</v>
      </c>
      <c r="Q17" t="s">
        <v>528</v>
      </c>
      <c r="R17" t="s">
        <v>610</v>
      </c>
      <c r="T17">
        <v>4</v>
      </c>
      <c r="U17" s="20">
        <v>1</v>
      </c>
      <c r="V17">
        <v>1</v>
      </c>
      <c r="W17">
        <v>0</v>
      </c>
      <c r="X17">
        <v>7.7249999999999996</v>
      </c>
      <c r="Y17">
        <v>7.7249999999999996</v>
      </c>
      <c r="Z17">
        <v>14.909000000000001</v>
      </c>
      <c r="AA17" t="s">
        <v>451</v>
      </c>
      <c r="AB17">
        <v>14.909000000000001</v>
      </c>
      <c r="AC17" s="20">
        <v>3.9661010000000001</v>
      </c>
      <c r="AD17" s="20">
        <v>3.9661010000000001</v>
      </c>
      <c r="AE17" s="20">
        <v>15.283337</v>
      </c>
      <c r="AF17">
        <v>3.8586499999999999</v>
      </c>
      <c r="AG17">
        <v>3.8586499999999999</v>
      </c>
      <c r="AH17">
        <v>14.9108</v>
      </c>
      <c r="AI17">
        <v>0</v>
      </c>
      <c r="AL17">
        <v>3</v>
      </c>
      <c r="AM17">
        <v>20</v>
      </c>
      <c r="AN17" s="44">
        <f t="shared" si="3"/>
        <v>889.70389312500004</v>
      </c>
      <c r="AO17" s="46">
        <v>240.40623599981481</v>
      </c>
      <c r="AP17" s="44">
        <v>222.00958249733301</v>
      </c>
      <c r="AQ17" s="44">
        <v>0</v>
      </c>
      <c r="AR17" s="41"/>
      <c r="AS17" s="40">
        <v>8.3192517518619641E-2</v>
      </c>
      <c r="AT17" s="41">
        <v>9.0086201573034624E-2</v>
      </c>
      <c r="AU17" s="41"/>
      <c r="AV17" s="23">
        <v>1.75</v>
      </c>
      <c r="AW17" s="23">
        <v>2.5</v>
      </c>
      <c r="AX17" s="23">
        <v>0.75</v>
      </c>
      <c r="AY17" s="23">
        <v>0</v>
      </c>
      <c r="AZ17" s="23">
        <v>0.35</v>
      </c>
      <c r="BA17" s="23">
        <v>0.5</v>
      </c>
      <c r="BB17" s="23">
        <v>0.15</v>
      </c>
      <c r="BC17" s="23">
        <v>0</v>
      </c>
      <c r="BD17" s="20">
        <v>0.82</v>
      </c>
      <c r="BE17" s="20">
        <v>3.44</v>
      </c>
      <c r="BF17" s="20">
        <v>2.62</v>
      </c>
      <c r="BG17" s="20">
        <v>2.6262500000000002</v>
      </c>
      <c r="BH17">
        <v>2.6262500000000002</v>
      </c>
      <c r="BI17">
        <v>5.9612134765624996</v>
      </c>
      <c r="BJ17" s="64">
        <v>0.50467688585120674</v>
      </c>
      <c r="BK17" s="64">
        <v>0.54649654829675798</v>
      </c>
      <c r="BL17" s="64"/>
      <c r="BN17">
        <v>4.159625875930982E-2</v>
      </c>
      <c r="BO17">
        <v>4.5043100786517312E-2</v>
      </c>
      <c r="BQ17">
        <v>8.6639359545827133E-2</v>
      </c>
      <c r="BR17">
        <v>4.3319679772913573E-2</v>
      </c>
      <c r="BS17">
        <v>0.5255867170739823</v>
      </c>
      <c r="BT17" s="68" t="s">
        <v>1264</v>
      </c>
      <c r="BU17" s="68">
        <f t="shared" si="2"/>
        <v>1473</v>
      </c>
      <c r="BV17" s="68">
        <v>48</v>
      </c>
      <c r="BX17" s="68" t="s">
        <v>1268</v>
      </c>
      <c r="BY17" s="68" t="s">
        <v>863</v>
      </c>
      <c r="BZ17" s="68">
        <v>0.1</v>
      </c>
      <c r="CB17" s="68">
        <v>2.85</v>
      </c>
      <c r="CC17" s="68">
        <v>14.3</v>
      </c>
      <c r="CD17" s="68" t="s">
        <v>464</v>
      </c>
      <c r="CE17" s="68" t="s">
        <v>464</v>
      </c>
      <c r="CF17" s="68" t="s">
        <v>1266</v>
      </c>
      <c r="CG17" s="68">
        <v>450</v>
      </c>
      <c r="CK17" s="70">
        <v>26</v>
      </c>
    </row>
    <row r="18" spans="1:89" x14ac:dyDescent="0.3">
      <c r="A18" t="s">
        <v>6</v>
      </c>
      <c r="B18" t="s">
        <v>4</v>
      </c>
      <c r="C18" t="s">
        <v>3923</v>
      </c>
      <c r="D18" s="12"/>
      <c r="E18">
        <v>3.5</v>
      </c>
      <c r="F18" t="s">
        <v>454</v>
      </c>
      <c r="G18" s="8" t="s">
        <v>529</v>
      </c>
      <c r="H18" t="s">
        <v>611</v>
      </c>
      <c r="M18" t="b">
        <v>1</v>
      </c>
      <c r="N18" t="b">
        <v>1</v>
      </c>
      <c r="O18" t="b">
        <v>0</v>
      </c>
      <c r="P18" t="b">
        <v>0</v>
      </c>
      <c r="Q18" t="s">
        <v>529</v>
      </c>
      <c r="R18" t="s">
        <v>611</v>
      </c>
      <c r="T18">
        <v>2</v>
      </c>
      <c r="U18" s="20">
        <v>8</v>
      </c>
      <c r="V18">
        <v>8</v>
      </c>
      <c r="W18">
        <v>0</v>
      </c>
      <c r="X18">
        <v>7.7270000000000003</v>
      </c>
      <c r="Y18">
        <v>7.7270000000000003</v>
      </c>
      <c r="Z18">
        <v>30.175999999999998</v>
      </c>
      <c r="AA18" t="s">
        <v>452</v>
      </c>
      <c r="AB18">
        <v>15.087999999999999</v>
      </c>
      <c r="AC18" s="20">
        <v>7.8252249999999997</v>
      </c>
      <c r="AD18" s="20">
        <v>7.8345229999999999</v>
      </c>
      <c r="AE18" s="20">
        <v>31.031406</v>
      </c>
      <c r="AF18">
        <v>30.184999999999999</v>
      </c>
      <c r="AG18">
        <v>7.74</v>
      </c>
      <c r="AH18">
        <v>7.7460000000000004</v>
      </c>
      <c r="AI18">
        <v>0</v>
      </c>
      <c r="AL18">
        <v>3</v>
      </c>
      <c r="AM18">
        <v>20</v>
      </c>
      <c r="AN18" s="44">
        <f t="shared" si="3"/>
        <v>1801.704219104</v>
      </c>
      <c r="AO18" s="46">
        <v>1902.4394671889761</v>
      </c>
      <c r="AP18" s="44">
        <v>1809.7126974</v>
      </c>
      <c r="AQ18" s="44">
        <v>0</v>
      </c>
      <c r="AR18" s="41"/>
      <c r="AS18" s="40">
        <v>8.4102544527429435E-2</v>
      </c>
      <c r="AT18" s="41">
        <v>8.8411823727529093E-2</v>
      </c>
      <c r="AU18" s="41"/>
      <c r="AV18" s="23">
        <v>1.75</v>
      </c>
      <c r="AW18" s="23">
        <v>2.5</v>
      </c>
      <c r="AX18" s="23">
        <v>0.75</v>
      </c>
      <c r="AY18" s="23">
        <v>0</v>
      </c>
      <c r="AZ18" s="23">
        <v>0.35</v>
      </c>
      <c r="BA18" s="23">
        <v>0.5</v>
      </c>
      <c r="BB18" s="23">
        <v>0.15</v>
      </c>
      <c r="BC18" s="23">
        <v>0</v>
      </c>
      <c r="BD18" s="20">
        <v>0.79</v>
      </c>
      <c r="BE18" s="20">
        <v>3.44</v>
      </c>
      <c r="BF18" s="20">
        <v>2.65</v>
      </c>
      <c r="BG18" s="20">
        <v>2.6243750000000001</v>
      </c>
      <c r="BH18">
        <v>2.6243750000000001</v>
      </c>
      <c r="BI18">
        <v>5.9519163411696878</v>
      </c>
      <c r="BJ18" s="64">
        <v>0.53407279423354193</v>
      </c>
      <c r="BK18" s="64">
        <v>0.5614378257728565</v>
      </c>
      <c r="BL18" s="64"/>
      <c r="BN18">
        <v>4.2051272263714717E-2</v>
      </c>
      <c r="BO18">
        <v>4.4205911863764553E-2</v>
      </c>
      <c r="BQ18">
        <v>8.6257184127479264E-2</v>
      </c>
      <c r="BR18">
        <v>4.3128592063739632E-2</v>
      </c>
      <c r="BS18">
        <v>0.54775531000319921</v>
      </c>
      <c r="BT18" s="68" t="s">
        <v>1264</v>
      </c>
      <c r="BU18" s="68">
        <f t="shared" si="2"/>
        <v>1473</v>
      </c>
      <c r="BV18" s="68">
        <v>48</v>
      </c>
      <c r="BX18" s="68" t="s">
        <v>1268</v>
      </c>
      <c r="BY18" s="68" t="s">
        <v>863</v>
      </c>
      <c r="BZ18" s="68">
        <v>0.1</v>
      </c>
      <c r="CB18" s="68">
        <v>2.85</v>
      </c>
      <c r="CC18" s="68">
        <v>14.3</v>
      </c>
      <c r="CD18" s="68" t="s">
        <v>464</v>
      </c>
      <c r="CE18" s="68" t="s">
        <v>464</v>
      </c>
      <c r="CF18" s="68" t="s">
        <v>1266</v>
      </c>
      <c r="CG18" s="68">
        <v>450</v>
      </c>
      <c r="CK18" s="70">
        <v>10</v>
      </c>
    </row>
    <row r="19" spans="1:89" x14ac:dyDescent="0.3">
      <c r="A19" t="s">
        <v>7</v>
      </c>
      <c r="B19" t="s">
        <v>4</v>
      </c>
      <c r="C19" t="s">
        <v>3924</v>
      </c>
      <c r="D19" s="12"/>
      <c r="E19">
        <v>3.16</v>
      </c>
      <c r="F19" t="s">
        <v>454</v>
      </c>
      <c r="G19" s="111" t="s">
        <v>527</v>
      </c>
      <c r="H19">
        <v>-1</v>
      </c>
      <c r="J19" t="s">
        <v>1725</v>
      </c>
      <c r="M19" t="b">
        <v>1</v>
      </c>
      <c r="N19" t="b">
        <v>0</v>
      </c>
      <c r="O19" t="b">
        <v>0</v>
      </c>
      <c r="P19" t="b">
        <v>0</v>
      </c>
      <c r="Q19" t="s">
        <v>1849</v>
      </c>
      <c r="R19">
        <v>-1</v>
      </c>
      <c r="T19">
        <v>4</v>
      </c>
      <c r="U19" s="20">
        <v>0</v>
      </c>
      <c r="V19">
        <v>0</v>
      </c>
      <c r="W19">
        <v>0</v>
      </c>
      <c r="X19">
        <v>7.8310000000000004</v>
      </c>
      <c r="Y19">
        <v>7.8010000000000002</v>
      </c>
      <c r="Z19">
        <v>15.05</v>
      </c>
      <c r="AA19" t="s">
        <v>1141</v>
      </c>
      <c r="AB19">
        <v>15.05</v>
      </c>
      <c r="AC19" s="20">
        <v>0</v>
      </c>
      <c r="AD19" s="20"/>
      <c r="AE19" s="20"/>
      <c r="AF19">
        <v>0</v>
      </c>
      <c r="AI19">
        <v>0</v>
      </c>
      <c r="AL19">
        <v>3</v>
      </c>
      <c r="AM19">
        <v>20</v>
      </c>
      <c r="AN19" s="44">
        <f t="shared" si="3"/>
        <v>919.39894655000012</v>
      </c>
      <c r="AO19" s="46">
        <f>X19*Y19*Z19*SIN(RADIANS(97.44))</f>
        <v>911.65853089860946</v>
      </c>
      <c r="AP19" s="44">
        <v>0</v>
      </c>
      <c r="AQ19" s="44">
        <v>0</v>
      </c>
      <c r="AR19" s="41">
        <f>T19*AM19/AN19</f>
        <v>8.7013369223660861E-2</v>
      </c>
      <c r="AS19" s="40"/>
      <c r="AT19" s="41"/>
      <c r="AU19" s="41"/>
      <c r="AV19" s="23">
        <v>1.75</v>
      </c>
      <c r="AW19" s="23">
        <v>2.5</v>
      </c>
      <c r="AX19" s="23">
        <v>0.75</v>
      </c>
      <c r="AY19" s="23">
        <v>0</v>
      </c>
      <c r="AZ19" s="23">
        <v>0.35</v>
      </c>
      <c r="BA19" s="23">
        <v>0.5</v>
      </c>
      <c r="BB19" s="23">
        <v>0.15</v>
      </c>
      <c r="BC19" s="23">
        <v>0</v>
      </c>
      <c r="BD19" s="20">
        <v>0.82</v>
      </c>
      <c r="BE19" s="20">
        <v>3.44</v>
      </c>
      <c r="BF19" s="20">
        <v>2.62</v>
      </c>
      <c r="BG19" s="20">
        <v>2.62</v>
      </c>
      <c r="BH19">
        <v>2.62</v>
      </c>
      <c r="BI19">
        <v>5.9423863675000002</v>
      </c>
      <c r="BJ19" s="64"/>
      <c r="BK19" s="64"/>
      <c r="BL19" s="64"/>
      <c r="BM19">
        <v>4.350668461183043E-2</v>
      </c>
      <c r="BN19">
        <v>0</v>
      </c>
      <c r="BQ19">
        <v>8.7013369223660861E-2</v>
      </c>
      <c r="BR19">
        <v>2.1753342305915219E-2</v>
      </c>
      <c r="BS19">
        <v>0</v>
      </c>
      <c r="BT19" s="68" t="s">
        <v>1264</v>
      </c>
      <c r="BU19" s="68">
        <f t="shared" si="2"/>
        <v>1473</v>
      </c>
      <c r="BV19" s="68">
        <v>48</v>
      </c>
      <c r="BX19" s="68" t="s">
        <v>1268</v>
      </c>
      <c r="BY19" s="68" t="s">
        <v>863</v>
      </c>
      <c r="BZ19" s="68">
        <v>0.1</v>
      </c>
      <c r="CB19" s="68">
        <v>2.85</v>
      </c>
      <c r="CC19" s="68">
        <v>14.3</v>
      </c>
      <c r="CD19" s="68" t="s">
        <v>464</v>
      </c>
      <c r="CE19" s="68" t="s">
        <v>464</v>
      </c>
      <c r="CF19" s="68" t="s">
        <v>1266</v>
      </c>
      <c r="CG19" s="68">
        <v>450</v>
      </c>
      <c r="CK19" s="70">
        <v>110</v>
      </c>
    </row>
    <row r="20" spans="1:89" x14ac:dyDescent="0.3">
      <c r="A20" t="s">
        <v>455</v>
      </c>
      <c r="C20" t="s">
        <v>3925</v>
      </c>
      <c r="D20" s="12"/>
      <c r="E20">
        <v>3.21</v>
      </c>
      <c r="F20" t="s">
        <v>454</v>
      </c>
      <c r="G20" s="8">
        <v>-1</v>
      </c>
      <c r="H20">
        <v>-1</v>
      </c>
      <c r="M20" t="b">
        <v>0</v>
      </c>
      <c r="N20" t="b">
        <v>0</v>
      </c>
      <c r="O20" t="b">
        <v>0</v>
      </c>
      <c r="P20" t="b">
        <v>1</v>
      </c>
      <c r="Q20">
        <v>-1</v>
      </c>
      <c r="R20">
        <v>-1</v>
      </c>
      <c r="T20">
        <v>8</v>
      </c>
      <c r="U20" s="20">
        <v>0</v>
      </c>
      <c r="V20">
        <v>0</v>
      </c>
      <c r="W20">
        <v>0</v>
      </c>
      <c r="X20">
        <v>7.7489999999999997</v>
      </c>
      <c r="Y20">
        <v>7.7359999999999998</v>
      </c>
      <c r="Z20">
        <v>37.369999999999997</v>
      </c>
      <c r="AA20" t="s">
        <v>1142</v>
      </c>
      <c r="AB20">
        <v>18.684999999999999</v>
      </c>
      <c r="AC20" s="20">
        <v>0</v>
      </c>
      <c r="AD20" s="20"/>
      <c r="AE20" s="20"/>
      <c r="AF20">
        <v>0</v>
      </c>
      <c r="AI20">
        <v>0</v>
      </c>
      <c r="AL20">
        <v>4</v>
      </c>
      <c r="AM20">
        <v>26</v>
      </c>
      <c r="AN20" s="44">
        <f t="shared" si="3"/>
        <v>2240.1918856799994</v>
      </c>
      <c r="AO20" s="46">
        <v>2240</v>
      </c>
      <c r="AP20" s="44">
        <v>0</v>
      </c>
      <c r="AQ20" s="44">
        <v>0</v>
      </c>
      <c r="AR20" s="41">
        <f>T20*AM20/AN20</f>
        <v>9.2849189093845236E-2</v>
      </c>
      <c r="AS20" s="40"/>
      <c r="AT20" s="41"/>
      <c r="AU20" s="41"/>
      <c r="AV20" s="23">
        <v>1.714285714285714</v>
      </c>
      <c r="AW20" s="23">
        <v>2.4761904761904758</v>
      </c>
      <c r="AX20" s="23">
        <v>0.76190476190476186</v>
      </c>
      <c r="AY20" s="23">
        <v>0</v>
      </c>
      <c r="AZ20" s="23">
        <v>0.34615384615384609</v>
      </c>
      <c r="BA20" s="23">
        <v>0.5</v>
      </c>
      <c r="BB20" s="23">
        <v>0.1538461538461538</v>
      </c>
      <c r="BC20" s="23">
        <v>0</v>
      </c>
      <c r="BD20" s="20">
        <v>0.82</v>
      </c>
      <c r="BE20" s="20">
        <v>3.44</v>
      </c>
      <c r="BF20" s="20">
        <v>2.62</v>
      </c>
      <c r="BG20" s="20">
        <v>2.612857142857143</v>
      </c>
      <c r="BH20">
        <v>2.612857142857143</v>
      </c>
      <c r="BI20">
        <v>5.9413964502380949</v>
      </c>
      <c r="BJ20" s="64"/>
      <c r="BK20" s="64"/>
      <c r="BL20" s="64"/>
      <c r="BM20">
        <v>4.6424594546922618E-2</v>
      </c>
      <c r="BN20">
        <v>0</v>
      </c>
      <c r="BQ20">
        <v>9.2849189093845236E-2</v>
      </c>
      <c r="BR20">
        <v>2.3212297273461309E-2</v>
      </c>
      <c r="BS20">
        <v>0</v>
      </c>
      <c r="BT20" s="68" t="s">
        <v>1264</v>
      </c>
      <c r="BU20" s="68">
        <f t="shared" si="2"/>
        <v>1473</v>
      </c>
      <c r="BV20" s="68">
        <v>48</v>
      </c>
      <c r="BX20" s="68" t="s">
        <v>1268</v>
      </c>
      <c r="BY20" s="68" t="s">
        <v>863</v>
      </c>
      <c r="BZ20" s="68">
        <v>0.1</v>
      </c>
      <c r="CB20" s="68">
        <v>2.85</v>
      </c>
      <c r="CC20" s="68">
        <v>14.3</v>
      </c>
      <c r="CD20" s="68" t="s">
        <v>464</v>
      </c>
      <c r="CE20" s="68" t="s">
        <v>464</v>
      </c>
      <c r="CF20" s="68" t="s">
        <v>1266</v>
      </c>
      <c r="CG20" s="68">
        <v>450</v>
      </c>
      <c r="CK20" s="70">
        <v>280</v>
      </c>
    </row>
    <row r="21" spans="1:89" x14ac:dyDescent="0.3">
      <c r="A21" t="s">
        <v>8</v>
      </c>
      <c r="B21" t="s">
        <v>2777</v>
      </c>
      <c r="C21" t="s">
        <v>3926</v>
      </c>
      <c r="D21" s="12"/>
      <c r="E21">
        <v>3</v>
      </c>
      <c r="F21" t="s">
        <v>454</v>
      </c>
      <c r="G21" s="8" t="s">
        <v>530</v>
      </c>
      <c r="H21" t="s">
        <v>612</v>
      </c>
      <c r="M21" t="b">
        <v>1</v>
      </c>
      <c r="N21" t="b">
        <v>1</v>
      </c>
      <c r="O21" t="b">
        <v>0</v>
      </c>
      <c r="P21" t="b">
        <v>0</v>
      </c>
      <c r="Q21" t="s">
        <v>530</v>
      </c>
      <c r="R21" t="s">
        <v>612</v>
      </c>
      <c r="U21" s="20">
        <v>30</v>
      </c>
      <c r="V21">
        <v>4</v>
      </c>
      <c r="W21">
        <v>0</v>
      </c>
      <c r="AB21">
        <v>0</v>
      </c>
      <c r="AC21" s="20">
        <v>10.59112378</v>
      </c>
      <c r="AD21" s="20">
        <v>10.784736629999999</v>
      </c>
      <c r="AE21" s="20">
        <v>10.486176179999999</v>
      </c>
      <c r="AF21">
        <v>3.73</v>
      </c>
      <c r="AG21">
        <v>3.73</v>
      </c>
      <c r="AH21">
        <v>9.3699999999999992</v>
      </c>
      <c r="AI21">
        <v>0</v>
      </c>
      <c r="AL21" s="1" t="s">
        <v>459</v>
      </c>
      <c r="AM21">
        <v>4</v>
      </c>
      <c r="AN21" s="44">
        <f t="shared" si="3"/>
        <v>0</v>
      </c>
      <c r="AO21" s="46">
        <v>1182.741260108548</v>
      </c>
      <c r="AP21" s="44">
        <v>130.36387300000001</v>
      </c>
      <c r="AQ21" s="44">
        <v>0</v>
      </c>
      <c r="AR21" s="41"/>
      <c r="AS21" s="40">
        <v>0.1014592151701775</v>
      </c>
      <c r="AT21" s="41">
        <v>0.1227333894874388</v>
      </c>
      <c r="AU21" s="41"/>
      <c r="AV21" s="23">
        <v>2</v>
      </c>
      <c r="AW21" s="23">
        <v>2.666666666666667</v>
      </c>
      <c r="AX21" s="23">
        <v>0.66666666666666663</v>
      </c>
      <c r="AY21" s="23">
        <v>0</v>
      </c>
      <c r="AZ21" s="23">
        <v>0.375</v>
      </c>
      <c r="BA21" s="23">
        <v>0.5</v>
      </c>
      <c r="BB21" s="23">
        <v>0.125</v>
      </c>
      <c r="BC21" s="23">
        <v>0</v>
      </c>
      <c r="BD21" s="20">
        <v>1.54</v>
      </c>
      <c r="BE21" s="20">
        <v>3.44</v>
      </c>
      <c r="BF21" s="20">
        <v>1.9</v>
      </c>
      <c r="BG21" s="20">
        <v>2.8066666666666671</v>
      </c>
      <c r="BH21">
        <v>2.8066666666666662</v>
      </c>
      <c r="BI21">
        <v>6.1769976</v>
      </c>
      <c r="BJ21" s="64">
        <v>0.46900407026869628</v>
      </c>
      <c r="BK21" s="64">
        <v>0.56734579634715776</v>
      </c>
      <c r="BL21" s="64"/>
      <c r="BN21">
        <v>5.072960758508873E-2</v>
      </c>
      <c r="BO21">
        <v>6.136669474371937E-2</v>
      </c>
      <c r="BQ21">
        <v>0.1120963023288082</v>
      </c>
      <c r="BR21">
        <v>5.604815116440405E-2</v>
      </c>
      <c r="BS21">
        <v>0.51817493330792708</v>
      </c>
      <c r="BX21" s="68" t="s">
        <v>1268</v>
      </c>
      <c r="BY21" s="68" t="s">
        <v>863</v>
      </c>
      <c r="BZ21" s="68">
        <v>0.1</v>
      </c>
      <c r="CB21" s="68">
        <v>2.85</v>
      </c>
      <c r="CC21" s="68">
        <v>14.3</v>
      </c>
      <c r="CD21" s="68" t="s">
        <v>464</v>
      </c>
      <c r="CE21" s="68" t="s">
        <v>464</v>
      </c>
      <c r="CF21" s="68" t="s">
        <v>1266</v>
      </c>
      <c r="CG21" s="68">
        <v>450</v>
      </c>
      <c r="CK21" s="70">
        <v>7400</v>
      </c>
    </row>
    <row r="22" spans="1:89" x14ac:dyDescent="0.3">
      <c r="A22" t="s">
        <v>304</v>
      </c>
      <c r="B22" t="s">
        <v>0</v>
      </c>
      <c r="C22" t="s">
        <v>829</v>
      </c>
      <c r="D22" s="12"/>
      <c r="E22">
        <v>3.5</v>
      </c>
      <c r="F22" t="s">
        <v>454</v>
      </c>
      <c r="G22" s="74" t="s">
        <v>523</v>
      </c>
      <c r="J22" t="s">
        <v>1726</v>
      </c>
      <c r="M22" t="b">
        <v>1</v>
      </c>
      <c r="N22" t="b">
        <v>0</v>
      </c>
      <c r="O22" t="b">
        <v>0</v>
      </c>
      <c r="P22" t="b">
        <v>0</v>
      </c>
      <c r="Q22" t="s">
        <v>1850</v>
      </c>
      <c r="T22" s="54">
        <v>4</v>
      </c>
      <c r="U22" s="20">
        <v>4</v>
      </c>
      <c r="V22">
        <v>4</v>
      </c>
      <c r="W22">
        <v>0</v>
      </c>
      <c r="AC22" s="20">
        <v>6.6040679999999998</v>
      </c>
      <c r="AD22" s="20">
        <v>7.9389519999999996</v>
      </c>
      <c r="AE22" s="20">
        <v>33.703336</v>
      </c>
      <c r="AF22">
        <v>7.83</v>
      </c>
      <c r="AG22">
        <v>33.209989999999998</v>
      </c>
      <c r="AH22">
        <v>6.46</v>
      </c>
      <c r="AI22">
        <v>0</v>
      </c>
      <c r="AM22">
        <v>34</v>
      </c>
      <c r="AN22" s="44">
        <f>X22*Y22*Z22</f>
        <v>0</v>
      </c>
      <c r="AO22" s="46">
        <v>1767.0449718798691</v>
      </c>
      <c r="AP22" s="44">
        <v>1679.8210721820001</v>
      </c>
      <c r="AQ22" s="44">
        <v>0</v>
      </c>
      <c r="AR22" s="41"/>
      <c r="AS22" s="40">
        <v>7.6964651247849417E-2</v>
      </c>
      <c r="AT22" s="41">
        <v>8.0961003676030277E-2</v>
      </c>
      <c r="AU22" s="41"/>
      <c r="AV22" s="23">
        <v>1.62962962962963</v>
      </c>
      <c r="AW22" s="23">
        <v>2.518518518518519</v>
      </c>
      <c r="AX22" s="23">
        <v>0.88888888888888884</v>
      </c>
      <c r="AY22" s="23">
        <v>0</v>
      </c>
      <c r="AZ22" s="23">
        <v>0.32352941176470579</v>
      </c>
      <c r="BA22" s="23">
        <v>0.5</v>
      </c>
      <c r="BB22" s="23">
        <v>0.1764705882352941</v>
      </c>
      <c r="BC22" s="23">
        <v>0</v>
      </c>
      <c r="BD22" s="20">
        <v>0.82</v>
      </c>
      <c r="BE22" s="20">
        <v>3.44</v>
      </c>
      <c r="BF22" s="20">
        <v>2.62</v>
      </c>
      <c r="BG22" s="20">
        <v>2.642962962962963</v>
      </c>
      <c r="BH22">
        <v>2.642962962962963</v>
      </c>
      <c r="BI22">
        <v>5.9587362692592576</v>
      </c>
      <c r="BJ22" s="64">
        <v>0.48264383878002159</v>
      </c>
      <c r="BK22" s="64">
        <v>0.50770488753139842</v>
      </c>
      <c r="BL22" s="64"/>
      <c r="BM22" t="s">
        <v>459</v>
      </c>
      <c r="BN22">
        <v>3.8482325623924708E-2</v>
      </c>
      <c r="BO22">
        <v>4.0480501838015132E-2</v>
      </c>
      <c r="BQ22">
        <v>7.8962827461939847E-2</v>
      </c>
      <c r="BR22" t="s">
        <v>459</v>
      </c>
      <c r="BS22">
        <v>0.49517436315571001</v>
      </c>
      <c r="BT22" s="68" t="s">
        <v>1264</v>
      </c>
      <c r="BU22" s="68">
        <f t="shared" ref="BU22:BU47" si="4">1200+273</f>
        <v>1473</v>
      </c>
      <c r="BV22" s="68">
        <v>48</v>
      </c>
      <c r="BX22" s="68" t="s">
        <v>464</v>
      </c>
      <c r="BY22" s="68" t="s">
        <v>464</v>
      </c>
      <c r="BZ22" s="68">
        <v>0</v>
      </c>
      <c r="CB22" s="68">
        <v>2.85</v>
      </c>
      <c r="CC22" s="68">
        <v>14.3</v>
      </c>
      <c r="CD22" s="68" t="s">
        <v>464</v>
      </c>
      <c r="CE22" s="68" t="s">
        <v>464</v>
      </c>
      <c r="CF22" s="68" t="s">
        <v>1266</v>
      </c>
      <c r="CG22" s="68">
        <v>450</v>
      </c>
      <c r="CK22" s="70">
        <v>750</v>
      </c>
    </row>
    <row r="23" spans="1:89" x14ac:dyDescent="0.3">
      <c r="A23" t="s">
        <v>153</v>
      </c>
      <c r="B23" t="s">
        <v>153</v>
      </c>
      <c r="C23" t="s">
        <v>3927</v>
      </c>
      <c r="D23" s="12"/>
      <c r="E23">
        <v>3.2</v>
      </c>
      <c r="F23" t="s">
        <v>454</v>
      </c>
      <c r="G23" s="98" t="s">
        <v>578</v>
      </c>
      <c r="M23" t="b">
        <v>1</v>
      </c>
      <c r="N23" t="b">
        <v>0</v>
      </c>
      <c r="O23" t="b">
        <v>0</v>
      </c>
      <c r="P23" t="b">
        <v>0</v>
      </c>
      <c r="Q23" t="s">
        <v>578</v>
      </c>
      <c r="T23">
        <v>8</v>
      </c>
      <c r="U23" s="20">
        <v>1</v>
      </c>
      <c r="V23">
        <v>1</v>
      </c>
      <c r="W23">
        <v>0</v>
      </c>
      <c r="X23">
        <v>7.806</v>
      </c>
      <c r="Y23">
        <v>7.6680000000000001</v>
      </c>
      <c r="Z23">
        <v>21.54</v>
      </c>
      <c r="AA23" s="1" t="s">
        <v>513</v>
      </c>
      <c r="AB23" s="1">
        <v>10.77</v>
      </c>
      <c r="AC23" s="20">
        <v>3.9327019999999999</v>
      </c>
      <c r="AD23" s="20">
        <v>3.9458000000000002</v>
      </c>
      <c r="AE23" s="20">
        <v>11.356398779999999</v>
      </c>
      <c r="AF23">
        <v>3.9060000000000001</v>
      </c>
      <c r="AG23">
        <v>21.603000000000002</v>
      </c>
      <c r="AH23">
        <v>3.8879000000000001</v>
      </c>
      <c r="AI23">
        <v>0</v>
      </c>
      <c r="AL23">
        <v>2</v>
      </c>
      <c r="AM23">
        <v>14</v>
      </c>
      <c r="AN23" s="44">
        <f t="shared" ref="AN23:AN30" si="5">X23*Y23*Z23</f>
        <v>1289.30702832</v>
      </c>
      <c r="AO23" s="46">
        <v>173.54502164551991</v>
      </c>
      <c r="AP23" s="44">
        <v>328.06612625219998</v>
      </c>
      <c r="AQ23" s="44">
        <v>0</v>
      </c>
      <c r="AR23" s="41"/>
      <c r="AS23" s="40">
        <v>8.0670709348241429E-2</v>
      </c>
      <c r="AT23" s="41">
        <v>4.2674323496713393E-2</v>
      </c>
      <c r="AU23" s="41"/>
      <c r="AV23" s="23">
        <v>1.7272727272727271</v>
      </c>
      <c r="AW23" s="23">
        <v>2.545454545454545</v>
      </c>
      <c r="AX23" s="23">
        <v>0.81818181818181823</v>
      </c>
      <c r="AY23" s="23">
        <v>0</v>
      </c>
      <c r="AZ23" s="23">
        <v>0.3392857142857143</v>
      </c>
      <c r="BA23" s="23">
        <v>0.5</v>
      </c>
      <c r="BB23" s="23">
        <v>0.1607142857142857</v>
      </c>
      <c r="BC23" s="23">
        <v>0</v>
      </c>
      <c r="BD23" s="20">
        <v>0.82</v>
      </c>
      <c r="BE23" s="20">
        <v>3.44</v>
      </c>
      <c r="BF23" s="20">
        <v>2.62</v>
      </c>
      <c r="BG23" s="20">
        <v>2.6545454545454539</v>
      </c>
      <c r="BH23">
        <v>2.6545454545454539</v>
      </c>
      <c r="BI23">
        <v>5.9946911436363637</v>
      </c>
      <c r="BJ23" s="64">
        <v>0.48450364842179561</v>
      </c>
      <c r="BK23" s="64"/>
      <c r="BL23" s="64"/>
      <c r="BN23">
        <v>4.0335354674120701E-2</v>
      </c>
      <c r="BO23">
        <v>2.13371617483567E-2</v>
      </c>
      <c r="BQ23">
        <v>6.1672516422477411E-2</v>
      </c>
      <c r="BR23">
        <v>3.0836258211238698E-2</v>
      </c>
      <c r="BS23">
        <v>0.48450364842179561</v>
      </c>
      <c r="BT23" s="68" t="s">
        <v>1264</v>
      </c>
      <c r="BU23" s="68">
        <f t="shared" si="4"/>
        <v>1473</v>
      </c>
      <c r="BV23" s="68">
        <v>48</v>
      </c>
      <c r="BX23" s="68" t="s">
        <v>464</v>
      </c>
      <c r="BY23" s="68" t="s">
        <v>464</v>
      </c>
      <c r="BZ23" s="68">
        <v>0</v>
      </c>
      <c r="CB23" s="68">
        <v>2.85</v>
      </c>
      <c r="CC23" s="68">
        <v>14.3</v>
      </c>
      <c r="CD23" s="68" t="s">
        <v>464</v>
      </c>
      <c r="CE23" s="68" t="s">
        <v>464</v>
      </c>
      <c r="CF23" s="68" t="s">
        <v>1266</v>
      </c>
      <c r="CG23" s="68">
        <v>450</v>
      </c>
      <c r="CK23" s="70">
        <v>760</v>
      </c>
    </row>
    <row r="24" spans="1:89" x14ac:dyDescent="0.3">
      <c r="A24" t="s">
        <v>153</v>
      </c>
      <c r="B24" t="s">
        <v>153</v>
      </c>
      <c r="C24" t="s">
        <v>3927</v>
      </c>
      <c r="D24" s="12"/>
      <c r="E24">
        <v>3.35</v>
      </c>
      <c r="F24" t="s">
        <v>454</v>
      </c>
      <c r="G24" s="8" t="s">
        <v>578</v>
      </c>
      <c r="M24" t="b">
        <v>1</v>
      </c>
      <c r="N24" t="b">
        <v>0</v>
      </c>
      <c r="O24" t="b">
        <v>0</v>
      </c>
      <c r="P24" t="b">
        <v>0</v>
      </c>
      <c r="Q24" t="s">
        <v>578</v>
      </c>
      <c r="T24">
        <v>1</v>
      </c>
      <c r="U24" s="20">
        <v>2</v>
      </c>
      <c r="V24">
        <v>0</v>
      </c>
      <c r="W24">
        <v>0</v>
      </c>
      <c r="X24">
        <v>3.8849999999999998</v>
      </c>
      <c r="Y24">
        <v>3.8849999999999998</v>
      </c>
      <c r="Z24">
        <v>10.989000000000001</v>
      </c>
      <c r="AA24" s="1" t="s">
        <v>439</v>
      </c>
      <c r="AB24" s="1">
        <v>10.989000000000001</v>
      </c>
      <c r="AC24" s="20">
        <v>11.92921406</v>
      </c>
      <c r="AD24" s="20">
        <v>11.92921406</v>
      </c>
      <c r="AE24" s="20">
        <v>11.92921406</v>
      </c>
      <c r="AF24">
        <v>0</v>
      </c>
      <c r="AI24">
        <v>0</v>
      </c>
      <c r="AL24">
        <v>2</v>
      </c>
      <c r="AM24">
        <v>14</v>
      </c>
      <c r="AN24" s="44">
        <f t="shared" si="5"/>
        <v>165.859449525</v>
      </c>
      <c r="AO24" s="46">
        <v>349.00875366799971</v>
      </c>
      <c r="AP24" s="44">
        <v>0</v>
      </c>
      <c r="AQ24" s="44">
        <v>0</v>
      </c>
      <c r="AR24" s="41"/>
      <c r="AS24" s="40">
        <v>8.0227214090553903E-2</v>
      </c>
      <c r="AT24" s="41"/>
      <c r="AU24" s="41"/>
      <c r="AV24" s="23">
        <v>1.7272727272727271</v>
      </c>
      <c r="AW24" s="23">
        <v>2.545454545454545</v>
      </c>
      <c r="AX24" s="23">
        <v>0.81818181818181823</v>
      </c>
      <c r="AY24" s="23">
        <v>0</v>
      </c>
      <c r="AZ24" s="23">
        <v>0.3392857142857143</v>
      </c>
      <c r="BA24" s="23">
        <v>0.5</v>
      </c>
      <c r="BB24" s="23">
        <v>0.1607142857142857</v>
      </c>
      <c r="BC24" s="23">
        <v>0</v>
      </c>
      <c r="BD24" s="20">
        <v>0.82</v>
      </c>
      <c r="BE24" s="20">
        <v>3.44</v>
      </c>
      <c r="BF24" s="20">
        <v>2.62</v>
      </c>
      <c r="BG24" s="20">
        <v>2.6545454545454539</v>
      </c>
      <c r="BH24">
        <v>2.6545454545454552</v>
      </c>
      <c r="BI24">
        <v>5.9865512095454543</v>
      </c>
      <c r="BJ24" s="64">
        <v>0.50734392504100967</v>
      </c>
      <c r="BK24" s="64"/>
      <c r="BL24" s="64"/>
      <c r="BN24">
        <v>4.0113607045276937E-2</v>
      </c>
      <c r="BQ24">
        <v>8.0227214090553903E-2</v>
      </c>
      <c r="BR24">
        <v>4.0113607045276937E-2</v>
      </c>
      <c r="BS24">
        <v>0.50734392504100967</v>
      </c>
      <c r="BT24" s="68" t="s">
        <v>1264</v>
      </c>
      <c r="BU24" s="68">
        <f t="shared" si="4"/>
        <v>1473</v>
      </c>
      <c r="BV24" s="68">
        <v>48</v>
      </c>
      <c r="BX24" s="68" t="s">
        <v>464</v>
      </c>
      <c r="BY24" s="68" t="s">
        <v>464</v>
      </c>
      <c r="BZ24" s="68">
        <v>0</v>
      </c>
      <c r="CB24" s="68">
        <v>2.85</v>
      </c>
      <c r="CC24" s="68">
        <v>14.3</v>
      </c>
      <c r="CD24" s="68" t="s">
        <v>464</v>
      </c>
      <c r="CE24" s="68" t="s">
        <v>464</v>
      </c>
      <c r="CF24" s="68" t="s">
        <v>1266</v>
      </c>
      <c r="CG24" s="68">
        <v>450</v>
      </c>
      <c r="CK24" s="70">
        <v>740</v>
      </c>
    </row>
    <row r="25" spans="1:89" x14ac:dyDescent="0.3">
      <c r="A25" t="s">
        <v>153</v>
      </c>
      <c r="B25" t="s">
        <v>153</v>
      </c>
      <c r="C25" t="s">
        <v>3927</v>
      </c>
      <c r="D25" s="12"/>
      <c r="E25">
        <v>3.3</v>
      </c>
      <c r="F25" t="s">
        <v>454</v>
      </c>
      <c r="G25" s="8" t="s">
        <v>578</v>
      </c>
      <c r="M25" t="b">
        <v>1</v>
      </c>
      <c r="N25" t="b">
        <v>0</v>
      </c>
      <c r="O25" t="b">
        <v>0</v>
      </c>
      <c r="P25" t="b">
        <v>0</v>
      </c>
      <c r="Q25" t="s">
        <v>578</v>
      </c>
      <c r="T25">
        <v>1</v>
      </c>
      <c r="U25" s="20">
        <v>1</v>
      </c>
      <c r="V25">
        <v>1</v>
      </c>
      <c r="W25">
        <v>0</v>
      </c>
      <c r="X25">
        <v>3.9049999999999998</v>
      </c>
      <c r="Y25">
        <v>3.9049999999999998</v>
      </c>
      <c r="Z25">
        <v>11.185</v>
      </c>
      <c r="AA25" s="1" t="s">
        <v>439</v>
      </c>
      <c r="AB25" s="1">
        <v>11.185</v>
      </c>
      <c r="AC25" s="20">
        <v>3.952105</v>
      </c>
      <c r="AD25" s="20">
        <v>3.952105</v>
      </c>
      <c r="AE25" s="20">
        <v>11.503833</v>
      </c>
      <c r="AF25">
        <v>3.9079999999999999</v>
      </c>
      <c r="AG25">
        <v>3.9079999999999999</v>
      </c>
      <c r="AH25">
        <v>11.16</v>
      </c>
      <c r="AI25">
        <v>0</v>
      </c>
      <c r="AL25">
        <v>2</v>
      </c>
      <c r="AM25">
        <v>14</v>
      </c>
      <c r="AN25" s="44">
        <f t="shared" si="5"/>
        <v>170.56034462499997</v>
      </c>
      <c r="AO25" s="46">
        <v>179.6799083471451</v>
      </c>
      <c r="AP25" s="44">
        <v>170.44069823999999</v>
      </c>
      <c r="AQ25" s="44">
        <v>0</v>
      </c>
      <c r="AR25" s="41"/>
      <c r="AS25" s="40">
        <v>7.7916335380980528E-2</v>
      </c>
      <c r="AT25" s="41">
        <v>8.2140006140355049E-2</v>
      </c>
      <c r="AU25" s="41"/>
      <c r="AV25" s="23">
        <v>1.7272727272727271</v>
      </c>
      <c r="AW25" s="23">
        <v>2.545454545454545</v>
      </c>
      <c r="AX25" s="23">
        <v>0.81818181818181823</v>
      </c>
      <c r="AY25" s="23">
        <v>0</v>
      </c>
      <c r="AZ25" s="23">
        <v>0.3392857142857143</v>
      </c>
      <c r="BA25" s="23">
        <v>0.5</v>
      </c>
      <c r="BB25" s="23">
        <v>0.1607142857142857</v>
      </c>
      <c r="BC25" s="23">
        <v>0</v>
      </c>
      <c r="BD25" s="20">
        <v>0.79</v>
      </c>
      <c r="BE25" s="20">
        <v>3.44</v>
      </c>
      <c r="BF25" s="20">
        <v>2.65</v>
      </c>
      <c r="BG25" s="20">
        <v>2.6518181818181819</v>
      </c>
      <c r="BH25">
        <v>2.6518181818181819</v>
      </c>
      <c r="BI25">
        <v>5.9730281035195452</v>
      </c>
      <c r="BJ25" s="64">
        <v>0.5243291310951993</v>
      </c>
      <c r="BK25" s="64">
        <v>0.55275184384813547</v>
      </c>
      <c r="BL25" s="64"/>
      <c r="BN25">
        <v>3.8958167690490257E-2</v>
      </c>
      <c r="BO25">
        <v>4.1070003070177517E-2</v>
      </c>
      <c r="BQ25">
        <v>8.0028170760667788E-2</v>
      </c>
      <c r="BR25">
        <v>4.0014085380333887E-2</v>
      </c>
      <c r="BS25">
        <v>0.53854048747166738</v>
      </c>
      <c r="BT25" s="68" t="s">
        <v>1264</v>
      </c>
      <c r="BU25" s="68">
        <f t="shared" si="4"/>
        <v>1473</v>
      </c>
      <c r="BV25" s="68">
        <v>48</v>
      </c>
      <c r="BX25" s="68" t="s">
        <v>464</v>
      </c>
      <c r="BY25" s="68" t="s">
        <v>464</v>
      </c>
      <c r="BZ25" s="68">
        <v>0</v>
      </c>
      <c r="CB25" s="68">
        <v>2.85</v>
      </c>
      <c r="CC25" s="68">
        <v>14.3</v>
      </c>
      <c r="CD25" s="68" t="s">
        <v>464</v>
      </c>
      <c r="CE25" s="68" t="s">
        <v>464</v>
      </c>
      <c r="CF25" s="68" t="s">
        <v>1266</v>
      </c>
      <c r="CG25" s="68">
        <v>450</v>
      </c>
      <c r="CK25" s="70">
        <v>300</v>
      </c>
    </row>
    <row r="26" spans="1:89" x14ac:dyDescent="0.3">
      <c r="A26" t="s">
        <v>63</v>
      </c>
      <c r="B26" t="s">
        <v>4</v>
      </c>
      <c r="C26" t="s">
        <v>3928</v>
      </c>
      <c r="D26" s="12"/>
      <c r="E26">
        <v>3.35</v>
      </c>
      <c r="F26" t="s">
        <v>454</v>
      </c>
      <c r="G26" s="99" t="s">
        <v>587</v>
      </c>
      <c r="H26" s="58">
        <v>1522043</v>
      </c>
      <c r="I26" s="8" t="s">
        <v>1179</v>
      </c>
      <c r="J26" t="s">
        <v>1729</v>
      </c>
      <c r="K26" t="s">
        <v>1729</v>
      </c>
      <c r="M26" t="b">
        <v>1</v>
      </c>
      <c r="N26" t="b">
        <v>1</v>
      </c>
      <c r="O26" t="b">
        <v>0</v>
      </c>
      <c r="P26" t="b">
        <v>0</v>
      </c>
      <c r="Q26" t="s">
        <v>1851</v>
      </c>
      <c r="R26" t="s">
        <v>1852</v>
      </c>
      <c r="S26" t="s">
        <v>1179</v>
      </c>
      <c r="T26" s="6"/>
      <c r="U26" s="20">
        <v>4</v>
      </c>
      <c r="V26">
        <v>4</v>
      </c>
      <c r="W26">
        <v>0</v>
      </c>
      <c r="X26">
        <v>7.7270000000000003</v>
      </c>
      <c r="Y26">
        <v>7.7270000000000003</v>
      </c>
      <c r="Z26">
        <v>29.466000000000001</v>
      </c>
      <c r="AA26" t="s">
        <v>452</v>
      </c>
      <c r="AB26">
        <v>14.733000000000001</v>
      </c>
      <c r="AC26" s="20">
        <v>7.8084429999999996</v>
      </c>
      <c r="AD26" s="20">
        <v>7.8548809999999998</v>
      </c>
      <c r="AE26" s="20">
        <v>15.19056011</v>
      </c>
      <c r="AF26">
        <v>3.8801999999999999</v>
      </c>
      <c r="AG26">
        <v>29.507999999999999</v>
      </c>
      <c r="AH26">
        <v>7.7140000000000004</v>
      </c>
      <c r="AI26">
        <v>0</v>
      </c>
      <c r="AL26">
        <v>3</v>
      </c>
      <c r="AM26">
        <v>20</v>
      </c>
      <c r="AN26" s="44">
        <f t="shared" si="5"/>
        <v>1759.3125835140002</v>
      </c>
      <c r="AO26" s="46">
        <v>924.74694800021894</v>
      </c>
      <c r="AP26" s="44">
        <v>883.22940750240002</v>
      </c>
      <c r="AQ26" s="44">
        <v>0</v>
      </c>
      <c r="AR26" s="41"/>
      <c r="AS26" s="40">
        <v>8.6510153045653584E-2</v>
      </c>
      <c r="AT26" s="41">
        <v>9.0576694254581439E-2</v>
      </c>
      <c r="AU26" s="41"/>
      <c r="AV26" s="23">
        <v>1.75</v>
      </c>
      <c r="AW26" s="23">
        <v>2.5</v>
      </c>
      <c r="AX26" s="23">
        <v>0.75</v>
      </c>
      <c r="AY26" s="23">
        <v>0</v>
      </c>
      <c r="AZ26" s="23">
        <v>0.35</v>
      </c>
      <c r="BA26" s="23">
        <v>0.5</v>
      </c>
      <c r="BB26" s="23">
        <v>0.15</v>
      </c>
      <c r="BC26" s="23">
        <v>0</v>
      </c>
      <c r="BD26" s="20">
        <v>0.82</v>
      </c>
      <c r="BE26" s="20">
        <v>3.44</v>
      </c>
      <c r="BF26" s="20">
        <v>2.62</v>
      </c>
      <c r="BG26" s="20">
        <v>2.6262500000000002</v>
      </c>
      <c r="BH26">
        <v>2.6262500000000002</v>
      </c>
      <c r="BI26">
        <v>5.96680968125</v>
      </c>
      <c r="BJ26" s="64">
        <v>0.50555206026575039</v>
      </c>
      <c r="BK26" s="64">
        <v>0</v>
      </c>
      <c r="BL26" s="64"/>
      <c r="BN26">
        <v>4.3255076522826792E-2</v>
      </c>
      <c r="BO26">
        <v>4.5288347127290719E-2</v>
      </c>
      <c r="BQ26">
        <v>8.8543423650117511E-2</v>
      </c>
      <c r="BR26">
        <v>4.4271711825058763E-2</v>
      </c>
      <c r="BS26">
        <v>0.2527760301328752</v>
      </c>
      <c r="BT26" s="68" t="s">
        <v>1264</v>
      </c>
      <c r="BU26" s="68">
        <f t="shared" si="4"/>
        <v>1473</v>
      </c>
      <c r="BV26" s="68">
        <v>48</v>
      </c>
      <c r="BX26" s="68" t="s">
        <v>464</v>
      </c>
      <c r="BY26" s="68" t="s">
        <v>464</v>
      </c>
      <c r="BZ26" s="68">
        <v>0</v>
      </c>
      <c r="CB26" s="68">
        <v>2.85</v>
      </c>
      <c r="CC26" s="68">
        <v>14.3</v>
      </c>
      <c r="CD26" s="68" t="s">
        <v>464</v>
      </c>
      <c r="CE26" s="68" t="s">
        <v>464</v>
      </c>
      <c r="CF26" s="68" t="s">
        <v>1266</v>
      </c>
      <c r="CG26" s="68">
        <v>450</v>
      </c>
      <c r="CK26" s="70">
        <v>5900</v>
      </c>
    </row>
    <row r="27" spans="1:89" x14ac:dyDescent="0.3">
      <c r="A27" t="s">
        <v>63</v>
      </c>
      <c r="B27" t="s">
        <v>4</v>
      </c>
      <c r="C27" t="s">
        <v>3928</v>
      </c>
      <c r="D27" s="12"/>
      <c r="E27">
        <v>3.5</v>
      </c>
      <c r="F27" t="s">
        <v>454</v>
      </c>
      <c r="G27" s="99" t="s">
        <v>587</v>
      </c>
      <c r="H27" s="58">
        <v>1522043</v>
      </c>
      <c r="I27" s="98" t="s">
        <v>1179</v>
      </c>
      <c r="J27" t="s">
        <v>1729</v>
      </c>
      <c r="K27" t="s">
        <v>1729</v>
      </c>
      <c r="M27" t="b">
        <v>1</v>
      </c>
      <c r="N27" t="b">
        <v>1</v>
      </c>
      <c r="O27" t="b">
        <v>0</v>
      </c>
      <c r="P27" t="b">
        <v>0</v>
      </c>
      <c r="Q27" t="s">
        <v>1853</v>
      </c>
      <c r="R27" t="s">
        <v>1854</v>
      </c>
      <c r="S27" t="s">
        <v>1179</v>
      </c>
      <c r="T27" s="6"/>
      <c r="U27" s="20">
        <v>1</v>
      </c>
      <c r="V27">
        <v>1</v>
      </c>
      <c r="W27">
        <v>0</v>
      </c>
      <c r="X27">
        <v>7.7249999999999996</v>
      </c>
      <c r="Y27">
        <v>7.7249999999999996</v>
      </c>
      <c r="Z27">
        <v>14.909000000000001</v>
      </c>
      <c r="AA27" t="s">
        <v>451</v>
      </c>
      <c r="AB27">
        <v>14.909000000000001</v>
      </c>
      <c r="AC27" s="20">
        <v>3.9661010000000001</v>
      </c>
      <c r="AD27" s="20">
        <v>3.9661010000000001</v>
      </c>
      <c r="AE27" s="20">
        <v>15.283337</v>
      </c>
      <c r="AF27">
        <v>3.8586499999999999</v>
      </c>
      <c r="AG27">
        <v>3.8586499999999999</v>
      </c>
      <c r="AH27">
        <v>14.9108</v>
      </c>
      <c r="AI27">
        <v>0</v>
      </c>
      <c r="AL27">
        <v>3</v>
      </c>
      <c r="AM27">
        <v>20</v>
      </c>
      <c r="AN27" s="44">
        <f t="shared" si="5"/>
        <v>889.70389312500004</v>
      </c>
      <c r="AO27" s="46">
        <v>240.40623599981481</v>
      </c>
      <c r="AP27" s="44">
        <v>222.00958249733301</v>
      </c>
      <c r="AQ27" s="44">
        <v>0</v>
      </c>
      <c r="AR27" s="41"/>
      <c r="AS27" s="40">
        <v>8.3192517518619641E-2</v>
      </c>
      <c r="AT27" s="41">
        <v>9.0086201573034624E-2</v>
      </c>
      <c r="AU27" s="41"/>
      <c r="AV27" s="23">
        <v>1.75</v>
      </c>
      <c r="AW27" s="23">
        <v>2.5</v>
      </c>
      <c r="AX27" s="23">
        <v>0.75</v>
      </c>
      <c r="AY27" s="23">
        <v>0</v>
      </c>
      <c r="AZ27" s="23">
        <v>0.35</v>
      </c>
      <c r="BA27" s="23">
        <v>0.5</v>
      </c>
      <c r="BB27" s="23">
        <v>0.15</v>
      </c>
      <c r="BC27" s="23">
        <v>0</v>
      </c>
      <c r="BD27" s="20">
        <v>0.82</v>
      </c>
      <c r="BE27" s="20">
        <v>3.44</v>
      </c>
      <c r="BF27" s="20">
        <v>2.62</v>
      </c>
      <c r="BG27" s="20">
        <v>2.6262500000000002</v>
      </c>
      <c r="BH27">
        <v>2.6262500000000002</v>
      </c>
      <c r="BI27">
        <v>5.9612134765624996</v>
      </c>
      <c r="BJ27" s="64">
        <v>0.50467688585120674</v>
      </c>
      <c r="BK27" s="64">
        <v>0.54649654829675798</v>
      </c>
      <c r="BL27" s="64"/>
      <c r="BN27">
        <v>4.159625875930982E-2</v>
      </c>
      <c r="BO27">
        <v>4.5043100786517312E-2</v>
      </c>
      <c r="BQ27">
        <v>8.6639359545827133E-2</v>
      </c>
      <c r="BR27">
        <v>4.3319679772913573E-2</v>
      </c>
      <c r="BS27">
        <v>0.5255867170739823</v>
      </c>
      <c r="BT27" s="68" t="s">
        <v>1264</v>
      </c>
      <c r="BU27" s="68">
        <f t="shared" si="4"/>
        <v>1473</v>
      </c>
      <c r="BV27" s="68">
        <v>48</v>
      </c>
      <c r="BX27" s="68" t="s">
        <v>464</v>
      </c>
      <c r="BY27" s="68" t="s">
        <v>464</v>
      </c>
      <c r="BZ27" s="68">
        <v>0</v>
      </c>
      <c r="CB27" s="68">
        <v>2.85</v>
      </c>
      <c r="CC27" s="68">
        <v>14.3</v>
      </c>
      <c r="CD27" s="68" t="s">
        <v>464</v>
      </c>
      <c r="CE27" s="68" t="s">
        <v>464</v>
      </c>
      <c r="CF27" s="68" t="s">
        <v>1266</v>
      </c>
      <c r="CG27" s="68">
        <v>450</v>
      </c>
      <c r="CK27" s="70">
        <v>3100</v>
      </c>
    </row>
    <row r="28" spans="1:89" x14ac:dyDescent="0.3">
      <c r="A28" t="s">
        <v>63</v>
      </c>
      <c r="B28" t="s">
        <v>4</v>
      </c>
      <c r="C28" t="s">
        <v>3928</v>
      </c>
      <c r="D28" s="12"/>
      <c r="E28">
        <v>3.5</v>
      </c>
      <c r="F28" t="s">
        <v>454</v>
      </c>
      <c r="G28" s="99" t="s">
        <v>587</v>
      </c>
      <c r="H28" s="58">
        <v>1522043</v>
      </c>
      <c r="I28" s="8" t="s">
        <v>1179</v>
      </c>
      <c r="J28" t="s">
        <v>1729</v>
      </c>
      <c r="K28" t="s">
        <v>1729</v>
      </c>
      <c r="M28" t="b">
        <v>1</v>
      </c>
      <c r="N28" t="b">
        <v>1</v>
      </c>
      <c r="O28" t="b">
        <v>0</v>
      </c>
      <c r="P28" t="b">
        <v>0</v>
      </c>
      <c r="Q28" t="s">
        <v>1855</v>
      </c>
      <c r="R28" t="s">
        <v>1856</v>
      </c>
      <c r="S28" t="s">
        <v>1179</v>
      </c>
      <c r="T28" s="6"/>
      <c r="U28" s="20">
        <v>8</v>
      </c>
      <c r="V28">
        <v>8</v>
      </c>
      <c r="W28">
        <v>0</v>
      </c>
      <c r="X28">
        <v>7.7270000000000003</v>
      </c>
      <c r="Y28">
        <v>7.7270000000000003</v>
      </c>
      <c r="Z28">
        <v>30.175999999999998</v>
      </c>
      <c r="AA28" t="s">
        <v>452</v>
      </c>
      <c r="AB28">
        <v>15.087999999999999</v>
      </c>
      <c r="AC28" s="20">
        <v>7.8252249999999997</v>
      </c>
      <c r="AD28" s="20">
        <v>7.8345229999999999</v>
      </c>
      <c r="AE28" s="20">
        <v>31.031406</v>
      </c>
      <c r="AF28">
        <v>30.184999999999999</v>
      </c>
      <c r="AG28">
        <v>7.74</v>
      </c>
      <c r="AH28">
        <v>7.7460000000000004</v>
      </c>
      <c r="AI28">
        <v>0</v>
      </c>
      <c r="AL28">
        <v>3</v>
      </c>
      <c r="AM28">
        <v>20</v>
      </c>
      <c r="AN28" s="44">
        <f t="shared" si="5"/>
        <v>1801.704219104</v>
      </c>
      <c r="AO28" s="46">
        <v>1902.4394671889761</v>
      </c>
      <c r="AP28" s="44">
        <v>1809.7126974</v>
      </c>
      <c r="AQ28" s="44">
        <v>0</v>
      </c>
      <c r="AR28" s="41"/>
      <c r="AS28" s="40">
        <v>8.4102544527429435E-2</v>
      </c>
      <c r="AT28" s="41">
        <v>8.8411823727529093E-2</v>
      </c>
      <c r="AU28" s="41"/>
      <c r="AV28" s="23">
        <v>1.75</v>
      </c>
      <c r="AW28" s="23">
        <v>2.5</v>
      </c>
      <c r="AX28" s="23">
        <v>0.75</v>
      </c>
      <c r="AY28" s="23">
        <v>0</v>
      </c>
      <c r="AZ28" s="23">
        <v>0.35</v>
      </c>
      <c r="BA28" s="23">
        <v>0.5</v>
      </c>
      <c r="BB28" s="23">
        <v>0.15</v>
      </c>
      <c r="BC28" s="23">
        <v>0</v>
      </c>
      <c r="BD28" s="20">
        <v>0.79</v>
      </c>
      <c r="BE28" s="20">
        <v>3.44</v>
      </c>
      <c r="BF28" s="20">
        <v>2.65</v>
      </c>
      <c r="BG28" s="20">
        <v>2.6243750000000001</v>
      </c>
      <c r="BH28">
        <v>2.6243750000000001</v>
      </c>
      <c r="BI28">
        <v>5.9519163411696878</v>
      </c>
      <c r="BJ28" s="64">
        <v>0.53407279423354193</v>
      </c>
      <c r="BK28" s="64">
        <v>0.5614378257728565</v>
      </c>
      <c r="BL28" s="64"/>
      <c r="BN28">
        <v>4.2051272263714717E-2</v>
      </c>
      <c r="BO28">
        <v>4.4205911863764553E-2</v>
      </c>
      <c r="BQ28">
        <v>8.6257184127479264E-2</v>
      </c>
      <c r="BR28">
        <v>4.3128592063739632E-2</v>
      </c>
      <c r="BS28">
        <v>0.54775531000319921</v>
      </c>
      <c r="BT28" s="68" t="s">
        <v>1264</v>
      </c>
      <c r="BU28" s="68">
        <f t="shared" si="4"/>
        <v>1473</v>
      </c>
      <c r="BV28" s="68">
        <v>48</v>
      </c>
      <c r="BX28" s="68" t="s">
        <v>464</v>
      </c>
      <c r="BY28" s="68" t="s">
        <v>464</v>
      </c>
      <c r="BZ28" s="68">
        <v>0</v>
      </c>
      <c r="CB28" s="68">
        <v>2.85</v>
      </c>
      <c r="CC28" s="68">
        <v>14.3</v>
      </c>
      <c r="CD28" s="68" t="s">
        <v>464</v>
      </c>
      <c r="CE28" s="68" t="s">
        <v>464</v>
      </c>
      <c r="CF28" s="68" t="s">
        <v>1266</v>
      </c>
      <c r="CG28" s="68">
        <v>450</v>
      </c>
      <c r="CK28" s="70">
        <v>970</v>
      </c>
    </row>
    <row r="29" spans="1:89" x14ac:dyDescent="0.3">
      <c r="A29" t="s">
        <v>151</v>
      </c>
      <c r="B29" t="s">
        <v>4</v>
      </c>
      <c r="C29" t="s">
        <v>3929</v>
      </c>
      <c r="D29" s="12"/>
      <c r="E29">
        <v>3.16</v>
      </c>
      <c r="F29" t="s">
        <v>454</v>
      </c>
      <c r="G29" s="99" t="s">
        <v>587</v>
      </c>
      <c r="H29" s="58">
        <v>1522043</v>
      </c>
      <c r="J29" t="s">
        <v>1730</v>
      </c>
      <c r="K29" t="s">
        <v>1730</v>
      </c>
      <c r="M29" t="b">
        <v>1</v>
      </c>
      <c r="N29" t="b">
        <v>1</v>
      </c>
      <c r="O29" t="b">
        <v>0</v>
      </c>
      <c r="P29" t="b">
        <v>0</v>
      </c>
      <c r="Q29" t="s">
        <v>1857</v>
      </c>
      <c r="R29" t="s">
        <v>1858</v>
      </c>
      <c r="T29">
        <v>4</v>
      </c>
      <c r="U29" s="20">
        <v>0</v>
      </c>
      <c r="V29">
        <v>0</v>
      </c>
      <c r="W29">
        <v>0</v>
      </c>
      <c r="X29">
        <v>7.8310000000000004</v>
      </c>
      <c r="Y29">
        <v>7.8010000000000002</v>
      </c>
      <c r="Z29">
        <v>15.05</v>
      </c>
      <c r="AA29" t="s">
        <v>1141</v>
      </c>
      <c r="AB29">
        <v>15.05</v>
      </c>
      <c r="AC29" s="20">
        <v>0</v>
      </c>
      <c r="AD29" s="20"/>
      <c r="AE29" s="20"/>
      <c r="AF29">
        <v>0</v>
      </c>
      <c r="AI29">
        <v>0</v>
      </c>
      <c r="AL29">
        <v>3</v>
      </c>
      <c r="AM29">
        <v>20</v>
      </c>
      <c r="AN29" s="44">
        <f t="shared" si="5"/>
        <v>919.39894655000012</v>
      </c>
      <c r="AO29" s="46">
        <f>X29*Y29*Z29*SIN(RADIANS(97.44))</f>
        <v>911.65853089860946</v>
      </c>
      <c r="AP29" s="44">
        <v>0</v>
      </c>
      <c r="AQ29" s="44">
        <v>0</v>
      </c>
      <c r="AR29" s="41">
        <f>T29*AM29/AN29</f>
        <v>8.7013369223660861E-2</v>
      </c>
      <c r="AS29" s="40"/>
      <c r="AT29" s="41"/>
      <c r="AU29" s="41"/>
      <c r="AV29" s="23">
        <v>1.75</v>
      </c>
      <c r="AW29" s="23">
        <v>2.5</v>
      </c>
      <c r="AX29" s="23">
        <v>0.75</v>
      </c>
      <c r="AY29" s="23">
        <v>0</v>
      </c>
      <c r="AZ29" s="23">
        <v>0.35</v>
      </c>
      <c r="BA29" s="23">
        <v>0.5</v>
      </c>
      <c r="BB29" s="23">
        <v>0.15</v>
      </c>
      <c r="BC29" s="23">
        <v>0</v>
      </c>
      <c r="BD29" s="20">
        <v>0.82</v>
      </c>
      <c r="BE29" s="20">
        <v>3.44</v>
      </c>
      <c r="BF29" s="20">
        <v>2.62</v>
      </c>
      <c r="BG29" s="20">
        <v>2.62</v>
      </c>
      <c r="BH29">
        <v>2.62</v>
      </c>
      <c r="BI29">
        <v>5.9423863675000002</v>
      </c>
      <c r="BJ29" s="64"/>
      <c r="BK29" s="64"/>
      <c r="BL29" s="64"/>
      <c r="BM29">
        <v>4.350668461183043E-2</v>
      </c>
      <c r="BN29">
        <v>0</v>
      </c>
      <c r="BQ29">
        <v>8.7013369223660861E-2</v>
      </c>
      <c r="BR29">
        <v>2.1753342305915219E-2</v>
      </c>
      <c r="BS29">
        <v>0</v>
      </c>
      <c r="BT29" s="68" t="s">
        <v>1264</v>
      </c>
      <c r="BU29" s="68">
        <f t="shared" si="4"/>
        <v>1473</v>
      </c>
      <c r="BV29" s="68">
        <v>48</v>
      </c>
      <c r="BX29" s="68" t="s">
        <v>464</v>
      </c>
      <c r="BY29" s="68" t="s">
        <v>464</v>
      </c>
      <c r="BZ29" s="68">
        <v>0</v>
      </c>
      <c r="CB29" s="68">
        <v>2.85</v>
      </c>
      <c r="CC29" s="68">
        <v>14.3</v>
      </c>
      <c r="CD29" s="68" t="s">
        <v>464</v>
      </c>
      <c r="CE29" s="68" t="s">
        <v>464</v>
      </c>
      <c r="CF29" s="68" t="s">
        <v>1266</v>
      </c>
      <c r="CG29" s="68">
        <v>450</v>
      </c>
      <c r="CK29" s="70">
        <v>8900</v>
      </c>
    </row>
    <row r="30" spans="1:89" x14ac:dyDescent="0.3">
      <c r="A30" t="s">
        <v>1269</v>
      </c>
      <c r="C30" t="s">
        <v>3930</v>
      </c>
      <c r="D30" s="12"/>
      <c r="E30">
        <v>3.21</v>
      </c>
      <c r="F30" t="s">
        <v>454</v>
      </c>
      <c r="G30" s="8"/>
      <c r="M30" t="b">
        <v>0</v>
      </c>
      <c r="N30" t="b">
        <v>0</v>
      </c>
      <c r="O30" t="b">
        <v>0</v>
      </c>
      <c r="P30" t="b">
        <v>1</v>
      </c>
      <c r="T30">
        <v>8</v>
      </c>
      <c r="U30" s="20">
        <v>0</v>
      </c>
      <c r="V30">
        <v>0</v>
      </c>
      <c r="W30">
        <v>0</v>
      </c>
      <c r="X30">
        <v>7.7489999999999997</v>
      </c>
      <c r="Y30">
        <v>7.7359999999999998</v>
      </c>
      <c r="Z30">
        <v>37.369999999999997</v>
      </c>
      <c r="AA30" t="s">
        <v>1142</v>
      </c>
      <c r="AB30">
        <v>18.684999999999999</v>
      </c>
      <c r="AC30" s="20">
        <v>0</v>
      </c>
      <c r="AD30" s="20"/>
      <c r="AE30" s="20"/>
      <c r="AF30">
        <v>0</v>
      </c>
      <c r="AI30">
        <v>0</v>
      </c>
      <c r="AL30">
        <v>4</v>
      </c>
      <c r="AM30">
        <v>26</v>
      </c>
      <c r="AN30" s="44">
        <f t="shared" si="5"/>
        <v>2240.1918856799994</v>
      </c>
      <c r="AO30" s="46">
        <v>2240</v>
      </c>
      <c r="AP30" s="44">
        <v>0</v>
      </c>
      <c r="AQ30" s="44">
        <v>0</v>
      </c>
      <c r="AR30" s="41">
        <f>T30*AM30/AN30</f>
        <v>9.2849189093845236E-2</v>
      </c>
      <c r="AS30" s="40"/>
      <c r="AT30" s="41"/>
      <c r="AU30" s="41"/>
      <c r="AV30" s="23">
        <v>1.714285714285714</v>
      </c>
      <c r="AW30" s="23">
        <v>2.4761904761904758</v>
      </c>
      <c r="AX30" s="23">
        <v>0.76190476190476186</v>
      </c>
      <c r="AY30" s="23">
        <v>0</v>
      </c>
      <c r="AZ30" s="23">
        <v>0.34615384615384609</v>
      </c>
      <c r="BA30" s="23">
        <v>0.5</v>
      </c>
      <c r="BB30" s="23">
        <v>0.1538461538461538</v>
      </c>
      <c r="BC30" s="23">
        <v>0</v>
      </c>
      <c r="BD30" s="20">
        <v>0.82</v>
      </c>
      <c r="BE30" s="20">
        <v>3.44</v>
      </c>
      <c r="BF30" s="20">
        <v>2.62</v>
      </c>
      <c r="BG30" s="20">
        <v>2.612857142857143</v>
      </c>
      <c r="BH30">
        <v>2.612857142857143</v>
      </c>
      <c r="BI30">
        <v>5.9413964502380949</v>
      </c>
      <c r="BJ30" s="64"/>
      <c r="BK30" s="64"/>
      <c r="BL30" s="64"/>
      <c r="BM30">
        <v>4.6424594546922618E-2</v>
      </c>
      <c r="BN30">
        <v>0</v>
      </c>
      <c r="BQ30">
        <v>9.2849189093845236E-2</v>
      </c>
      <c r="BR30">
        <v>2.3212297273461309E-2</v>
      </c>
      <c r="BS30">
        <v>0</v>
      </c>
      <c r="BT30" s="68" t="s">
        <v>1264</v>
      </c>
      <c r="BU30" s="68">
        <f t="shared" si="4"/>
        <v>1473</v>
      </c>
      <c r="BV30" s="68">
        <v>48</v>
      </c>
      <c r="BX30" s="68" t="s">
        <v>464</v>
      </c>
      <c r="BY30" s="68" t="s">
        <v>464</v>
      </c>
      <c r="BZ30" s="68">
        <v>0</v>
      </c>
      <c r="CB30" s="68">
        <v>2.85</v>
      </c>
      <c r="CC30" s="68">
        <v>14.3</v>
      </c>
      <c r="CD30" s="68" t="s">
        <v>464</v>
      </c>
      <c r="CE30" s="68" t="s">
        <v>464</v>
      </c>
      <c r="CF30" s="68" t="s">
        <v>1266</v>
      </c>
      <c r="CG30" s="68">
        <v>450</v>
      </c>
      <c r="CK30" s="70">
        <v>790</v>
      </c>
    </row>
    <row r="31" spans="1:89" x14ac:dyDescent="0.3">
      <c r="A31" t="s">
        <v>304</v>
      </c>
      <c r="B31" t="s">
        <v>0</v>
      </c>
      <c r="C31" t="s">
        <v>829</v>
      </c>
      <c r="D31" s="12"/>
      <c r="E31">
        <v>3.5</v>
      </c>
      <c r="F31" t="s">
        <v>454</v>
      </c>
      <c r="G31" s="74" t="s">
        <v>523</v>
      </c>
      <c r="J31" t="s">
        <v>1726</v>
      </c>
      <c r="M31" t="b">
        <v>1</v>
      </c>
      <c r="N31" t="b">
        <v>0</v>
      </c>
      <c r="O31" t="b">
        <v>0</v>
      </c>
      <c r="P31" t="b">
        <v>0</v>
      </c>
      <c r="Q31" t="s">
        <v>1859</v>
      </c>
      <c r="T31" s="54">
        <v>4</v>
      </c>
      <c r="U31" s="20">
        <v>4</v>
      </c>
      <c r="V31">
        <v>4</v>
      </c>
      <c r="W31">
        <v>0</v>
      </c>
      <c r="AC31" s="20">
        <v>6.6040679999999998</v>
      </c>
      <c r="AD31" s="20">
        <v>7.9389519999999996</v>
      </c>
      <c r="AE31" s="20">
        <v>33.703336</v>
      </c>
      <c r="AF31">
        <v>7.83</v>
      </c>
      <c r="AG31">
        <v>33.209989999999998</v>
      </c>
      <c r="AH31">
        <v>6.46</v>
      </c>
      <c r="AI31">
        <v>0</v>
      </c>
      <c r="AM31">
        <v>34</v>
      </c>
      <c r="AN31" s="44">
        <f>X31*Y31*Z31</f>
        <v>0</v>
      </c>
      <c r="AO31" s="46">
        <v>1767.0449718798691</v>
      </c>
      <c r="AP31" s="44">
        <v>1679.8210721820001</v>
      </c>
      <c r="AQ31" s="44">
        <v>0</v>
      </c>
      <c r="AR31" s="41"/>
      <c r="AS31" s="40">
        <v>7.6964651247849417E-2</v>
      </c>
      <c r="AT31" s="41">
        <v>8.0961003676030277E-2</v>
      </c>
      <c r="AU31" s="41"/>
      <c r="AV31" s="23">
        <v>1.62962962962963</v>
      </c>
      <c r="AW31" s="23">
        <v>2.518518518518519</v>
      </c>
      <c r="AX31" s="23">
        <v>0.88888888888888884</v>
      </c>
      <c r="AY31" s="23">
        <v>0</v>
      </c>
      <c r="AZ31" s="23">
        <v>0.32352941176470579</v>
      </c>
      <c r="BA31" s="23">
        <v>0.5</v>
      </c>
      <c r="BB31" s="23">
        <v>0.1764705882352941</v>
      </c>
      <c r="BC31" s="23">
        <v>0</v>
      </c>
      <c r="BD31" s="20">
        <v>0.82</v>
      </c>
      <c r="BE31" s="20">
        <v>3.44</v>
      </c>
      <c r="BF31" s="20">
        <v>2.62</v>
      </c>
      <c r="BG31" s="20">
        <v>2.642962962962963</v>
      </c>
      <c r="BH31">
        <v>2.642962962962963</v>
      </c>
      <c r="BI31">
        <v>5.9587362692592576</v>
      </c>
      <c r="BJ31" s="64">
        <v>0.48264383878002159</v>
      </c>
      <c r="BK31" s="64">
        <v>0.50770488753139842</v>
      </c>
      <c r="BL31" s="64"/>
      <c r="BM31" t="s">
        <v>459</v>
      </c>
      <c r="BN31">
        <v>3.8482325623924708E-2</v>
      </c>
      <c r="BO31">
        <v>4.0480501838015132E-2</v>
      </c>
      <c r="BQ31">
        <v>7.8962827461939847E-2</v>
      </c>
      <c r="BR31" t="s">
        <v>459</v>
      </c>
      <c r="BS31">
        <v>0.49517436315571001</v>
      </c>
      <c r="BT31" s="68" t="s">
        <v>1264</v>
      </c>
      <c r="BU31" s="68">
        <f t="shared" si="4"/>
        <v>1473</v>
      </c>
      <c r="BV31" s="68">
        <v>48</v>
      </c>
      <c r="BX31" s="68" t="s">
        <v>1268</v>
      </c>
      <c r="BY31" s="68" t="s">
        <v>863</v>
      </c>
      <c r="BZ31" s="68">
        <v>0.1</v>
      </c>
      <c r="CB31" s="68">
        <v>2.85</v>
      </c>
      <c r="CC31" s="68">
        <v>14.3</v>
      </c>
      <c r="CD31" s="68" t="s">
        <v>464</v>
      </c>
      <c r="CE31" s="68" t="s">
        <v>464</v>
      </c>
      <c r="CF31" s="68" t="s">
        <v>1266</v>
      </c>
      <c r="CG31" s="68">
        <v>450</v>
      </c>
      <c r="CK31" s="70">
        <v>740</v>
      </c>
    </row>
    <row r="32" spans="1:89" x14ac:dyDescent="0.3">
      <c r="A32" t="s">
        <v>153</v>
      </c>
      <c r="B32" t="s">
        <v>153</v>
      </c>
      <c r="C32" t="s">
        <v>3927</v>
      </c>
      <c r="D32" s="12"/>
      <c r="E32">
        <v>3.2</v>
      </c>
      <c r="F32" t="s">
        <v>454</v>
      </c>
      <c r="G32" s="8" t="s">
        <v>578</v>
      </c>
      <c r="M32" t="b">
        <v>1</v>
      </c>
      <c r="N32" t="b">
        <v>0</v>
      </c>
      <c r="O32" t="b">
        <v>0</v>
      </c>
      <c r="P32" t="b">
        <v>0</v>
      </c>
      <c r="Q32" t="s">
        <v>578</v>
      </c>
      <c r="T32">
        <v>8</v>
      </c>
      <c r="U32" s="20">
        <v>1</v>
      </c>
      <c r="V32">
        <v>1</v>
      </c>
      <c r="W32">
        <v>0</v>
      </c>
      <c r="X32">
        <v>7.806</v>
      </c>
      <c r="Y32">
        <v>7.6680000000000001</v>
      </c>
      <c r="Z32">
        <v>21.54</v>
      </c>
      <c r="AA32" s="1" t="s">
        <v>513</v>
      </c>
      <c r="AB32" s="1">
        <v>10.77</v>
      </c>
      <c r="AC32" s="20">
        <v>3.9327019999999999</v>
      </c>
      <c r="AD32" s="20">
        <v>3.9458000000000002</v>
      </c>
      <c r="AE32" s="20">
        <v>11.356398779999999</v>
      </c>
      <c r="AF32">
        <v>3.9060000000000001</v>
      </c>
      <c r="AG32">
        <v>21.603000000000002</v>
      </c>
      <c r="AH32">
        <v>3.8879000000000001</v>
      </c>
      <c r="AI32">
        <v>0</v>
      </c>
      <c r="AL32">
        <v>2</v>
      </c>
      <c r="AM32">
        <v>14</v>
      </c>
      <c r="AN32" s="44">
        <f t="shared" ref="AN32:AN39" si="6">X32*Y32*Z32</f>
        <v>1289.30702832</v>
      </c>
      <c r="AO32" s="46">
        <v>173.54502164551991</v>
      </c>
      <c r="AP32" s="44">
        <v>328.06612625219998</v>
      </c>
      <c r="AQ32" s="44">
        <v>0</v>
      </c>
      <c r="AR32" s="41"/>
      <c r="AS32" s="40">
        <v>8.0670709348241429E-2</v>
      </c>
      <c r="AT32" s="41">
        <v>4.2674323496713393E-2</v>
      </c>
      <c r="AU32" s="41"/>
      <c r="AV32" s="23">
        <v>1.7272727272727271</v>
      </c>
      <c r="AW32" s="23">
        <v>2.545454545454545</v>
      </c>
      <c r="AX32" s="23">
        <v>0.81818181818181823</v>
      </c>
      <c r="AY32" s="23">
        <v>0</v>
      </c>
      <c r="AZ32" s="23">
        <v>0.3392857142857143</v>
      </c>
      <c r="BA32" s="23">
        <v>0.5</v>
      </c>
      <c r="BB32" s="23">
        <v>0.1607142857142857</v>
      </c>
      <c r="BC32" s="23">
        <v>0</v>
      </c>
      <c r="BD32" s="20">
        <v>0.82</v>
      </c>
      <c r="BE32" s="20">
        <v>3.44</v>
      </c>
      <c r="BF32" s="20">
        <v>2.62</v>
      </c>
      <c r="BG32" s="20">
        <v>2.6545454545454539</v>
      </c>
      <c r="BH32">
        <v>2.6545454545454539</v>
      </c>
      <c r="BI32">
        <v>5.9946911436363637</v>
      </c>
      <c r="BJ32" s="64">
        <v>0.48450364842179561</v>
      </c>
      <c r="BK32" s="64"/>
      <c r="BL32" s="64"/>
      <c r="BN32">
        <v>4.0335354674120701E-2</v>
      </c>
      <c r="BO32">
        <v>2.13371617483567E-2</v>
      </c>
      <c r="BQ32">
        <v>6.1672516422477411E-2</v>
      </c>
      <c r="BR32">
        <v>3.0836258211238698E-2</v>
      </c>
      <c r="BS32">
        <v>0.48450364842179561</v>
      </c>
      <c r="BT32" s="68" t="s">
        <v>1264</v>
      </c>
      <c r="BU32" s="68">
        <f t="shared" si="4"/>
        <v>1473</v>
      </c>
      <c r="BV32" s="68">
        <v>48</v>
      </c>
      <c r="BX32" s="68" t="s">
        <v>1268</v>
      </c>
      <c r="BY32" s="68" t="s">
        <v>863</v>
      </c>
      <c r="BZ32" s="68">
        <v>0.1</v>
      </c>
      <c r="CB32" s="68">
        <v>2.85</v>
      </c>
      <c r="CC32" s="68">
        <v>14.3</v>
      </c>
      <c r="CD32" s="68" t="s">
        <v>464</v>
      </c>
      <c r="CE32" s="68" t="s">
        <v>464</v>
      </c>
      <c r="CF32" s="68" t="s">
        <v>1266</v>
      </c>
      <c r="CG32" s="68">
        <v>450</v>
      </c>
      <c r="CK32" s="70">
        <v>3800</v>
      </c>
    </row>
    <row r="33" spans="1:89" x14ac:dyDescent="0.3">
      <c r="A33" t="s">
        <v>153</v>
      </c>
      <c r="B33" t="s">
        <v>153</v>
      </c>
      <c r="C33" t="s">
        <v>3927</v>
      </c>
      <c r="D33" s="12"/>
      <c r="E33">
        <v>3.35</v>
      </c>
      <c r="F33" t="s">
        <v>454</v>
      </c>
      <c r="G33" s="8" t="s">
        <v>578</v>
      </c>
      <c r="M33" t="b">
        <v>1</v>
      </c>
      <c r="N33" t="b">
        <v>0</v>
      </c>
      <c r="O33" t="b">
        <v>0</v>
      </c>
      <c r="P33" t="b">
        <v>0</v>
      </c>
      <c r="Q33" t="s">
        <v>578</v>
      </c>
      <c r="T33">
        <v>1</v>
      </c>
      <c r="U33" s="20">
        <v>2</v>
      </c>
      <c r="V33">
        <v>0</v>
      </c>
      <c r="W33">
        <v>0</v>
      </c>
      <c r="X33">
        <v>3.8849999999999998</v>
      </c>
      <c r="Y33">
        <v>3.8849999999999998</v>
      </c>
      <c r="Z33">
        <v>10.989000000000001</v>
      </c>
      <c r="AA33" s="1" t="s">
        <v>439</v>
      </c>
      <c r="AB33" s="1">
        <v>10.989000000000001</v>
      </c>
      <c r="AC33" s="20">
        <v>11.92921406</v>
      </c>
      <c r="AD33" s="20">
        <v>11.92921406</v>
      </c>
      <c r="AE33" s="20">
        <v>11.92921406</v>
      </c>
      <c r="AF33">
        <v>0</v>
      </c>
      <c r="AI33">
        <v>0</v>
      </c>
      <c r="AL33">
        <v>2</v>
      </c>
      <c r="AM33">
        <v>14</v>
      </c>
      <c r="AN33" s="44">
        <f t="shared" si="6"/>
        <v>165.859449525</v>
      </c>
      <c r="AO33" s="46">
        <v>349.00875366799971</v>
      </c>
      <c r="AP33" s="44">
        <v>0</v>
      </c>
      <c r="AQ33" s="44">
        <v>0</v>
      </c>
      <c r="AR33" s="41"/>
      <c r="AS33" s="40">
        <v>8.0227214090553903E-2</v>
      </c>
      <c r="AT33" s="41"/>
      <c r="AU33" s="41"/>
      <c r="AV33" s="23">
        <v>1.7272727272727271</v>
      </c>
      <c r="AW33" s="23">
        <v>2.545454545454545</v>
      </c>
      <c r="AX33" s="23">
        <v>0.81818181818181823</v>
      </c>
      <c r="AY33" s="23">
        <v>0</v>
      </c>
      <c r="AZ33" s="23">
        <v>0.3392857142857143</v>
      </c>
      <c r="BA33" s="23">
        <v>0.5</v>
      </c>
      <c r="BB33" s="23">
        <v>0.1607142857142857</v>
      </c>
      <c r="BC33" s="23">
        <v>0</v>
      </c>
      <c r="BD33" s="20">
        <v>0.82</v>
      </c>
      <c r="BE33" s="20">
        <v>3.44</v>
      </c>
      <c r="BF33" s="20">
        <v>2.62</v>
      </c>
      <c r="BG33" s="20">
        <v>2.6545454545454539</v>
      </c>
      <c r="BH33">
        <v>2.6545454545454552</v>
      </c>
      <c r="BI33">
        <v>5.9865512095454543</v>
      </c>
      <c r="BJ33" s="64">
        <v>0.50734392504100967</v>
      </c>
      <c r="BK33" s="64"/>
      <c r="BL33" s="64"/>
      <c r="BN33">
        <v>4.0113607045276937E-2</v>
      </c>
      <c r="BQ33">
        <v>8.0227214090553903E-2</v>
      </c>
      <c r="BR33">
        <v>4.0113607045276937E-2</v>
      </c>
      <c r="BS33">
        <v>0.50734392504100967</v>
      </c>
      <c r="BT33" s="68" t="s">
        <v>1264</v>
      </c>
      <c r="BU33" s="68">
        <f t="shared" si="4"/>
        <v>1473</v>
      </c>
      <c r="BV33" s="68">
        <v>48</v>
      </c>
      <c r="BX33" s="68" t="s">
        <v>1268</v>
      </c>
      <c r="BY33" s="68" t="s">
        <v>863</v>
      </c>
      <c r="BZ33" s="68">
        <v>0.1</v>
      </c>
      <c r="CB33" s="68">
        <v>2.85</v>
      </c>
      <c r="CC33" s="68">
        <v>14.3</v>
      </c>
      <c r="CD33" s="68" t="s">
        <v>464</v>
      </c>
      <c r="CE33" s="68" t="s">
        <v>464</v>
      </c>
      <c r="CF33" s="68" t="s">
        <v>1266</v>
      </c>
      <c r="CG33" s="68">
        <v>450</v>
      </c>
      <c r="CK33" s="70">
        <v>2600</v>
      </c>
    </row>
    <row r="34" spans="1:89" x14ac:dyDescent="0.3">
      <c r="A34" t="s">
        <v>153</v>
      </c>
      <c r="B34" t="s">
        <v>153</v>
      </c>
      <c r="C34" t="s">
        <v>3927</v>
      </c>
      <c r="D34" s="12"/>
      <c r="E34">
        <v>3.3</v>
      </c>
      <c r="F34" t="s">
        <v>454</v>
      </c>
      <c r="G34" s="8" t="s">
        <v>578</v>
      </c>
      <c r="M34" t="b">
        <v>1</v>
      </c>
      <c r="N34" t="b">
        <v>0</v>
      </c>
      <c r="O34" t="b">
        <v>0</v>
      </c>
      <c r="P34" t="b">
        <v>0</v>
      </c>
      <c r="Q34" t="s">
        <v>578</v>
      </c>
      <c r="T34">
        <v>1</v>
      </c>
      <c r="U34" s="20">
        <v>1</v>
      </c>
      <c r="V34">
        <v>1</v>
      </c>
      <c r="W34">
        <v>0</v>
      </c>
      <c r="X34">
        <v>3.9049999999999998</v>
      </c>
      <c r="Y34">
        <v>3.9049999999999998</v>
      </c>
      <c r="Z34">
        <v>11.185</v>
      </c>
      <c r="AA34" s="1" t="s">
        <v>439</v>
      </c>
      <c r="AB34" s="1">
        <v>11.185</v>
      </c>
      <c r="AC34" s="20">
        <v>3.952105</v>
      </c>
      <c r="AD34" s="20">
        <v>3.952105</v>
      </c>
      <c r="AE34" s="20">
        <v>11.503833</v>
      </c>
      <c r="AF34">
        <v>3.9079999999999999</v>
      </c>
      <c r="AG34">
        <v>3.9079999999999999</v>
      </c>
      <c r="AH34">
        <v>11.16</v>
      </c>
      <c r="AI34">
        <v>0</v>
      </c>
      <c r="AL34">
        <v>2</v>
      </c>
      <c r="AM34">
        <v>14</v>
      </c>
      <c r="AN34" s="44">
        <f t="shared" si="6"/>
        <v>170.56034462499997</v>
      </c>
      <c r="AO34" s="46">
        <v>179.6799083471451</v>
      </c>
      <c r="AP34" s="44">
        <v>170.44069823999999</v>
      </c>
      <c r="AQ34" s="44">
        <v>0</v>
      </c>
      <c r="AR34" s="41"/>
      <c r="AS34" s="40">
        <v>7.7916335380980528E-2</v>
      </c>
      <c r="AT34" s="41">
        <v>8.2140006140355049E-2</v>
      </c>
      <c r="AU34" s="41"/>
      <c r="AV34" s="23">
        <v>1.7272727272727271</v>
      </c>
      <c r="AW34" s="23">
        <v>2.545454545454545</v>
      </c>
      <c r="AX34" s="23">
        <v>0.81818181818181823</v>
      </c>
      <c r="AY34" s="23">
        <v>0</v>
      </c>
      <c r="AZ34" s="23">
        <v>0.3392857142857143</v>
      </c>
      <c r="BA34" s="23">
        <v>0.5</v>
      </c>
      <c r="BB34" s="23">
        <v>0.1607142857142857</v>
      </c>
      <c r="BC34" s="23">
        <v>0</v>
      </c>
      <c r="BD34" s="20">
        <v>0.79</v>
      </c>
      <c r="BE34" s="20">
        <v>3.44</v>
      </c>
      <c r="BF34" s="20">
        <v>2.65</v>
      </c>
      <c r="BG34" s="20">
        <v>2.6518181818181819</v>
      </c>
      <c r="BH34">
        <v>2.6518181818181819</v>
      </c>
      <c r="BI34">
        <v>5.9730281035195452</v>
      </c>
      <c r="BJ34" s="64">
        <v>0.5243291310951993</v>
      </c>
      <c r="BK34" s="64">
        <v>0.55275184384813547</v>
      </c>
      <c r="BL34" s="64"/>
      <c r="BN34">
        <v>3.8958167690490257E-2</v>
      </c>
      <c r="BO34">
        <v>4.1070003070177517E-2</v>
      </c>
      <c r="BQ34">
        <v>8.0028170760667788E-2</v>
      </c>
      <c r="BR34">
        <v>4.0014085380333887E-2</v>
      </c>
      <c r="BS34">
        <v>0.53854048747166738</v>
      </c>
      <c r="BT34" s="68" t="s">
        <v>1264</v>
      </c>
      <c r="BU34" s="68">
        <f t="shared" si="4"/>
        <v>1473</v>
      </c>
      <c r="BV34" s="68">
        <v>48</v>
      </c>
      <c r="BX34" s="68" t="s">
        <v>1268</v>
      </c>
      <c r="BY34" s="68" t="s">
        <v>863</v>
      </c>
      <c r="BZ34" s="68">
        <v>0.1</v>
      </c>
      <c r="CB34" s="68">
        <v>2.85</v>
      </c>
      <c r="CC34" s="68">
        <v>14.3</v>
      </c>
      <c r="CD34" s="68" t="s">
        <v>464</v>
      </c>
      <c r="CE34" s="68" t="s">
        <v>464</v>
      </c>
      <c r="CF34" s="68" t="s">
        <v>1266</v>
      </c>
      <c r="CG34" s="68">
        <v>450</v>
      </c>
      <c r="CK34" s="70">
        <v>2200</v>
      </c>
    </row>
    <row r="35" spans="1:89" x14ac:dyDescent="0.3">
      <c r="A35" t="s">
        <v>63</v>
      </c>
      <c r="B35" t="s">
        <v>4</v>
      </c>
      <c r="C35" t="s">
        <v>3928</v>
      </c>
      <c r="D35" s="12"/>
      <c r="E35">
        <v>3.35</v>
      </c>
      <c r="F35" t="s">
        <v>454</v>
      </c>
      <c r="G35" s="104" t="s">
        <v>587</v>
      </c>
      <c r="H35" s="58">
        <v>1522043</v>
      </c>
      <c r="J35" t="s">
        <v>1729</v>
      </c>
      <c r="K35" t="s">
        <v>1729</v>
      </c>
      <c r="M35" t="b">
        <v>1</v>
      </c>
      <c r="N35" t="b">
        <v>1</v>
      </c>
      <c r="O35" t="b">
        <v>0</v>
      </c>
      <c r="P35" t="b">
        <v>0</v>
      </c>
      <c r="Q35" t="s">
        <v>1860</v>
      </c>
      <c r="R35" t="s">
        <v>1861</v>
      </c>
      <c r="T35" s="6"/>
      <c r="U35" s="20">
        <v>4</v>
      </c>
      <c r="V35">
        <v>4</v>
      </c>
      <c r="W35">
        <v>0</v>
      </c>
      <c r="X35">
        <v>7.7270000000000003</v>
      </c>
      <c r="Y35">
        <v>7.7270000000000003</v>
      </c>
      <c r="Z35">
        <v>29.466000000000001</v>
      </c>
      <c r="AA35" t="s">
        <v>452</v>
      </c>
      <c r="AB35">
        <v>14.733000000000001</v>
      </c>
      <c r="AC35" s="20">
        <v>7.8084429999999996</v>
      </c>
      <c r="AD35" s="20">
        <v>7.8548809999999998</v>
      </c>
      <c r="AE35" s="20">
        <v>15.19056011</v>
      </c>
      <c r="AF35">
        <v>3.8801999999999999</v>
      </c>
      <c r="AG35">
        <v>29.507999999999999</v>
      </c>
      <c r="AH35">
        <v>7.7140000000000004</v>
      </c>
      <c r="AI35">
        <v>0</v>
      </c>
      <c r="AL35">
        <v>3</v>
      </c>
      <c r="AM35">
        <v>20</v>
      </c>
      <c r="AN35" s="44">
        <f t="shared" si="6"/>
        <v>1759.3125835140002</v>
      </c>
      <c r="AO35" s="46">
        <v>924.74694800021894</v>
      </c>
      <c r="AP35" s="44">
        <v>883.22940750240002</v>
      </c>
      <c r="AQ35" s="44">
        <v>0</v>
      </c>
      <c r="AR35" s="41"/>
      <c r="AS35" s="40">
        <v>8.6510153045653584E-2</v>
      </c>
      <c r="AT35" s="41">
        <v>9.0576694254581439E-2</v>
      </c>
      <c r="AU35" s="41"/>
      <c r="AV35" s="23">
        <v>1.75</v>
      </c>
      <c r="AW35" s="23">
        <v>2.5</v>
      </c>
      <c r="AX35" s="23">
        <v>0.75</v>
      </c>
      <c r="AY35" s="23">
        <v>0</v>
      </c>
      <c r="AZ35" s="23">
        <v>0.35</v>
      </c>
      <c r="BA35" s="23">
        <v>0.5</v>
      </c>
      <c r="BB35" s="23">
        <v>0.15</v>
      </c>
      <c r="BC35" s="23">
        <v>0</v>
      </c>
      <c r="BD35" s="20">
        <v>0.82</v>
      </c>
      <c r="BE35" s="20">
        <v>3.44</v>
      </c>
      <c r="BF35" s="20">
        <v>2.62</v>
      </c>
      <c r="BG35" s="20">
        <v>2.6262500000000002</v>
      </c>
      <c r="BH35">
        <v>2.6262500000000002</v>
      </c>
      <c r="BI35">
        <v>5.96680968125</v>
      </c>
      <c r="BJ35" s="64">
        <v>0.50555206026575039</v>
      </c>
      <c r="BK35" s="64">
        <v>0</v>
      </c>
      <c r="BL35" s="64"/>
      <c r="BN35">
        <v>4.3255076522826792E-2</v>
      </c>
      <c r="BO35">
        <v>4.5288347127290719E-2</v>
      </c>
      <c r="BQ35">
        <v>8.8543423650117511E-2</v>
      </c>
      <c r="BR35">
        <v>4.4271711825058763E-2</v>
      </c>
      <c r="BS35">
        <v>0.2527760301328752</v>
      </c>
      <c r="BT35" s="68" t="s">
        <v>1264</v>
      </c>
      <c r="BU35" s="68">
        <f t="shared" si="4"/>
        <v>1473</v>
      </c>
      <c r="BV35" s="68">
        <v>48</v>
      </c>
      <c r="BX35" s="68" t="s">
        <v>1268</v>
      </c>
      <c r="BY35" s="68" t="s">
        <v>863</v>
      </c>
      <c r="BZ35" s="68">
        <v>0.1</v>
      </c>
      <c r="CB35" s="68">
        <v>2.85</v>
      </c>
      <c r="CC35" s="68">
        <v>14.3</v>
      </c>
      <c r="CD35" s="68" t="s">
        <v>464</v>
      </c>
      <c r="CE35" s="68" t="s">
        <v>464</v>
      </c>
      <c r="CF35" s="68" t="s">
        <v>1266</v>
      </c>
      <c r="CG35" s="68">
        <v>450</v>
      </c>
      <c r="CK35" s="70">
        <v>19000</v>
      </c>
    </row>
    <row r="36" spans="1:89" x14ac:dyDescent="0.3">
      <c r="A36" t="s">
        <v>63</v>
      </c>
      <c r="B36" t="s">
        <v>4</v>
      </c>
      <c r="C36" t="s">
        <v>3928</v>
      </c>
      <c r="D36" s="12"/>
      <c r="E36">
        <v>3.5</v>
      </c>
      <c r="F36" t="s">
        <v>454</v>
      </c>
      <c r="G36" s="99" t="s">
        <v>587</v>
      </c>
      <c r="H36" s="58">
        <v>1522043</v>
      </c>
      <c r="J36" t="s">
        <v>1729</v>
      </c>
      <c r="K36" t="s">
        <v>1729</v>
      </c>
      <c r="M36" t="b">
        <v>1</v>
      </c>
      <c r="N36" t="b">
        <v>1</v>
      </c>
      <c r="O36" t="b">
        <v>0</v>
      </c>
      <c r="P36" t="b">
        <v>0</v>
      </c>
      <c r="Q36" t="s">
        <v>1862</v>
      </c>
      <c r="R36" t="s">
        <v>1863</v>
      </c>
      <c r="T36" s="6"/>
      <c r="U36" s="20">
        <v>1</v>
      </c>
      <c r="V36">
        <v>1</v>
      </c>
      <c r="W36">
        <v>0</v>
      </c>
      <c r="X36">
        <v>7.7249999999999996</v>
      </c>
      <c r="Y36">
        <v>7.7249999999999996</v>
      </c>
      <c r="Z36">
        <v>14.909000000000001</v>
      </c>
      <c r="AA36" t="s">
        <v>451</v>
      </c>
      <c r="AB36">
        <v>14.909000000000001</v>
      </c>
      <c r="AC36" s="20">
        <v>3.9661010000000001</v>
      </c>
      <c r="AD36" s="20">
        <v>3.9661010000000001</v>
      </c>
      <c r="AE36" s="20">
        <v>15.283337</v>
      </c>
      <c r="AF36">
        <v>3.8586499999999999</v>
      </c>
      <c r="AG36">
        <v>3.8586499999999999</v>
      </c>
      <c r="AH36">
        <v>14.9108</v>
      </c>
      <c r="AI36">
        <v>0</v>
      </c>
      <c r="AL36">
        <v>3</v>
      </c>
      <c r="AM36">
        <v>20</v>
      </c>
      <c r="AN36" s="44">
        <f t="shared" si="6"/>
        <v>889.70389312500004</v>
      </c>
      <c r="AO36" s="46">
        <v>240.40623599981481</v>
      </c>
      <c r="AP36" s="44">
        <v>222.00958249733301</v>
      </c>
      <c r="AQ36" s="44">
        <v>0</v>
      </c>
      <c r="AR36" s="41"/>
      <c r="AS36" s="40">
        <v>8.3192517518619641E-2</v>
      </c>
      <c r="AT36" s="41">
        <v>9.0086201573034624E-2</v>
      </c>
      <c r="AU36" s="41"/>
      <c r="AV36" s="23">
        <v>1.75</v>
      </c>
      <c r="AW36" s="23">
        <v>2.5</v>
      </c>
      <c r="AX36" s="23">
        <v>0.75</v>
      </c>
      <c r="AY36" s="23">
        <v>0</v>
      </c>
      <c r="AZ36" s="23">
        <v>0.35</v>
      </c>
      <c r="BA36" s="23">
        <v>0.5</v>
      </c>
      <c r="BB36" s="23">
        <v>0.15</v>
      </c>
      <c r="BC36" s="23">
        <v>0</v>
      </c>
      <c r="BD36" s="20">
        <v>0.82</v>
      </c>
      <c r="BE36" s="20">
        <v>3.44</v>
      </c>
      <c r="BF36" s="20">
        <v>2.62</v>
      </c>
      <c r="BG36" s="20">
        <v>2.6262500000000002</v>
      </c>
      <c r="BH36">
        <v>2.6262500000000002</v>
      </c>
      <c r="BI36">
        <v>5.9612134765624996</v>
      </c>
      <c r="BJ36" s="64">
        <v>0.50467688585120674</v>
      </c>
      <c r="BK36" s="64">
        <v>0.54649654829675798</v>
      </c>
      <c r="BL36" s="64"/>
      <c r="BN36">
        <v>4.159625875930982E-2</v>
      </c>
      <c r="BO36">
        <v>4.5043100786517312E-2</v>
      </c>
      <c r="BQ36">
        <v>8.6639359545827133E-2</v>
      </c>
      <c r="BR36">
        <v>4.3319679772913573E-2</v>
      </c>
      <c r="BS36">
        <v>0.5255867170739823</v>
      </c>
      <c r="BT36" s="68" t="s">
        <v>1264</v>
      </c>
      <c r="BU36" s="68">
        <f t="shared" si="4"/>
        <v>1473</v>
      </c>
      <c r="BV36" s="68">
        <v>48</v>
      </c>
      <c r="BX36" s="68" t="s">
        <v>1268</v>
      </c>
      <c r="BY36" s="68" t="s">
        <v>863</v>
      </c>
      <c r="BZ36" s="68">
        <v>0.1</v>
      </c>
      <c r="CB36" s="68">
        <v>2.85</v>
      </c>
      <c r="CC36" s="68">
        <v>14.3</v>
      </c>
      <c r="CD36" s="68" t="s">
        <v>464</v>
      </c>
      <c r="CE36" s="68" t="s">
        <v>464</v>
      </c>
      <c r="CF36" s="68" t="s">
        <v>1266</v>
      </c>
      <c r="CG36" s="68">
        <v>450</v>
      </c>
      <c r="CK36" s="70">
        <v>17000</v>
      </c>
    </row>
    <row r="37" spans="1:89" x14ac:dyDescent="0.3">
      <c r="A37" t="s">
        <v>63</v>
      </c>
      <c r="B37" t="s">
        <v>4</v>
      </c>
      <c r="C37" t="s">
        <v>3928</v>
      </c>
      <c r="D37" s="12"/>
      <c r="E37">
        <v>3.5</v>
      </c>
      <c r="F37" t="s">
        <v>454</v>
      </c>
      <c r="G37" s="99" t="s">
        <v>587</v>
      </c>
      <c r="H37" s="58">
        <v>1522043</v>
      </c>
      <c r="J37" t="s">
        <v>1729</v>
      </c>
      <c r="K37" t="s">
        <v>1729</v>
      </c>
      <c r="M37" t="b">
        <v>1</v>
      </c>
      <c r="N37" t="b">
        <v>1</v>
      </c>
      <c r="O37" t="b">
        <v>0</v>
      </c>
      <c r="P37" t="b">
        <v>0</v>
      </c>
      <c r="Q37" t="s">
        <v>1864</v>
      </c>
      <c r="R37" t="s">
        <v>1865</v>
      </c>
      <c r="T37" s="6"/>
      <c r="U37" s="20">
        <v>8</v>
      </c>
      <c r="V37">
        <v>8</v>
      </c>
      <c r="W37">
        <v>0</v>
      </c>
      <c r="X37">
        <v>7.7270000000000003</v>
      </c>
      <c r="Y37">
        <v>7.7270000000000003</v>
      </c>
      <c r="Z37">
        <v>30.175999999999998</v>
      </c>
      <c r="AA37" t="s">
        <v>452</v>
      </c>
      <c r="AB37">
        <v>15.087999999999999</v>
      </c>
      <c r="AC37" s="20">
        <v>7.8252249999999997</v>
      </c>
      <c r="AD37" s="20">
        <v>7.8345229999999999</v>
      </c>
      <c r="AE37" s="20">
        <v>31.031406</v>
      </c>
      <c r="AF37">
        <v>30.184999999999999</v>
      </c>
      <c r="AG37">
        <v>7.74</v>
      </c>
      <c r="AH37">
        <v>7.7460000000000004</v>
      </c>
      <c r="AI37">
        <v>0</v>
      </c>
      <c r="AL37">
        <v>3</v>
      </c>
      <c r="AM37">
        <v>20</v>
      </c>
      <c r="AN37" s="44">
        <f t="shared" si="6"/>
        <v>1801.704219104</v>
      </c>
      <c r="AO37" s="46">
        <v>1902.4394671889761</v>
      </c>
      <c r="AP37" s="44">
        <v>1809.7126974</v>
      </c>
      <c r="AQ37" s="44">
        <v>0</v>
      </c>
      <c r="AR37" s="41"/>
      <c r="AS37" s="40">
        <v>8.4102544527429435E-2</v>
      </c>
      <c r="AT37" s="41">
        <v>8.8411823727529093E-2</v>
      </c>
      <c r="AU37" s="41"/>
      <c r="AV37" s="23">
        <v>1.75</v>
      </c>
      <c r="AW37" s="23">
        <v>2.5</v>
      </c>
      <c r="AX37" s="23">
        <v>0.75</v>
      </c>
      <c r="AY37" s="23">
        <v>0</v>
      </c>
      <c r="AZ37" s="23">
        <v>0.35</v>
      </c>
      <c r="BA37" s="23">
        <v>0.5</v>
      </c>
      <c r="BB37" s="23">
        <v>0.15</v>
      </c>
      <c r="BC37" s="23">
        <v>0</v>
      </c>
      <c r="BD37" s="20">
        <v>0.79</v>
      </c>
      <c r="BE37" s="20">
        <v>3.44</v>
      </c>
      <c r="BF37" s="20">
        <v>2.65</v>
      </c>
      <c r="BG37" s="20">
        <v>2.6243750000000001</v>
      </c>
      <c r="BH37">
        <v>2.6243750000000001</v>
      </c>
      <c r="BI37">
        <v>5.9519163411696878</v>
      </c>
      <c r="BJ37" s="64">
        <v>0.53407279423354193</v>
      </c>
      <c r="BK37" s="64">
        <v>0.5614378257728565</v>
      </c>
      <c r="BL37" s="64"/>
      <c r="BN37">
        <v>4.2051272263714717E-2</v>
      </c>
      <c r="BO37">
        <v>4.4205911863764553E-2</v>
      </c>
      <c r="BQ37">
        <v>8.6257184127479264E-2</v>
      </c>
      <c r="BR37">
        <v>4.3128592063739632E-2</v>
      </c>
      <c r="BS37">
        <v>0.54775531000319921</v>
      </c>
      <c r="BT37" s="68" t="s">
        <v>1264</v>
      </c>
      <c r="BU37" s="68">
        <f t="shared" si="4"/>
        <v>1473</v>
      </c>
      <c r="BV37" s="68">
        <v>48</v>
      </c>
      <c r="BX37" s="68" t="s">
        <v>1268</v>
      </c>
      <c r="BY37" s="68" t="s">
        <v>863</v>
      </c>
      <c r="BZ37" s="68">
        <v>0.1</v>
      </c>
      <c r="CB37" s="68">
        <v>2.85</v>
      </c>
      <c r="CC37" s="68">
        <v>14.3</v>
      </c>
      <c r="CD37" s="68" t="s">
        <v>464</v>
      </c>
      <c r="CE37" s="68" t="s">
        <v>464</v>
      </c>
      <c r="CF37" s="68" t="s">
        <v>1266</v>
      </c>
      <c r="CG37" s="68">
        <v>450</v>
      </c>
      <c r="CK37" s="70">
        <v>8300</v>
      </c>
    </row>
    <row r="38" spans="1:89" x14ac:dyDescent="0.3">
      <c r="A38" t="s">
        <v>151</v>
      </c>
      <c r="B38" t="s">
        <v>4</v>
      </c>
      <c r="C38" t="s">
        <v>3929</v>
      </c>
      <c r="D38" s="12"/>
      <c r="E38">
        <v>3.16</v>
      </c>
      <c r="F38" t="s">
        <v>454</v>
      </c>
      <c r="G38" s="99" t="s">
        <v>587</v>
      </c>
      <c r="H38" s="58">
        <v>1522043</v>
      </c>
      <c r="J38" t="s">
        <v>1730</v>
      </c>
      <c r="K38" t="s">
        <v>1730</v>
      </c>
      <c r="M38" t="b">
        <v>1</v>
      </c>
      <c r="N38" t="b">
        <v>1</v>
      </c>
      <c r="O38" t="b">
        <v>0</v>
      </c>
      <c r="P38" t="b">
        <v>0</v>
      </c>
      <c r="Q38" t="s">
        <v>1866</v>
      </c>
      <c r="R38" t="s">
        <v>1867</v>
      </c>
      <c r="T38">
        <v>4</v>
      </c>
      <c r="U38" s="20">
        <v>0</v>
      </c>
      <c r="V38">
        <v>0</v>
      </c>
      <c r="W38">
        <v>0</v>
      </c>
      <c r="X38">
        <v>7.8310000000000004</v>
      </c>
      <c r="Y38">
        <v>7.8010000000000002</v>
      </c>
      <c r="Z38">
        <v>15.05</v>
      </c>
      <c r="AA38" t="s">
        <v>1141</v>
      </c>
      <c r="AB38">
        <v>15.05</v>
      </c>
      <c r="AC38" s="20">
        <v>0</v>
      </c>
      <c r="AD38" s="20"/>
      <c r="AE38" s="20"/>
      <c r="AF38">
        <v>0</v>
      </c>
      <c r="AI38">
        <v>0</v>
      </c>
      <c r="AL38">
        <v>3</v>
      </c>
      <c r="AM38">
        <v>20</v>
      </c>
      <c r="AN38" s="44">
        <f t="shared" si="6"/>
        <v>919.39894655000012</v>
      </c>
      <c r="AO38" s="46">
        <f>X38*Y38*Z38*SIN(RADIANS(97.44))</f>
        <v>911.65853089860946</v>
      </c>
      <c r="AP38" s="44">
        <v>0</v>
      </c>
      <c r="AQ38" s="44">
        <v>0</v>
      </c>
      <c r="AR38" s="41">
        <f>T38*AM38/AN38</f>
        <v>8.7013369223660861E-2</v>
      </c>
      <c r="AS38" s="40"/>
      <c r="AT38" s="41"/>
      <c r="AU38" s="41"/>
      <c r="AV38" s="23">
        <v>1.75</v>
      </c>
      <c r="AW38" s="23">
        <v>2.5</v>
      </c>
      <c r="AX38" s="23">
        <v>0.75</v>
      </c>
      <c r="AY38" s="23">
        <v>0</v>
      </c>
      <c r="AZ38" s="23">
        <v>0.35</v>
      </c>
      <c r="BA38" s="23">
        <v>0.5</v>
      </c>
      <c r="BB38" s="23">
        <v>0.15</v>
      </c>
      <c r="BC38" s="23">
        <v>0</v>
      </c>
      <c r="BD38" s="20">
        <v>0.82</v>
      </c>
      <c r="BE38" s="20">
        <v>3.44</v>
      </c>
      <c r="BF38" s="20">
        <v>2.62</v>
      </c>
      <c r="BG38" s="20">
        <v>2.62</v>
      </c>
      <c r="BH38">
        <v>2.62</v>
      </c>
      <c r="BI38">
        <v>5.9423863675000002</v>
      </c>
      <c r="BJ38" s="64"/>
      <c r="BK38" s="64"/>
      <c r="BL38" s="64"/>
      <c r="BM38">
        <v>4.350668461183043E-2</v>
      </c>
      <c r="BN38">
        <v>0</v>
      </c>
      <c r="BQ38">
        <v>8.7013369223660861E-2</v>
      </c>
      <c r="BR38">
        <v>2.1753342305915219E-2</v>
      </c>
      <c r="BS38">
        <v>0</v>
      </c>
      <c r="BT38" s="68" t="s">
        <v>1264</v>
      </c>
      <c r="BU38" s="68">
        <f t="shared" si="4"/>
        <v>1473</v>
      </c>
      <c r="BV38" s="68">
        <v>48</v>
      </c>
      <c r="BX38" s="68" t="s">
        <v>1268</v>
      </c>
      <c r="BY38" s="68" t="s">
        <v>863</v>
      </c>
      <c r="BZ38" s="68">
        <v>0.1</v>
      </c>
      <c r="CB38" s="68">
        <v>2.85</v>
      </c>
      <c r="CC38" s="68">
        <v>14.3</v>
      </c>
      <c r="CD38" s="68" t="s">
        <v>464</v>
      </c>
      <c r="CE38" s="68" t="s">
        <v>464</v>
      </c>
      <c r="CF38" s="68" t="s">
        <v>1266</v>
      </c>
      <c r="CG38" s="68">
        <v>450</v>
      </c>
      <c r="CK38" s="70">
        <v>43000</v>
      </c>
    </row>
    <row r="39" spans="1:89" x14ac:dyDescent="0.3">
      <c r="A39" t="s">
        <v>1269</v>
      </c>
      <c r="C39" t="s">
        <v>3930</v>
      </c>
      <c r="D39" s="12"/>
      <c r="E39">
        <v>3.21</v>
      </c>
      <c r="F39" t="s">
        <v>454</v>
      </c>
      <c r="G39" s="8"/>
      <c r="M39" t="b">
        <v>0</v>
      </c>
      <c r="N39" t="b">
        <v>0</v>
      </c>
      <c r="O39" t="b">
        <v>0</v>
      </c>
      <c r="P39" t="b">
        <v>1</v>
      </c>
      <c r="T39">
        <v>8</v>
      </c>
      <c r="U39" s="20">
        <v>0</v>
      </c>
      <c r="V39">
        <v>0</v>
      </c>
      <c r="W39">
        <v>0</v>
      </c>
      <c r="X39">
        <v>7.7489999999999997</v>
      </c>
      <c r="Y39">
        <v>7.7359999999999998</v>
      </c>
      <c r="Z39">
        <v>37.369999999999997</v>
      </c>
      <c r="AA39" t="s">
        <v>1142</v>
      </c>
      <c r="AB39">
        <v>18.684999999999999</v>
      </c>
      <c r="AC39" s="20">
        <v>0</v>
      </c>
      <c r="AD39" s="20"/>
      <c r="AE39" s="20"/>
      <c r="AF39">
        <v>0</v>
      </c>
      <c r="AI39">
        <v>0</v>
      </c>
      <c r="AL39">
        <v>4</v>
      </c>
      <c r="AM39">
        <v>26</v>
      </c>
      <c r="AN39" s="44">
        <f t="shared" si="6"/>
        <v>2240.1918856799994</v>
      </c>
      <c r="AO39" s="46">
        <v>2240</v>
      </c>
      <c r="AP39" s="44">
        <v>0</v>
      </c>
      <c r="AQ39" s="44">
        <v>0</v>
      </c>
      <c r="AR39" s="41">
        <f>T39*AM39/AN39</f>
        <v>9.2849189093845236E-2</v>
      </c>
      <c r="AS39" s="40"/>
      <c r="AT39" s="41"/>
      <c r="AU39" s="41"/>
      <c r="AV39" s="23">
        <v>1.714285714285714</v>
      </c>
      <c r="AW39" s="23">
        <v>2.4761904761904758</v>
      </c>
      <c r="AX39" s="23">
        <v>0.76190476190476186</v>
      </c>
      <c r="AY39" s="23">
        <v>0</v>
      </c>
      <c r="AZ39" s="23">
        <v>0.34615384615384609</v>
      </c>
      <c r="BA39" s="23">
        <v>0.5</v>
      </c>
      <c r="BB39" s="23">
        <v>0.1538461538461538</v>
      </c>
      <c r="BC39" s="23">
        <v>0</v>
      </c>
      <c r="BD39" s="20">
        <v>0.82</v>
      </c>
      <c r="BE39" s="20">
        <v>3.44</v>
      </c>
      <c r="BF39" s="20">
        <v>2.62</v>
      </c>
      <c r="BG39" s="20">
        <v>2.612857142857143</v>
      </c>
      <c r="BH39">
        <v>2.612857142857143</v>
      </c>
      <c r="BI39">
        <v>5.9413964502380949</v>
      </c>
      <c r="BJ39" s="64"/>
      <c r="BK39" s="64"/>
      <c r="BL39" s="64"/>
      <c r="BM39">
        <v>4.6424594546922618E-2</v>
      </c>
      <c r="BN39">
        <v>0</v>
      </c>
      <c r="BQ39">
        <v>9.2849189093845236E-2</v>
      </c>
      <c r="BR39">
        <v>2.3212297273461309E-2</v>
      </c>
      <c r="BS39">
        <v>0</v>
      </c>
      <c r="BT39" s="68" t="s">
        <v>1264</v>
      </c>
      <c r="BU39" s="68">
        <f t="shared" si="4"/>
        <v>1473</v>
      </c>
      <c r="BV39" s="68">
        <v>48</v>
      </c>
      <c r="BX39" s="68" t="s">
        <v>1268</v>
      </c>
      <c r="BY39" s="68" t="s">
        <v>863</v>
      </c>
      <c r="BZ39" s="68">
        <v>0.1</v>
      </c>
      <c r="CB39" s="68">
        <v>2.85</v>
      </c>
      <c r="CC39" s="68">
        <v>14.3</v>
      </c>
      <c r="CD39" s="68" t="s">
        <v>464</v>
      </c>
      <c r="CE39" s="68" t="s">
        <v>464</v>
      </c>
      <c r="CF39" s="68" t="s">
        <v>1266</v>
      </c>
      <c r="CG39" s="68">
        <v>450</v>
      </c>
      <c r="CK39" s="70">
        <v>18000</v>
      </c>
    </row>
    <row r="40" spans="1:89" x14ac:dyDescent="0.3">
      <c r="A40" t="s">
        <v>0</v>
      </c>
      <c r="B40" t="s">
        <v>0</v>
      </c>
      <c r="C40" t="s">
        <v>685</v>
      </c>
      <c r="D40" s="12"/>
      <c r="E40" s="58">
        <v>3.3</v>
      </c>
      <c r="F40" t="s">
        <v>1270</v>
      </c>
      <c r="G40" s="8" t="s">
        <v>523</v>
      </c>
      <c r="H40" t="s">
        <v>606</v>
      </c>
      <c r="M40" t="b">
        <v>1</v>
      </c>
      <c r="N40" t="b">
        <v>1</v>
      </c>
      <c r="O40" t="b">
        <v>0</v>
      </c>
      <c r="P40" t="b">
        <v>0</v>
      </c>
      <c r="Q40" t="s">
        <v>523</v>
      </c>
      <c r="R40" t="s">
        <v>606</v>
      </c>
      <c r="T40" s="81">
        <v>4</v>
      </c>
      <c r="U40" s="20">
        <v>4</v>
      </c>
      <c r="V40">
        <v>4</v>
      </c>
      <c r="W40">
        <v>0</v>
      </c>
      <c r="X40" s="1">
        <v>6.6</v>
      </c>
      <c r="Y40" s="1">
        <v>7.94</v>
      </c>
      <c r="Z40" s="1">
        <v>33.700000000000003</v>
      </c>
      <c r="AB40" s="1">
        <v>16.850000000000001</v>
      </c>
      <c r="AC40" s="20"/>
      <c r="AD40" s="20"/>
      <c r="AE40" s="20"/>
      <c r="AN40" s="44"/>
      <c r="AO40" s="46"/>
      <c r="AP40" s="44"/>
      <c r="AQ40" s="44"/>
      <c r="AR40" s="41"/>
      <c r="AS40" s="40"/>
      <c r="AT40" s="41"/>
      <c r="AU40" s="41"/>
      <c r="AV40" s="23"/>
      <c r="AW40" s="23"/>
      <c r="AX40" s="23"/>
      <c r="AY40" s="23"/>
      <c r="AZ40" s="23"/>
      <c r="BA40" s="23"/>
      <c r="BB40" s="23"/>
      <c r="BC40" s="23"/>
      <c r="BD40" s="20"/>
      <c r="BE40" s="20"/>
      <c r="BF40" s="20"/>
      <c r="BG40" s="20"/>
      <c r="BJ40" s="64"/>
      <c r="BK40" s="64"/>
      <c r="BL40" s="64"/>
      <c r="BT40" s="68" t="s">
        <v>1264</v>
      </c>
      <c r="BU40" s="68">
        <f t="shared" si="4"/>
        <v>1473</v>
      </c>
      <c r="BV40" s="68">
        <v>48</v>
      </c>
      <c r="BX40" s="68" t="s">
        <v>464</v>
      </c>
      <c r="BY40" s="68" t="s">
        <v>464</v>
      </c>
      <c r="BZ40" s="68">
        <v>0</v>
      </c>
      <c r="CA40" s="68">
        <v>1</v>
      </c>
      <c r="CB40" s="68">
        <v>0.8</v>
      </c>
      <c r="CC40" s="68">
        <v>20</v>
      </c>
      <c r="CD40" s="68" t="s">
        <v>464</v>
      </c>
      <c r="CE40" s="68" t="s">
        <v>464</v>
      </c>
      <c r="CF40" s="68" t="s">
        <v>1271</v>
      </c>
      <c r="CG40" s="68">
        <v>500</v>
      </c>
      <c r="CK40" s="70">
        <v>66</v>
      </c>
    </row>
    <row r="41" spans="1:89" x14ac:dyDescent="0.3">
      <c r="A41" t="s">
        <v>1272</v>
      </c>
      <c r="C41" t="s">
        <v>3931</v>
      </c>
      <c r="D41" s="12"/>
      <c r="F41" t="s">
        <v>1270</v>
      </c>
      <c r="G41" s="8" t="s">
        <v>1504</v>
      </c>
      <c r="M41" t="b">
        <v>1</v>
      </c>
      <c r="N41" t="b">
        <v>0</v>
      </c>
      <c r="O41" t="b">
        <v>0</v>
      </c>
      <c r="P41" t="b">
        <v>0</v>
      </c>
      <c r="Q41" t="s">
        <v>1504</v>
      </c>
      <c r="U41" s="20"/>
      <c r="AC41" s="20"/>
      <c r="AD41" s="20"/>
      <c r="AE41" s="20"/>
      <c r="AN41" s="44"/>
      <c r="AO41" s="46"/>
      <c r="AP41" s="44"/>
      <c r="AQ41" s="44"/>
      <c r="AR41" s="41"/>
      <c r="AS41" s="40"/>
      <c r="AT41" s="41"/>
      <c r="AU41" s="41"/>
      <c r="AV41" s="23"/>
      <c r="AW41" s="23"/>
      <c r="AX41" s="23"/>
      <c r="AY41" s="23"/>
      <c r="AZ41" s="23"/>
      <c r="BA41" s="23"/>
      <c r="BB41" s="23"/>
      <c r="BC41" s="23"/>
      <c r="BD41" s="20"/>
      <c r="BE41" s="20"/>
      <c r="BF41" s="20"/>
      <c r="BG41" s="20"/>
      <c r="BJ41" s="64"/>
      <c r="BK41" s="64"/>
      <c r="BL41" s="64"/>
      <c r="BT41" s="68" t="s">
        <v>1264</v>
      </c>
      <c r="BU41" s="68">
        <f t="shared" si="4"/>
        <v>1473</v>
      </c>
      <c r="BV41" s="68">
        <v>48</v>
      </c>
      <c r="BX41" s="68" t="s">
        <v>464</v>
      </c>
      <c r="BY41" s="68" t="s">
        <v>464</v>
      </c>
      <c r="BZ41" s="68">
        <v>0</v>
      </c>
      <c r="CA41" s="68">
        <v>1</v>
      </c>
      <c r="CB41" s="68">
        <v>0.8</v>
      </c>
      <c r="CC41" s="68">
        <v>20</v>
      </c>
      <c r="CD41" s="68" t="s">
        <v>464</v>
      </c>
      <c r="CE41" s="68" t="s">
        <v>464</v>
      </c>
      <c r="CF41" s="68" t="s">
        <v>1271</v>
      </c>
      <c r="CG41" s="68">
        <v>500</v>
      </c>
      <c r="CK41" s="70">
        <v>35</v>
      </c>
    </row>
    <row r="42" spans="1:89" x14ac:dyDescent="0.3">
      <c r="A42" t="s">
        <v>1273</v>
      </c>
      <c r="C42" t="s">
        <v>3932</v>
      </c>
      <c r="D42" s="12"/>
      <c r="F42" t="s">
        <v>1270</v>
      </c>
      <c r="G42" s="8"/>
      <c r="I42" t="s">
        <v>1274</v>
      </c>
      <c r="M42" t="b">
        <v>0</v>
      </c>
      <c r="N42" t="b">
        <v>0</v>
      </c>
      <c r="O42" t="b">
        <v>1</v>
      </c>
      <c r="P42" t="b">
        <v>0</v>
      </c>
      <c r="S42" t="s">
        <v>1274</v>
      </c>
      <c r="U42" s="20"/>
      <c r="AC42" s="20"/>
      <c r="AD42" s="20"/>
      <c r="AE42" s="20"/>
      <c r="AN42" s="44"/>
      <c r="AO42" s="46"/>
      <c r="AP42" s="44"/>
      <c r="AQ42" s="44"/>
      <c r="AR42" s="41"/>
      <c r="AS42" s="40"/>
      <c r="AT42" s="41"/>
      <c r="AU42" s="41"/>
      <c r="AV42" s="23"/>
      <c r="AW42" s="23"/>
      <c r="AX42" s="23"/>
      <c r="AY42" s="23"/>
      <c r="AZ42" s="23"/>
      <c r="BA42" s="23"/>
      <c r="BB42" s="23"/>
      <c r="BC42" s="23"/>
      <c r="BD42" s="20"/>
      <c r="BE42" s="20"/>
      <c r="BF42" s="20"/>
      <c r="BG42" s="20"/>
      <c r="BJ42" s="64"/>
      <c r="BK42" s="64"/>
      <c r="BL42" s="64"/>
      <c r="BT42" s="68" t="s">
        <v>1264</v>
      </c>
      <c r="BU42" s="68">
        <f t="shared" si="4"/>
        <v>1473</v>
      </c>
      <c r="BV42" s="68">
        <v>48</v>
      </c>
      <c r="BX42" s="68" t="s">
        <v>464</v>
      </c>
      <c r="BY42" s="68" t="s">
        <v>464</v>
      </c>
      <c r="BZ42" s="68">
        <v>0</v>
      </c>
      <c r="CA42" s="68">
        <v>1</v>
      </c>
      <c r="CB42" s="68">
        <v>0.8</v>
      </c>
      <c r="CC42" s="68">
        <v>20</v>
      </c>
      <c r="CD42" s="68" t="s">
        <v>464</v>
      </c>
      <c r="CE42" s="68" t="s">
        <v>464</v>
      </c>
      <c r="CF42" s="68" t="s">
        <v>1271</v>
      </c>
      <c r="CG42" s="68">
        <v>500</v>
      </c>
      <c r="CK42" s="70">
        <v>3.3</v>
      </c>
    </row>
    <row r="43" spans="1:89" x14ac:dyDescent="0.3">
      <c r="A43" t="s">
        <v>0</v>
      </c>
      <c r="B43" t="s">
        <v>0</v>
      </c>
      <c r="C43" t="s">
        <v>685</v>
      </c>
      <c r="D43" s="12"/>
      <c r="E43" s="58">
        <v>3.3</v>
      </c>
      <c r="F43" t="s">
        <v>1276</v>
      </c>
      <c r="G43" s="8" t="s">
        <v>523</v>
      </c>
      <c r="H43" t="s">
        <v>606</v>
      </c>
      <c r="M43" t="b">
        <v>1</v>
      </c>
      <c r="N43" t="b">
        <v>1</v>
      </c>
      <c r="O43" t="b">
        <v>0</v>
      </c>
      <c r="P43" t="b">
        <v>0</v>
      </c>
      <c r="Q43" t="s">
        <v>523</v>
      </c>
      <c r="R43" t="s">
        <v>606</v>
      </c>
      <c r="T43" s="81">
        <v>4</v>
      </c>
      <c r="U43" s="20"/>
      <c r="X43" s="1">
        <v>6.6</v>
      </c>
      <c r="Y43" s="1">
        <v>7.94</v>
      </c>
      <c r="Z43" s="1">
        <v>33.700000000000003</v>
      </c>
      <c r="AB43" s="1">
        <v>16.850000000000001</v>
      </c>
      <c r="AC43" s="20"/>
      <c r="AD43" s="20"/>
      <c r="AE43" s="20"/>
      <c r="AN43" s="44"/>
      <c r="AO43" s="46"/>
      <c r="AP43" s="44"/>
      <c r="AQ43" s="44"/>
      <c r="AR43" s="41"/>
      <c r="AS43" s="40"/>
      <c r="AT43" s="41"/>
      <c r="AU43" s="41"/>
      <c r="AV43" s="23"/>
      <c r="AW43" s="23"/>
      <c r="AX43" s="23"/>
      <c r="AY43" s="23"/>
      <c r="AZ43" s="23"/>
      <c r="BA43" s="23"/>
      <c r="BB43" s="23"/>
      <c r="BC43" s="23"/>
      <c r="BD43" s="20"/>
      <c r="BE43" s="20"/>
      <c r="BF43" s="20"/>
      <c r="BG43" s="20"/>
      <c r="BJ43" s="64"/>
      <c r="BK43" s="64"/>
      <c r="BL43" s="64"/>
      <c r="BT43" s="68" t="s">
        <v>1264</v>
      </c>
      <c r="BU43" s="68">
        <f t="shared" si="4"/>
        <v>1473</v>
      </c>
      <c r="BV43" s="68">
        <v>48</v>
      </c>
      <c r="BX43" s="68" t="s">
        <v>464</v>
      </c>
      <c r="BY43" s="68" t="s">
        <v>464</v>
      </c>
      <c r="BZ43" s="68">
        <v>0</v>
      </c>
      <c r="CA43" s="68">
        <v>1</v>
      </c>
      <c r="CB43" s="68">
        <v>3.33</v>
      </c>
      <c r="CC43" s="68">
        <v>0</v>
      </c>
      <c r="CD43" s="68" t="s">
        <v>464</v>
      </c>
      <c r="CE43" s="68" t="s">
        <v>464</v>
      </c>
      <c r="CF43" s="68" t="s">
        <v>1266</v>
      </c>
      <c r="CG43" s="68">
        <v>450</v>
      </c>
      <c r="CK43" s="70">
        <v>5</v>
      </c>
    </row>
    <row r="44" spans="1:89" x14ac:dyDescent="0.3">
      <c r="A44" t="s">
        <v>0</v>
      </c>
      <c r="B44" t="s">
        <v>0</v>
      </c>
      <c r="C44" t="s">
        <v>685</v>
      </c>
      <c r="D44" s="12"/>
      <c r="E44" s="58">
        <v>3.3</v>
      </c>
      <c r="F44" t="s">
        <v>1276</v>
      </c>
      <c r="G44" s="8" t="s">
        <v>523</v>
      </c>
      <c r="H44" t="s">
        <v>606</v>
      </c>
      <c r="M44" t="b">
        <v>1</v>
      </c>
      <c r="N44" t="b">
        <v>1</v>
      </c>
      <c r="O44" t="b">
        <v>0</v>
      </c>
      <c r="P44" t="b">
        <v>0</v>
      </c>
      <c r="Q44" t="s">
        <v>523</v>
      </c>
      <c r="R44" t="s">
        <v>606</v>
      </c>
      <c r="T44" s="81">
        <v>4</v>
      </c>
      <c r="U44" s="20"/>
      <c r="X44" s="1">
        <v>6.6</v>
      </c>
      <c r="Y44" s="1">
        <v>7.94</v>
      </c>
      <c r="Z44" s="1">
        <v>33.700000000000003</v>
      </c>
      <c r="AB44" s="1">
        <v>16.850000000000001</v>
      </c>
      <c r="AC44" s="20"/>
      <c r="AD44" s="20"/>
      <c r="AE44" s="20"/>
      <c r="AN44" s="44"/>
      <c r="AO44" s="46"/>
      <c r="AP44" s="44"/>
      <c r="AQ44" s="44"/>
      <c r="AR44" s="41"/>
      <c r="AS44" s="40"/>
      <c r="AT44" s="41"/>
      <c r="AU44" s="41"/>
      <c r="AV44" s="23"/>
      <c r="AW44" s="23"/>
      <c r="AX44" s="23"/>
      <c r="AY44" s="23"/>
      <c r="AZ44" s="23"/>
      <c r="BA44" s="23"/>
      <c r="BB44" s="23"/>
      <c r="BC44" s="23"/>
      <c r="BD44" s="20"/>
      <c r="BE44" s="20"/>
      <c r="BF44" s="20"/>
      <c r="BG44" s="20"/>
      <c r="BJ44" s="64"/>
      <c r="BK44" s="64"/>
      <c r="BL44" s="64"/>
      <c r="BT44" s="68" t="s">
        <v>1264</v>
      </c>
      <c r="BU44" s="68">
        <f t="shared" si="4"/>
        <v>1473</v>
      </c>
      <c r="BV44" s="68">
        <v>48</v>
      </c>
      <c r="BX44" s="68" t="s">
        <v>464</v>
      </c>
      <c r="BY44" s="68" t="s">
        <v>464</v>
      </c>
      <c r="BZ44" s="68">
        <v>0</v>
      </c>
      <c r="CA44" s="68">
        <v>1</v>
      </c>
      <c r="CB44" s="68">
        <v>3.33</v>
      </c>
      <c r="CC44" s="68">
        <v>3</v>
      </c>
      <c r="CD44" s="68" t="s">
        <v>464</v>
      </c>
      <c r="CE44" s="68" t="s">
        <v>464</v>
      </c>
      <c r="CF44" s="68" t="s">
        <v>1266</v>
      </c>
      <c r="CG44" s="68">
        <v>450</v>
      </c>
      <c r="CK44" s="70">
        <v>177</v>
      </c>
    </row>
    <row r="45" spans="1:89" x14ac:dyDescent="0.3">
      <c r="A45" t="s">
        <v>0</v>
      </c>
      <c r="B45" t="s">
        <v>0</v>
      </c>
      <c r="C45" t="s">
        <v>685</v>
      </c>
      <c r="D45" s="12"/>
      <c r="E45" s="58">
        <v>3.3</v>
      </c>
      <c r="F45" t="s">
        <v>1276</v>
      </c>
      <c r="G45" s="8" t="s">
        <v>523</v>
      </c>
      <c r="H45" t="s">
        <v>606</v>
      </c>
      <c r="M45" t="b">
        <v>1</v>
      </c>
      <c r="N45" t="b">
        <v>1</v>
      </c>
      <c r="O45" t="b">
        <v>0</v>
      </c>
      <c r="P45" t="b">
        <v>0</v>
      </c>
      <c r="Q45" t="s">
        <v>523</v>
      </c>
      <c r="R45" t="s">
        <v>606</v>
      </c>
      <c r="T45" s="81">
        <v>4</v>
      </c>
      <c r="U45" s="20"/>
      <c r="X45" s="1">
        <v>6.6</v>
      </c>
      <c r="Y45" s="1">
        <v>7.94</v>
      </c>
      <c r="Z45" s="1">
        <v>33.700000000000003</v>
      </c>
      <c r="AB45" s="1">
        <v>16.850000000000001</v>
      </c>
      <c r="AC45" s="20"/>
      <c r="AD45" s="20"/>
      <c r="AE45" s="20"/>
      <c r="AN45" s="44"/>
      <c r="AO45" s="46"/>
      <c r="AP45" s="44"/>
      <c r="AQ45" s="44"/>
      <c r="AR45" s="41"/>
      <c r="AS45" s="40"/>
      <c r="AT45" s="41"/>
      <c r="AU45" s="41"/>
      <c r="AV45" s="23"/>
      <c r="AW45" s="23"/>
      <c r="AX45" s="23"/>
      <c r="AY45" s="23"/>
      <c r="AZ45" s="23"/>
      <c r="BA45" s="23"/>
      <c r="BB45" s="23"/>
      <c r="BC45" s="23"/>
      <c r="BD45" s="20"/>
      <c r="BE45" s="20"/>
      <c r="BF45" s="20"/>
      <c r="BG45" s="20"/>
      <c r="BJ45" s="64"/>
      <c r="BK45" s="64"/>
      <c r="BL45" s="64"/>
      <c r="BT45" s="68" t="s">
        <v>1264</v>
      </c>
      <c r="BU45" s="68">
        <f t="shared" si="4"/>
        <v>1473</v>
      </c>
      <c r="BV45" s="68">
        <v>48</v>
      </c>
      <c r="BX45" s="68" t="s">
        <v>1275</v>
      </c>
      <c r="BY45" s="68" t="s">
        <v>56</v>
      </c>
      <c r="BZ45" s="68">
        <v>0.1</v>
      </c>
      <c r="CA45" s="68">
        <v>1</v>
      </c>
      <c r="CB45" s="68">
        <v>3.33</v>
      </c>
      <c r="CC45" s="68">
        <v>0</v>
      </c>
      <c r="CD45" s="68" t="s">
        <v>464</v>
      </c>
      <c r="CE45" s="68" t="s">
        <v>464</v>
      </c>
      <c r="CF45" s="68" t="s">
        <v>1266</v>
      </c>
      <c r="CG45" s="68">
        <v>450</v>
      </c>
      <c r="CK45" s="70">
        <v>4</v>
      </c>
    </row>
    <row r="46" spans="1:89" x14ac:dyDescent="0.3">
      <c r="A46" t="s">
        <v>0</v>
      </c>
      <c r="B46" t="s">
        <v>0</v>
      </c>
      <c r="C46" t="s">
        <v>685</v>
      </c>
      <c r="D46" s="12"/>
      <c r="E46" s="58">
        <v>3.3</v>
      </c>
      <c r="F46" t="s">
        <v>1276</v>
      </c>
      <c r="G46" s="8" t="s">
        <v>523</v>
      </c>
      <c r="H46" t="s">
        <v>606</v>
      </c>
      <c r="M46" t="b">
        <v>1</v>
      </c>
      <c r="N46" t="b">
        <v>1</v>
      </c>
      <c r="O46" t="b">
        <v>0</v>
      </c>
      <c r="P46" t="b">
        <v>0</v>
      </c>
      <c r="Q46" t="s">
        <v>523</v>
      </c>
      <c r="R46" t="s">
        <v>606</v>
      </c>
      <c r="T46" s="81">
        <v>4</v>
      </c>
      <c r="U46" s="20"/>
      <c r="X46" s="1">
        <v>6.6</v>
      </c>
      <c r="Y46" s="1">
        <v>7.94</v>
      </c>
      <c r="Z46" s="1">
        <v>33.700000000000003</v>
      </c>
      <c r="AB46" s="1">
        <v>16.850000000000001</v>
      </c>
      <c r="AC46" s="20"/>
      <c r="AD46" s="20"/>
      <c r="AE46" s="20"/>
      <c r="AN46" s="44"/>
      <c r="AO46" s="46"/>
      <c r="AP46" s="44"/>
      <c r="AQ46" s="44"/>
      <c r="AR46" s="41"/>
      <c r="AS46" s="40"/>
      <c r="AT46" s="41"/>
      <c r="AU46" s="41"/>
      <c r="AV46" s="23"/>
      <c r="AW46" s="23"/>
      <c r="AX46" s="23"/>
      <c r="AY46" s="23"/>
      <c r="AZ46" s="23"/>
      <c r="BA46" s="23"/>
      <c r="BB46" s="23"/>
      <c r="BC46" s="23"/>
      <c r="BD46" s="20"/>
      <c r="BE46" s="20"/>
      <c r="BF46" s="20"/>
      <c r="BG46" s="20"/>
      <c r="BJ46" s="64"/>
      <c r="BK46" s="64"/>
      <c r="BL46" s="64"/>
      <c r="BT46" s="68" t="s">
        <v>1264</v>
      </c>
      <c r="BU46" s="68">
        <f t="shared" si="4"/>
        <v>1473</v>
      </c>
      <c r="BV46" s="68">
        <v>48</v>
      </c>
      <c r="BX46" s="68" t="s">
        <v>1275</v>
      </c>
      <c r="BY46" s="68" t="s">
        <v>56</v>
      </c>
      <c r="BZ46" s="68">
        <v>0.1</v>
      </c>
      <c r="CA46" s="68">
        <v>1</v>
      </c>
      <c r="CB46" s="68">
        <v>3.33</v>
      </c>
      <c r="CC46" s="68">
        <v>3</v>
      </c>
      <c r="CD46" s="68" t="s">
        <v>464</v>
      </c>
      <c r="CE46" s="68" t="s">
        <v>464</v>
      </c>
      <c r="CF46" s="68" t="s">
        <v>1266</v>
      </c>
      <c r="CG46" s="68">
        <v>450</v>
      </c>
      <c r="CK46" s="70">
        <v>667</v>
      </c>
    </row>
    <row r="47" spans="1:89" x14ac:dyDescent="0.3">
      <c r="A47" t="s">
        <v>0</v>
      </c>
      <c r="B47" t="s">
        <v>0</v>
      </c>
      <c r="C47" t="s">
        <v>685</v>
      </c>
      <c r="D47" s="12"/>
      <c r="E47" s="58">
        <v>3.3</v>
      </c>
      <c r="F47" t="s">
        <v>1276</v>
      </c>
      <c r="G47" s="8" t="s">
        <v>523</v>
      </c>
      <c r="H47" t="s">
        <v>606</v>
      </c>
      <c r="M47" t="b">
        <v>1</v>
      </c>
      <c r="N47" t="b">
        <v>1</v>
      </c>
      <c r="O47" t="b">
        <v>0</v>
      </c>
      <c r="P47" t="b">
        <v>0</v>
      </c>
      <c r="Q47" t="s">
        <v>523</v>
      </c>
      <c r="R47" t="s">
        <v>606</v>
      </c>
      <c r="T47" s="81">
        <v>4</v>
      </c>
      <c r="U47" s="20"/>
      <c r="X47" s="1">
        <v>6.6</v>
      </c>
      <c r="Y47" s="1">
        <v>7.94</v>
      </c>
      <c r="Z47" s="1">
        <v>33.700000000000003</v>
      </c>
      <c r="AB47" s="1">
        <v>16.850000000000001</v>
      </c>
      <c r="AC47" s="20"/>
      <c r="AD47" s="20"/>
      <c r="AE47" s="20"/>
      <c r="AN47" s="44"/>
      <c r="AO47" s="46"/>
      <c r="AP47" s="44"/>
      <c r="AQ47" s="44"/>
      <c r="AR47" s="41"/>
      <c r="AS47" s="40"/>
      <c r="AT47" s="41"/>
      <c r="AU47" s="41"/>
      <c r="AV47" s="23"/>
      <c r="AW47" s="23"/>
      <c r="AX47" s="23"/>
      <c r="AY47" s="23"/>
      <c r="AZ47" s="23"/>
      <c r="BA47" s="23"/>
      <c r="BB47" s="23"/>
      <c r="BC47" s="23"/>
      <c r="BD47" s="20"/>
      <c r="BE47" s="20"/>
      <c r="BF47" s="20"/>
      <c r="BG47" s="20"/>
      <c r="BJ47" s="64"/>
      <c r="BK47" s="64"/>
      <c r="BL47" s="64"/>
      <c r="BT47" s="68" t="s">
        <v>1264</v>
      </c>
      <c r="BU47" s="68">
        <f t="shared" si="4"/>
        <v>1473</v>
      </c>
      <c r="BV47" s="68">
        <v>48</v>
      </c>
      <c r="BX47" s="68" t="s">
        <v>1275</v>
      </c>
      <c r="BY47" s="68" t="s">
        <v>56</v>
      </c>
      <c r="BZ47" s="68">
        <v>1</v>
      </c>
      <c r="CA47" s="68">
        <v>1</v>
      </c>
      <c r="CB47" s="68">
        <v>3.33</v>
      </c>
      <c r="CC47" s="68">
        <v>0</v>
      </c>
      <c r="CD47" s="68" t="s">
        <v>464</v>
      </c>
      <c r="CE47" s="68" t="s">
        <v>464</v>
      </c>
      <c r="CF47" s="68" t="s">
        <v>1266</v>
      </c>
      <c r="CG47" s="68">
        <v>450</v>
      </c>
      <c r="CK47" s="70">
        <v>3</v>
      </c>
    </row>
    <row r="48" spans="1:89" x14ac:dyDescent="0.3">
      <c r="A48" t="s">
        <v>10</v>
      </c>
      <c r="B48" t="s">
        <v>153</v>
      </c>
      <c r="C48" t="s">
        <v>3933</v>
      </c>
      <c r="D48" s="12"/>
      <c r="E48">
        <v>3.9</v>
      </c>
      <c r="F48" t="s">
        <v>453</v>
      </c>
      <c r="G48" s="8" t="s">
        <v>531</v>
      </c>
      <c r="H48">
        <v>-1</v>
      </c>
      <c r="I48" s="98" t="s">
        <v>1144</v>
      </c>
      <c r="L48" t="s">
        <v>1763</v>
      </c>
      <c r="M48" t="b">
        <v>1</v>
      </c>
      <c r="N48" t="b">
        <v>0</v>
      </c>
      <c r="O48" t="b">
        <v>1</v>
      </c>
      <c r="P48" t="b">
        <v>0</v>
      </c>
      <c r="Q48" t="s">
        <v>531</v>
      </c>
      <c r="R48">
        <v>-1</v>
      </c>
      <c r="S48" t="s">
        <v>1868</v>
      </c>
      <c r="T48">
        <v>1</v>
      </c>
      <c r="U48" s="20">
        <v>1</v>
      </c>
      <c r="V48">
        <v>0</v>
      </c>
      <c r="W48">
        <v>0</v>
      </c>
      <c r="X48">
        <v>3.8849999999999998</v>
      </c>
      <c r="Y48">
        <v>3.8849999999999998</v>
      </c>
      <c r="Z48">
        <v>11.12</v>
      </c>
      <c r="AA48" t="s">
        <v>439</v>
      </c>
      <c r="AB48">
        <v>11.12</v>
      </c>
      <c r="AC48" s="20">
        <v>3.9103940000000001</v>
      </c>
      <c r="AD48" s="20">
        <v>3.9103940000000001</v>
      </c>
      <c r="AE48" s="20">
        <v>11.314458</v>
      </c>
      <c r="AF48">
        <v>0</v>
      </c>
      <c r="AI48">
        <v>0</v>
      </c>
      <c r="AL48">
        <v>2</v>
      </c>
      <c r="AM48">
        <v>14</v>
      </c>
      <c r="AN48" s="44">
        <f t="shared" si="1"/>
        <v>167.83666199999996</v>
      </c>
      <c r="AO48" s="46">
        <v>173.0114278564659</v>
      </c>
      <c r="AP48" s="44">
        <v>0</v>
      </c>
      <c r="AQ48" s="44">
        <v>0</v>
      </c>
      <c r="AR48" s="41"/>
      <c r="AS48" s="40">
        <v>8.0919510193365449E-2</v>
      </c>
      <c r="AT48" s="41"/>
      <c r="AU48" s="41"/>
      <c r="AV48" s="23">
        <v>1.9090909090909089</v>
      </c>
      <c r="AW48" s="23">
        <v>2.545454545454545</v>
      </c>
      <c r="AX48" s="23">
        <v>0.63636363636363635</v>
      </c>
      <c r="AY48" s="23">
        <v>2.545454545454545</v>
      </c>
      <c r="AZ48" s="23">
        <v>0.25</v>
      </c>
      <c r="BA48" s="23">
        <v>0.33333333333333331</v>
      </c>
      <c r="BB48" s="23">
        <v>8.3333333333333329E-2</v>
      </c>
      <c r="BC48" s="23">
        <v>0.33333333333333331</v>
      </c>
      <c r="BD48" s="20">
        <v>0.82</v>
      </c>
      <c r="BE48" s="20">
        <v>3.44</v>
      </c>
      <c r="BF48" s="20">
        <v>2.62</v>
      </c>
      <c r="BG48" s="20">
        <v>2.6363636363636358</v>
      </c>
      <c r="BH48">
        <v>2.6363636363636371</v>
      </c>
      <c r="BI48">
        <v>6.0044088459090901</v>
      </c>
      <c r="BJ48" s="64">
        <v>0.5117218936152963</v>
      </c>
      <c r="BK48" s="64"/>
      <c r="BL48" s="64"/>
      <c r="BN48">
        <v>4.0459755096682717E-2</v>
      </c>
      <c r="BQ48">
        <v>8.0919510193365449E-2</v>
      </c>
      <c r="BR48">
        <v>4.0459755096682717E-2</v>
      </c>
      <c r="BS48">
        <v>0.5117218936152963</v>
      </c>
      <c r="BT48" s="68" t="s">
        <v>1264</v>
      </c>
      <c r="BU48" s="68">
        <v>1373</v>
      </c>
      <c r="BV48" s="68">
        <v>10</v>
      </c>
      <c r="BX48" s="68" t="s">
        <v>464</v>
      </c>
      <c r="BY48" s="68" t="s">
        <v>464</v>
      </c>
      <c r="BZ48" s="68">
        <v>0</v>
      </c>
      <c r="CB48" s="68">
        <v>1</v>
      </c>
      <c r="CC48" s="68">
        <v>0</v>
      </c>
      <c r="CD48" s="68" t="s">
        <v>464</v>
      </c>
      <c r="CE48" s="68" t="s">
        <v>464</v>
      </c>
      <c r="CF48" s="68" t="s">
        <v>1266</v>
      </c>
      <c r="CG48" s="68">
        <v>400</v>
      </c>
      <c r="CH48" s="68">
        <v>254</v>
      </c>
      <c r="CK48" s="70">
        <v>6</v>
      </c>
    </row>
    <row r="49" spans="1:89" x14ac:dyDescent="0.3">
      <c r="A49" t="s">
        <v>11</v>
      </c>
      <c r="B49" t="s">
        <v>153</v>
      </c>
      <c r="C49" t="s">
        <v>3934</v>
      </c>
      <c r="D49" s="12"/>
      <c r="E49">
        <v>3.6</v>
      </c>
      <c r="F49" t="s">
        <v>453</v>
      </c>
      <c r="G49" s="8">
        <v>-1</v>
      </c>
      <c r="H49">
        <v>-1</v>
      </c>
      <c r="I49" s="98" t="s">
        <v>1144</v>
      </c>
      <c r="J49" s="95"/>
      <c r="K49" s="95"/>
      <c r="L49" s="95"/>
      <c r="M49" t="b">
        <v>0</v>
      </c>
      <c r="N49" t="b">
        <v>0</v>
      </c>
      <c r="O49" t="b">
        <v>1</v>
      </c>
      <c r="P49" t="b">
        <v>0</v>
      </c>
      <c r="Q49">
        <v>-1</v>
      </c>
      <c r="R49">
        <v>-1</v>
      </c>
      <c r="S49" t="s">
        <v>1144</v>
      </c>
      <c r="U49" s="20">
        <v>0</v>
      </c>
      <c r="V49">
        <v>0</v>
      </c>
      <c r="W49">
        <v>1</v>
      </c>
      <c r="AC49" s="20">
        <v>0</v>
      </c>
      <c r="AD49" s="20"/>
      <c r="AE49" s="20"/>
      <c r="AF49">
        <v>0</v>
      </c>
      <c r="AI49">
        <v>3.8653</v>
      </c>
      <c r="AJ49">
        <v>3.8653</v>
      </c>
      <c r="AK49">
        <v>11.0131</v>
      </c>
      <c r="AL49">
        <v>2</v>
      </c>
      <c r="AM49">
        <v>14</v>
      </c>
      <c r="AN49" s="44">
        <f t="shared" si="1"/>
        <v>0</v>
      </c>
      <c r="AO49" s="46">
        <v>0</v>
      </c>
      <c r="AP49" s="44">
        <v>0</v>
      </c>
      <c r="AQ49" s="44">
        <v>164.541706117579</v>
      </c>
      <c r="AR49" s="41"/>
      <c r="AS49" s="40"/>
      <c r="AT49" s="41"/>
      <c r="AU49" s="41">
        <v>8.5084811202795069E-2</v>
      </c>
      <c r="AV49" s="23">
        <v>1.9090909090909089</v>
      </c>
      <c r="AW49" s="23">
        <v>2.545454545454545</v>
      </c>
      <c r="AX49" s="23">
        <v>0.54545454545454541</v>
      </c>
      <c r="AY49" s="23">
        <v>2.8181818181818179</v>
      </c>
      <c r="AZ49" s="23">
        <v>0.2441860465116279</v>
      </c>
      <c r="BA49" s="23">
        <v>0.32558139534883718</v>
      </c>
      <c r="BB49" s="23">
        <v>6.9767441860465115E-2</v>
      </c>
      <c r="BC49" s="23">
        <v>0.3604651162790698</v>
      </c>
      <c r="BD49" s="20">
        <v>0.82</v>
      </c>
      <c r="BE49" s="20">
        <v>3.44</v>
      </c>
      <c r="BF49" s="20">
        <v>2.62</v>
      </c>
      <c r="BG49" s="20">
        <v>2.6390909090909092</v>
      </c>
      <c r="BH49">
        <v>2.6390909090909092</v>
      </c>
      <c r="BI49">
        <v>5.9791810459090904</v>
      </c>
      <c r="BJ49" s="64"/>
      <c r="BK49" s="64"/>
      <c r="BL49" s="64">
        <v>0.53381265134868672</v>
      </c>
      <c r="BP49">
        <v>4.2542405601397527E-2</v>
      </c>
      <c r="BQ49">
        <v>8.5084811202795069E-2</v>
      </c>
      <c r="BR49">
        <v>4.2542405601397527E-2</v>
      </c>
      <c r="BS49">
        <v>0.53381265134868672</v>
      </c>
      <c r="BT49" s="68" t="s">
        <v>1264</v>
      </c>
      <c r="BU49" s="68">
        <v>1373</v>
      </c>
      <c r="BV49" s="68">
        <v>10</v>
      </c>
      <c r="BX49" s="68" t="s">
        <v>464</v>
      </c>
      <c r="BY49" s="68" t="s">
        <v>464</v>
      </c>
      <c r="BZ49" s="68">
        <v>0</v>
      </c>
      <c r="CB49" s="68">
        <v>1</v>
      </c>
      <c r="CC49" s="68">
        <v>0</v>
      </c>
      <c r="CD49" s="68" t="s">
        <v>464</v>
      </c>
      <c r="CE49" s="68" t="s">
        <v>464</v>
      </c>
      <c r="CF49" s="68" t="s">
        <v>1266</v>
      </c>
      <c r="CG49" s="68">
        <v>400</v>
      </c>
      <c r="CH49" s="68">
        <v>254</v>
      </c>
      <c r="CK49" s="70">
        <v>4.5</v>
      </c>
    </row>
    <row r="50" spans="1:89" x14ac:dyDescent="0.3">
      <c r="A50" t="s">
        <v>12</v>
      </c>
      <c r="B50" t="s">
        <v>153</v>
      </c>
      <c r="C50" t="s">
        <v>3935</v>
      </c>
      <c r="D50" s="12"/>
      <c r="E50">
        <v>4.2</v>
      </c>
      <c r="F50" t="s">
        <v>453</v>
      </c>
      <c r="G50" s="8">
        <v>-1</v>
      </c>
      <c r="H50">
        <v>-1</v>
      </c>
      <c r="I50" s="98" t="s">
        <v>1144</v>
      </c>
      <c r="J50" s="95"/>
      <c r="K50" s="95"/>
      <c r="L50" s="95" t="s">
        <v>1764</v>
      </c>
      <c r="M50" t="b">
        <v>0</v>
      </c>
      <c r="N50" t="b">
        <v>0</v>
      </c>
      <c r="O50" t="b">
        <v>1</v>
      </c>
      <c r="P50" t="b">
        <v>0</v>
      </c>
      <c r="Q50">
        <v>-1</v>
      </c>
      <c r="R50">
        <v>-1</v>
      </c>
      <c r="S50" t="s">
        <v>1869</v>
      </c>
      <c r="U50" s="20">
        <v>0</v>
      </c>
      <c r="V50">
        <v>0</v>
      </c>
      <c r="W50">
        <v>1</v>
      </c>
      <c r="AC50" s="20">
        <v>0</v>
      </c>
      <c r="AD50" s="20"/>
      <c r="AE50" s="20"/>
      <c r="AF50">
        <v>0</v>
      </c>
      <c r="AI50">
        <v>3.8445</v>
      </c>
      <c r="AJ50">
        <v>3.8445</v>
      </c>
      <c r="AK50">
        <v>11.03</v>
      </c>
      <c r="AL50">
        <v>2</v>
      </c>
      <c r="AM50">
        <v>14</v>
      </c>
      <c r="AN50" s="44">
        <f t="shared" si="1"/>
        <v>0</v>
      </c>
      <c r="AO50" s="46">
        <v>0</v>
      </c>
      <c r="AP50" s="44">
        <v>0</v>
      </c>
      <c r="AQ50" s="44">
        <v>163.0253881575</v>
      </c>
      <c r="AR50" s="41"/>
      <c r="AS50" s="40"/>
      <c r="AT50" s="41"/>
      <c r="AU50" s="41">
        <v>8.5876194856683907E-2</v>
      </c>
      <c r="AV50" s="23">
        <v>1.9090909090909089</v>
      </c>
      <c r="AW50" s="23">
        <v>2.545454545454545</v>
      </c>
      <c r="AX50" s="23">
        <v>0.54545454545454541</v>
      </c>
      <c r="AY50" s="23">
        <v>2.9090909090909092</v>
      </c>
      <c r="AZ50" s="23">
        <v>0.2413793103448276</v>
      </c>
      <c r="BA50" s="23">
        <v>0.32183908045977011</v>
      </c>
      <c r="BB50" s="23">
        <v>6.8965517241379309E-2</v>
      </c>
      <c r="BC50" s="23">
        <v>0.36781609195402298</v>
      </c>
      <c r="BD50" s="20">
        <v>0.82</v>
      </c>
      <c r="BE50" s="20">
        <v>3.44</v>
      </c>
      <c r="BF50" s="20">
        <v>2.62</v>
      </c>
      <c r="BG50" s="20">
        <v>2.64</v>
      </c>
      <c r="BH50">
        <v>2.64</v>
      </c>
      <c r="BI50">
        <v>5.9811382595454541</v>
      </c>
      <c r="BJ50" s="64"/>
      <c r="BK50" s="64"/>
      <c r="BL50" s="64">
        <v>0.53809297903977493</v>
      </c>
      <c r="BP50">
        <v>4.2938097428341947E-2</v>
      </c>
      <c r="BQ50">
        <v>8.5876194856683907E-2</v>
      </c>
      <c r="BR50">
        <v>4.2938097428341947E-2</v>
      </c>
      <c r="BS50">
        <v>0.53809297903977493</v>
      </c>
      <c r="BT50" s="68" t="s">
        <v>1264</v>
      </c>
      <c r="BU50" s="68">
        <v>1373</v>
      </c>
      <c r="BV50" s="68">
        <v>10</v>
      </c>
      <c r="BX50" s="68" t="s">
        <v>464</v>
      </c>
      <c r="BY50" s="68" t="s">
        <v>464</v>
      </c>
      <c r="BZ50" s="68">
        <v>0</v>
      </c>
      <c r="CB50" s="68">
        <v>1</v>
      </c>
      <c r="CC50" s="68">
        <v>0</v>
      </c>
      <c r="CD50" s="68" t="s">
        <v>464</v>
      </c>
      <c r="CE50" s="68" t="s">
        <v>464</v>
      </c>
      <c r="CF50" s="68" t="s">
        <v>1266</v>
      </c>
      <c r="CG50" s="68">
        <v>400</v>
      </c>
      <c r="CH50" s="68">
        <v>254</v>
      </c>
      <c r="CK50" s="70">
        <v>235</v>
      </c>
    </row>
    <row r="51" spans="1:89" x14ac:dyDescent="0.3">
      <c r="A51" t="s">
        <v>13</v>
      </c>
      <c r="B51" t="s">
        <v>153</v>
      </c>
      <c r="C51" t="s">
        <v>3936</v>
      </c>
      <c r="D51" s="12"/>
      <c r="E51">
        <v>4.2</v>
      </c>
      <c r="F51" t="s">
        <v>453</v>
      </c>
      <c r="G51" s="8">
        <v>-1</v>
      </c>
      <c r="H51">
        <v>-1</v>
      </c>
      <c r="I51" s="98" t="s">
        <v>1144</v>
      </c>
      <c r="J51" s="95"/>
      <c r="K51" s="95"/>
      <c r="L51" s="95" t="s">
        <v>1765</v>
      </c>
      <c r="M51" t="b">
        <v>0</v>
      </c>
      <c r="N51" t="b">
        <v>0</v>
      </c>
      <c r="O51" t="b">
        <v>1</v>
      </c>
      <c r="P51" t="b">
        <v>0</v>
      </c>
      <c r="Q51">
        <v>-1</v>
      </c>
      <c r="R51">
        <v>-1</v>
      </c>
      <c r="S51" t="s">
        <v>1870</v>
      </c>
      <c r="U51" s="20">
        <v>0</v>
      </c>
      <c r="V51">
        <v>0</v>
      </c>
      <c r="W51">
        <v>1</v>
      </c>
      <c r="AC51" s="20">
        <v>0</v>
      </c>
      <c r="AD51" s="20"/>
      <c r="AE51" s="20"/>
      <c r="AF51">
        <v>0</v>
      </c>
      <c r="AI51">
        <v>3.8252000000000002</v>
      </c>
      <c r="AJ51">
        <v>3.8252000000000002</v>
      </c>
      <c r="AK51">
        <v>11.013500000000001</v>
      </c>
      <c r="AL51">
        <v>2</v>
      </c>
      <c r="AM51">
        <v>14</v>
      </c>
      <c r="AN51" s="44">
        <f t="shared" si="1"/>
        <v>0</v>
      </c>
      <c r="AO51" s="46">
        <v>0</v>
      </c>
      <c r="AP51" s="44">
        <v>0</v>
      </c>
      <c r="AQ51" s="44">
        <v>161.15123953304001</v>
      </c>
      <c r="AR51" s="41"/>
      <c r="AS51" s="40"/>
      <c r="AT51" s="41"/>
      <c r="AU51" s="41">
        <v>8.6874913531953646E-2</v>
      </c>
      <c r="AV51" s="23">
        <v>1.9090909090909089</v>
      </c>
      <c r="AW51" s="23">
        <v>2.545454545454545</v>
      </c>
      <c r="AX51" s="23">
        <v>0.54545454545454541</v>
      </c>
      <c r="AY51" s="23">
        <v>3.0909090909090908</v>
      </c>
      <c r="AZ51" s="23">
        <v>0.2359550561797753</v>
      </c>
      <c r="BA51" s="23">
        <v>0.3146067415730337</v>
      </c>
      <c r="BB51" s="23">
        <v>6.7415730337078636E-2</v>
      </c>
      <c r="BC51" s="23">
        <v>0.38202247191011229</v>
      </c>
      <c r="BD51" s="20">
        <v>0.82</v>
      </c>
      <c r="BE51" s="20">
        <v>3.44</v>
      </c>
      <c r="BF51" s="20">
        <v>2.62</v>
      </c>
      <c r="BG51" s="20">
        <v>2.642727272727273</v>
      </c>
      <c r="BH51">
        <v>2.642727272727273</v>
      </c>
      <c r="BI51">
        <v>5.9894662913636356</v>
      </c>
      <c r="BJ51" s="64"/>
      <c r="BK51" s="64"/>
      <c r="BL51" s="64">
        <v>0.54194665977883461</v>
      </c>
      <c r="BP51">
        <v>4.3437456765976823E-2</v>
      </c>
      <c r="BQ51">
        <v>8.6874913531953646E-2</v>
      </c>
      <c r="BR51">
        <v>4.3437456765976823E-2</v>
      </c>
      <c r="BS51">
        <v>0.54194665977883461</v>
      </c>
      <c r="BT51" s="68" t="s">
        <v>1264</v>
      </c>
      <c r="BU51" s="68">
        <v>1373</v>
      </c>
      <c r="BV51" s="68">
        <v>10</v>
      </c>
      <c r="BX51" s="68" t="s">
        <v>464</v>
      </c>
      <c r="BY51" s="68" t="s">
        <v>464</v>
      </c>
      <c r="BZ51" s="68">
        <v>0</v>
      </c>
      <c r="CB51" s="68">
        <v>1</v>
      </c>
      <c r="CC51" s="68">
        <v>0</v>
      </c>
      <c r="CD51" s="68" t="s">
        <v>464</v>
      </c>
      <c r="CE51" s="68" t="s">
        <v>464</v>
      </c>
      <c r="CF51" s="68" t="s">
        <v>1266</v>
      </c>
      <c r="CG51" s="68">
        <v>400</v>
      </c>
      <c r="CH51" s="68">
        <v>254</v>
      </c>
      <c r="CK51" s="70">
        <v>53</v>
      </c>
    </row>
    <row r="52" spans="1:89" x14ac:dyDescent="0.3">
      <c r="A52" t="s">
        <v>10</v>
      </c>
      <c r="B52" t="s">
        <v>153</v>
      </c>
      <c r="C52" t="s">
        <v>3933</v>
      </c>
      <c r="D52" s="12"/>
      <c r="E52">
        <v>3.9</v>
      </c>
      <c r="F52" t="s">
        <v>453</v>
      </c>
      <c r="G52" s="8" t="s">
        <v>531</v>
      </c>
      <c r="H52">
        <v>-1</v>
      </c>
      <c r="I52" s="98" t="s">
        <v>1144</v>
      </c>
      <c r="L52" s="95" t="s">
        <v>1763</v>
      </c>
      <c r="M52" t="b">
        <v>1</v>
      </c>
      <c r="N52" t="b">
        <v>0</v>
      </c>
      <c r="O52" t="b">
        <v>1</v>
      </c>
      <c r="P52" t="b">
        <v>0</v>
      </c>
      <c r="Q52" t="s">
        <v>531</v>
      </c>
      <c r="R52">
        <v>-1</v>
      </c>
      <c r="S52" t="s">
        <v>1871</v>
      </c>
      <c r="T52">
        <v>1</v>
      </c>
      <c r="U52" s="20">
        <v>1</v>
      </c>
      <c r="V52">
        <v>0</v>
      </c>
      <c r="W52">
        <v>0</v>
      </c>
      <c r="X52">
        <v>3.8849999999999998</v>
      </c>
      <c r="Y52">
        <v>3.8849999999999998</v>
      </c>
      <c r="Z52">
        <v>11.12</v>
      </c>
      <c r="AA52" t="s">
        <v>439</v>
      </c>
      <c r="AB52">
        <v>11.12</v>
      </c>
      <c r="AC52" s="20">
        <v>3.9103940000000001</v>
      </c>
      <c r="AD52" s="20">
        <v>3.9103940000000001</v>
      </c>
      <c r="AE52" s="20">
        <v>11.314458</v>
      </c>
      <c r="AF52">
        <v>0</v>
      </c>
      <c r="AI52">
        <v>0</v>
      </c>
      <c r="AL52">
        <v>2</v>
      </c>
      <c r="AM52">
        <v>14</v>
      </c>
      <c r="AN52" s="44">
        <f t="shared" ref="AN52:AN55" si="7">X52*Y52*Z52</f>
        <v>167.83666199999996</v>
      </c>
      <c r="AO52" s="46">
        <v>173.0114278564659</v>
      </c>
      <c r="AP52" s="44">
        <v>0</v>
      </c>
      <c r="AQ52" s="44">
        <v>0</v>
      </c>
      <c r="AR52" s="41"/>
      <c r="AS52" s="40">
        <v>8.0919510193365449E-2</v>
      </c>
      <c r="AT52" s="41"/>
      <c r="AU52" s="41"/>
      <c r="AV52" s="23">
        <v>1.9090909090909089</v>
      </c>
      <c r="AW52" s="23">
        <v>2.545454545454545</v>
      </c>
      <c r="AX52" s="23">
        <v>0.63636363636363635</v>
      </c>
      <c r="AY52" s="23">
        <v>2.545454545454545</v>
      </c>
      <c r="AZ52" s="23">
        <v>0.25</v>
      </c>
      <c r="BA52" s="23">
        <v>0.33333333333333331</v>
      </c>
      <c r="BB52" s="23">
        <v>8.3333333333333329E-2</v>
      </c>
      <c r="BC52" s="23">
        <v>0.33333333333333331</v>
      </c>
      <c r="BD52" s="20">
        <v>0.82</v>
      </c>
      <c r="BE52" s="20">
        <v>3.44</v>
      </c>
      <c r="BF52" s="20">
        <v>2.62</v>
      </c>
      <c r="BG52" s="20">
        <v>2.6363636363636358</v>
      </c>
      <c r="BH52">
        <v>2.6363636363636371</v>
      </c>
      <c r="BI52">
        <v>6.0044088459090901</v>
      </c>
      <c r="BJ52" s="64">
        <v>0.5117218936152963</v>
      </c>
      <c r="BK52" s="64"/>
      <c r="BL52" s="64"/>
      <c r="BN52">
        <v>4.0459755096682717E-2</v>
      </c>
      <c r="BQ52">
        <v>8.0919510193365449E-2</v>
      </c>
      <c r="BR52">
        <v>4.0459755096682717E-2</v>
      </c>
      <c r="BS52">
        <v>0.5117218936152963</v>
      </c>
      <c r="BT52" s="68" t="s">
        <v>1264</v>
      </c>
      <c r="BU52" s="68">
        <v>1373</v>
      </c>
      <c r="BV52" s="68">
        <v>10</v>
      </c>
      <c r="BX52" s="68" t="s">
        <v>464</v>
      </c>
      <c r="BY52" s="68" t="s">
        <v>464</v>
      </c>
      <c r="BZ52" s="68">
        <v>0</v>
      </c>
      <c r="CB52" s="68">
        <v>1</v>
      </c>
      <c r="CC52" s="68">
        <v>16</v>
      </c>
      <c r="CD52" s="68" t="s">
        <v>464</v>
      </c>
      <c r="CE52" s="68" t="s">
        <v>464</v>
      </c>
      <c r="CF52" s="68" t="s">
        <v>1266</v>
      </c>
      <c r="CG52" s="68">
        <v>400</v>
      </c>
      <c r="CH52" s="68">
        <v>280</v>
      </c>
      <c r="CK52" s="70">
        <v>15.5</v>
      </c>
    </row>
    <row r="53" spans="1:89" x14ac:dyDescent="0.3">
      <c r="A53" t="s">
        <v>11</v>
      </c>
      <c r="B53" t="s">
        <v>153</v>
      </c>
      <c r="C53" t="s">
        <v>3934</v>
      </c>
      <c r="D53" s="12"/>
      <c r="E53">
        <v>3.6</v>
      </c>
      <c r="F53" t="s">
        <v>453</v>
      </c>
      <c r="G53" s="8">
        <v>-1</v>
      </c>
      <c r="H53">
        <v>-1</v>
      </c>
      <c r="I53" s="98" t="s">
        <v>1144</v>
      </c>
      <c r="J53" s="95"/>
      <c r="K53" s="95"/>
      <c r="L53" s="95"/>
      <c r="M53" t="b">
        <v>0</v>
      </c>
      <c r="N53" t="b">
        <v>0</v>
      </c>
      <c r="O53" t="b">
        <v>1</v>
      </c>
      <c r="P53" t="b">
        <v>0</v>
      </c>
      <c r="Q53">
        <v>-1</v>
      </c>
      <c r="R53">
        <v>-1</v>
      </c>
      <c r="S53" t="s">
        <v>1144</v>
      </c>
      <c r="U53" s="20">
        <v>0</v>
      </c>
      <c r="V53">
        <v>0</v>
      </c>
      <c r="W53">
        <v>1</v>
      </c>
      <c r="AC53" s="20">
        <v>0</v>
      </c>
      <c r="AD53" s="20"/>
      <c r="AE53" s="20"/>
      <c r="AF53">
        <v>0</v>
      </c>
      <c r="AI53">
        <v>3.8653</v>
      </c>
      <c r="AJ53">
        <v>3.8653</v>
      </c>
      <c r="AK53">
        <v>11.0131</v>
      </c>
      <c r="AL53">
        <v>2</v>
      </c>
      <c r="AM53">
        <v>14</v>
      </c>
      <c r="AN53" s="44">
        <f t="shared" si="7"/>
        <v>0</v>
      </c>
      <c r="AO53" s="46">
        <v>0</v>
      </c>
      <c r="AP53" s="44">
        <v>0</v>
      </c>
      <c r="AQ53" s="44">
        <v>164.541706117579</v>
      </c>
      <c r="AR53" s="41"/>
      <c r="AS53" s="40"/>
      <c r="AT53" s="41"/>
      <c r="AU53" s="41">
        <v>8.5084811202795069E-2</v>
      </c>
      <c r="AV53" s="23">
        <v>1.9090909090909089</v>
      </c>
      <c r="AW53" s="23">
        <v>2.545454545454545</v>
      </c>
      <c r="AX53" s="23">
        <v>0.54545454545454541</v>
      </c>
      <c r="AY53" s="23">
        <v>2.8181818181818179</v>
      </c>
      <c r="AZ53" s="23">
        <v>0.2441860465116279</v>
      </c>
      <c r="BA53" s="23">
        <v>0.32558139534883718</v>
      </c>
      <c r="BB53" s="23">
        <v>6.9767441860465115E-2</v>
      </c>
      <c r="BC53" s="23">
        <v>0.3604651162790698</v>
      </c>
      <c r="BD53" s="20">
        <v>0.82</v>
      </c>
      <c r="BE53" s="20">
        <v>3.44</v>
      </c>
      <c r="BF53" s="20">
        <v>2.62</v>
      </c>
      <c r="BG53" s="20">
        <v>2.6390909090909092</v>
      </c>
      <c r="BH53">
        <v>2.6390909090909092</v>
      </c>
      <c r="BI53">
        <v>5.9791810459090904</v>
      </c>
      <c r="BJ53" s="64"/>
      <c r="BK53" s="64"/>
      <c r="BL53" s="64">
        <v>0.53381265134868672</v>
      </c>
      <c r="BP53">
        <v>4.2542405601397527E-2</v>
      </c>
      <c r="BQ53">
        <v>8.5084811202795069E-2</v>
      </c>
      <c r="BR53">
        <v>4.2542405601397527E-2</v>
      </c>
      <c r="BS53">
        <v>0.53381265134868672</v>
      </c>
      <c r="BT53" s="68" t="s">
        <v>1264</v>
      </c>
      <c r="BU53" s="68">
        <v>1373</v>
      </c>
      <c r="BV53" s="68">
        <v>10</v>
      </c>
      <c r="BX53" s="68" t="s">
        <v>464</v>
      </c>
      <c r="BY53" s="68" t="s">
        <v>464</v>
      </c>
      <c r="BZ53" s="68">
        <v>0</v>
      </c>
      <c r="CB53" s="68">
        <v>1</v>
      </c>
      <c r="CC53" s="68">
        <v>16</v>
      </c>
      <c r="CD53" s="68" t="s">
        <v>464</v>
      </c>
      <c r="CE53" s="68" t="s">
        <v>464</v>
      </c>
      <c r="CF53" s="68" t="s">
        <v>1266</v>
      </c>
      <c r="CG53" s="68">
        <v>400</v>
      </c>
      <c r="CH53" s="68">
        <v>280</v>
      </c>
      <c r="CK53" s="70">
        <v>0.25</v>
      </c>
    </row>
    <row r="54" spans="1:89" x14ac:dyDescent="0.3">
      <c r="A54" t="s">
        <v>12</v>
      </c>
      <c r="B54" t="s">
        <v>153</v>
      </c>
      <c r="C54" t="s">
        <v>3935</v>
      </c>
      <c r="D54" s="12"/>
      <c r="E54">
        <v>4.2</v>
      </c>
      <c r="F54" t="s">
        <v>453</v>
      </c>
      <c r="G54" s="8">
        <v>-1</v>
      </c>
      <c r="H54">
        <v>-1</v>
      </c>
      <c r="I54" s="98" t="s">
        <v>1144</v>
      </c>
      <c r="J54" s="95"/>
      <c r="K54" s="95"/>
      <c r="L54" s="95" t="s">
        <v>1764</v>
      </c>
      <c r="M54" t="b">
        <v>0</v>
      </c>
      <c r="N54" t="b">
        <v>0</v>
      </c>
      <c r="O54" t="b">
        <v>1</v>
      </c>
      <c r="P54" t="b">
        <v>0</v>
      </c>
      <c r="Q54">
        <v>-1</v>
      </c>
      <c r="R54">
        <v>-1</v>
      </c>
      <c r="S54" t="s">
        <v>1872</v>
      </c>
      <c r="U54" s="20">
        <v>0</v>
      </c>
      <c r="V54">
        <v>0</v>
      </c>
      <c r="W54">
        <v>1</v>
      </c>
      <c r="AC54" s="20">
        <v>0</v>
      </c>
      <c r="AD54" s="20"/>
      <c r="AE54" s="20"/>
      <c r="AF54">
        <v>0</v>
      </c>
      <c r="AI54">
        <v>3.8445</v>
      </c>
      <c r="AJ54">
        <v>3.8445</v>
      </c>
      <c r="AK54">
        <v>11.03</v>
      </c>
      <c r="AL54">
        <v>2</v>
      </c>
      <c r="AM54">
        <v>14</v>
      </c>
      <c r="AN54" s="44">
        <f t="shared" si="7"/>
        <v>0</v>
      </c>
      <c r="AO54" s="46">
        <v>0</v>
      </c>
      <c r="AP54" s="44">
        <v>0</v>
      </c>
      <c r="AQ54" s="44">
        <v>163.0253881575</v>
      </c>
      <c r="AR54" s="41"/>
      <c r="AS54" s="40"/>
      <c r="AT54" s="41"/>
      <c r="AU54" s="41">
        <v>8.5876194856683907E-2</v>
      </c>
      <c r="AV54" s="23">
        <v>1.9090909090909089</v>
      </c>
      <c r="AW54" s="23">
        <v>2.545454545454545</v>
      </c>
      <c r="AX54" s="23">
        <v>0.54545454545454541</v>
      </c>
      <c r="AY54" s="23">
        <v>2.9090909090909092</v>
      </c>
      <c r="AZ54" s="23">
        <v>0.2413793103448276</v>
      </c>
      <c r="BA54" s="23">
        <v>0.32183908045977011</v>
      </c>
      <c r="BB54" s="23">
        <v>6.8965517241379309E-2</v>
      </c>
      <c r="BC54" s="23">
        <v>0.36781609195402298</v>
      </c>
      <c r="BD54" s="20">
        <v>0.82</v>
      </c>
      <c r="BE54" s="20">
        <v>3.44</v>
      </c>
      <c r="BF54" s="20">
        <v>2.62</v>
      </c>
      <c r="BG54" s="20">
        <v>2.64</v>
      </c>
      <c r="BH54">
        <v>2.64</v>
      </c>
      <c r="BI54">
        <v>5.9811382595454541</v>
      </c>
      <c r="BJ54" s="64"/>
      <c r="BK54" s="64"/>
      <c r="BL54" s="64">
        <v>0.53809297903977493</v>
      </c>
      <c r="BP54">
        <v>4.2938097428341947E-2</v>
      </c>
      <c r="BQ54">
        <v>8.5876194856683907E-2</v>
      </c>
      <c r="BR54">
        <v>4.2938097428341947E-2</v>
      </c>
      <c r="BS54">
        <v>0.53809297903977493</v>
      </c>
      <c r="BT54" s="68" t="s">
        <v>1264</v>
      </c>
      <c r="BU54" s="68">
        <v>1373</v>
      </c>
      <c r="BV54" s="68">
        <v>10</v>
      </c>
      <c r="BX54" s="68" t="s">
        <v>464</v>
      </c>
      <c r="BY54" s="68" t="s">
        <v>464</v>
      </c>
      <c r="BZ54" s="68">
        <v>0</v>
      </c>
      <c r="CB54" s="68">
        <v>1</v>
      </c>
      <c r="CC54" s="68">
        <v>16</v>
      </c>
      <c r="CD54" s="68" t="s">
        <v>464</v>
      </c>
      <c r="CE54" s="68" t="s">
        <v>464</v>
      </c>
      <c r="CF54" s="68" t="s">
        <v>1266</v>
      </c>
      <c r="CG54" s="68">
        <v>400</v>
      </c>
      <c r="CH54" s="68">
        <v>280</v>
      </c>
      <c r="CK54" s="70">
        <v>1.8499999999999999</v>
      </c>
    </row>
    <row r="55" spans="1:89" x14ac:dyDescent="0.3">
      <c r="A55" t="s">
        <v>13</v>
      </c>
      <c r="B55" t="s">
        <v>153</v>
      </c>
      <c r="C55" t="s">
        <v>3936</v>
      </c>
      <c r="D55" s="12"/>
      <c r="E55">
        <v>4.2</v>
      </c>
      <c r="F55" t="s">
        <v>453</v>
      </c>
      <c r="G55" s="8">
        <v>-1</v>
      </c>
      <c r="H55">
        <v>-1</v>
      </c>
      <c r="I55" s="98" t="s">
        <v>1144</v>
      </c>
      <c r="J55" s="95"/>
      <c r="K55" s="95"/>
      <c r="L55" s="95" t="s">
        <v>1765</v>
      </c>
      <c r="M55" t="b">
        <v>0</v>
      </c>
      <c r="N55" t="b">
        <v>0</v>
      </c>
      <c r="O55" t="b">
        <v>1</v>
      </c>
      <c r="P55" t="b">
        <v>0</v>
      </c>
      <c r="Q55">
        <v>-1</v>
      </c>
      <c r="R55">
        <v>-1</v>
      </c>
      <c r="S55" t="s">
        <v>1873</v>
      </c>
      <c r="U55" s="20">
        <v>0</v>
      </c>
      <c r="V55">
        <v>0</v>
      </c>
      <c r="W55">
        <v>1</v>
      </c>
      <c r="AC55" s="20">
        <v>0</v>
      </c>
      <c r="AD55" s="20"/>
      <c r="AE55" s="20"/>
      <c r="AF55">
        <v>0</v>
      </c>
      <c r="AI55">
        <v>3.8252000000000002</v>
      </c>
      <c r="AJ55">
        <v>3.8252000000000002</v>
      </c>
      <c r="AK55">
        <v>11.013500000000001</v>
      </c>
      <c r="AL55">
        <v>2</v>
      </c>
      <c r="AM55">
        <v>14</v>
      </c>
      <c r="AN55" s="44">
        <f t="shared" si="7"/>
        <v>0</v>
      </c>
      <c r="AO55" s="46">
        <v>0</v>
      </c>
      <c r="AP55" s="44">
        <v>0</v>
      </c>
      <c r="AQ55" s="44">
        <v>161.15123953304001</v>
      </c>
      <c r="AR55" s="41"/>
      <c r="AS55" s="40"/>
      <c r="AT55" s="41"/>
      <c r="AU55" s="41">
        <v>8.6874913531953646E-2</v>
      </c>
      <c r="AV55" s="23">
        <v>1.9090909090909089</v>
      </c>
      <c r="AW55" s="23">
        <v>2.545454545454545</v>
      </c>
      <c r="AX55" s="23">
        <v>0.54545454545454541</v>
      </c>
      <c r="AY55" s="23">
        <v>3.0909090909090908</v>
      </c>
      <c r="AZ55" s="23">
        <v>0.2359550561797753</v>
      </c>
      <c r="BA55" s="23">
        <v>0.3146067415730337</v>
      </c>
      <c r="BB55" s="23">
        <v>6.7415730337078636E-2</v>
      </c>
      <c r="BC55" s="23">
        <v>0.38202247191011229</v>
      </c>
      <c r="BD55" s="20">
        <v>0.82</v>
      </c>
      <c r="BE55" s="20">
        <v>3.44</v>
      </c>
      <c r="BF55" s="20">
        <v>2.62</v>
      </c>
      <c r="BG55" s="20">
        <v>2.642727272727273</v>
      </c>
      <c r="BH55">
        <v>2.642727272727273</v>
      </c>
      <c r="BI55">
        <v>5.9894662913636356</v>
      </c>
      <c r="BJ55" s="64"/>
      <c r="BK55" s="64"/>
      <c r="BL55" s="64">
        <v>0.54194665977883461</v>
      </c>
      <c r="BP55">
        <v>4.3437456765976823E-2</v>
      </c>
      <c r="BQ55">
        <v>8.6874913531953646E-2</v>
      </c>
      <c r="BR55">
        <v>4.3437456765976823E-2</v>
      </c>
      <c r="BS55">
        <v>0.54194665977883461</v>
      </c>
      <c r="BT55" s="68" t="s">
        <v>1264</v>
      </c>
      <c r="BU55" s="68">
        <v>1373</v>
      </c>
      <c r="BV55" s="68">
        <v>10</v>
      </c>
      <c r="BX55" s="68" t="s">
        <v>464</v>
      </c>
      <c r="BY55" s="68" t="s">
        <v>464</v>
      </c>
      <c r="BZ55" s="68">
        <v>0</v>
      </c>
      <c r="CB55" s="68">
        <v>1</v>
      </c>
      <c r="CC55" s="68">
        <v>16</v>
      </c>
      <c r="CD55" s="68" t="s">
        <v>464</v>
      </c>
      <c r="CE55" s="68" t="s">
        <v>464</v>
      </c>
      <c r="CF55" s="68" t="s">
        <v>1266</v>
      </c>
      <c r="CG55" s="68">
        <v>400</v>
      </c>
      <c r="CH55" s="68">
        <v>280</v>
      </c>
      <c r="CK55" s="70">
        <v>1.8499999999999999</v>
      </c>
    </row>
    <row r="56" spans="1:89" x14ac:dyDescent="0.3">
      <c r="A56" t="s">
        <v>8</v>
      </c>
      <c r="B56" t="s">
        <v>2777</v>
      </c>
      <c r="C56" t="s">
        <v>3926</v>
      </c>
      <c r="D56" s="12"/>
      <c r="E56">
        <v>3</v>
      </c>
      <c r="F56" t="s">
        <v>454</v>
      </c>
      <c r="G56" s="8" t="s">
        <v>530</v>
      </c>
      <c r="H56" t="s">
        <v>612</v>
      </c>
      <c r="M56" t="b">
        <v>1</v>
      </c>
      <c r="N56" t="b">
        <v>1</v>
      </c>
      <c r="O56" t="b">
        <v>0</v>
      </c>
      <c r="P56" t="b">
        <v>0</v>
      </c>
      <c r="Q56" t="s">
        <v>530</v>
      </c>
      <c r="R56" t="s">
        <v>612</v>
      </c>
      <c r="U56" s="20"/>
      <c r="AB56">
        <v>0</v>
      </c>
      <c r="AC56" s="20"/>
      <c r="AD56" s="20"/>
      <c r="AE56" s="20"/>
      <c r="AN56" s="44"/>
      <c r="AO56" s="46"/>
      <c r="AP56" s="44"/>
      <c r="AQ56" s="44"/>
      <c r="AR56" s="41"/>
      <c r="AS56" s="40"/>
      <c r="AT56" s="41"/>
      <c r="AU56" s="41"/>
      <c r="AV56" s="23"/>
      <c r="AW56" s="23"/>
      <c r="AX56" s="23"/>
      <c r="AY56" s="23"/>
      <c r="AZ56" s="23"/>
      <c r="BA56" s="23"/>
      <c r="BB56" s="23"/>
      <c r="BC56" s="23"/>
      <c r="BD56" s="20"/>
      <c r="BE56" s="20"/>
      <c r="BF56" s="20"/>
      <c r="BG56" s="20"/>
      <c r="BJ56" s="64"/>
      <c r="BK56" s="64"/>
      <c r="BL56" s="64"/>
      <c r="BX56" s="68" t="s">
        <v>1268</v>
      </c>
      <c r="BY56" s="68" t="s">
        <v>863</v>
      </c>
      <c r="BZ56" s="68">
        <v>0.1</v>
      </c>
      <c r="CA56" s="68">
        <v>42.7</v>
      </c>
      <c r="CB56" s="68">
        <v>1</v>
      </c>
      <c r="CC56" s="68">
        <v>0</v>
      </c>
      <c r="CD56" s="68" t="s">
        <v>464</v>
      </c>
      <c r="CE56" s="68" t="s">
        <v>464</v>
      </c>
      <c r="CF56" s="68" t="s">
        <v>1266</v>
      </c>
      <c r="CG56" s="68">
        <v>400</v>
      </c>
      <c r="CH56" s="68">
        <v>254</v>
      </c>
      <c r="CK56" s="70">
        <v>0.3</v>
      </c>
    </row>
    <row r="57" spans="1:89" x14ac:dyDescent="0.3">
      <c r="A57" s="4" t="s">
        <v>14</v>
      </c>
      <c r="C57" t="s">
        <v>3937</v>
      </c>
      <c r="D57" s="29"/>
      <c r="E57" s="4">
        <v>4</v>
      </c>
      <c r="F57" s="4" t="s">
        <v>9</v>
      </c>
      <c r="G57" s="100" t="s">
        <v>532</v>
      </c>
      <c r="H57" s="4" t="s">
        <v>613</v>
      </c>
      <c r="I57" s="4"/>
      <c r="J57" s="4"/>
      <c r="K57" s="4"/>
      <c r="L57" s="4"/>
      <c r="M57" t="b">
        <v>1</v>
      </c>
      <c r="N57" t="b">
        <v>1</v>
      </c>
      <c r="O57" t="b">
        <v>0</v>
      </c>
      <c r="P57" t="b">
        <v>0</v>
      </c>
      <c r="Q57" t="s">
        <v>532</v>
      </c>
      <c r="R57" t="s">
        <v>613</v>
      </c>
      <c r="T57" s="4"/>
      <c r="U57" s="31">
        <v>4</v>
      </c>
      <c r="V57" s="4">
        <v>4</v>
      </c>
      <c r="W57" s="4">
        <v>0</v>
      </c>
      <c r="X57" s="4"/>
      <c r="Y57" s="4"/>
      <c r="Z57" s="4"/>
      <c r="AA57" s="4"/>
      <c r="AB57" s="4"/>
      <c r="AC57" s="31">
        <v>7.8568680000000004</v>
      </c>
      <c r="AD57" s="31">
        <v>7.8568680000000004</v>
      </c>
      <c r="AE57" s="31">
        <v>7.8568680000000004</v>
      </c>
      <c r="AF57" s="4">
        <v>7.78</v>
      </c>
      <c r="AG57" s="4">
        <v>7.78</v>
      </c>
      <c r="AH57" s="4">
        <v>7.78</v>
      </c>
      <c r="AI57" s="4">
        <v>0</v>
      </c>
      <c r="AJ57" s="4"/>
      <c r="AK57" s="4"/>
      <c r="AL57" s="4"/>
      <c r="AM57" s="4">
        <v>12</v>
      </c>
      <c r="AN57" s="4">
        <f t="shared" si="1"/>
        <v>0</v>
      </c>
      <c r="AO57" s="31">
        <v>485.00740615389492</v>
      </c>
      <c r="AP57" s="4">
        <v>470.91095200000012</v>
      </c>
      <c r="AQ57" s="4">
        <v>0</v>
      </c>
      <c r="AR57" s="4"/>
      <c r="AS57" s="31">
        <v>9.896756088868755E-2</v>
      </c>
      <c r="AT57" s="4">
        <v>0.1019300990901566</v>
      </c>
      <c r="AU57" s="4"/>
      <c r="AV57" s="4">
        <v>2</v>
      </c>
      <c r="AW57" s="4">
        <v>2.666666666666667</v>
      </c>
      <c r="AX57" s="4">
        <v>0.66666666666666663</v>
      </c>
      <c r="AY57" s="4">
        <v>3.1111111111111112</v>
      </c>
      <c r="AZ57" s="4">
        <v>0.23684210526315791</v>
      </c>
      <c r="BA57" s="4">
        <v>0.31578947368421051</v>
      </c>
      <c r="BB57" s="4">
        <v>7.8947368421052627E-2</v>
      </c>
      <c r="BC57" s="4">
        <v>0.36842105263157893</v>
      </c>
      <c r="BD57" s="31">
        <v>1</v>
      </c>
      <c r="BE57" s="31">
        <v>3.44</v>
      </c>
      <c r="BF57" s="31">
        <v>2.44</v>
      </c>
      <c r="BG57" s="31">
        <v>2.7377777777777781</v>
      </c>
      <c r="BH57" s="4">
        <v>2.7377777777777781</v>
      </c>
      <c r="BI57" s="4">
        <v>6.2421139038888889</v>
      </c>
      <c r="BJ57" s="4">
        <v>0.49860192759728061</v>
      </c>
      <c r="BK57" s="4">
        <v>0.51352729551146459</v>
      </c>
      <c r="BL57" s="4"/>
      <c r="BM57" s="4"/>
      <c r="BN57" s="4">
        <v>4.9483780444343768E-2</v>
      </c>
      <c r="BO57" s="4">
        <v>5.0965049545078307E-2</v>
      </c>
      <c r="BP57" s="4"/>
      <c r="BQ57" s="4">
        <v>0.1004488299894221</v>
      </c>
      <c r="BR57" s="4">
        <v>5.0224414994711038E-2</v>
      </c>
      <c r="BS57" s="4">
        <v>0.50606461155437255</v>
      </c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 t="s">
        <v>464</v>
      </c>
      <c r="CE57" s="71" t="s">
        <v>464</v>
      </c>
      <c r="CF57" s="71"/>
      <c r="CG57" s="71"/>
      <c r="CH57" s="71"/>
      <c r="CI57" s="71"/>
      <c r="CJ57" s="71"/>
      <c r="CK57" s="71"/>
    </row>
    <row r="58" spans="1:89" x14ac:dyDescent="0.3">
      <c r="A58" s="4" t="s">
        <v>15</v>
      </c>
      <c r="C58" t="s">
        <v>3938</v>
      </c>
      <c r="D58" s="29"/>
      <c r="E58" s="4">
        <v>4.4000000000000004</v>
      </c>
      <c r="F58" s="4" t="s">
        <v>9</v>
      </c>
      <c r="G58" s="30" t="s">
        <v>533</v>
      </c>
      <c r="H58" s="4" t="s">
        <v>614</v>
      </c>
      <c r="I58" s="4"/>
      <c r="J58" s="4"/>
      <c r="K58" s="4"/>
      <c r="L58" s="4"/>
      <c r="M58" t="b">
        <v>1</v>
      </c>
      <c r="N58" t="b">
        <v>1</v>
      </c>
      <c r="O58" t="b">
        <v>0</v>
      </c>
      <c r="P58" t="b">
        <v>0</v>
      </c>
      <c r="Q58" t="s">
        <v>533</v>
      </c>
      <c r="R58" t="s">
        <v>614</v>
      </c>
      <c r="T58" s="4"/>
      <c r="U58" s="31">
        <v>4</v>
      </c>
      <c r="V58" s="4">
        <v>4</v>
      </c>
      <c r="W58" s="4">
        <v>0</v>
      </c>
      <c r="X58" s="4"/>
      <c r="Y58" s="4"/>
      <c r="Z58" s="4"/>
      <c r="AA58" s="4"/>
      <c r="AB58" s="4"/>
      <c r="AC58" s="31">
        <v>5.63450966</v>
      </c>
      <c r="AD58" s="31">
        <v>7.6422105</v>
      </c>
      <c r="AE58" s="31">
        <v>11.066420430000001</v>
      </c>
      <c r="AF58" s="4">
        <v>11.013</v>
      </c>
      <c r="AG58" s="4">
        <v>7.6319999999999997</v>
      </c>
      <c r="AH58" s="4">
        <v>5.6210000000000004</v>
      </c>
      <c r="AI58" s="4">
        <v>0</v>
      </c>
      <c r="AJ58" s="4"/>
      <c r="AK58" s="4"/>
      <c r="AL58" s="4"/>
      <c r="AM58" s="4">
        <v>12</v>
      </c>
      <c r="AN58" s="4">
        <f t="shared" si="1"/>
        <v>0</v>
      </c>
      <c r="AO58" s="31">
        <v>476.5212686940929</v>
      </c>
      <c r="AP58" s="4">
        <v>472.45188513599999</v>
      </c>
      <c r="AQ58" s="4">
        <v>0</v>
      </c>
      <c r="AR58" s="4"/>
      <c r="AS58" s="31">
        <v>0.1007300264509579</v>
      </c>
      <c r="AT58" s="4">
        <v>0.1015976473163669</v>
      </c>
      <c r="AU58" s="4"/>
      <c r="AV58" s="4">
        <v>2</v>
      </c>
      <c r="AW58" s="4">
        <v>2.666666666666667</v>
      </c>
      <c r="AX58" s="4">
        <v>0.66666666666666663</v>
      </c>
      <c r="AY58" s="4">
        <v>3.1111111111111112</v>
      </c>
      <c r="AZ58" s="4">
        <v>0.23684210526315791</v>
      </c>
      <c r="BA58" s="4">
        <v>0.31578947368421051</v>
      </c>
      <c r="BB58" s="4">
        <v>7.8947368421052627E-2</v>
      </c>
      <c r="BC58" s="4">
        <v>0.36842105263157893</v>
      </c>
      <c r="BD58" s="31">
        <v>0.95</v>
      </c>
      <c r="BE58" s="31">
        <v>3.44</v>
      </c>
      <c r="BF58" s="31">
        <v>2.4900000000000002</v>
      </c>
      <c r="BG58" s="31">
        <v>2.7322222222222221</v>
      </c>
      <c r="BH58" s="4">
        <v>2.7322222222222221</v>
      </c>
      <c r="BI58" s="4">
        <v>6.2204042916666662</v>
      </c>
      <c r="BJ58" s="4">
        <v>0.5362582325986015</v>
      </c>
      <c r="BK58" s="4">
        <v>0.54087720122437066</v>
      </c>
      <c r="BL58" s="4"/>
      <c r="BM58" s="4"/>
      <c r="BN58" s="4">
        <v>5.0365013225478962E-2</v>
      </c>
      <c r="BO58" s="4">
        <v>5.0798823658183438E-2</v>
      </c>
      <c r="BP58" s="4"/>
      <c r="BQ58" s="4">
        <v>0.1011638368836624</v>
      </c>
      <c r="BR58" s="4">
        <v>5.05819184418312E-2</v>
      </c>
      <c r="BS58" s="4">
        <v>0.53856771691148608</v>
      </c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 t="s">
        <v>464</v>
      </c>
      <c r="CE58" s="71" t="s">
        <v>464</v>
      </c>
      <c r="CF58" s="71"/>
      <c r="CG58" s="71"/>
      <c r="CH58" s="71"/>
      <c r="CI58" s="71"/>
      <c r="CJ58" s="71"/>
      <c r="CK58" s="71"/>
    </row>
    <row r="59" spans="1:89" x14ac:dyDescent="0.3">
      <c r="A59" s="4" t="s">
        <v>16</v>
      </c>
      <c r="C59" t="s">
        <v>3939</v>
      </c>
      <c r="D59" s="29"/>
      <c r="E59" s="4">
        <v>4.0999999999999996</v>
      </c>
      <c r="F59" s="4" t="s">
        <v>9</v>
      </c>
      <c r="G59" s="30" t="s">
        <v>534</v>
      </c>
      <c r="H59" s="4" t="s">
        <v>615</v>
      </c>
      <c r="I59" s="4"/>
      <c r="J59" s="4"/>
      <c r="K59" s="4"/>
      <c r="L59" s="4"/>
      <c r="M59" t="b">
        <v>1</v>
      </c>
      <c r="N59" t="b">
        <v>1</v>
      </c>
      <c r="O59" t="b">
        <v>0</v>
      </c>
      <c r="P59" t="b">
        <v>0</v>
      </c>
      <c r="Q59" t="s">
        <v>534</v>
      </c>
      <c r="R59" t="s">
        <v>615</v>
      </c>
      <c r="T59" s="4"/>
      <c r="U59" s="31">
        <v>6</v>
      </c>
      <c r="V59" s="4">
        <v>12</v>
      </c>
      <c r="W59" s="4">
        <v>0</v>
      </c>
      <c r="X59" s="4"/>
      <c r="Y59" s="4"/>
      <c r="Z59" s="4"/>
      <c r="AA59" s="4"/>
      <c r="AB59" s="4"/>
      <c r="AC59" s="31">
        <v>9.2906580000000005</v>
      </c>
      <c r="AD59" s="31">
        <v>9.8537374799999977</v>
      </c>
      <c r="AE59" s="31">
        <v>14.19785074</v>
      </c>
      <c r="AF59" s="4">
        <v>21.14</v>
      </c>
      <c r="AG59" s="4">
        <v>21.14</v>
      </c>
      <c r="AH59" s="4">
        <v>3.9169999999999998</v>
      </c>
      <c r="AI59" s="4">
        <v>0</v>
      </c>
      <c r="AJ59" s="4"/>
      <c r="AK59" s="4"/>
      <c r="AL59" s="4"/>
      <c r="AM59" s="4">
        <v>12</v>
      </c>
      <c r="AN59" s="4">
        <f t="shared" si="1"/>
        <v>0</v>
      </c>
      <c r="AO59" s="31">
        <v>1160.7096237378021</v>
      </c>
      <c r="AP59" s="4">
        <v>1515.9824344215051</v>
      </c>
      <c r="AQ59" s="4">
        <v>0</v>
      </c>
      <c r="AR59" s="4"/>
      <c r="AS59" s="31">
        <v>6.2031018376620617E-2</v>
      </c>
      <c r="AT59" s="4">
        <v>9.4987907993109438E-2</v>
      </c>
      <c r="AU59" s="4"/>
      <c r="AV59" s="4">
        <v>2</v>
      </c>
      <c r="AW59" s="4">
        <v>2.666666666666667</v>
      </c>
      <c r="AX59" s="4">
        <v>0.66666666666666663</v>
      </c>
      <c r="AY59" s="4">
        <v>3.1111111111111112</v>
      </c>
      <c r="AZ59" s="4">
        <v>0.23684210526315791</v>
      </c>
      <c r="BA59" s="4">
        <v>0.31578947368421051</v>
      </c>
      <c r="BB59" s="4">
        <v>7.8947368421052627E-2</v>
      </c>
      <c r="BC59" s="4">
        <v>0.36842105263157893</v>
      </c>
      <c r="BD59" s="31">
        <v>0.89</v>
      </c>
      <c r="BE59" s="31">
        <v>3.44</v>
      </c>
      <c r="BF59" s="31">
        <v>2.5499999999999998</v>
      </c>
      <c r="BG59" s="31">
        <v>2.7255555555555562</v>
      </c>
      <c r="BH59" s="4">
        <v>2.7255555555555548</v>
      </c>
      <c r="BI59" s="4">
        <v>6.1987019111111108</v>
      </c>
      <c r="BJ59" s="4">
        <v>0.35206135737794247</v>
      </c>
      <c r="BK59" s="4">
        <v>0.53911047565759851</v>
      </c>
      <c r="BL59" s="4"/>
      <c r="BM59" s="4"/>
      <c r="BN59" s="4">
        <v>3.1015509188310308E-2</v>
      </c>
      <c r="BO59" s="4">
        <v>4.7493953996554719E-2</v>
      </c>
      <c r="BP59" s="4"/>
      <c r="BQ59" s="4">
        <v>7.8509463184865028E-2</v>
      </c>
      <c r="BR59" s="4">
        <v>3.9254731592432507E-2</v>
      </c>
      <c r="BS59" s="4">
        <v>0.44558591651777052</v>
      </c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 t="s">
        <v>464</v>
      </c>
      <c r="CE59" s="71" t="s">
        <v>464</v>
      </c>
      <c r="CF59" s="71"/>
      <c r="CG59" s="71"/>
      <c r="CH59" s="71"/>
      <c r="CI59" s="71"/>
      <c r="CJ59" s="71"/>
      <c r="CK59" s="71"/>
    </row>
    <row r="60" spans="1:89" x14ac:dyDescent="0.3">
      <c r="A60" t="s">
        <v>17</v>
      </c>
      <c r="C60" t="s">
        <v>3940</v>
      </c>
      <c r="D60" s="12"/>
      <c r="E60">
        <v>3.67</v>
      </c>
      <c r="F60" t="s">
        <v>117</v>
      </c>
      <c r="G60" s="8" t="s">
        <v>535</v>
      </c>
      <c r="H60" t="s">
        <v>616</v>
      </c>
      <c r="M60" t="b">
        <v>1</v>
      </c>
      <c r="N60" t="b">
        <v>1</v>
      </c>
      <c r="O60" t="b">
        <v>0</v>
      </c>
      <c r="P60" t="b">
        <v>0</v>
      </c>
      <c r="Q60" t="s">
        <v>535</v>
      </c>
      <c r="R60" t="s">
        <v>616</v>
      </c>
      <c r="T60">
        <v>2</v>
      </c>
      <c r="U60" s="20">
        <v>1</v>
      </c>
      <c r="V60">
        <v>4</v>
      </c>
      <c r="W60">
        <v>0</v>
      </c>
      <c r="X60">
        <v>5.4669999999999996</v>
      </c>
      <c r="Y60">
        <v>5.4269999999999996</v>
      </c>
      <c r="Z60">
        <v>24.931000000000001</v>
      </c>
      <c r="AA60" t="s">
        <v>450</v>
      </c>
      <c r="AB60">
        <v>12.4655</v>
      </c>
      <c r="AC60" s="20">
        <v>13.46934785</v>
      </c>
      <c r="AD60" s="20">
        <v>13.46934785</v>
      </c>
      <c r="AE60" s="20">
        <v>13.46934785</v>
      </c>
      <c r="AF60">
        <v>5.4659000000000004</v>
      </c>
      <c r="AG60">
        <v>5.4318</v>
      </c>
      <c r="AH60">
        <v>24.9619</v>
      </c>
      <c r="AI60">
        <v>0</v>
      </c>
      <c r="AL60">
        <v>2</v>
      </c>
      <c r="AM60">
        <v>18</v>
      </c>
      <c r="AN60" s="44">
        <f t="shared" si="1"/>
        <v>739.68803577899985</v>
      </c>
      <c r="AO60" s="46">
        <v>189.22149105491849</v>
      </c>
      <c r="AP60" s="44">
        <v>741.11071385887806</v>
      </c>
      <c r="AQ60" s="44">
        <v>0</v>
      </c>
      <c r="AR60" s="41"/>
      <c r="AS60" s="40">
        <v>9.5126615373598261E-2</v>
      </c>
      <c r="AT60" s="41">
        <v>9.7151476363233638E-2</v>
      </c>
      <c r="AU60" s="41"/>
      <c r="AV60" s="23">
        <v>2</v>
      </c>
      <c r="AW60" s="23">
        <v>3</v>
      </c>
      <c r="AX60" s="23">
        <v>1.857142857142857</v>
      </c>
      <c r="AY60" s="23">
        <v>4</v>
      </c>
      <c r="AZ60" s="23">
        <v>0.18421052631578949</v>
      </c>
      <c r="BA60" s="23">
        <v>0.27631578947368418</v>
      </c>
      <c r="BB60" s="23">
        <v>0.1710526315789474</v>
      </c>
      <c r="BC60" s="23">
        <v>0.36842105263157893</v>
      </c>
      <c r="BD60" s="20">
        <v>1</v>
      </c>
      <c r="BE60" s="20">
        <v>3.44</v>
      </c>
      <c r="BF60" s="20">
        <v>2.44</v>
      </c>
      <c r="BG60" s="20">
        <v>2.785714285714286</v>
      </c>
      <c r="BH60">
        <v>2.785714285714286</v>
      </c>
      <c r="BI60">
        <v>6.216117408214286</v>
      </c>
      <c r="BJ60" s="64">
        <v>0.52325723799350143</v>
      </c>
      <c r="BK60" s="64"/>
      <c r="BL60" s="64"/>
      <c r="BN60">
        <v>4.7563307686799138E-2</v>
      </c>
      <c r="BO60">
        <v>4.8575738181616819E-2</v>
      </c>
      <c r="BQ60">
        <v>9.6139045868415957E-2</v>
      </c>
      <c r="BR60">
        <v>4.8069522934207978E-2</v>
      </c>
      <c r="BS60">
        <v>0.52325723799350143</v>
      </c>
      <c r="BT60" s="68" t="s">
        <v>1264</v>
      </c>
      <c r="BU60" s="68">
        <v>1334</v>
      </c>
      <c r="BV60" s="68">
        <v>54</v>
      </c>
      <c r="BX60" s="68" t="s">
        <v>464</v>
      </c>
      <c r="BY60" s="68" t="s">
        <v>464</v>
      </c>
      <c r="BZ60" s="68">
        <v>0</v>
      </c>
      <c r="CA60" s="68">
        <v>1.96</v>
      </c>
      <c r="CB60" s="68">
        <v>0.5</v>
      </c>
      <c r="CC60" s="68">
        <v>12.5</v>
      </c>
      <c r="CD60" s="68" t="s">
        <v>464</v>
      </c>
      <c r="CE60" s="68" t="s">
        <v>464</v>
      </c>
      <c r="CF60" s="68" t="s">
        <v>1266</v>
      </c>
      <c r="CG60" s="68">
        <v>350</v>
      </c>
      <c r="CI60" s="68" t="s">
        <v>1287</v>
      </c>
      <c r="CK60" s="70">
        <v>1500</v>
      </c>
    </row>
    <row r="61" spans="1:89" x14ac:dyDescent="0.3">
      <c r="A61" t="s">
        <v>51</v>
      </c>
      <c r="C61" t="s">
        <v>3941</v>
      </c>
      <c r="D61" s="12"/>
      <c r="E61">
        <v>3.64</v>
      </c>
      <c r="F61" t="s">
        <v>117</v>
      </c>
      <c r="G61" s="8" t="s">
        <v>536</v>
      </c>
      <c r="H61" t="s">
        <v>617</v>
      </c>
      <c r="M61" t="b">
        <v>1</v>
      </c>
      <c r="N61" t="b">
        <v>1</v>
      </c>
      <c r="O61" t="b">
        <v>0</v>
      </c>
      <c r="P61" t="b">
        <v>0</v>
      </c>
      <c r="Q61" t="s">
        <v>536</v>
      </c>
      <c r="R61" t="s">
        <v>617</v>
      </c>
      <c r="T61">
        <v>4</v>
      </c>
      <c r="U61" s="20">
        <v>1</v>
      </c>
      <c r="V61">
        <v>4</v>
      </c>
      <c r="W61">
        <v>0</v>
      </c>
      <c r="X61">
        <v>5.4729999999999999</v>
      </c>
      <c r="Y61">
        <v>5.5269999999999992</v>
      </c>
      <c r="Z61">
        <v>25.030999999999999</v>
      </c>
      <c r="AA61" t="s">
        <v>450</v>
      </c>
      <c r="AB61">
        <v>12.515499999999999</v>
      </c>
      <c r="AC61" s="20">
        <v>12.88926011</v>
      </c>
      <c r="AD61" s="20">
        <v>12.88926011</v>
      </c>
      <c r="AE61" s="20">
        <v>12.88926011</v>
      </c>
      <c r="AF61">
        <v>5.5223699999999996</v>
      </c>
      <c r="AG61">
        <v>5.5240799999999997</v>
      </c>
      <c r="AH61">
        <v>25.026399999999999</v>
      </c>
      <c r="AI61">
        <v>0</v>
      </c>
      <c r="AL61">
        <v>2</v>
      </c>
      <c r="AM61">
        <v>18</v>
      </c>
      <c r="AN61" s="44">
        <f t="shared" si="1"/>
        <v>757.16950240099993</v>
      </c>
      <c r="AO61" s="46">
        <v>195.03203980213701</v>
      </c>
      <c r="AP61" s="44">
        <v>763.45570050087724</v>
      </c>
      <c r="AQ61" s="44">
        <v>0</v>
      </c>
      <c r="AR61" s="41"/>
      <c r="AS61" s="40">
        <v>9.2292528029042184E-2</v>
      </c>
      <c r="AT61" s="41">
        <v>9.4308025930991482E-2</v>
      </c>
      <c r="AU61" s="41"/>
      <c r="AV61" s="23">
        <v>2</v>
      </c>
      <c r="AW61" s="23">
        <v>3</v>
      </c>
      <c r="AX61" s="23">
        <v>1.857142857142857</v>
      </c>
      <c r="AY61" s="23">
        <v>4</v>
      </c>
      <c r="AZ61" s="23">
        <v>0.18421052631578949</v>
      </c>
      <c r="BA61" s="23">
        <v>0.27631578947368418</v>
      </c>
      <c r="BB61" s="23">
        <v>0.1710526315789474</v>
      </c>
      <c r="BC61" s="23">
        <v>0.36842105263157893</v>
      </c>
      <c r="BD61" s="20">
        <v>0.95</v>
      </c>
      <c r="BE61" s="20">
        <v>3.44</v>
      </c>
      <c r="BF61" s="20">
        <v>2.4900000000000002</v>
      </c>
      <c r="BG61" s="20">
        <v>2.782142857142857</v>
      </c>
      <c r="BH61">
        <v>2.7821428571428579</v>
      </c>
      <c r="BI61">
        <v>6.2021612289285706</v>
      </c>
      <c r="BJ61" s="64">
        <v>0.52524560229640982</v>
      </c>
      <c r="BK61" s="64">
        <v>0.53671599358424449</v>
      </c>
      <c r="BL61" s="64"/>
      <c r="BN61">
        <v>4.6146264014521092E-2</v>
      </c>
      <c r="BO61">
        <v>4.7154012965495741E-2</v>
      </c>
      <c r="BQ61">
        <v>9.3300276980016833E-2</v>
      </c>
      <c r="BR61">
        <v>4.6650138490008423E-2</v>
      </c>
      <c r="BS61">
        <v>0.53098079794032715</v>
      </c>
      <c r="BT61" s="68" t="s">
        <v>1264</v>
      </c>
      <c r="BU61" s="68">
        <v>1334</v>
      </c>
      <c r="BV61" s="68">
        <v>54</v>
      </c>
      <c r="BX61" s="68" t="s">
        <v>464</v>
      </c>
      <c r="BY61" s="68" t="s">
        <v>464</v>
      </c>
      <c r="BZ61" s="68">
        <v>0</v>
      </c>
      <c r="CA61" s="68">
        <v>2.36</v>
      </c>
      <c r="CB61" s="68">
        <v>0.5</v>
      </c>
      <c r="CC61" s="68">
        <v>12.5</v>
      </c>
      <c r="CD61" s="68" t="s">
        <v>464</v>
      </c>
      <c r="CE61" s="68" t="s">
        <v>464</v>
      </c>
      <c r="CF61" s="68" t="s">
        <v>1266</v>
      </c>
      <c r="CG61" s="68">
        <v>350</v>
      </c>
      <c r="CI61" s="68" t="s">
        <v>1287</v>
      </c>
      <c r="CK61" s="70">
        <v>11299.999999999998</v>
      </c>
    </row>
    <row r="62" spans="1:89" x14ac:dyDescent="0.3">
      <c r="A62" t="s">
        <v>18</v>
      </c>
      <c r="C62" t="s">
        <v>3942</v>
      </c>
      <c r="D62" s="12"/>
      <c r="E62">
        <v>3.52</v>
      </c>
      <c r="F62" t="s">
        <v>117</v>
      </c>
      <c r="G62" s="8" t="s">
        <v>537</v>
      </c>
      <c r="H62" t="s">
        <v>618</v>
      </c>
      <c r="M62" t="b">
        <v>1</v>
      </c>
      <c r="N62" t="b">
        <v>1</v>
      </c>
      <c r="O62" t="b">
        <v>0</v>
      </c>
      <c r="P62" t="b">
        <v>0</v>
      </c>
      <c r="Q62" t="s">
        <v>537</v>
      </c>
      <c r="R62" t="s">
        <v>618</v>
      </c>
      <c r="U62" s="20">
        <v>1</v>
      </c>
      <c r="V62">
        <v>1</v>
      </c>
      <c r="W62">
        <v>0</v>
      </c>
      <c r="X62">
        <v>3.9539999999999997</v>
      </c>
      <c r="Y62">
        <v>3.9539999999999997</v>
      </c>
      <c r="Z62">
        <v>25.487000000000002</v>
      </c>
      <c r="AA62" t="s">
        <v>440</v>
      </c>
      <c r="AB62">
        <v>12.743500000000001</v>
      </c>
      <c r="AC62" s="20">
        <v>12.939761450000001</v>
      </c>
      <c r="AD62" s="20">
        <v>12.939761450000001</v>
      </c>
      <c r="AE62" s="20">
        <v>12.939761450000001</v>
      </c>
      <c r="AF62">
        <v>3.9355000000000002</v>
      </c>
      <c r="AG62">
        <v>3.9355000000000002</v>
      </c>
      <c r="AH62">
        <v>25.5686</v>
      </c>
      <c r="AI62">
        <v>0</v>
      </c>
      <c r="AL62">
        <v>2</v>
      </c>
      <c r="AM62">
        <v>18</v>
      </c>
      <c r="AN62" s="44">
        <f t="shared" si="1"/>
        <v>398.46671449199999</v>
      </c>
      <c r="AO62" s="46">
        <v>198.96095988642259</v>
      </c>
      <c r="AP62" s="44">
        <v>396.01057416815007</v>
      </c>
      <c r="AQ62" s="44">
        <v>0</v>
      </c>
      <c r="AR62" s="41"/>
      <c r="AS62" s="40">
        <v>9.047000984653146E-2</v>
      </c>
      <c r="AT62" s="41">
        <v>4.5453331739462637E-2</v>
      </c>
      <c r="AU62" s="41"/>
      <c r="AV62" s="23">
        <v>2</v>
      </c>
      <c r="AW62" s="23">
        <v>3</v>
      </c>
      <c r="AX62" s="23">
        <v>1.857142857142857</v>
      </c>
      <c r="AY62" s="23">
        <v>4</v>
      </c>
      <c r="AZ62" s="23">
        <v>0.18421052631578949</v>
      </c>
      <c r="BA62" s="23">
        <v>0.27631578947368418</v>
      </c>
      <c r="BB62" s="23">
        <v>0.1710526315789474</v>
      </c>
      <c r="BC62" s="23">
        <v>0.36842105263157893</v>
      </c>
      <c r="BD62" s="20">
        <v>0.89</v>
      </c>
      <c r="BE62" s="20">
        <v>3.44</v>
      </c>
      <c r="BF62" s="20">
        <v>2.5499999999999998</v>
      </c>
      <c r="BG62" s="20">
        <v>2.777857142857143</v>
      </c>
      <c r="BH62">
        <v>2.777857142857143</v>
      </c>
      <c r="BI62">
        <v>6.1882096985714297</v>
      </c>
      <c r="BJ62" s="64">
        <v>0.53609483093200738</v>
      </c>
      <c r="BK62" s="64"/>
      <c r="BL62" s="64"/>
      <c r="BN62">
        <v>4.5235004923265723E-2</v>
      </c>
      <c r="BO62">
        <v>2.2726665869731318E-2</v>
      </c>
      <c r="BQ62">
        <v>6.7961670792997045E-2</v>
      </c>
      <c r="BR62">
        <v>3.3980835396498522E-2</v>
      </c>
      <c r="BS62">
        <v>0.53609483093200738</v>
      </c>
      <c r="BT62" s="68" t="s">
        <v>1264</v>
      </c>
      <c r="BU62" s="68">
        <v>1273</v>
      </c>
      <c r="BV62" s="68">
        <v>72</v>
      </c>
      <c r="BX62" s="68" t="s">
        <v>464</v>
      </c>
      <c r="BY62" s="68" t="s">
        <v>464</v>
      </c>
      <c r="BZ62" s="68">
        <v>0</v>
      </c>
      <c r="CA62" s="68">
        <v>2.1800000000000002</v>
      </c>
      <c r="CB62" s="68">
        <v>0.5</v>
      </c>
      <c r="CC62" s="68">
        <v>12.5</v>
      </c>
      <c r="CD62" s="68" t="s">
        <v>464</v>
      </c>
      <c r="CE62" s="68" t="s">
        <v>464</v>
      </c>
      <c r="CF62" s="68" t="s">
        <v>1266</v>
      </c>
      <c r="CG62" s="68">
        <v>350</v>
      </c>
      <c r="CI62" s="68" t="s">
        <v>1287</v>
      </c>
      <c r="CK62" s="70">
        <v>550</v>
      </c>
    </row>
    <row r="63" spans="1:89" x14ac:dyDescent="0.3">
      <c r="A63" t="s">
        <v>19</v>
      </c>
      <c r="C63" t="s">
        <v>3943</v>
      </c>
      <c r="D63" s="12"/>
      <c r="E63">
        <v>3.46</v>
      </c>
      <c r="F63" t="s">
        <v>435</v>
      </c>
      <c r="G63" s="8" t="s">
        <v>538</v>
      </c>
      <c r="H63">
        <v>-1</v>
      </c>
      <c r="M63" t="b">
        <v>1</v>
      </c>
      <c r="N63" t="b">
        <v>0</v>
      </c>
      <c r="O63" t="b">
        <v>0</v>
      </c>
      <c r="P63" t="b">
        <v>0</v>
      </c>
      <c r="Q63" t="s">
        <v>538</v>
      </c>
      <c r="R63">
        <v>-1</v>
      </c>
      <c r="U63" s="20">
        <v>1</v>
      </c>
      <c r="V63">
        <v>0</v>
      </c>
      <c r="W63">
        <v>0</v>
      </c>
      <c r="X63" t="s">
        <v>464</v>
      </c>
      <c r="Y63" t="s">
        <v>464</v>
      </c>
      <c r="Z63" t="s">
        <v>464</v>
      </c>
      <c r="AA63" t="s">
        <v>450</v>
      </c>
      <c r="AC63" s="20">
        <v>13.83861243</v>
      </c>
      <c r="AD63" s="20">
        <v>13.83861243</v>
      </c>
      <c r="AE63" s="20">
        <v>13.83861243</v>
      </c>
      <c r="AF63">
        <v>0</v>
      </c>
      <c r="AI63">
        <v>0</v>
      </c>
      <c r="AL63">
        <v>2</v>
      </c>
      <c r="AM63">
        <v>18</v>
      </c>
      <c r="AN63" s="44" t="e">
        <f t="shared" si="1"/>
        <v>#VALUE!</v>
      </c>
      <c r="AO63" s="46">
        <v>208.2630581553295</v>
      </c>
      <c r="AP63" s="44">
        <v>0</v>
      </c>
      <c r="AQ63" s="44">
        <v>0</v>
      </c>
      <c r="AR63" s="41"/>
      <c r="AS63" s="40">
        <v>8.6429154356194082E-2</v>
      </c>
      <c r="AT63" s="41"/>
      <c r="AU63" s="41"/>
      <c r="AV63" s="23">
        <v>1.857142857142857</v>
      </c>
      <c r="AW63" s="23">
        <v>3</v>
      </c>
      <c r="AX63" s="23">
        <v>2</v>
      </c>
      <c r="AY63" s="23">
        <v>2</v>
      </c>
      <c r="AZ63" s="23">
        <v>0.20967741935483869</v>
      </c>
      <c r="BA63" s="23">
        <v>0.33870967741935482</v>
      </c>
      <c r="BB63" s="23">
        <v>0.22580645161290319</v>
      </c>
      <c r="BC63" s="23">
        <v>0.22580645161290319</v>
      </c>
      <c r="BD63" s="20">
        <v>1</v>
      </c>
      <c r="BE63" s="20">
        <v>3.44</v>
      </c>
      <c r="BF63" s="20">
        <v>2.44</v>
      </c>
      <c r="BG63" s="20">
        <v>2.8</v>
      </c>
      <c r="BH63">
        <v>2.8</v>
      </c>
      <c r="BI63">
        <v>6.2020864082142868</v>
      </c>
      <c r="BJ63" s="64">
        <v>0.47541563854575991</v>
      </c>
      <c r="BK63" s="64"/>
      <c r="BL63" s="64"/>
      <c r="BN63">
        <v>4.3214577178097048E-2</v>
      </c>
      <c r="BQ63">
        <v>8.6429154356194082E-2</v>
      </c>
      <c r="BR63">
        <v>4.3214577178097048E-2</v>
      </c>
      <c r="BS63">
        <v>0.47541563854575991</v>
      </c>
      <c r="BT63" s="68" t="s">
        <v>1264</v>
      </c>
      <c r="BU63" s="68">
        <v>1334</v>
      </c>
      <c r="BV63" s="68">
        <v>54</v>
      </c>
      <c r="BX63" s="68" t="s">
        <v>464</v>
      </c>
      <c r="BY63" s="68" t="s">
        <v>464</v>
      </c>
      <c r="BZ63" s="68">
        <v>0</v>
      </c>
      <c r="CB63" s="68">
        <v>0.5</v>
      </c>
      <c r="CC63" s="68">
        <v>12.5</v>
      </c>
      <c r="CD63" s="68" t="s">
        <v>464</v>
      </c>
      <c r="CE63" s="68" t="s">
        <v>464</v>
      </c>
      <c r="CF63" s="68" t="s">
        <v>1266</v>
      </c>
      <c r="CG63" s="68">
        <v>350</v>
      </c>
      <c r="CI63" s="68" t="s">
        <v>1287</v>
      </c>
      <c r="CK63" s="70">
        <v>580</v>
      </c>
    </row>
    <row r="64" spans="1:89" x14ac:dyDescent="0.3">
      <c r="A64" t="s">
        <v>20</v>
      </c>
      <c r="C64" t="s">
        <v>3944</v>
      </c>
      <c r="D64" s="12"/>
      <c r="E64">
        <v>3.43</v>
      </c>
      <c r="F64" t="s">
        <v>435</v>
      </c>
      <c r="G64" s="8" t="s">
        <v>539</v>
      </c>
      <c r="H64" t="s">
        <v>619</v>
      </c>
      <c r="M64" t="b">
        <v>1</v>
      </c>
      <c r="N64" t="b">
        <v>1</v>
      </c>
      <c r="O64" t="b">
        <v>0</v>
      </c>
      <c r="P64" t="b">
        <v>0</v>
      </c>
      <c r="Q64" t="s">
        <v>539</v>
      </c>
      <c r="R64" t="s">
        <v>619</v>
      </c>
      <c r="T64" s="1">
        <v>4</v>
      </c>
      <c r="U64" s="20">
        <v>2</v>
      </c>
      <c r="V64">
        <v>4</v>
      </c>
      <c r="W64">
        <v>0</v>
      </c>
      <c r="X64" s="1">
        <v>5.4729999999999999</v>
      </c>
      <c r="Y64" s="1">
        <v>5.5269999999999992</v>
      </c>
      <c r="Z64" s="1">
        <v>25.030999999999999</v>
      </c>
      <c r="AA64" t="s">
        <v>450</v>
      </c>
      <c r="AB64" s="1">
        <v>12.515499999999999</v>
      </c>
      <c r="AC64" s="20">
        <v>13.01244535</v>
      </c>
      <c r="AD64" s="20">
        <v>13.01244535</v>
      </c>
      <c r="AE64" s="20">
        <v>5.6884839999999999</v>
      </c>
      <c r="AF64">
        <v>5.5060000000000002</v>
      </c>
      <c r="AG64">
        <v>5.5060000000000002</v>
      </c>
      <c r="AH64">
        <v>25</v>
      </c>
      <c r="AI64">
        <v>0</v>
      </c>
      <c r="AL64">
        <v>2</v>
      </c>
      <c r="AM64">
        <v>18</v>
      </c>
      <c r="AN64" s="44">
        <f t="shared" si="1"/>
        <v>757.16950240099993</v>
      </c>
      <c r="AO64" s="46">
        <v>408.08048566890238</v>
      </c>
      <c r="AP64" s="44">
        <v>757.90090000000009</v>
      </c>
      <c r="AQ64" s="44">
        <v>0</v>
      </c>
      <c r="AR64" s="41"/>
      <c r="AS64" s="40">
        <v>8.8217891480379992E-2</v>
      </c>
      <c r="AT64" s="41">
        <v>9.4999227471559922E-2</v>
      </c>
      <c r="AU64" s="41"/>
      <c r="AV64" s="23">
        <v>1.857142857142857</v>
      </c>
      <c r="AW64" s="23">
        <v>3</v>
      </c>
      <c r="AX64" s="23">
        <v>2</v>
      </c>
      <c r="AY64" s="23">
        <v>2</v>
      </c>
      <c r="AZ64" s="23">
        <v>0.20967741935483869</v>
      </c>
      <c r="BA64" s="23">
        <v>0.33870967741935482</v>
      </c>
      <c r="BB64" s="23">
        <v>0.22580645161290319</v>
      </c>
      <c r="BC64" s="23">
        <v>0.22580645161290319</v>
      </c>
      <c r="BD64" s="20">
        <v>0.95</v>
      </c>
      <c r="BE64" s="20">
        <v>3.44</v>
      </c>
      <c r="BF64" s="20">
        <v>2.4900000000000002</v>
      </c>
      <c r="BG64" s="20">
        <v>2.7964285714285722</v>
      </c>
      <c r="BH64">
        <v>2.7964285714285722</v>
      </c>
      <c r="BI64">
        <v>6.1881302289285713</v>
      </c>
      <c r="BJ64" s="64">
        <v>0.50205645606923555</v>
      </c>
      <c r="BK64" s="64">
        <v>0.54064968764634491</v>
      </c>
      <c r="BL64" s="64"/>
      <c r="BN64">
        <v>4.4108945740190003E-2</v>
      </c>
      <c r="BO64">
        <v>4.7499613735779961E-2</v>
      </c>
      <c r="BQ64">
        <v>9.1608559475969964E-2</v>
      </c>
      <c r="BR64">
        <v>4.5804279737984982E-2</v>
      </c>
      <c r="BS64">
        <v>0.52135307185779023</v>
      </c>
      <c r="BT64" s="68" t="s">
        <v>1264</v>
      </c>
      <c r="BU64" s="68">
        <v>1334</v>
      </c>
      <c r="BV64" s="68">
        <v>54</v>
      </c>
      <c r="BX64" s="68" t="s">
        <v>464</v>
      </c>
      <c r="BY64" s="68" t="s">
        <v>464</v>
      </c>
      <c r="BZ64" s="68">
        <v>0</v>
      </c>
      <c r="CB64" s="68">
        <v>0.5</v>
      </c>
      <c r="CC64" s="68">
        <v>12.5</v>
      </c>
      <c r="CD64" s="68" t="s">
        <v>464</v>
      </c>
      <c r="CE64" s="68" t="s">
        <v>464</v>
      </c>
      <c r="CF64" s="68" t="s">
        <v>1266</v>
      </c>
      <c r="CG64" s="68">
        <v>350</v>
      </c>
      <c r="CI64" s="68" t="s">
        <v>1287</v>
      </c>
      <c r="CK64" s="70">
        <v>3660</v>
      </c>
    </row>
    <row r="65" spans="1:89" x14ac:dyDescent="0.3">
      <c r="A65" t="s">
        <v>21</v>
      </c>
      <c r="C65" t="s">
        <v>3945</v>
      </c>
      <c r="D65" s="12"/>
      <c r="E65">
        <v>3.3</v>
      </c>
      <c r="F65" t="s">
        <v>435</v>
      </c>
      <c r="G65" s="8" t="s">
        <v>540</v>
      </c>
      <c r="H65" t="s">
        <v>620</v>
      </c>
      <c r="M65" t="b">
        <v>1</v>
      </c>
      <c r="N65" t="b">
        <v>1</v>
      </c>
      <c r="O65" t="b">
        <v>0</v>
      </c>
      <c r="P65" t="b">
        <v>0</v>
      </c>
      <c r="Q65" t="s">
        <v>540</v>
      </c>
      <c r="R65" t="s">
        <v>620</v>
      </c>
      <c r="U65" s="20">
        <v>2</v>
      </c>
      <c r="V65">
        <v>2</v>
      </c>
      <c r="W65">
        <v>0</v>
      </c>
      <c r="X65" t="s">
        <v>464</v>
      </c>
      <c r="Y65" t="s">
        <v>464</v>
      </c>
      <c r="Z65" t="s">
        <v>464</v>
      </c>
      <c r="AA65" t="s">
        <v>440</v>
      </c>
      <c r="AC65" s="20">
        <v>13.052871550000001</v>
      </c>
      <c r="AD65" s="20">
        <v>13.052871550000001</v>
      </c>
      <c r="AE65" s="20">
        <v>5.7602650000000004</v>
      </c>
      <c r="AF65">
        <v>3.9390000000000001</v>
      </c>
      <c r="AG65">
        <v>3.9390000000000001</v>
      </c>
      <c r="AH65">
        <v>25.636399999999998</v>
      </c>
      <c r="AI65">
        <v>0</v>
      </c>
      <c r="AL65">
        <v>2</v>
      </c>
      <c r="AM65">
        <v>18</v>
      </c>
      <c r="AN65" s="44" t="e">
        <f t="shared" si="1"/>
        <v>#VALUE!</v>
      </c>
      <c r="AO65" s="46">
        <v>419.87909289623292</v>
      </c>
      <c r="AP65" s="44">
        <v>397.76722984439999</v>
      </c>
      <c r="AQ65" s="44">
        <v>0</v>
      </c>
      <c r="AR65" s="41"/>
      <c r="AS65" s="40">
        <v>8.5738967738736363E-2</v>
      </c>
      <c r="AT65" s="41">
        <v>9.0505193235960166E-2</v>
      </c>
      <c r="AU65" s="41"/>
      <c r="AV65" s="23">
        <v>1.857142857142857</v>
      </c>
      <c r="AW65" s="23">
        <v>3</v>
      </c>
      <c r="AX65" s="23">
        <v>2</v>
      </c>
      <c r="AY65" s="23">
        <v>2</v>
      </c>
      <c r="AZ65" s="23">
        <v>0.20967741935483869</v>
      </c>
      <c r="BA65" s="23">
        <v>0.33870967741935482</v>
      </c>
      <c r="BB65" s="23">
        <v>0.22580645161290319</v>
      </c>
      <c r="BC65" s="23">
        <v>0.22580645161290319</v>
      </c>
      <c r="BD65" s="20">
        <v>0.89</v>
      </c>
      <c r="BE65" s="20">
        <v>3.44</v>
      </c>
      <c r="BF65" s="20">
        <v>2.5499999999999998</v>
      </c>
      <c r="BG65" s="20">
        <v>2.7921428571428568</v>
      </c>
      <c r="BH65">
        <v>2.7921428571428568</v>
      </c>
      <c r="BI65">
        <v>6.1741786985714304</v>
      </c>
      <c r="BJ65" s="64">
        <v>0.50806026761966716</v>
      </c>
      <c r="BK65" s="64">
        <v>0</v>
      </c>
      <c r="BL65" s="64"/>
      <c r="BN65">
        <v>4.2869483869368182E-2</v>
      </c>
      <c r="BO65">
        <v>4.5252596617980083E-2</v>
      </c>
      <c r="BQ65">
        <v>8.8122080487348264E-2</v>
      </c>
      <c r="BR65">
        <v>4.4061040243674132E-2</v>
      </c>
      <c r="BS65">
        <v>0.25403013380983358</v>
      </c>
      <c r="BT65" s="68" t="s">
        <v>1264</v>
      </c>
      <c r="BU65" s="68">
        <v>1334</v>
      </c>
      <c r="BV65" s="68">
        <v>54</v>
      </c>
      <c r="BX65" s="68" t="s">
        <v>464</v>
      </c>
      <c r="BY65" s="68" t="s">
        <v>464</v>
      </c>
      <c r="BZ65" s="68">
        <v>0</v>
      </c>
      <c r="CB65" s="68">
        <v>0.5</v>
      </c>
      <c r="CC65" s="68">
        <v>12.5</v>
      </c>
      <c r="CD65" s="68" t="s">
        <v>464</v>
      </c>
      <c r="CE65" s="68" t="s">
        <v>464</v>
      </c>
      <c r="CF65" s="68" t="s">
        <v>1266</v>
      </c>
      <c r="CG65" s="68">
        <v>350</v>
      </c>
      <c r="CI65" s="68" t="s">
        <v>1287</v>
      </c>
      <c r="CK65" s="70">
        <v>1130</v>
      </c>
    </row>
    <row r="66" spans="1:89" x14ac:dyDescent="0.3">
      <c r="A66" t="s">
        <v>22</v>
      </c>
      <c r="C66" t="s">
        <v>3946</v>
      </c>
      <c r="D66" s="12"/>
      <c r="E66">
        <v>2.74</v>
      </c>
      <c r="F66" t="s">
        <v>213</v>
      </c>
      <c r="G66" s="25" t="s">
        <v>541</v>
      </c>
      <c r="H66" t="s">
        <v>621</v>
      </c>
      <c r="J66" t="s">
        <v>1731</v>
      </c>
      <c r="K66" t="s">
        <v>1731</v>
      </c>
      <c r="M66" t="b">
        <v>1</v>
      </c>
      <c r="N66" t="b">
        <v>1</v>
      </c>
      <c r="O66" t="b">
        <v>0</v>
      </c>
      <c r="P66" t="b">
        <v>0</v>
      </c>
      <c r="Q66" t="s">
        <v>1874</v>
      </c>
      <c r="R66" t="s">
        <v>1875</v>
      </c>
      <c r="U66" s="20">
        <v>0</v>
      </c>
      <c r="V66">
        <v>4</v>
      </c>
      <c r="W66">
        <v>0</v>
      </c>
      <c r="AC66" s="20">
        <v>0</v>
      </c>
      <c r="AD66" s="20"/>
      <c r="AE66" s="20"/>
      <c r="AF66">
        <v>5.5453000000000001</v>
      </c>
      <c r="AG66">
        <v>5.5453000000000001</v>
      </c>
      <c r="AH66">
        <v>25.686699999999998</v>
      </c>
      <c r="AI66">
        <v>0</v>
      </c>
      <c r="AL66" t="s">
        <v>464</v>
      </c>
      <c r="AM66">
        <v>18</v>
      </c>
      <c r="AN66" s="44">
        <f t="shared" si="1"/>
        <v>0</v>
      </c>
      <c r="AO66" s="46">
        <v>0</v>
      </c>
      <c r="AP66" s="44">
        <v>789.87506903020289</v>
      </c>
      <c r="AQ66" s="44">
        <v>0</v>
      </c>
      <c r="AR66" s="41"/>
      <c r="AS66" s="40"/>
      <c r="AT66" s="41">
        <v>9.1153655588092616E-2</v>
      </c>
      <c r="AU66" s="41"/>
      <c r="AV66" s="23">
        <v>1.871428571428571</v>
      </c>
      <c r="AW66" s="23">
        <v>3.1428571428571428</v>
      </c>
      <c r="AX66" s="23">
        <v>2.714285714285714</v>
      </c>
      <c r="AY66" s="23">
        <v>3.2</v>
      </c>
      <c r="AZ66" s="23">
        <v>0.17124183006535951</v>
      </c>
      <c r="BA66" s="23">
        <v>0.28758169934640521</v>
      </c>
      <c r="BB66" s="23">
        <v>0.2483660130718954</v>
      </c>
      <c r="BC66" s="23">
        <v>0.29281045751633977</v>
      </c>
      <c r="BD66" s="20">
        <v>1.6</v>
      </c>
      <c r="BE66" s="20">
        <v>3.44</v>
      </c>
      <c r="BF66" s="20">
        <v>1.84</v>
      </c>
      <c r="BG66" s="20">
        <v>2.9058571428571431</v>
      </c>
      <c r="BH66">
        <v>2.9058571428571431</v>
      </c>
      <c r="BI66">
        <v>6.2676757950000006</v>
      </c>
      <c r="BJ66" s="64">
        <v>0.51995616258071919</v>
      </c>
      <c r="BK66" s="64">
        <v>0.51988140722208986</v>
      </c>
      <c r="BL66" s="64"/>
      <c r="BO66">
        <v>4.5576827794046308E-2</v>
      </c>
      <c r="BQ66">
        <v>9.1153655588092616E-2</v>
      </c>
      <c r="BR66">
        <v>4.5576827794046308E-2</v>
      </c>
      <c r="BS66">
        <v>0.51991878490140453</v>
      </c>
      <c r="BT66" s="68" t="s">
        <v>1264</v>
      </c>
      <c r="BU66" s="68">
        <v>1323</v>
      </c>
      <c r="BV66" s="68">
        <v>24</v>
      </c>
      <c r="BX66" s="68" t="s">
        <v>1268</v>
      </c>
      <c r="BY66" s="68" t="s">
        <v>863</v>
      </c>
      <c r="BZ66" s="68">
        <v>0.1</v>
      </c>
      <c r="CB66" s="68">
        <v>1.5</v>
      </c>
      <c r="CC66" s="68">
        <v>15</v>
      </c>
      <c r="CD66" s="68" t="s">
        <v>464</v>
      </c>
      <c r="CE66" s="68" t="s">
        <v>464</v>
      </c>
      <c r="CF66" s="68" t="s">
        <v>1271</v>
      </c>
      <c r="CG66" s="68">
        <v>450</v>
      </c>
      <c r="CH66" s="68">
        <v>420</v>
      </c>
      <c r="CK66" s="70">
        <v>11.7</v>
      </c>
    </row>
    <row r="67" spans="1:89" x14ac:dyDescent="0.3">
      <c r="A67" t="s">
        <v>23</v>
      </c>
      <c r="C67" t="s">
        <v>3947</v>
      </c>
      <c r="D67" s="12"/>
      <c r="E67">
        <v>2.74</v>
      </c>
      <c r="F67" t="s">
        <v>213</v>
      </c>
      <c r="G67" s="25" t="s">
        <v>541</v>
      </c>
      <c r="H67" t="s">
        <v>621</v>
      </c>
      <c r="J67" t="s">
        <v>1732</v>
      </c>
      <c r="K67" t="s">
        <v>1732</v>
      </c>
      <c r="M67" t="b">
        <v>1</v>
      </c>
      <c r="N67" t="b">
        <v>1</v>
      </c>
      <c r="O67" t="b">
        <v>0</v>
      </c>
      <c r="P67" t="b">
        <v>0</v>
      </c>
      <c r="Q67" t="s">
        <v>1876</v>
      </c>
      <c r="R67" t="s">
        <v>1877</v>
      </c>
      <c r="U67" s="20">
        <v>0</v>
      </c>
      <c r="V67">
        <v>4</v>
      </c>
      <c r="W67">
        <v>0</v>
      </c>
      <c r="AC67" s="20">
        <v>0</v>
      </c>
      <c r="AD67" s="20"/>
      <c r="AE67" s="20"/>
      <c r="AF67">
        <v>5.5453000000000001</v>
      </c>
      <c r="AG67">
        <v>5.5453000000000001</v>
      </c>
      <c r="AH67">
        <v>25.686699999999998</v>
      </c>
      <c r="AI67">
        <v>0</v>
      </c>
      <c r="AL67" t="s">
        <v>464</v>
      </c>
      <c r="AM67">
        <v>18</v>
      </c>
      <c r="AN67" s="44">
        <f t="shared" si="1"/>
        <v>0</v>
      </c>
      <c r="AO67" s="46">
        <v>0</v>
      </c>
      <c r="AP67" s="44">
        <v>789.87506903020289</v>
      </c>
      <c r="AQ67" s="44">
        <v>0</v>
      </c>
      <c r="AR67" s="41"/>
      <c r="AS67" s="40"/>
      <c r="AT67" s="41">
        <v>9.1153655588092616E-2</v>
      </c>
      <c r="AU67" s="41"/>
      <c r="AV67" s="23">
        <v>1.8678571428571431</v>
      </c>
      <c r="AW67" s="23">
        <v>3.1428571428571428</v>
      </c>
      <c r="AX67" s="23">
        <v>2.714285714285714</v>
      </c>
      <c r="AY67" s="23">
        <v>3.15</v>
      </c>
      <c r="AZ67" s="23">
        <v>0.1717569786535304</v>
      </c>
      <c r="BA67" s="23">
        <v>0.28899835796387519</v>
      </c>
      <c r="BB67" s="23">
        <v>0.24958949096880129</v>
      </c>
      <c r="BC67" s="23">
        <v>0.28965517241379313</v>
      </c>
      <c r="BD67" s="20">
        <v>1.6</v>
      </c>
      <c r="BE67" s="20">
        <v>3.44</v>
      </c>
      <c r="BF67" s="20">
        <v>1.84</v>
      </c>
      <c r="BG67" s="20">
        <v>2.903142857142857</v>
      </c>
      <c r="BH67">
        <v>2.903142857142857</v>
      </c>
      <c r="BI67">
        <v>6.2658828646428582</v>
      </c>
      <c r="BJ67" s="64">
        <v>0.51995616258071919</v>
      </c>
      <c r="BK67" s="64">
        <v>0.51988140722208986</v>
      </c>
      <c r="BL67" s="64"/>
      <c r="BO67">
        <v>4.5576827794046308E-2</v>
      </c>
      <c r="BQ67">
        <v>9.1153655588092616E-2</v>
      </c>
      <c r="BR67">
        <v>4.5576827794046308E-2</v>
      </c>
      <c r="BS67">
        <v>0.51991878490140453</v>
      </c>
      <c r="BT67" s="68" t="s">
        <v>1264</v>
      </c>
      <c r="BU67" s="68">
        <v>1323</v>
      </c>
      <c r="BV67" s="68">
        <v>24</v>
      </c>
      <c r="BX67" s="68" t="s">
        <v>1268</v>
      </c>
      <c r="BY67" s="68" t="s">
        <v>863</v>
      </c>
      <c r="BZ67" s="68">
        <v>0.1</v>
      </c>
      <c r="CB67" s="68">
        <v>1.5</v>
      </c>
      <c r="CC67" s="68">
        <v>15</v>
      </c>
      <c r="CD67" s="68" t="s">
        <v>464</v>
      </c>
      <c r="CE67" s="68" t="s">
        <v>464</v>
      </c>
      <c r="CF67" s="68" t="s">
        <v>1271</v>
      </c>
      <c r="CG67" s="68">
        <v>450</v>
      </c>
      <c r="CH67" s="68">
        <v>420</v>
      </c>
      <c r="CK67" s="70">
        <v>15.3</v>
      </c>
    </row>
    <row r="68" spans="1:89" x14ac:dyDescent="0.3">
      <c r="A68" t="s">
        <v>24</v>
      </c>
      <c r="C68" t="s">
        <v>3948</v>
      </c>
      <c r="D68" s="12"/>
      <c r="E68">
        <v>2.75</v>
      </c>
      <c r="F68" t="s">
        <v>213</v>
      </c>
      <c r="G68" s="25" t="s">
        <v>541</v>
      </c>
      <c r="H68" t="s">
        <v>621</v>
      </c>
      <c r="J68" t="s">
        <v>1733</v>
      </c>
      <c r="K68" t="s">
        <v>1733</v>
      </c>
      <c r="M68" t="b">
        <v>1</v>
      </c>
      <c r="N68" t="b">
        <v>1</v>
      </c>
      <c r="O68" t="b">
        <v>0</v>
      </c>
      <c r="P68" t="b">
        <v>0</v>
      </c>
      <c r="Q68" t="s">
        <v>1878</v>
      </c>
      <c r="R68" t="s">
        <v>1879</v>
      </c>
      <c r="U68" s="20">
        <v>0</v>
      </c>
      <c r="V68">
        <v>4</v>
      </c>
      <c r="W68">
        <v>0</v>
      </c>
      <c r="AC68" s="20">
        <v>0</v>
      </c>
      <c r="AD68" s="20"/>
      <c r="AE68" s="20"/>
      <c r="AF68">
        <v>5.5453000000000001</v>
      </c>
      <c r="AG68">
        <v>5.5453000000000001</v>
      </c>
      <c r="AH68">
        <v>25.686699999999998</v>
      </c>
      <c r="AI68">
        <v>0</v>
      </c>
      <c r="AL68" t="s">
        <v>464</v>
      </c>
      <c r="AM68">
        <v>18</v>
      </c>
      <c r="AN68" s="44">
        <f t="shared" si="1"/>
        <v>0</v>
      </c>
      <c r="AO68" s="46">
        <v>0</v>
      </c>
      <c r="AP68" s="44">
        <v>789.87506903020289</v>
      </c>
      <c r="AQ68" s="44">
        <v>0</v>
      </c>
      <c r="AR68" s="41"/>
      <c r="AS68" s="40"/>
      <c r="AT68" s="41">
        <v>9.1153655588092616E-2</v>
      </c>
      <c r="AU68" s="41"/>
      <c r="AV68" s="23">
        <v>1.8642857142857141</v>
      </c>
      <c r="AW68" s="23">
        <v>3.1428571428571428</v>
      </c>
      <c r="AX68" s="23">
        <v>2.714285714285714</v>
      </c>
      <c r="AY68" s="23">
        <v>3.1</v>
      </c>
      <c r="AZ68" s="23">
        <v>0.17227722772277229</v>
      </c>
      <c r="BA68" s="23">
        <v>0.29042904290429039</v>
      </c>
      <c r="BB68" s="23">
        <v>0.25082508250825092</v>
      </c>
      <c r="BC68" s="23">
        <v>0.28646864686468648</v>
      </c>
      <c r="BD68" s="20">
        <v>1.6</v>
      </c>
      <c r="BE68" s="20">
        <v>3.44</v>
      </c>
      <c r="BF68" s="20">
        <v>1.84</v>
      </c>
      <c r="BG68" s="20">
        <v>2.9004285714285709</v>
      </c>
      <c r="BH68">
        <v>2.9004285714285718</v>
      </c>
      <c r="BI68">
        <v>6.2640899342857157</v>
      </c>
      <c r="BJ68" s="64">
        <v>0.51995616258071919</v>
      </c>
      <c r="BK68" s="64">
        <v>0.51988140722208986</v>
      </c>
      <c r="BL68" s="64"/>
      <c r="BO68">
        <v>4.5576827794046308E-2</v>
      </c>
      <c r="BQ68">
        <v>9.1153655588092616E-2</v>
      </c>
      <c r="BR68">
        <v>4.5576827794046308E-2</v>
      </c>
      <c r="BS68">
        <v>0.51991878490140453</v>
      </c>
      <c r="BT68" s="68" t="s">
        <v>1264</v>
      </c>
      <c r="BU68" s="68">
        <v>1323</v>
      </c>
      <c r="BV68" s="68">
        <v>24</v>
      </c>
      <c r="BX68" s="68" t="s">
        <v>1268</v>
      </c>
      <c r="BY68" s="68" t="s">
        <v>863</v>
      </c>
      <c r="BZ68" s="68">
        <v>0.1</v>
      </c>
      <c r="CB68" s="68">
        <v>1.5</v>
      </c>
      <c r="CC68" s="68">
        <v>15</v>
      </c>
      <c r="CD68" s="68" t="s">
        <v>464</v>
      </c>
      <c r="CE68" s="68" t="s">
        <v>464</v>
      </c>
      <c r="CF68" s="68" t="s">
        <v>1271</v>
      </c>
      <c r="CG68" s="68">
        <v>450</v>
      </c>
      <c r="CH68" s="68">
        <v>420</v>
      </c>
      <c r="CK68" s="70">
        <v>9.1</v>
      </c>
    </row>
    <row r="69" spans="1:89" x14ac:dyDescent="0.3">
      <c r="A69" t="s">
        <v>25</v>
      </c>
      <c r="C69" t="s">
        <v>3949</v>
      </c>
      <c r="D69" s="12"/>
      <c r="E69">
        <v>2.88</v>
      </c>
      <c r="F69" t="s">
        <v>213</v>
      </c>
      <c r="G69" s="8" t="s">
        <v>541</v>
      </c>
      <c r="H69" t="s">
        <v>621</v>
      </c>
      <c r="M69" t="b">
        <v>1</v>
      </c>
      <c r="N69" t="b">
        <v>1</v>
      </c>
      <c r="O69" t="b">
        <v>0</v>
      </c>
      <c r="P69" t="b">
        <v>0</v>
      </c>
      <c r="Q69" t="s">
        <v>541</v>
      </c>
      <c r="R69" t="s">
        <v>621</v>
      </c>
      <c r="T69">
        <v>4</v>
      </c>
      <c r="U69" s="20">
        <v>1</v>
      </c>
      <c r="V69">
        <v>4</v>
      </c>
      <c r="W69">
        <v>0</v>
      </c>
      <c r="X69">
        <v>5.4960000000000004</v>
      </c>
      <c r="Y69">
        <v>5.4960000000000004</v>
      </c>
      <c r="Z69">
        <v>25.55</v>
      </c>
      <c r="AA69" t="s">
        <v>450</v>
      </c>
      <c r="AB69">
        <v>12.775</v>
      </c>
      <c r="AC69" s="20">
        <v>12.868820120000001</v>
      </c>
      <c r="AD69" s="20">
        <v>12.868820120000001</v>
      </c>
      <c r="AE69" s="20">
        <v>12.868820120000001</v>
      </c>
      <c r="AF69">
        <v>5.5453000000000001</v>
      </c>
      <c r="AG69">
        <v>5.5453000000000001</v>
      </c>
      <c r="AH69">
        <v>25.686699999999998</v>
      </c>
      <c r="AI69">
        <v>0</v>
      </c>
      <c r="AL69">
        <v>4</v>
      </c>
      <c r="AM69">
        <v>18</v>
      </c>
      <c r="AN69" s="44">
        <f t="shared" si="1"/>
        <v>771.76370880000013</v>
      </c>
      <c r="AO69" s="46">
        <v>197.4403766939285</v>
      </c>
      <c r="AP69" s="44">
        <v>789.87506903020289</v>
      </c>
      <c r="AQ69" s="44">
        <v>0</v>
      </c>
      <c r="AR69" s="41"/>
      <c r="AS69" s="40">
        <v>9.1166762854710051E-2</v>
      </c>
      <c r="AT69" s="41">
        <v>9.1153655588092616E-2</v>
      </c>
      <c r="AU69" s="41"/>
      <c r="AV69" s="23">
        <v>1.857142857142857</v>
      </c>
      <c r="AW69" s="23">
        <v>3.1428571428571428</v>
      </c>
      <c r="AX69" s="23">
        <v>2.714285714285714</v>
      </c>
      <c r="AY69" s="23">
        <v>3</v>
      </c>
      <c r="AZ69" s="23">
        <v>0.17333333333333331</v>
      </c>
      <c r="BA69" s="23">
        <v>0.29333333333333328</v>
      </c>
      <c r="BB69" s="23">
        <v>0.25333333333333341</v>
      </c>
      <c r="BC69" s="23">
        <v>0.28000000000000003</v>
      </c>
      <c r="BD69" s="20">
        <v>1.6</v>
      </c>
      <c r="BE69" s="20">
        <v>3.44</v>
      </c>
      <c r="BF69" s="20">
        <v>1.84</v>
      </c>
      <c r="BG69" s="20">
        <v>2.895</v>
      </c>
      <c r="BH69">
        <v>2.895</v>
      </c>
      <c r="BI69">
        <v>6.260504073571429</v>
      </c>
      <c r="BJ69" s="64">
        <v>0.51995616258071919</v>
      </c>
      <c r="BK69" s="64">
        <v>0.51988140722208986</v>
      </c>
      <c r="BL69" s="64"/>
      <c r="BN69">
        <v>4.5583381427355033E-2</v>
      </c>
      <c r="BO69">
        <v>4.5576827794046308E-2</v>
      </c>
      <c r="BQ69">
        <v>9.1160209221401334E-2</v>
      </c>
      <c r="BR69">
        <v>4.5580104610700667E-2</v>
      </c>
      <c r="BS69">
        <v>0.51991878490140453</v>
      </c>
      <c r="BT69" s="68" t="s">
        <v>1264</v>
      </c>
      <c r="BU69" s="68">
        <v>1323</v>
      </c>
      <c r="BV69" s="68">
        <v>24</v>
      </c>
      <c r="BX69" s="68" t="s">
        <v>1268</v>
      </c>
      <c r="BY69" s="68" t="s">
        <v>863</v>
      </c>
      <c r="BZ69" s="68">
        <v>0.1</v>
      </c>
      <c r="CB69" s="68">
        <v>1.5</v>
      </c>
      <c r="CC69" s="68">
        <v>15</v>
      </c>
      <c r="CD69" s="68" t="s">
        <v>464</v>
      </c>
      <c r="CE69" s="68" t="s">
        <v>464</v>
      </c>
      <c r="CF69" s="68" t="s">
        <v>1271</v>
      </c>
      <c r="CG69" s="68">
        <v>450</v>
      </c>
      <c r="CH69" s="68">
        <v>420</v>
      </c>
      <c r="CK69" s="70">
        <v>7.6</v>
      </c>
    </row>
    <row r="70" spans="1:89" x14ac:dyDescent="0.3">
      <c r="A70" t="s">
        <v>26</v>
      </c>
      <c r="C70" t="s">
        <v>3950</v>
      </c>
      <c r="D70" s="12"/>
      <c r="E70">
        <v>2.91</v>
      </c>
      <c r="F70" t="s">
        <v>213</v>
      </c>
      <c r="G70" s="25" t="s">
        <v>541</v>
      </c>
      <c r="H70" t="s">
        <v>621</v>
      </c>
      <c r="J70" t="s">
        <v>1734</v>
      </c>
      <c r="K70" t="s">
        <v>1734</v>
      </c>
      <c r="M70" t="b">
        <v>1</v>
      </c>
      <c r="N70" t="b">
        <v>1</v>
      </c>
      <c r="O70" t="b">
        <v>0</v>
      </c>
      <c r="P70" t="b">
        <v>0</v>
      </c>
      <c r="Q70" t="s">
        <v>1880</v>
      </c>
      <c r="R70" t="s">
        <v>1881</v>
      </c>
      <c r="U70" s="20">
        <v>0</v>
      </c>
      <c r="V70">
        <v>4</v>
      </c>
      <c r="W70">
        <v>0</v>
      </c>
      <c r="AC70" s="20">
        <v>0</v>
      </c>
      <c r="AD70" s="20"/>
      <c r="AE70" s="20"/>
      <c r="AF70">
        <v>5.5453000000000001</v>
      </c>
      <c r="AG70">
        <v>5.5453000000000001</v>
      </c>
      <c r="AH70">
        <v>25.686699999999998</v>
      </c>
      <c r="AI70">
        <v>0</v>
      </c>
      <c r="AL70" t="s">
        <v>464</v>
      </c>
      <c r="AM70">
        <v>18</v>
      </c>
      <c r="AN70" s="44">
        <f t="shared" si="1"/>
        <v>0</v>
      </c>
      <c r="AO70" s="46">
        <v>0</v>
      </c>
      <c r="AP70" s="44">
        <v>789.87506903020289</v>
      </c>
      <c r="AQ70" s="44">
        <v>0</v>
      </c>
      <c r="AR70" s="41"/>
      <c r="AS70" s="40"/>
      <c r="AT70" s="41">
        <v>9.1153655588092616E-2</v>
      </c>
      <c r="AU70" s="41"/>
      <c r="AV70" s="23">
        <v>1.8642857142857141</v>
      </c>
      <c r="AW70" s="23">
        <v>3.1428571428571428</v>
      </c>
      <c r="AX70" s="23">
        <v>2.7</v>
      </c>
      <c r="AY70" s="23">
        <v>3</v>
      </c>
      <c r="AZ70" s="23">
        <v>0.1741160773849233</v>
      </c>
      <c r="BA70" s="23">
        <v>0.29352901934623082</v>
      </c>
      <c r="BB70" s="23">
        <v>0.25216811207471651</v>
      </c>
      <c r="BC70" s="23">
        <v>0.28018679119412943</v>
      </c>
      <c r="BD70" s="20">
        <v>1.54</v>
      </c>
      <c r="BE70" s="20">
        <v>3.44</v>
      </c>
      <c r="BF70" s="20">
        <v>1.9</v>
      </c>
      <c r="BG70" s="20">
        <v>2.894571428571429</v>
      </c>
      <c r="BH70">
        <v>2.894571428571429</v>
      </c>
      <c r="BI70">
        <v>6.2577448164285716</v>
      </c>
      <c r="BJ70" s="64">
        <v>0.51995616258071919</v>
      </c>
      <c r="BK70" s="64">
        <v>0.51988140722208986</v>
      </c>
      <c r="BL70" s="64"/>
      <c r="BO70">
        <v>4.5576827794046308E-2</v>
      </c>
      <c r="BQ70">
        <v>9.1153655588092616E-2</v>
      </c>
      <c r="BR70">
        <v>4.5576827794046308E-2</v>
      </c>
      <c r="BS70">
        <v>0.51991878490140453</v>
      </c>
      <c r="BT70" s="68" t="s">
        <v>1264</v>
      </c>
      <c r="BU70" s="68">
        <v>1323</v>
      </c>
      <c r="BV70" s="68">
        <v>24</v>
      </c>
      <c r="BX70" s="68" t="s">
        <v>1268</v>
      </c>
      <c r="BY70" s="68" t="s">
        <v>863</v>
      </c>
      <c r="BZ70" s="68">
        <v>0.1</v>
      </c>
      <c r="CB70" s="68">
        <v>1.5</v>
      </c>
      <c r="CC70" s="68">
        <v>15</v>
      </c>
      <c r="CD70" s="68" t="s">
        <v>464</v>
      </c>
      <c r="CE70" s="68" t="s">
        <v>464</v>
      </c>
      <c r="CF70" s="68" t="s">
        <v>1271</v>
      </c>
      <c r="CG70" s="68">
        <v>450</v>
      </c>
      <c r="CH70" s="68">
        <v>420</v>
      </c>
      <c r="CK70" s="70">
        <v>2.8</v>
      </c>
    </row>
    <row r="71" spans="1:89" x14ac:dyDescent="0.3">
      <c r="A71" t="s">
        <v>10</v>
      </c>
      <c r="B71" t="s">
        <v>153</v>
      </c>
      <c r="C71" t="s">
        <v>3933</v>
      </c>
      <c r="D71" s="12"/>
      <c r="E71">
        <v>3.9</v>
      </c>
      <c r="F71" t="s">
        <v>134</v>
      </c>
      <c r="G71" s="8" t="s">
        <v>531</v>
      </c>
      <c r="H71">
        <v>-1</v>
      </c>
      <c r="I71" s="8" t="s">
        <v>1144</v>
      </c>
      <c r="L71" t="s">
        <v>1763</v>
      </c>
      <c r="M71" t="b">
        <v>1</v>
      </c>
      <c r="N71" t="b">
        <v>0</v>
      </c>
      <c r="O71" t="b">
        <v>1</v>
      </c>
      <c r="P71" t="b">
        <v>0</v>
      </c>
      <c r="Q71" t="s">
        <v>531</v>
      </c>
      <c r="R71">
        <v>-1</v>
      </c>
      <c r="S71" t="s">
        <v>1882</v>
      </c>
      <c r="T71">
        <v>1</v>
      </c>
      <c r="U71" s="20">
        <v>1</v>
      </c>
      <c r="V71">
        <v>0</v>
      </c>
      <c r="W71">
        <v>0</v>
      </c>
      <c r="X71">
        <v>3.8849999999999998</v>
      </c>
      <c r="Y71">
        <v>3.8849999999999998</v>
      </c>
      <c r="Z71">
        <v>11.12</v>
      </c>
      <c r="AA71" t="s">
        <v>439</v>
      </c>
      <c r="AB71">
        <v>11.12</v>
      </c>
      <c r="AC71" s="20">
        <v>3.9103940000000001</v>
      </c>
      <c r="AD71" s="20">
        <v>3.9103940000000001</v>
      </c>
      <c r="AE71" s="20">
        <v>11.314458</v>
      </c>
      <c r="AF71">
        <v>0</v>
      </c>
      <c r="AI71">
        <v>0</v>
      </c>
      <c r="AL71">
        <v>2</v>
      </c>
      <c r="AM71">
        <v>14</v>
      </c>
      <c r="AN71" s="44">
        <f t="shared" si="1"/>
        <v>167.83666199999996</v>
      </c>
      <c r="AO71" s="46">
        <v>173.0114278564659</v>
      </c>
      <c r="AP71" s="44">
        <v>0</v>
      </c>
      <c r="AQ71" s="44">
        <v>0</v>
      </c>
      <c r="AR71" s="41"/>
      <c r="AS71" s="40">
        <v>8.0919510193365449E-2</v>
      </c>
      <c r="AT71" s="41"/>
      <c r="AU71" s="41"/>
      <c r="AV71" s="23">
        <v>1.9090909090909089</v>
      </c>
      <c r="AW71" s="23">
        <v>2.545454545454545</v>
      </c>
      <c r="AX71" s="23">
        <v>0.63636363636363635</v>
      </c>
      <c r="AY71" s="23">
        <v>2.545454545454545</v>
      </c>
      <c r="AZ71" s="23">
        <v>0.25</v>
      </c>
      <c r="BA71" s="23">
        <v>0.33333333333333331</v>
      </c>
      <c r="BB71" s="23">
        <v>8.3333333333333329E-2</v>
      </c>
      <c r="BC71" s="23">
        <v>0.33333333333333331</v>
      </c>
      <c r="BD71" s="20">
        <v>0.82</v>
      </c>
      <c r="BE71" s="20">
        <v>3.44</v>
      </c>
      <c r="BF71" s="20">
        <v>2.62</v>
      </c>
      <c r="BG71" s="20">
        <v>2.6363636363636358</v>
      </c>
      <c r="BH71">
        <v>2.6363636363636371</v>
      </c>
      <c r="BI71">
        <v>6.0044088459090901</v>
      </c>
      <c r="BJ71" s="64">
        <v>0.5117218936152963</v>
      </c>
      <c r="BK71" s="64"/>
      <c r="BL71" s="64"/>
      <c r="BN71">
        <v>4.0459755096682717E-2</v>
      </c>
      <c r="BQ71">
        <v>8.0919510193365449E-2</v>
      </c>
      <c r="BR71">
        <v>4.0459755096682717E-2</v>
      </c>
      <c r="BS71">
        <v>0.5117218936152963</v>
      </c>
      <c r="BT71" s="68" t="s">
        <v>1264</v>
      </c>
      <c r="BU71" s="68">
        <v>1373</v>
      </c>
      <c r="BV71" s="68">
        <v>10</v>
      </c>
      <c r="BX71" s="68" t="s">
        <v>464</v>
      </c>
      <c r="BY71" s="68" t="s">
        <v>464</v>
      </c>
      <c r="BZ71" s="68">
        <v>0</v>
      </c>
      <c r="CA71" s="68" t="s">
        <v>464</v>
      </c>
      <c r="CB71" s="68">
        <v>1</v>
      </c>
      <c r="CD71" s="68" t="s">
        <v>464</v>
      </c>
      <c r="CE71" s="68" t="s">
        <v>464</v>
      </c>
      <c r="CF71" s="68" t="s">
        <v>1266</v>
      </c>
      <c r="CG71" s="68">
        <v>400</v>
      </c>
      <c r="CI71" s="68" t="s">
        <v>1287</v>
      </c>
      <c r="CK71" s="70">
        <v>6</v>
      </c>
    </row>
    <row r="72" spans="1:89" x14ac:dyDescent="0.3">
      <c r="A72" t="s">
        <v>11</v>
      </c>
      <c r="B72" t="s">
        <v>153</v>
      </c>
      <c r="C72" t="s">
        <v>3934</v>
      </c>
      <c r="D72" s="12"/>
      <c r="E72">
        <v>3.5</v>
      </c>
      <c r="F72" t="s">
        <v>134</v>
      </c>
      <c r="G72" s="8">
        <v>-1</v>
      </c>
      <c r="H72">
        <v>-1</v>
      </c>
      <c r="I72" s="8" t="s">
        <v>1144</v>
      </c>
      <c r="J72" s="8"/>
      <c r="K72" s="8"/>
      <c r="L72" s="8"/>
      <c r="M72" t="b">
        <v>0</v>
      </c>
      <c r="N72" t="b">
        <v>0</v>
      </c>
      <c r="O72" t="b">
        <v>1</v>
      </c>
      <c r="P72" t="b">
        <v>0</v>
      </c>
      <c r="Q72">
        <v>-1</v>
      </c>
      <c r="R72">
        <v>-1</v>
      </c>
      <c r="S72" t="s">
        <v>1144</v>
      </c>
      <c r="T72">
        <v>1</v>
      </c>
      <c r="U72" s="20">
        <v>0</v>
      </c>
      <c r="V72">
        <v>0</v>
      </c>
      <c r="W72">
        <v>1</v>
      </c>
      <c r="X72">
        <v>3.8839999999999999</v>
      </c>
      <c r="Y72">
        <v>3.8839999999999999</v>
      </c>
      <c r="Z72">
        <v>11.12</v>
      </c>
      <c r="AA72" t="s">
        <v>439</v>
      </c>
      <c r="AB72">
        <v>11.12</v>
      </c>
      <c r="AC72" s="20">
        <v>0</v>
      </c>
      <c r="AD72" s="20"/>
      <c r="AE72" s="20"/>
      <c r="AF72">
        <v>0</v>
      </c>
      <c r="AI72">
        <v>3.8653</v>
      </c>
      <c r="AJ72">
        <v>3.8653</v>
      </c>
      <c r="AK72">
        <v>11.0131</v>
      </c>
      <c r="AL72">
        <v>2</v>
      </c>
      <c r="AM72">
        <v>14</v>
      </c>
      <c r="AN72" s="44">
        <f t="shared" si="1"/>
        <v>167.75027071999997</v>
      </c>
      <c r="AO72" s="46">
        <v>0</v>
      </c>
      <c r="AP72" s="44">
        <v>0</v>
      </c>
      <c r="AQ72" s="44">
        <v>164.541706117579</v>
      </c>
      <c r="AR72" s="41"/>
      <c r="AS72" s="40"/>
      <c r="AT72" s="41"/>
      <c r="AU72" s="41">
        <v>8.5084811202795069E-2</v>
      </c>
      <c r="AV72" s="23">
        <v>1.9090909090909089</v>
      </c>
      <c r="AW72" s="23">
        <v>2.545454545454545</v>
      </c>
      <c r="AX72" s="23">
        <v>0.54545454545454541</v>
      </c>
      <c r="AY72" s="23">
        <v>2.8181818181818179</v>
      </c>
      <c r="AZ72" s="23">
        <v>0.2441860465116279</v>
      </c>
      <c r="BA72" s="23">
        <v>0.32558139534883718</v>
      </c>
      <c r="BB72" s="23">
        <v>6.9767441860465115E-2</v>
      </c>
      <c r="BC72" s="23">
        <v>0.3604651162790698</v>
      </c>
      <c r="BD72" s="20">
        <v>0.82</v>
      </c>
      <c r="BE72" s="20">
        <v>3.44</v>
      </c>
      <c r="BF72" s="20">
        <v>2.62</v>
      </c>
      <c r="BG72" s="20">
        <v>2.6390909090909092</v>
      </c>
      <c r="BH72">
        <v>2.6390909090909092</v>
      </c>
      <c r="BI72">
        <v>5.9791810459090904</v>
      </c>
      <c r="BJ72" s="64"/>
      <c r="BK72" s="64"/>
      <c r="BL72" s="64">
        <v>0.53381265134868672</v>
      </c>
      <c r="BP72">
        <v>4.2542405601397527E-2</v>
      </c>
      <c r="BQ72">
        <v>8.5084811202795069E-2</v>
      </c>
      <c r="BR72">
        <v>4.2542405601397527E-2</v>
      </c>
      <c r="BS72">
        <v>0.53381265134868672</v>
      </c>
      <c r="BT72" s="68" t="s">
        <v>1264</v>
      </c>
      <c r="BU72" s="68">
        <v>1373</v>
      </c>
      <c r="BV72" s="68">
        <v>10</v>
      </c>
      <c r="BX72" s="68" t="s">
        <v>464</v>
      </c>
      <c r="BY72" s="68" t="s">
        <v>464</v>
      </c>
      <c r="BZ72" s="68">
        <v>0</v>
      </c>
      <c r="CA72" s="68" t="s">
        <v>464</v>
      </c>
      <c r="CB72" s="68">
        <v>1</v>
      </c>
      <c r="CD72" s="68" t="s">
        <v>464</v>
      </c>
      <c r="CE72" s="68" t="s">
        <v>464</v>
      </c>
      <c r="CF72" s="68" t="s">
        <v>1266</v>
      </c>
      <c r="CG72" s="68">
        <v>400</v>
      </c>
      <c r="CI72" s="68" t="s">
        <v>1287</v>
      </c>
      <c r="CK72" s="70">
        <v>4.5</v>
      </c>
    </row>
    <row r="73" spans="1:89" x14ac:dyDescent="0.3">
      <c r="A73" t="s">
        <v>12</v>
      </c>
      <c r="B73" t="s">
        <v>153</v>
      </c>
      <c r="C73" t="s">
        <v>3935</v>
      </c>
      <c r="D73" s="12"/>
      <c r="E73">
        <v>3.8</v>
      </c>
      <c r="F73" t="s">
        <v>134</v>
      </c>
      <c r="G73" s="8">
        <v>-1</v>
      </c>
      <c r="H73">
        <v>-1</v>
      </c>
      <c r="I73" s="25" t="s">
        <v>1144</v>
      </c>
      <c r="J73" s="25"/>
      <c r="K73" s="25"/>
      <c r="L73" s="96" t="s">
        <v>1764</v>
      </c>
      <c r="M73" t="b">
        <v>0</v>
      </c>
      <c r="N73" t="b">
        <v>0</v>
      </c>
      <c r="O73" t="b">
        <v>1</v>
      </c>
      <c r="P73" t="b">
        <v>0</v>
      </c>
      <c r="Q73">
        <v>-1</v>
      </c>
      <c r="R73">
        <v>-1</v>
      </c>
      <c r="S73" t="s">
        <v>1883</v>
      </c>
      <c r="T73">
        <v>1</v>
      </c>
      <c r="U73" s="20">
        <v>0</v>
      </c>
      <c r="V73">
        <v>0</v>
      </c>
      <c r="W73">
        <v>1</v>
      </c>
      <c r="X73">
        <v>3.8460000000000001</v>
      </c>
      <c r="Y73">
        <v>3.8460000000000001</v>
      </c>
      <c r="Z73">
        <v>11.1</v>
      </c>
      <c r="AA73" t="s">
        <v>439</v>
      </c>
      <c r="AB73">
        <v>11.1</v>
      </c>
      <c r="AC73" s="20">
        <v>0</v>
      </c>
      <c r="AD73" s="20"/>
      <c r="AE73" s="20"/>
      <c r="AF73">
        <v>0</v>
      </c>
      <c r="AI73">
        <v>3.8445</v>
      </c>
      <c r="AJ73">
        <v>3.8445</v>
      </c>
      <c r="AK73">
        <v>11.03</v>
      </c>
      <c r="AL73">
        <v>2</v>
      </c>
      <c r="AM73">
        <v>14</v>
      </c>
      <c r="AN73" s="44">
        <f t="shared" si="1"/>
        <v>164.1880476</v>
      </c>
      <c r="AO73" s="46">
        <v>0</v>
      </c>
      <c r="AP73" s="44">
        <v>0</v>
      </c>
      <c r="AQ73" s="44">
        <v>163.0253881575</v>
      </c>
      <c r="AR73" s="41"/>
      <c r="AS73" s="40"/>
      <c r="AT73" s="41"/>
      <c r="AU73" s="41">
        <v>8.5876194856683907E-2</v>
      </c>
      <c r="AV73" s="23">
        <v>1.9090909090909089</v>
      </c>
      <c r="AW73" s="23">
        <v>2.545454545454545</v>
      </c>
      <c r="AX73" s="23">
        <v>0.54545454545454541</v>
      </c>
      <c r="AY73" s="23">
        <v>2.9090909090909092</v>
      </c>
      <c r="AZ73" s="23">
        <v>0.2413793103448276</v>
      </c>
      <c r="BA73" s="23">
        <v>0.32183908045977011</v>
      </c>
      <c r="BB73" s="23">
        <v>6.8965517241379309E-2</v>
      </c>
      <c r="BC73" s="23">
        <v>0.36781609195402298</v>
      </c>
      <c r="BD73" s="20">
        <v>0.82</v>
      </c>
      <c r="BE73" s="20">
        <v>3.44</v>
      </c>
      <c r="BF73" s="20">
        <v>2.62</v>
      </c>
      <c r="BG73" s="20">
        <v>2.64</v>
      </c>
      <c r="BH73">
        <v>2.64</v>
      </c>
      <c r="BI73">
        <v>5.9811382595454541</v>
      </c>
      <c r="BJ73" s="64"/>
      <c r="BK73" s="64"/>
      <c r="BL73" s="64">
        <v>0.53809297903977493</v>
      </c>
      <c r="BP73">
        <v>4.2938097428341947E-2</v>
      </c>
      <c r="BQ73">
        <v>8.5876194856683907E-2</v>
      </c>
      <c r="BR73">
        <v>4.2938097428341947E-2</v>
      </c>
      <c r="BS73">
        <v>0.53809297903977493</v>
      </c>
      <c r="BT73" s="68" t="s">
        <v>1264</v>
      </c>
      <c r="BU73" s="68">
        <v>1373</v>
      </c>
      <c r="BV73" s="68">
        <v>10</v>
      </c>
      <c r="BX73" s="68" t="s">
        <v>464</v>
      </c>
      <c r="BY73" s="68" t="s">
        <v>464</v>
      </c>
      <c r="BZ73" s="68">
        <v>0</v>
      </c>
      <c r="CA73" s="68" t="s">
        <v>464</v>
      </c>
      <c r="CB73" s="68">
        <v>1</v>
      </c>
      <c r="CD73" s="68" t="s">
        <v>464</v>
      </c>
      <c r="CE73" s="68" t="s">
        <v>464</v>
      </c>
      <c r="CF73" s="68" t="s">
        <v>1266</v>
      </c>
      <c r="CG73" s="68">
        <v>400</v>
      </c>
      <c r="CI73" s="68" t="s">
        <v>1287</v>
      </c>
      <c r="CK73" s="70">
        <v>235</v>
      </c>
    </row>
    <row r="74" spans="1:89" x14ac:dyDescent="0.3">
      <c r="A74" t="s">
        <v>13</v>
      </c>
      <c r="B74" t="s">
        <v>153</v>
      </c>
      <c r="C74" t="s">
        <v>3936</v>
      </c>
      <c r="D74" s="12"/>
      <c r="E74">
        <v>3.8</v>
      </c>
      <c r="F74" t="s">
        <v>134</v>
      </c>
      <c r="G74" s="8">
        <v>-1</v>
      </c>
      <c r="H74">
        <v>-1</v>
      </c>
      <c r="I74" s="25" t="s">
        <v>1144</v>
      </c>
      <c r="J74" s="25"/>
      <c r="K74" s="25"/>
      <c r="L74" s="96" t="s">
        <v>1765</v>
      </c>
      <c r="M74" t="b">
        <v>0</v>
      </c>
      <c r="N74" t="b">
        <v>0</v>
      </c>
      <c r="O74" t="b">
        <v>1</v>
      </c>
      <c r="P74" t="b">
        <v>0</v>
      </c>
      <c r="Q74">
        <v>-1</v>
      </c>
      <c r="R74">
        <v>-1</v>
      </c>
      <c r="S74" t="s">
        <v>1884</v>
      </c>
      <c r="T74">
        <v>1</v>
      </c>
      <c r="U74" s="20">
        <v>0</v>
      </c>
      <c r="V74">
        <v>0</v>
      </c>
      <c r="W74">
        <v>1</v>
      </c>
      <c r="X74">
        <v>3.8420000000000001</v>
      </c>
      <c r="Y74">
        <v>3.8420000000000001</v>
      </c>
      <c r="Z74">
        <v>11.11</v>
      </c>
      <c r="AA74" t="s">
        <v>439</v>
      </c>
      <c r="AB74">
        <v>11.11</v>
      </c>
      <c r="AC74" s="20">
        <v>0</v>
      </c>
      <c r="AD74" s="20"/>
      <c r="AE74" s="20"/>
      <c r="AF74">
        <v>0</v>
      </c>
      <c r="AI74">
        <v>3.8252000000000002</v>
      </c>
      <c r="AJ74">
        <v>3.8252000000000002</v>
      </c>
      <c r="AK74">
        <v>11.013500000000001</v>
      </c>
      <c r="AL74">
        <v>2</v>
      </c>
      <c r="AM74">
        <v>14</v>
      </c>
      <c r="AN74" s="44">
        <f t="shared" si="1"/>
        <v>163.99431004000002</v>
      </c>
      <c r="AO74" s="46">
        <v>0</v>
      </c>
      <c r="AP74" s="44">
        <v>0</v>
      </c>
      <c r="AQ74" s="44">
        <v>161.15123953304001</v>
      </c>
      <c r="AR74" s="41"/>
      <c r="AS74" s="40"/>
      <c r="AT74" s="41"/>
      <c r="AU74" s="41">
        <v>8.6874913531953646E-2</v>
      </c>
      <c r="AV74" s="23">
        <v>1.9090909090909089</v>
      </c>
      <c r="AW74" s="23">
        <v>2.545454545454545</v>
      </c>
      <c r="AX74" s="23">
        <v>0.54545454545454541</v>
      </c>
      <c r="AY74" s="23">
        <v>3.0909090909090908</v>
      </c>
      <c r="AZ74" s="23">
        <v>0.2359550561797753</v>
      </c>
      <c r="BA74" s="23">
        <v>0.3146067415730337</v>
      </c>
      <c r="BB74" s="23">
        <v>6.7415730337078636E-2</v>
      </c>
      <c r="BC74" s="23">
        <v>0.38202247191011229</v>
      </c>
      <c r="BD74" s="20">
        <v>0.82</v>
      </c>
      <c r="BE74" s="20">
        <v>3.44</v>
      </c>
      <c r="BF74" s="20">
        <v>2.62</v>
      </c>
      <c r="BG74" s="20">
        <v>2.642727272727273</v>
      </c>
      <c r="BH74">
        <v>2.642727272727273</v>
      </c>
      <c r="BI74">
        <v>5.9894662913636356</v>
      </c>
      <c r="BJ74" s="64"/>
      <c r="BK74" s="64"/>
      <c r="BL74" s="64">
        <v>0.54194665977883461</v>
      </c>
      <c r="BP74">
        <v>4.3437456765976823E-2</v>
      </c>
      <c r="BQ74">
        <v>8.6874913531953646E-2</v>
      </c>
      <c r="BR74">
        <v>4.3437456765976823E-2</v>
      </c>
      <c r="BS74">
        <v>0.54194665977883461</v>
      </c>
      <c r="BT74" s="68" t="s">
        <v>1264</v>
      </c>
      <c r="BU74" s="68">
        <v>1373</v>
      </c>
      <c r="BV74" s="68">
        <v>10</v>
      </c>
      <c r="BX74" s="68" t="s">
        <v>464</v>
      </c>
      <c r="BY74" s="68" t="s">
        <v>464</v>
      </c>
      <c r="BZ74" s="68">
        <v>0</v>
      </c>
      <c r="CA74" s="68" t="s">
        <v>464</v>
      </c>
      <c r="CB74" s="68">
        <v>1</v>
      </c>
      <c r="CD74" s="68" t="s">
        <v>464</v>
      </c>
      <c r="CE74" s="68" t="s">
        <v>464</v>
      </c>
      <c r="CF74" s="68" t="s">
        <v>1266</v>
      </c>
      <c r="CG74" s="68">
        <v>400</v>
      </c>
      <c r="CI74" s="68" t="s">
        <v>1287</v>
      </c>
      <c r="CK74" s="70">
        <f>10.6*5</f>
        <v>53</v>
      </c>
    </row>
    <row r="75" spans="1:89" x14ac:dyDescent="0.3">
      <c r="A75" t="s">
        <v>1288</v>
      </c>
      <c r="B75" t="s">
        <v>2777</v>
      </c>
      <c r="C75" t="s">
        <v>3951</v>
      </c>
      <c r="D75" s="12"/>
      <c r="E75" s="58">
        <v>3.7</v>
      </c>
      <c r="F75" t="s">
        <v>134</v>
      </c>
      <c r="G75" s="8">
        <v>-1</v>
      </c>
      <c r="H75">
        <v>-1</v>
      </c>
      <c r="I75" t="s">
        <v>1291</v>
      </c>
      <c r="M75" t="b">
        <v>0</v>
      </c>
      <c r="N75" t="b">
        <v>0</v>
      </c>
      <c r="O75" t="b">
        <v>1</v>
      </c>
      <c r="P75" t="b">
        <v>0</v>
      </c>
      <c r="Q75">
        <v>-1</v>
      </c>
      <c r="R75">
        <v>-1</v>
      </c>
      <c r="S75" t="s">
        <v>1291</v>
      </c>
      <c r="U75" s="20"/>
      <c r="AB75">
        <v>0</v>
      </c>
      <c r="AC75" s="20"/>
      <c r="AD75" s="20"/>
      <c r="AE75" s="20"/>
      <c r="AN75" s="44"/>
      <c r="AO75" s="46"/>
      <c r="AP75" s="44"/>
      <c r="AQ75" s="44"/>
      <c r="AR75" s="41"/>
      <c r="AS75" s="40"/>
      <c r="AT75" s="41"/>
      <c r="AU75" s="41"/>
      <c r="AV75" s="23"/>
      <c r="AW75" s="23"/>
      <c r="AX75" s="23"/>
      <c r="AY75" s="23"/>
      <c r="AZ75" s="23"/>
      <c r="BA75" s="23"/>
      <c r="BB75" s="23"/>
      <c r="BC75" s="23"/>
      <c r="BD75" s="20"/>
      <c r="BE75" s="20"/>
      <c r="BF75" s="20"/>
      <c r="BG75" s="20"/>
      <c r="BJ75" s="64"/>
      <c r="BK75" s="64"/>
      <c r="BL75" s="64"/>
      <c r="BT75" s="68" t="s">
        <v>1290</v>
      </c>
      <c r="BX75" s="68" t="s">
        <v>464</v>
      </c>
      <c r="BY75" s="68" t="s">
        <v>464</v>
      </c>
      <c r="BZ75" s="68">
        <v>0</v>
      </c>
      <c r="CA75" s="68" t="s">
        <v>464</v>
      </c>
      <c r="CB75" s="68">
        <v>1</v>
      </c>
      <c r="CD75" s="68" t="s">
        <v>464</v>
      </c>
      <c r="CE75" s="68" t="s">
        <v>464</v>
      </c>
      <c r="CF75" s="68" t="s">
        <v>1266</v>
      </c>
      <c r="CG75" s="68">
        <v>400</v>
      </c>
      <c r="CI75" s="68" t="s">
        <v>1287</v>
      </c>
      <c r="CK75" s="70">
        <f>0.7*5</f>
        <v>3.5</v>
      </c>
    </row>
    <row r="76" spans="1:89" x14ac:dyDescent="0.3">
      <c r="A76" t="s">
        <v>1289</v>
      </c>
      <c r="B76" t="s">
        <v>2777</v>
      </c>
      <c r="C76" t="s">
        <v>3952</v>
      </c>
      <c r="D76" s="12"/>
      <c r="E76" s="58">
        <v>3</v>
      </c>
      <c r="F76" t="s">
        <v>134</v>
      </c>
      <c r="G76" s="8">
        <v>-1</v>
      </c>
      <c r="H76">
        <v>-1</v>
      </c>
      <c r="I76" t="s">
        <v>1292</v>
      </c>
      <c r="M76" t="b">
        <v>0</v>
      </c>
      <c r="N76" t="b">
        <v>0</v>
      </c>
      <c r="O76" t="b">
        <v>1</v>
      </c>
      <c r="P76" t="b">
        <v>0</v>
      </c>
      <c r="Q76">
        <v>-1</v>
      </c>
      <c r="R76">
        <v>-1</v>
      </c>
      <c r="S76" t="s">
        <v>1292</v>
      </c>
      <c r="U76" s="20"/>
      <c r="AC76" s="20"/>
      <c r="AD76" s="20"/>
      <c r="AE76" s="20"/>
      <c r="AN76" s="44"/>
      <c r="AO76" s="46"/>
      <c r="AP76" s="44"/>
      <c r="AQ76" s="44"/>
      <c r="AR76" s="41"/>
      <c r="AS76" s="40"/>
      <c r="AT76" s="41"/>
      <c r="AU76" s="41"/>
      <c r="AV76" s="23"/>
      <c r="AW76" s="23"/>
      <c r="AX76" s="23"/>
      <c r="AY76" s="23"/>
      <c r="AZ76" s="23"/>
      <c r="BA76" s="23"/>
      <c r="BB76" s="23"/>
      <c r="BC76" s="23"/>
      <c r="BD76" s="20"/>
      <c r="BE76" s="20"/>
      <c r="BF76" s="20"/>
      <c r="BG76" s="20"/>
      <c r="BJ76" s="64"/>
      <c r="BK76" s="64"/>
      <c r="BL76" s="64"/>
      <c r="BT76" s="68" t="s">
        <v>1290</v>
      </c>
      <c r="BX76" s="68" t="s">
        <v>464</v>
      </c>
      <c r="BY76" s="68" t="s">
        <v>464</v>
      </c>
      <c r="BZ76" s="68">
        <v>0</v>
      </c>
      <c r="CA76" s="68" t="s">
        <v>464</v>
      </c>
      <c r="CB76" s="68">
        <v>1</v>
      </c>
      <c r="CD76" s="68" t="s">
        <v>464</v>
      </c>
      <c r="CE76" s="68" t="s">
        <v>464</v>
      </c>
      <c r="CF76" s="68" t="s">
        <v>1266</v>
      </c>
      <c r="CG76" s="68">
        <v>400</v>
      </c>
      <c r="CI76" s="68" t="s">
        <v>1287</v>
      </c>
      <c r="CK76" s="70">
        <f>0.4*5</f>
        <v>2</v>
      </c>
    </row>
    <row r="77" spans="1:89" x14ac:dyDescent="0.3">
      <c r="A77" t="s">
        <v>30</v>
      </c>
      <c r="C77" t="s">
        <v>3953</v>
      </c>
      <c r="D77" s="12"/>
      <c r="E77">
        <v>3.36</v>
      </c>
      <c r="F77" t="s">
        <v>29</v>
      </c>
      <c r="G77" s="8">
        <v>-1</v>
      </c>
      <c r="H77" t="s">
        <v>622</v>
      </c>
      <c r="M77" t="b">
        <v>0</v>
      </c>
      <c r="N77" t="b">
        <v>1</v>
      </c>
      <c r="O77" t="b">
        <v>0</v>
      </c>
      <c r="P77" t="b">
        <v>0</v>
      </c>
      <c r="Q77">
        <v>-1</v>
      </c>
      <c r="R77" t="s">
        <v>622</v>
      </c>
      <c r="U77" s="20">
        <v>0</v>
      </c>
      <c r="V77">
        <v>4</v>
      </c>
      <c r="W77">
        <v>0</v>
      </c>
      <c r="X77">
        <v>5.4324000000000003</v>
      </c>
      <c r="Y77">
        <v>5.4151999999999996</v>
      </c>
      <c r="Z77">
        <v>40.78</v>
      </c>
      <c r="AB77">
        <v>10.195</v>
      </c>
      <c r="AC77" s="20">
        <v>0</v>
      </c>
      <c r="AD77" s="20"/>
      <c r="AE77" s="20"/>
      <c r="AF77">
        <v>5.4234</v>
      </c>
      <c r="AG77">
        <v>5.4020999999999999</v>
      </c>
      <c r="AH77">
        <v>40.593499999999999</v>
      </c>
      <c r="AI77">
        <v>0</v>
      </c>
      <c r="AL77" t="s">
        <v>464</v>
      </c>
      <c r="AM77">
        <v>30</v>
      </c>
      <c r="AN77" s="44">
        <f t="shared" si="1"/>
        <v>1199.6469745344</v>
      </c>
      <c r="AO77" s="46">
        <v>0</v>
      </c>
      <c r="AP77" s="44">
        <v>1189.2981797145901</v>
      </c>
      <c r="AQ77" s="44">
        <v>0</v>
      </c>
      <c r="AR77" s="41"/>
      <c r="AS77" s="40"/>
      <c r="AT77" s="41">
        <v>0.1008998433250758</v>
      </c>
      <c r="AU77" s="41"/>
      <c r="AV77" s="23">
        <v>2</v>
      </c>
      <c r="AW77" s="23">
        <v>3</v>
      </c>
      <c r="AX77" s="23">
        <v>2</v>
      </c>
      <c r="AY77" s="23">
        <v>2.333333333333333</v>
      </c>
      <c r="AZ77" s="23">
        <v>0.2142857142857143</v>
      </c>
      <c r="BA77" s="23">
        <v>0.3214285714285714</v>
      </c>
      <c r="BB77" s="23">
        <v>0.2142857142857143</v>
      </c>
      <c r="BC77" s="23">
        <v>0.25</v>
      </c>
      <c r="BD77" s="20">
        <v>1</v>
      </c>
      <c r="BE77" s="20">
        <v>3.44</v>
      </c>
      <c r="BF77" s="20">
        <v>2.44</v>
      </c>
      <c r="BG77" s="20">
        <v>2.7850000000000001</v>
      </c>
      <c r="BH77">
        <v>2.7850000000000001</v>
      </c>
      <c r="BI77">
        <v>6.1010684060416667</v>
      </c>
      <c r="BJ77" s="64"/>
      <c r="BK77" s="64"/>
      <c r="BL77" s="64"/>
      <c r="BO77">
        <v>5.0449921662537908E-2</v>
      </c>
      <c r="BQ77">
        <v>0.1008998433250758</v>
      </c>
      <c r="BR77">
        <v>5.0449921662537908E-2</v>
      </c>
      <c r="BS77">
        <v>0</v>
      </c>
      <c r="BT77" s="68" t="s">
        <v>1264</v>
      </c>
      <c r="BU77" s="68">
        <v>1373</v>
      </c>
      <c r="BV77" s="68">
        <v>48</v>
      </c>
      <c r="BX77" s="68" t="s">
        <v>1275</v>
      </c>
      <c r="BY77" s="68" t="s">
        <v>863</v>
      </c>
      <c r="BZ77" s="68">
        <v>0.1</v>
      </c>
      <c r="CB77" s="68">
        <v>1.5</v>
      </c>
      <c r="CC77" s="68">
        <v>15</v>
      </c>
      <c r="CD77" s="68" t="s">
        <v>464</v>
      </c>
      <c r="CE77" s="68" t="s">
        <v>464</v>
      </c>
      <c r="CF77" s="68" t="s">
        <v>1271</v>
      </c>
      <c r="CG77" s="68">
        <v>450</v>
      </c>
      <c r="CH77" s="68">
        <v>400</v>
      </c>
      <c r="CK77" s="70">
        <v>0</v>
      </c>
    </row>
    <row r="78" spans="1:89" ht="15.6" customHeight="1" x14ac:dyDescent="0.3">
      <c r="A78" t="s">
        <v>31</v>
      </c>
      <c r="C78" t="s">
        <v>3954</v>
      </c>
      <c r="D78" s="12"/>
      <c r="E78">
        <v>3.02</v>
      </c>
      <c r="F78" t="s">
        <v>29</v>
      </c>
      <c r="G78" s="8">
        <v>-1</v>
      </c>
      <c r="H78">
        <v>-1</v>
      </c>
      <c r="I78" t="s">
        <v>1148</v>
      </c>
      <c r="M78" t="b">
        <v>0</v>
      </c>
      <c r="N78" t="b">
        <v>0</v>
      </c>
      <c r="O78" t="b">
        <v>1</v>
      </c>
      <c r="P78" t="b">
        <v>0</v>
      </c>
      <c r="Q78">
        <v>-1</v>
      </c>
      <c r="R78">
        <v>-1</v>
      </c>
      <c r="S78" t="s">
        <v>1148</v>
      </c>
      <c r="U78" s="20">
        <v>0</v>
      </c>
      <c r="V78">
        <v>0</v>
      </c>
      <c r="W78">
        <v>4</v>
      </c>
      <c r="X78" t="s">
        <v>464</v>
      </c>
      <c r="Y78" t="s">
        <v>464</v>
      </c>
      <c r="Z78" t="s">
        <v>464</v>
      </c>
      <c r="AC78" s="20">
        <v>0</v>
      </c>
      <c r="AD78" s="20"/>
      <c r="AE78" s="20"/>
      <c r="AF78">
        <v>0</v>
      </c>
      <c r="AI78">
        <v>41.36</v>
      </c>
      <c r="AJ78">
        <v>5.4370000000000003</v>
      </c>
      <c r="AK78">
        <v>5.55</v>
      </c>
      <c r="AL78" t="s">
        <v>464</v>
      </c>
      <c r="AM78">
        <v>30</v>
      </c>
      <c r="AN78" s="44" t="e">
        <f t="shared" si="1"/>
        <v>#VALUE!</v>
      </c>
      <c r="AO78" s="46">
        <v>0</v>
      </c>
      <c r="AP78" s="44">
        <v>0</v>
      </c>
      <c r="AQ78" s="44">
        <v>1248.0524760000001</v>
      </c>
      <c r="AR78" s="41"/>
      <c r="AS78" s="40"/>
      <c r="AT78" s="41"/>
      <c r="AU78" s="41">
        <v>9.6149803239523393E-2</v>
      </c>
      <c r="AV78" s="23">
        <v>2</v>
      </c>
      <c r="AW78" s="23">
        <v>3.083333333333333</v>
      </c>
      <c r="AX78" s="23">
        <v>2.416666666666667</v>
      </c>
      <c r="AY78" s="23">
        <v>2.916666666666667</v>
      </c>
      <c r="AZ78" s="23">
        <v>0.192</v>
      </c>
      <c r="BA78" s="23">
        <v>0.29599999999999999</v>
      </c>
      <c r="BB78" s="23">
        <v>0.23200000000000001</v>
      </c>
      <c r="BC78" s="23">
        <v>0.28000000000000003</v>
      </c>
      <c r="BD78" s="20">
        <v>1.54</v>
      </c>
      <c r="BE78" s="20">
        <v>3.44</v>
      </c>
      <c r="BF78" s="20">
        <v>1.9</v>
      </c>
      <c r="BG78" s="20">
        <v>2.840416666666667</v>
      </c>
      <c r="BH78">
        <v>2.840416666666667</v>
      </c>
      <c r="BI78">
        <v>6.1351453775000007</v>
      </c>
      <c r="BJ78" s="64"/>
      <c r="BK78" s="64"/>
      <c r="BL78" s="64"/>
      <c r="BP78">
        <v>4.8074901619761697E-2</v>
      </c>
      <c r="BQ78">
        <v>9.6149803239523393E-2</v>
      </c>
      <c r="BR78">
        <v>4.8074901619761697E-2</v>
      </c>
      <c r="BS78">
        <v>0</v>
      </c>
      <c r="BT78" s="68" t="s">
        <v>1264</v>
      </c>
      <c r="BU78" s="68">
        <v>1373</v>
      </c>
      <c r="BV78" s="68">
        <v>48</v>
      </c>
      <c r="BX78" s="68" t="s">
        <v>1275</v>
      </c>
      <c r="BY78" s="68" t="s">
        <v>863</v>
      </c>
      <c r="BZ78" s="68">
        <v>0.1</v>
      </c>
      <c r="CB78" s="68">
        <v>1.5</v>
      </c>
      <c r="CC78" s="68">
        <v>15</v>
      </c>
      <c r="CD78" s="68" t="s">
        <v>464</v>
      </c>
      <c r="CE78" s="68" t="s">
        <v>464</v>
      </c>
      <c r="CF78" s="68" t="s">
        <v>1271</v>
      </c>
      <c r="CG78" s="68">
        <v>450</v>
      </c>
      <c r="CH78" s="68">
        <v>400</v>
      </c>
      <c r="CK78" s="70">
        <v>37.33</v>
      </c>
    </row>
    <row r="79" spans="1:89" x14ac:dyDescent="0.3">
      <c r="A79" t="s">
        <v>25</v>
      </c>
      <c r="C79" t="s">
        <v>3949</v>
      </c>
      <c r="D79" s="12"/>
      <c r="E79">
        <v>2.88</v>
      </c>
      <c r="F79" t="s">
        <v>29</v>
      </c>
      <c r="G79" s="8" t="s">
        <v>541</v>
      </c>
      <c r="H79" t="s">
        <v>621</v>
      </c>
      <c r="M79" t="b">
        <v>1</v>
      </c>
      <c r="N79" t="b">
        <v>1</v>
      </c>
      <c r="O79" t="b">
        <v>0</v>
      </c>
      <c r="P79" t="b">
        <v>0</v>
      </c>
      <c r="Q79" t="s">
        <v>541</v>
      </c>
      <c r="R79" t="s">
        <v>621</v>
      </c>
      <c r="T79" s="1">
        <v>4</v>
      </c>
      <c r="U79" s="20">
        <v>1</v>
      </c>
      <c r="V79">
        <v>4</v>
      </c>
      <c r="W79">
        <v>0</v>
      </c>
      <c r="X79" s="1">
        <v>5.4960000000000004</v>
      </c>
      <c r="Y79" s="1">
        <v>5.4960000000000004</v>
      </c>
      <c r="Z79" s="1">
        <v>25.55</v>
      </c>
      <c r="AB79" s="1">
        <v>12.775</v>
      </c>
      <c r="AC79" s="20">
        <v>12.868820120000001</v>
      </c>
      <c r="AD79" s="20">
        <v>12.868820120000001</v>
      </c>
      <c r="AE79" s="20">
        <v>12.868820120000001</v>
      </c>
      <c r="AF79">
        <v>5.5453000000000001</v>
      </c>
      <c r="AG79">
        <v>5.5453000000000001</v>
      </c>
      <c r="AH79">
        <v>25.686699999999998</v>
      </c>
      <c r="AI79">
        <v>0</v>
      </c>
      <c r="AL79">
        <v>2</v>
      </c>
      <c r="AM79">
        <v>18</v>
      </c>
      <c r="AN79" s="44">
        <f t="shared" si="1"/>
        <v>771.76370880000013</v>
      </c>
      <c r="AO79" s="46">
        <v>197.4403766939285</v>
      </c>
      <c r="AP79" s="44">
        <v>789.87506903020289</v>
      </c>
      <c r="AQ79" s="44">
        <v>0</v>
      </c>
      <c r="AR79" s="41"/>
      <c r="AS79" s="40">
        <v>9.1166762854710051E-2</v>
      </c>
      <c r="AT79" s="41">
        <v>9.1153655588092616E-2</v>
      </c>
      <c r="AU79" s="41"/>
      <c r="AV79" s="23">
        <v>1.857142857142857</v>
      </c>
      <c r="AW79" s="23">
        <v>3.1428571428571428</v>
      </c>
      <c r="AX79" s="23">
        <v>2.714285714285714</v>
      </c>
      <c r="AY79" s="23">
        <v>3</v>
      </c>
      <c r="AZ79" s="23">
        <v>0.17333333333333331</v>
      </c>
      <c r="BA79" s="23">
        <v>0.29333333333333328</v>
      </c>
      <c r="BB79" s="23">
        <v>0.25333333333333341</v>
      </c>
      <c r="BC79" s="23">
        <v>0.28000000000000003</v>
      </c>
      <c r="BD79" s="20">
        <v>1.6</v>
      </c>
      <c r="BE79" s="20">
        <v>3.44</v>
      </c>
      <c r="BF79" s="20">
        <v>1.84</v>
      </c>
      <c r="BG79" s="20">
        <v>2.895</v>
      </c>
      <c r="BH79">
        <v>2.895</v>
      </c>
      <c r="BI79">
        <v>6.260504073571429</v>
      </c>
      <c r="BJ79" s="64">
        <v>0.51995616258071919</v>
      </c>
      <c r="BK79" s="64">
        <v>0.51988140722208986</v>
      </c>
      <c r="BL79" s="64"/>
      <c r="BN79">
        <v>4.5583381427355033E-2</v>
      </c>
      <c r="BO79">
        <v>4.5576827794046308E-2</v>
      </c>
      <c r="BQ79">
        <v>9.1160209221401334E-2</v>
      </c>
      <c r="BR79">
        <v>4.5580104610700667E-2</v>
      </c>
      <c r="BS79">
        <v>0.51991878490140453</v>
      </c>
      <c r="BT79" s="68" t="s">
        <v>1264</v>
      </c>
      <c r="BU79" s="68">
        <v>1373</v>
      </c>
      <c r="BV79" s="68">
        <v>48</v>
      </c>
      <c r="BX79" s="68" t="s">
        <v>1275</v>
      </c>
      <c r="BY79" s="68" t="s">
        <v>863</v>
      </c>
      <c r="BZ79" s="68">
        <v>0.1</v>
      </c>
      <c r="CB79" s="68">
        <v>1.5</v>
      </c>
      <c r="CC79" s="68">
        <v>15</v>
      </c>
      <c r="CD79" s="68" t="s">
        <v>464</v>
      </c>
      <c r="CE79" s="68" t="s">
        <v>464</v>
      </c>
      <c r="CF79" s="68" t="s">
        <v>1271</v>
      </c>
      <c r="CG79" s="68">
        <v>450</v>
      </c>
      <c r="CH79" s="68">
        <v>420</v>
      </c>
      <c r="CK79" s="70">
        <v>10.67</v>
      </c>
    </row>
    <row r="80" spans="1:89" x14ac:dyDescent="0.3">
      <c r="A80" t="s">
        <v>32</v>
      </c>
      <c r="C80" t="s">
        <v>3955</v>
      </c>
      <c r="D80" s="12"/>
      <c r="E80">
        <v>3.44</v>
      </c>
      <c r="F80" t="s">
        <v>29</v>
      </c>
      <c r="G80" s="8">
        <v>-1</v>
      </c>
      <c r="H80">
        <v>-1</v>
      </c>
      <c r="I80">
        <v>-1</v>
      </c>
      <c r="M80" t="b">
        <v>0</v>
      </c>
      <c r="N80" t="b">
        <v>0</v>
      </c>
      <c r="O80" t="b">
        <v>0</v>
      </c>
      <c r="P80" t="b">
        <v>1</v>
      </c>
      <c r="Q80">
        <v>-1</v>
      </c>
      <c r="R80">
        <v>-1</v>
      </c>
      <c r="S80">
        <v>-1</v>
      </c>
      <c r="T80">
        <v>2</v>
      </c>
      <c r="U80" s="20">
        <v>0</v>
      </c>
      <c r="V80">
        <v>0</v>
      </c>
      <c r="W80">
        <v>2</v>
      </c>
      <c r="X80">
        <v>3.9</v>
      </c>
      <c r="Y80">
        <v>3.9</v>
      </c>
      <c r="Z80">
        <v>29.65</v>
      </c>
      <c r="AA80" t="s">
        <v>472</v>
      </c>
      <c r="AB80">
        <v>14.824999999999999</v>
      </c>
      <c r="AC80" s="20">
        <v>0</v>
      </c>
      <c r="AD80" s="20"/>
      <c r="AE80" s="20"/>
      <c r="AF80">
        <v>0</v>
      </c>
      <c r="AL80" t="s">
        <v>464</v>
      </c>
      <c r="AM80">
        <v>20</v>
      </c>
      <c r="AN80" s="44">
        <f t="shared" si="1"/>
        <v>450.97649999999993</v>
      </c>
      <c r="AO80" s="46">
        <v>0</v>
      </c>
      <c r="AP80" s="44">
        <v>0</v>
      </c>
      <c r="AQ80" s="44">
        <v>451.2</v>
      </c>
      <c r="AR80" s="41"/>
      <c r="AS80" s="40"/>
      <c r="AT80" s="41"/>
      <c r="AU80" s="56">
        <f>W80*AM80/AQ80</f>
        <v>8.8652482269503549E-2</v>
      </c>
      <c r="AV80" s="23">
        <v>1.774193548387097</v>
      </c>
      <c r="AW80" s="23">
        <v>2.580645161290323</v>
      </c>
      <c r="AX80" s="23">
        <v>0.80645161290322576</v>
      </c>
      <c r="AY80" s="23">
        <v>0</v>
      </c>
      <c r="AZ80" s="23">
        <v>0.34375</v>
      </c>
      <c r="BA80" s="23">
        <v>0.5</v>
      </c>
      <c r="BB80" s="23">
        <v>0.15625</v>
      </c>
      <c r="BC80" s="23">
        <v>0</v>
      </c>
      <c r="BD80" s="20">
        <v>0.82</v>
      </c>
      <c r="BE80" s="20">
        <v>3.44</v>
      </c>
      <c r="BF80" s="20">
        <v>2.62</v>
      </c>
      <c r="BG80" s="20">
        <v>2.6877419354838712</v>
      </c>
      <c r="BH80">
        <v>2.6877419354838712</v>
      </c>
      <c r="BI80">
        <v>6.0811360720967738</v>
      </c>
      <c r="BJ80" s="64"/>
      <c r="BK80" s="64"/>
      <c r="BL80" s="64">
        <v>0</v>
      </c>
      <c r="BP80">
        <v>4.4326241134751768E-2</v>
      </c>
      <c r="BQ80">
        <v>8.8652482269503549E-2</v>
      </c>
      <c r="BR80">
        <v>4.4326241134751768E-2</v>
      </c>
      <c r="BS80">
        <v>0</v>
      </c>
      <c r="BT80" s="68" t="s">
        <v>1264</v>
      </c>
      <c r="BU80" s="68">
        <v>1373</v>
      </c>
      <c r="BV80" s="68">
        <v>48</v>
      </c>
      <c r="BX80" s="68" t="s">
        <v>1275</v>
      </c>
      <c r="BY80" s="68" t="s">
        <v>863</v>
      </c>
      <c r="BZ80" s="68">
        <v>0.1</v>
      </c>
      <c r="CB80" s="68">
        <v>1.5</v>
      </c>
      <c r="CC80" s="68">
        <v>15</v>
      </c>
      <c r="CD80" s="68" t="s">
        <v>464</v>
      </c>
      <c r="CE80" s="68" t="s">
        <v>464</v>
      </c>
      <c r="CF80" s="68" t="s">
        <v>1271</v>
      </c>
      <c r="CG80" s="68">
        <v>450</v>
      </c>
      <c r="CH80" s="68">
        <v>400</v>
      </c>
      <c r="CK80" s="70">
        <v>0</v>
      </c>
    </row>
    <row r="81" spans="1:91" x14ac:dyDescent="0.3">
      <c r="A81" s="4" t="s">
        <v>1503</v>
      </c>
      <c r="C81" t="s">
        <v>3956</v>
      </c>
      <c r="D81" s="29"/>
      <c r="E81" s="4">
        <v>3.09</v>
      </c>
      <c r="F81" s="4" t="s">
        <v>29</v>
      </c>
      <c r="G81" s="30">
        <v>-2</v>
      </c>
      <c r="H81" s="4">
        <v>-1</v>
      </c>
      <c r="I81" s="4"/>
      <c r="J81" s="4"/>
      <c r="K81" s="4"/>
      <c r="L81" s="4"/>
      <c r="M81" t="b">
        <v>0</v>
      </c>
      <c r="N81" t="b">
        <v>0</v>
      </c>
      <c r="O81" t="b">
        <v>0</v>
      </c>
      <c r="P81" t="b">
        <v>1</v>
      </c>
      <c r="Q81">
        <v>-2</v>
      </c>
      <c r="R81">
        <v>-1</v>
      </c>
      <c r="T81" s="4">
        <v>2</v>
      </c>
      <c r="U81" s="31">
        <v>0</v>
      </c>
      <c r="V81">
        <v>0</v>
      </c>
      <c r="W81">
        <v>0</v>
      </c>
      <c r="X81" s="4">
        <v>3.9</v>
      </c>
      <c r="Y81" s="4">
        <v>3.9</v>
      </c>
      <c r="Z81" s="4">
        <v>29.65</v>
      </c>
      <c r="AA81" s="4"/>
      <c r="AB81" s="4">
        <v>14.824999999999999</v>
      </c>
      <c r="AC81" s="31">
        <v>0</v>
      </c>
      <c r="AD81" s="31"/>
      <c r="AE81" s="31"/>
      <c r="AF81">
        <v>0</v>
      </c>
      <c r="AI81">
        <v>0</v>
      </c>
      <c r="AL81" s="4" t="s">
        <v>464</v>
      </c>
      <c r="AM81" s="4">
        <v>20</v>
      </c>
      <c r="AN81" s="44">
        <f t="shared" si="1"/>
        <v>450.97649999999993</v>
      </c>
      <c r="AO81" s="46">
        <v>0</v>
      </c>
      <c r="AP81" s="44">
        <v>0</v>
      </c>
      <c r="AQ81" s="44">
        <v>0</v>
      </c>
      <c r="AR81" s="41"/>
      <c r="AS81" s="40"/>
      <c r="AT81" s="41"/>
      <c r="AU81" s="41"/>
      <c r="AV81" s="4">
        <v>1.774193548387097</v>
      </c>
      <c r="AW81" s="4">
        <v>2.67741935483871</v>
      </c>
      <c r="AX81" s="4">
        <v>1.290322580645161</v>
      </c>
      <c r="AY81" s="4">
        <v>0.67741935483870963</v>
      </c>
      <c r="AZ81" s="4">
        <v>0.27638190954773872</v>
      </c>
      <c r="BA81" s="4">
        <v>0.41708542713567842</v>
      </c>
      <c r="BB81" s="4">
        <v>0.20100502512562821</v>
      </c>
      <c r="BC81" s="4">
        <v>0.1055276381909548</v>
      </c>
      <c r="BD81" s="31">
        <v>0.82</v>
      </c>
      <c r="BE81" s="31">
        <v>3.44</v>
      </c>
      <c r="BF81" s="31">
        <v>2.62</v>
      </c>
      <c r="BG81" s="31">
        <v>2.7520967741935478</v>
      </c>
      <c r="BH81" s="4">
        <v>2.7520967741935478</v>
      </c>
      <c r="BI81" s="4">
        <v>6.1207093292741934</v>
      </c>
      <c r="BJ81" s="64"/>
      <c r="BK81" s="64"/>
      <c r="BL81" s="64"/>
      <c r="BQ81">
        <v>0</v>
      </c>
      <c r="BR81">
        <v>0</v>
      </c>
      <c r="BS81">
        <v>0</v>
      </c>
      <c r="BT81" s="68" t="s">
        <v>1264</v>
      </c>
      <c r="BU81" s="68">
        <v>1373</v>
      </c>
      <c r="BV81" s="68">
        <v>48</v>
      </c>
      <c r="BX81" s="68" t="s">
        <v>1275</v>
      </c>
      <c r="BY81" s="68" t="s">
        <v>863</v>
      </c>
      <c r="BZ81" s="68">
        <v>0.1</v>
      </c>
      <c r="CB81" s="68">
        <v>1.5</v>
      </c>
      <c r="CC81" s="68">
        <v>15</v>
      </c>
      <c r="CD81" s="68" t="s">
        <v>464</v>
      </c>
      <c r="CE81" s="68" t="s">
        <v>464</v>
      </c>
      <c r="CF81" s="68" t="s">
        <v>1271</v>
      </c>
      <c r="CG81" s="68">
        <v>450</v>
      </c>
      <c r="CH81" s="68">
        <v>400</v>
      </c>
      <c r="CK81" s="70">
        <v>0</v>
      </c>
    </row>
    <row r="82" spans="1:91" x14ac:dyDescent="0.3">
      <c r="A82" s="4" t="s">
        <v>33</v>
      </c>
      <c r="C82" t="s">
        <v>3957</v>
      </c>
      <c r="D82" s="29"/>
      <c r="E82" s="4">
        <v>3.06</v>
      </c>
      <c r="F82" s="4" t="s">
        <v>29</v>
      </c>
      <c r="G82" s="30">
        <v>-2</v>
      </c>
      <c r="H82" s="4">
        <v>-1</v>
      </c>
      <c r="I82" s="4"/>
      <c r="J82" s="4"/>
      <c r="K82" s="4"/>
      <c r="L82" s="4"/>
      <c r="M82" t="b">
        <v>0</v>
      </c>
      <c r="N82" t="b">
        <v>0</v>
      </c>
      <c r="O82" t="b">
        <v>0</v>
      </c>
      <c r="P82" t="b">
        <v>1</v>
      </c>
      <c r="Q82">
        <v>-2</v>
      </c>
      <c r="R82">
        <v>-1</v>
      </c>
      <c r="T82" s="4">
        <v>2</v>
      </c>
      <c r="U82" s="31">
        <v>0</v>
      </c>
      <c r="V82">
        <v>0</v>
      </c>
      <c r="W82">
        <v>0</v>
      </c>
      <c r="X82" s="4">
        <v>3.9</v>
      </c>
      <c r="Y82" s="4">
        <v>3.9</v>
      </c>
      <c r="Z82" s="4">
        <v>29.65</v>
      </c>
      <c r="AA82" s="4"/>
      <c r="AB82" s="4">
        <v>14.824999999999999</v>
      </c>
      <c r="AC82" s="31">
        <v>0</v>
      </c>
      <c r="AD82" s="31"/>
      <c r="AE82" s="31"/>
      <c r="AF82">
        <v>0</v>
      </c>
      <c r="AI82">
        <v>0</v>
      </c>
      <c r="AL82" s="4" t="s">
        <v>464</v>
      </c>
      <c r="AM82" s="4">
        <v>20</v>
      </c>
      <c r="AN82" s="44">
        <f t="shared" si="1"/>
        <v>450.97649999999993</v>
      </c>
      <c r="AO82" s="46">
        <v>0</v>
      </c>
      <c r="AP82" s="44">
        <v>0</v>
      </c>
      <c r="AQ82" s="44">
        <v>0</v>
      </c>
      <c r="AR82" s="41"/>
      <c r="AS82" s="40"/>
      <c r="AT82" s="41"/>
      <c r="AU82" s="41"/>
      <c r="AV82" s="4">
        <v>1.774193548387097</v>
      </c>
      <c r="AW82" s="4">
        <v>2.725806451612903</v>
      </c>
      <c r="AX82" s="4">
        <v>1.435483870967742</v>
      </c>
      <c r="AY82" s="4">
        <v>0.90322580645161288</v>
      </c>
      <c r="AZ82" s="4">
        <v>0.25943396226415089</v>
      </c>
      <c r="BA82" s="4">
        <v>0.3985849056603773</v>
      </c>
      <c r="BB82" s="4">
        <v>0.2099056603773585</v>
      </c>
      <c r="BC82" s="4">
        <v>0.13207547169811321</v>
      </c>
      <c r="BD82" s="31">
        <v>0.82</v>
      </c>
      <c r="BE82" s="31">
        <v>3.44</v>
      </c>
      <c r="BF82" s="31">
        <v>2.62</v>
      </c>
      <c r="BG82" s="31">
        <v>2.7669354838709679</v>
      </c>
      <c r="BH82" s="4">
        <v>2.7669354838709679</v>
      </c>
      <c r="BI82" s="4">
        <v>6.1375918448387097</v>
      </c>
      <c r="BJ82" s="64"/>
      <c r="BK82" s="64"/>
      <c r="BL82" s="64"/>
      <c r="BQ82">
        <v>0</v>
      </c>
      <c r="BR82">
        <v>0</v>
      </c>
      <c r="BS82">
        <v>0</v>
      </c>
      <c r="BT82" s="68" t="s">
        <v>1264</v>
      </c>
      <c r="BU82" s="68">
        <v>1373</v>
      </c>
      <c r="BV82" s="68">
        <v>48</v>
      </c>
      <c r="BX82" s="68" t="s">
        <v>1275</v>
      </c>
      <c r="BY82" s="68" t="s">
        <v>863</v>
      </c>
      <c r="BZ82" s="68">
        <v>0.1</v>
      </c>
      <c r="CB82" s="68">
        <v>1.5</v>
      </c>
      <c r="CC82" s="68">
        <v>15</v>
      </c>
      <c r="CD82" s="68" t="s">
        <v>464</v>
      </c>
      <c r="CE82" s="68" t="s">
        <v>464</v>
      </c>
      <c r="CF82" s="68" t="s">
        <v>1271</v>
      </c>
      <c r="CG82" s="68">
        <v>450</v>
      </c>
      <c r="CH82" s="68">
        <v>400</v>
      </c>
      <c r="CK82" s="70">
        <v>0</v>
      </c>
    </row>
    <row r="83" spans="1:91" x14ac:dyDescent="0.3">
      <c r="A83" t="s">
        <v>34</v>
      </c>
      <c r="C83" t="s">
        <v>3958</v>
      </c>
      <c r="D83" s="12"/>
      <c r="E83">
        <v>3.31</v>
      </c>
      <c r="F83" t="s">
        <v>29</v>
      </c>
      <c r="G83" s="8" t="s">
        <v>542</v>
      </c>
      <c r="H83" t="s">
        <v>623</v>
      </c>
      <c r="M83" t="b">
        <v>1</v>
      </c>
      <c r="N83" t="b">
        <v>1</v>
      </c>
      <c r="O83" t="b">
        <v>0</v>
      </c>
      <c r="P83" t="b">
        <v>0</v>
      </c>
      <c r="Q83" t="s">
        <v>542</v>
      </c>
      <c r="R83" t="s">
        <v>623</v>
      </c>
      <c r="T83">
        <v>4</v>
      </c>
      <c r="U83" s="20">
        <v>1</v>
      </c>
      <c r="V83">
        <v>2</v>
      </c>
      <c r="W83">
        <v>0</v>
      </c>
      <c r="X83">
        <v>3.9</v>
      </c>
      <c r="Y83">
        <v>3.9</v>
      </c>
      <c r="Z83">
        <v>29.65</v>
      </c>
      <c r="AA83" t="s">
        <v>440</v>
      </c>
      <c r="AB83" s="1">
        <f>Z83/2</f>
        <v>14.824999999999999</v>
      </c>
      <c r="AC83" s="20">
        <v>3.9086759899999999</v>
      </c>
      <c r="AD83" s="20">
        <v>3.908676100000001</v>
      </c>
      <c r="AE83" s="20">
        <v>10.552604730000001</v>
      </c>
      <c r="AF83">
        <v>3.899</v>
      </c>
      <c r="AG83">
        <v>3.899</v>
      </c>
      <c r="AH83">
        <v>20.399989999999999</v>
      </c>
      <c r="AI83">
        <v>0</v>
      </c>
      <c r="AL83" t="s">
        <v>464</v>
      </c>
      <c r="AM83">
        <v>14</v>
      </c>
      <c r="AN83" s="44">
        <f t="shared" si="1"/>
        <v>450.97649999999993</v>
      </c>
      <c r="AO83" s="46">
        <v>155.59136328639269</v>
      </c>
      <c r="AP83" s="44">
        <v>310.12474837798999</v>
      </c>
      <c r="AQ83" s="44">
        <v>0</v>
      </c>
      <c r="AR83" s="41"/>
      <c r="AS83" s="40">
        <v>8.9979287437893268E-2</v>
      </c>
      <c r="AT83" s="41">
        <v>9.0286248183820222E-2</v>
      </c>
      <c r="AU83" s="41"/>
      <c r="AV83" s="23">
        <v>2</v>
      </c>
      <c r="AW83" s="23">
        <v>2.333333333333333</v>
      </c>
      <c r="AX83" s="23">
        <v>0.33333333333333331</v>
      </c>
      <c r="AY83" s="23">
        <v>0</v>
      </c>
      <c r="AZ83" s="23">
        <v>0.42857142857142849</v>
      </c>
      <c r="BA83" s="23">
        <v>0.5</v>
      </c>
      <c r="BB83" s="23">
        <v>7.1428571428571425E-2</v>
      </c>
      <c r="BC83" s="23">
        <v>0</v>
      </c>
      <c r="BD83" s="20">
        <v>0.95</v>
      </c>
      <c r="BE83" s="20">
        <v>3.44</v>
      </c>
      <c r="BF83" s="20">
        <v>2.4900000000000002</v>
      </c>
      <c r="BG83" s="20">
        <v>2.500833333333333</v>
      </c>
      <c r="BH83">
        <v>2.500833333333333</v>
      </c>
      <c r="BI83">
        <v>5.6917605187500007</v>
      </c>
      <c r="BJ83" s="64">
        <v>0.58499657192886345</v>
      </c>
      <c r="BK83" s="64">
        <v>0.58699226437317098</v>
      </c>
      <c r="BL83" s="64"/>
      <c r="BN83">
        <v>4.4989643718946627E-2</v>
      </c>
      <c r="BO83">
        <v>4.5143124091910111E-2</v>
      </c>
      <c r="BQ83">
        <v>9.0132767810856745E-2</v>
      </c>
      <c r="BR83">
        <v>4.5066383905428373E-2</v>
      </c>
      <c r="BS83">
        <v>0.58599441815101727</v>
      </c>
      <c r="BT83" s="68" t="s">
        <v>1264</v>
      </c>
      <c r="BU83" s="68">
        <v>1373</v>
      </c>
      <c r="BV83" s="68">
        <v>48</v>
      </c>
      <c r="BX83" s="68" t="s">
        <v>1275</v>
      </c>
      <c r="BY83" s="68" t="s">
        <v>863</v>
      </c>
      <c r="BZ83" s="68">
        <v>0.1</v>
      </c>
      <c r="CB83" s="68">
        <v>1.5</v>
      </c>
      <c r="CC83" s="68">
        <v>15</v>
      </c>
      <c r="CD83" s="68" t="s">
        <v>464</v>
      </c>
      <c r="CE83" s="68" t="s">
        <v>464</v>
      </c>
      <c r="CF83" s="68" t="s">
        <v>1271</v>
      </c>
      <c r="CG83" s="68">
        <v>450</v>
      </c>
      <c r="CH83" s="68">
        <v>400</v>
      </c>
      <c r="CK83" s="70">
        <v>0</v>
      </c>
    </row>
    <row r="84" spans="1:91" x14ac:dyDescent="0.3">
      <c r="A84" t="s">
        <v>35</v>
      </c>
      <c r="C84" t="s">
        <v>3959</v>
      </c>
      <c r="D84" s="12"/>
      <c r="E84">
        <v>2.98</v>
      </c>
      <c r="F84" t="s">
        <v>29</v>
      </c>
      <c r="G84" s="8" t="s">
        <v>543</v>
      </c>
      <c r="H84" t="s">
        <v>624</v>
      </c>
      <c r="M84" t="b">
        <v>1</v>
      </c>
      <c r="N84" t="b">
        <v>1</v>
      </c>
      <c r="O84" t="b">
        <v>0</v>
      </c>
      <c r="P84" t="b">
        <v>0</v>
      </c>
      <c r="Q84" t="s">
        <v>543</v>
      </c>
      <c r="R84" t="s">
        <v>624</v>
      </c>
      <c r="U84" s="20">
        <v>1</v>
      </c>
      <c r="V84">
        <v>1</v>
      </c>
      <c r="W84">
        <v>0</v>
      </c>
      <c r="X84" t="s">
        <v>464</v>
      </c>
      <c r="Y84" t="s">
        <v>464</v>
      </c>
      <c r="Z84" t="s">
        <v>464</v>
      </c>
      <c r="AA84" t="s">
        <v>440</v>
      </c>
      <c r="AC84" s="20">
        <v>3.969049</v>
      </c>
      <c r="AD84" s="20">
        <v>3.969049</v>
      </c>
      <c r="AE84" s="20">
        <v>3.969049</v>
      </c>
      <c r="AF84">
        <v>4</v>
      </c>
      <c r="AG84">
        <v>4.2110000000000003</v>
      </c>
      <c r="AH84">
        <v>3.875</v>
      </c>
      <c r="AI84">
        <v>0</v>
      </c>
      <c r="AL84" t="s">
        <v>464</v>
      </c>
      <c r="AM84">
        <v>6</v>
      </c>
      <c r="AN84" s="44" t="e">
        <f t="shared" si="1"/>
        <v>#VALUE!</v>
      </c>
      <c r="AO84" s="46">
        <v>62.525817922855822</v>
      </c>
      <c r="AP84" s="44">
        <v>65.270499999999998</v>
      </c>
      <c r="AQ84" s="44">
        <v>0</v>
      </c>
      <c r="AR84" s="41"/>
      <c r="AS84" s="40">
        <v>9.5960360045234158E-2</v>
      </c>
      <c r="AT84" s="41">
        <v>9.1925142292459849E-2</v>
      </c>
      <c r="AU84" s="41"/>
      <c r="AV84" s="23">
        <v>2</v>
      </c>
      <c r="AW84" s="23">
        <v>2.8</v>
      </c>
      <c r="AX84" s="23">
        <v>2.4</v>
      </c>
      <c r="AY84" s="23">
        <v>2.8</v>
      </c>
      <c r="AZ84" s="23">
        <v>0.2</v>
      </c>
      <c r="BA84" s="23">
        <v>0.28000000000000003</v>
      </c>
      <c r="BB84" s="23">
        <v>0.24</v>
      </c>
      <c r="BC84" s="23">
        <v>0.28000000000000003</v>
      </c>
      <c r="BD84" s="20">
        <v>1.54</v>
      </c>
      <c r="BE84" s="20">
        <v>3.44</v>
      </c>
      <c r="BF84" s="20">
        <v>1.9</v>
      </c>
      <c r="BG84" s="20">
        <v>2.8380000000000001</v>
      </c>
      <c r="BH84">
        <v>2.8380000000000001</v>
      </c>
      <c r="BI84">
        <v>5.9914547000000002</v>
      </c>
      <c r="BJ84" s="64">
        <v>0.58734468850194366</v>
      </c>
      <c r="BK84" s="64">
        <v>0.56264632646033053</v>
      </c>
      <c r="BL84" s="64"/>
      <c r="BN84">
        <v>4.7980180022617079E-2</v>
      </c>
      <c r="BO84">
        <v>4.5962571146229918E-2</v>
      </c>
      <c r="BQ84">
        <v>9.3942751168847011E-2</v>
      </c>
      <c r="BR84">
        <v>4.6971375584423498E-2</v>
      </c>
      <c r="BS84">
        <v>0.57499550748113704</v>
      </c>
      <c r="BT84" s="68" t="s">
        <v>1264</v>
      </c>
      <c r="BU84" s="68">
        <v>1373</v>
      </c>
      <c r="BV84" s="68">
        <v>48</v>
      </c>
      <c r="BX84" s="68" t="s">
        <v>1275</v>
      </c>
      <c r="BY84" s="68" t="s">
        <v>863</v>
      </c>
      <c r="BZ84" s="68">
        <v>0.1</v>
      </c>
      <c r="CB84" s="68">
        <v>1.5</v>
      </c>
      <c r="CC84" s="68">
        <v>15</v>
      </c>
      <c r="CD84" s="68" t="s">
        <v>464</v>
      </c>
      <c r="CE84" s="68" t="s">
        <v>464</v>
      </c>
      <c r="CF84" s="68" t="s">
        <v>1271</v>
      </c>
      <c r="CG84" s="68">
        <v>450</v>
      </c>
      <c r="CH84" s="68">
        <v>400</v>
      </c>
      <c r="CK84" s="70">
        <v>45.3</v>
      </c>
    </row>
    <row r="85" spans="1:91" x14ac:dyDescent="0.3">
      <c r="A85" t="s">
        <v>41</v>
      </c>
      <c r="C85" t="s">
        <v>3960</v>
      </c>
      <c r="D85" s="12"/>
      <c r="E85">
        <v>3.95</v>
      </c>
      <c r="F85" t="s">
        <v>36</v>
      </c>
      <c r="G85" s="8" t="s">
        <v>547</v>
      </c>
      <c r="H85" t="s">
        <v>628</v>
      </c>
      <c r="M85" t="b">
        <v>1</v>
      </c>
      <c r="N85" t="b">
        <v>1</v>
      </c>
      <c r="O85" t="b">
        <v>0</v>
      </c>
      <c r="P85" t="b">
        <v>0</v>
      </c>
      <c r="Q85" t="s">
        <v>547</v>
      </c>
      <c r="R85" t="s">
        <v>628</v>
      </c>
      <c r="U85" s="20">
        <v>1</v>
      </c>
      <c r="V85">
        <v>3</v>
      </c>
      <c r="W85">
        <v>0</v>
      </c>
      <c r="AC85" s="20">
        <v>9.3662349099999993</v>
      </c>
      <c r="AD85" s="20">
        <v>9.3662349099999993</v>
      </c>
      <c r="AE85" s="20">
        <v>9.3662351000000008</v>
      </c>
      <c r="AF85">
        <v>5.5609999999999999</v>
      </c>
      <c r="AG85">
        <v>5.5609999999999999</v>
      </c>
      <c r="AH85">
        <v>26.24</v>
      </c>
      <c r="AI85">
        <v>0</v>
      </c>
      <c r="AL85" t="s">
        <v>464</v>
      </c>
      <c r="AM85">
        <v>24</v>
      </c>
      <c r="AN85" s="44">
        <f t="shared" si="1"/>
        <v>0</v>
      </c>
      <c r="AO85" s="46">
        <v>238.908881754341</v>
      </c>
      <c r="AP85" s="44">
        <v>702.74902632242595</v>
      </c>
      <c r="AQ85" s="44">
        <v>0</v>
      </c>
      <c r="AR85" s="41"/>
      <c r="AS85" s="40">
        <v>0.10045670895014321</v>
      </c>
      <c r="AT85" s="41">
        <v>0.1024547844296349</v>
      </c>
      <c r="AU85" s="41"/>
      <c r="AV85" s="23">
        <v>2</v>
      </c>
      <c r="AW85" s="23">
        <v>2.5263157894736841</v>
      </c>
      <c r="AX85" s="23">
        <v>0.52631578947368418</v>
      </c>
      <c r="AY85" s="23">
        <v>0</v>
      </c>
      <c r="AZ85" s="23">
        <v>0.39583333333333343</v>
      </c>
      <c r="BA85" s="23">
        <v>0.5</v>
      </c>
      <c r="BB85" s="23">
        <v>0.1041666666666667</v>
      </c>
      <c r="BC85" s="23">
        <v>0</v>
      </c>
      <c r="BD85" s="20">
        <v>1.1000000000000001</v>
      </c>
      <c r="BE85" s="20">
        <v>3.44</v>
      </c>
      <c r="BF85" s="20">
        <v>2.34</v>
      </c>
      <c r="BG85" s="20">
        <v>2.647368421052632</v>
      </c>
      <c r="BH85">
        <v>2.6473684210526311</v>
      </c>
      <c r="BI85">
        <v>5.9525974578947363</v>
      </c>
      <c r="BJ85" s="64">
        <v>0.55552189395192297</v>
      </c>
      <c r="BK85" s="64">
        <v>0.56657117763069742</v>
      </c>
      <c r="BL85" s="64"/>
      <c r="BN85">
        <v>5.0228354475071582E-2</v>
      </c>
      <c r="BO85">
        <v>5.1227392214817473E-2</v>
      </c>
      <c r="BQ85">
        <v>0.10145574668988901</v>
      </c>
      <c r="BR85">
        <v>5.0727873344944517E-2</v>
      </c>
      <c r="BS85">
        <v>0.56104653579131014</v>
      </c>
      <c r="BT85" s="68" t="s">
        <v>1293</v>
      </c>
      <c r="BU85" s="68">
        <v>1473</v>
      </c>
      <c r="BV85" s="68">
        <v>10</v>
      </c>
      <c r="BX85" s="68" t="s">
        <v>464</v>
      </c>
      <c r="BY85" s="68" t="s">
        <v>464</v>
      </c>
      <c r="BZ85" s="68">
        <v>0</v>
      </c>
      <c r="CA85" s="68">
        <v>3.4</v>
      </c>
      <c r="CB85" s="68">
        <v>1.32</v>
      </c>
      <c r="CC85" s="68">
        <v>0</v>
      </c>
      <c r="CD85" s="68" t="s">
        <v>464</v>
      </c>
      <c r="CE85" s="68" t="s">
        <v>464</v>
      </c>
      <c r="CF85" s="68" t="s">
        <v>1266</v>
      </c>
      <c r="CG85" s="68">
        <v>300</v>
      </c>
      <c r="CI85" s="68" t="s">
        <v>1287</v>
      </c>
      <c r="CK85" s="70">
        <v>18</v>
      </c>
      <c r="CM85" s="12"/>
    </row>
    <row r="86" spans="1:91" x14ac:dyDescent="0.3">
      <c r="A86" t="s">
        <v>39</v>
      </c>
      <c r="C86" t="s">
        <v>3961</v>
      </c>
      <c r="D86" s="12"/>
      <c r="E86">
        <v>3.79</v>
      </c>
      <c r="F86" t="s">
        <v>36</v>
      </c>
      <c r="G86" s="8">
        <v>-1</v>
      </c>
      <c r="H86">
        <v>-1</v>
      </c>
      <c r="I86" t="s">
        <v>1150</v>
      </c>
      <c r="M86" t="b">
        <v>0</v>
      </c>
      <c r="N86" t="b">
        <v>0</v>
      </c>
      <c r="O86" t="b">
        <v>1</v>
      </c>
      <c r="P86" t="b">
        <v>0</v>
      </c>
      <c r="Q86">
        <v>-1</v>
      </c>
      <c r="R86">
        <v>-1</v>
      </c>
      <c r="S86" t="s">
        <v>1150</v>
      </c>
      <c r="U86" s="20">
        <v>0</v>
      </c>
      <c r="V86">
        <v>0</v>
      </c>
      <c r="W86">
        <v>1</v>
      </c>
      <c r="AC86" s="20">
        <v>0</v>
      </c>
      <c r="AD86" s="20"/>
      <c r="AE86" s="20"/>
      <c r="AF86">
        <v>0</v>
      </c>
      <c r="AI86">
        <v>5.532</v>
      </c>
      <c r="AJ86">
        <v>5.532</v>
      </c>
      <c r="AK86">
        <v>11.016</v>
      </c>
      <c r="AL86" t="s">
        <v>464</v>
      </c>
      <c r="AM86">
        <v>30</v>
      </c>
      <c r="AN86" s="44">
        <f t="shared" si="1"/>
        <v>0</v>
      </c>
      <c r="AO86" s="46">
        <v>0</v>
      </c>
      <c r="AP86" s="44">
        <v>0</v>
      </c>
      <c r="AQ86" s="44">
        <v>291.95700632233962</v>
      </c>
      <c r="AR86" s="41"/>
      <c r="AS86" s="40"/>
      <c r="AT86" s="41"/>
      <c r="AU86" s="41">
        <v>0.1027548555107393</v>
      </c>
      <c r="AV86" s="23">
        <v>2</v>
      </c>
      <c r="AW86" s="23">
        <v>2.5</v>
      </c>
      <c r="AX86" s="23">
        <v>0.5</v>
      </c>
      <c r="AY86" s="23">
        <v>0</v>
      </c>
      <c r="AZ86" s="23">
        <v>0.4</v>
      </c>
      <c r="BA86" s="23">
        <v>0.5</v>
      </c>
      <c r="BB86" s="23">
        <v>0.1</v>
      </c>
      <c r="BC86" s="23">
        <v>0</v>
      </c>
      <c r="BD86" s="20">
        <v>1</v>
      </c>
      <c r="BE86" s="20">
        <v>3.44</v>
      </c>
      <c r="BF86" s="20">
        <v>2.44</v>
      </c>
      <c r="BG86" s="20">
        <v>2.6316666666666659</v>
      </c>
      <c r="BH86">
        <v>2.6316666666666668</v>
      </c>
      <c r="BI86">
        <v>5.9266157452083332</v>
      </c>
      <c r="BJ86" s="64"/>
      <c r="BK86" s="64"/>
      <c r="BL86" s="64">
        <v>0</v>
      </c>
      <c r="BP86">
        <v>5.1377427755369638E-2</v>
      </c>
      <c r="BQ86">
        <v>0.1027548555107393</v>
      </c>
      <c r="BR86">
        <v>5.1377427755369638E-2</v>
      </c>
      <c r="BS86">
        <v>0</v>
      </c>
      <c r="BT86" s="68" t="s">
        <v>1293</v>
      </c>
      <c r="BU86" s="68">
        <v>1373</v>
      </c>
      <c r="BV86" s="68">
        <v>10</v>
      </c>
      <c r="BX86" s="68" t="s">
        <v>464</v>
      </c>
      <c r="BY86" s="68" t="s">
        <v>464</v>
      </c>
      <c r="BZ86" s="68">
        <v>0</v>
      </c>
      <c r="CA86" s="68">
        <v>6.2</v>
      </c>
      <c r="CB86" s="68">
        <v>1.32</v>
      </c>
      <c r="CC86" s="68">
        <v>0</v>
      </c>
      <c r="CD86" s="68" t="s">
        <v>464</v>
      </c>
      <c r="CE86" s="68" t="s">
        <v>464</v>
      </c>
      <c r="CF86" s="68" t="s">
        <v>1266</v>
      </c>
      <c r="CG86" s="68">
        <v>300</v>
      </c>
      <c r="CI86" s="68" t="s">
        <v>1287</v>
      </c>
      <c r="CK86" s="70">
        <v>6</v>
      </c>
      <c r="CM86" s="12"/>
    </row>
    <row r="87" spans="1:91" x14ac:dyDescent="0.3">
      <c r="A87" t="s">
        <v>42</v>
      </c>
      <c r="C87" t="s">
        <v>3962</v>
      </c>
      <c r="D87" s="12"/>
      <c r="E87">
        <v>3.82</v>
      </c>
      <c r="F87" t="s">
        <v>36</v>
      </c>
      <c r="G87" s="8">
        <v>-1</v>
      </c>
      <c r="H87">
        <v>-1</v>
      </c>
      <c r="I87" t="s">
        <v>1151</v>
      </c>
      <c r="M87" t="b">
        <v>0</v>
      </c>
      <c r="N87" t="b">
        <v>0</v>
      </c>
      <c r="O87" t="b">
        <v>1</v>
      </c>
      <c r="P87" t="b">
        <v>0</v>
      </c>
      <c r="Q87">
        <v>-1</v>
      </c>
      <c r="R87">
        <v>-1</v>
      </c>
      <c r="S87" t="s">
        <v>1151</v>
      </c>
      <c r="U87" s="20">
        <v>0</v>
      </c>
      <c r="V87">
        <v>0</v>
      </c>
      <c r="W87">
        <v>1</v>
      </c>
      <c r="AC87" s="20">
        <v>0</v>
      </c>
      <c r="AD87" s="20"/>
      <c r="AE87" s="20"/>
      <c r="AF87">
        <v>0</v>
      </c>
      <c r="AI87">
        <v>5.55</v>
      </c>
      <c r="AJ87">
        <v>5.55</v>
      </c>
      <c r="AK87">
        <v>11.066000000000001</v>
      </c>
      <c r="AL87" t="s">
        <v>464</v>
      </c>
      <c r="AM87">
        <v>30</v>
      </c>
      <c r="AN87" s="44">
        <f t="shared" si="1"/>
        <v>0</v>
      </c>
      <c r="AO87" s="46">
        <v>0</v>
      </c>
      <c r="AP87" s="44">
        <v>0</v>
      </c>
      <c r="AQ87" s="44">
        <v>295.19382183577648</v>
      </c>
      <c r="AR87" s="41"/>
      <c r="AS87" s="40"/>
      <c r="AT87" s="41"/>
      <c r="AU87" s="41">
        <v>0.1016281432092089</v>
      </c>
      <c r="AV87" s="23">
        <v>2</v>
      </c>
      <c r="AW87" s="23">
        <v>2.5</v>
      </c>
      <c r="AX87" s="23">
        <v>0.5</v>
      </c>
      <c r="AY87" s="23">
        <v>0</v>
      </c>
      <c r="AZ87" s="23">
        <v>0.4</v>
      </c>
      <c r="BA87" s="23">
        <v>0.5</v>
      </c>
      <c r="BB87" s="23">
        <v>0.1</v>
      </c>
      <c r="BC87" s="23">
        <v>0</v>
      </c>
      <c r="BD87" s="20">
        <v>0.95</v>
      </c>
      <c r="BE87" s="20">
        <v>3.44</v>
      </c>
      <c r="BF87" s="20">
        <v>2.4900000000000002</v>
      </c>
      <c r="BG87" s="20">
        <v>2.6295833333333332</v>
      </c>
      <c r="BH87">
        <v>2.6295833333333332</v>
      </c>
      <c r="BI87">
        <v>5.9184746406250008</v>
      </c>
      <c r="BJ87" s="64"/>
      <c r="BK87" s="64"/>
      <c r="BL87" s="64">
        <v>0</v>
      </c>
      <c r="BP87">
        <v>5.0814071604604473E-2</v>
      </c>
      <c r="BQ87">
        <v>0.1016281432092089</v>
      </c>
      <c r="BR87">
        <v>5.0814071604604473E-2</v>
      </c>
      <c r="BS87">
        <v>0</v>
      </c>
      <c r="BT87" s="68" t="s">
        <v>1293</v>
      </c>
      <c r="BU87" s="68">
        <v>1373</v>
      </c>
      <c r="BV87" s="68">
        <v>10</v>
      </c>
      <c r="BX87" s="68" t="s">
        <v>464</v>
      </c>
      <c r="BY87" s="68" t="s">
        <v>464</v>
      </c>
      <c r="BZ87" s="68">
        <v>0</v>
      </c>
      <c r="CA87" s="68">
        <v>6.2</v>
      </c>
      <c r="CB87" s="68">
        <v>1.32</v>
      </c>
      <c r="CC87" s="68">
        <v>0</v>
      </c>
      <c r="CD87" s="68" t="s">
        <v>464</v>
      </c>
      <c r="CE87" s="68" t="s">
        <v>464</v>
      </c>
      <c r="CF87" s="68" t="s">
        <v>1266</v>
      </c>
      <c r="CG87" s="68">
        <v>300</v>
      </c>
      <c r="CI87" s="68" t="s">
        <v>1287</v>
      </c>
      <c r="CK87" s="70">
        <v>4</v>
      </c>
      <c r="CM87" s="12"/>
    </row>
    <row r="88" spans="1:91" x14ac:dyDescent="0.3">
      <c r="A88" t="s">
        <v>40</v>
      </c>
      <c r="C88" t="s">
        <v>3963</v>
      </c>
      <c r="D88" s="12"/>
      <c r="E88">
        <v>3.85</v>
      </c>
      <c r="F88" t="s">
        <v>36</v>
      </c>
      <c r="G88" s="8" t="s">
        <v>546</v>
      </c>
      <c r="H88" t="s">
        <v>627</v>
      </c>
      <c r="M88" t="b">
        <v>1</v>
      </c>
      <c r="N88" t="b">
        <v>1</v>
      </c>
      <c r="O88" t="b">
        <v>0</v>
      </c>
      <c r="P88" t="b">
        <v>0</v>
      </c>
      <c r="Q88" t="s">
        <v>546</v>
      </c>
      <c r="R88" t="s">
        <v>627</v>
      </c>
      <c r="U88" s="20">
        <v>2</v>
      </c>
      <c r="V88">
        <v>2</v>
      </c>
      <c r="W88">
        <v>0</v>
      </c>
      <c r="AC88" s="20">
        <v>5.6269875200000001</v>
      </c>
      <c r="AD88" s="20">
        <v>5.6269875200000001</v>
      </c>
      <c r="AE88" s="20">
        <v>22.749475</v>
      </c>
      <c r="AF88">
        <v>5.5670999999999999</v>
      </c>
      <c r="AG88">
        <v>5.5670999999999999</v>
      </c>
      <c r="AH88">
        <v>22.4603</v>
      </c>
      <c r="AI88">
        <v>0</v>
      </c>
      <c r="AL88" t="s">
        <v>464</v>
      </c>
      <c r="AM88">
        <v>30</v>
      </c>
      <c r="AN88" s="44">
        <f t="shared" si="1"/>
        <v>0</v>
      </c>
      <c r="AO88" s="46">
        <v>623.81230762201892</v>
      </c>
      <c r="AP88" s="44">
        <v>602.84300974379039</v>
      </c>
      <c r="AQ88" s="44">
        <v>0</v>
      </c>
      <c r="AR88" s="41"/>
      <c r="AS88" s="40">
        <v>9.6182776881592519E-2</v>
      </c>
      <c r="AT88" s="41">
        <v>9.9528399650018556E-2</v>
      </c>
      <c r="AU88" s="41"/>
      <c r="AV88" s="23">
        <v>2</v>
      </c>
      <c r="AW88" s="23">
        <v>2.5</v>
      </c>
      <c r="AX88" s="23">
        <v>0.5</v>
      </c>
      <c r="AY88" s="23">
        <v>0</v>
      </c>
      <c r="AZ88" s="23">
        <v>0.4</v>
      </c>
      <c r="BA88" s="23">
        <v>0.5</v>
      </c>
      <c r="BB88" s="23">
        <v>0.1</v>
      </c>
      <c r="BC88" s="23">
        <v>0</v>
      </c>
      <c r="BD88" s="20">
        <v>0.89</v>
      </c>
      <c r="BE88" s="20">
        <v>3.44</v>
      </c>
      <c r="BF88" s="20">
        <v>2.5499999999999998</v>
      </c>
      <c r="BG88" s="20">
        <v>2.6270833333333332</v>
      </c>
      <c r="BH88">
        <v>2.6270833333333332</v>
      </c>
      <c r="BI88">
        <v>5.9103362479166668</v>
      </c>
      <c r="BJ88" s="64">
        <v>0.55608047790729209</v>
      </c>
      <c r="BK88" s="64">
        <v>0</v>
      </c>
      <c r="BL88" s="64"/>
      <c r="BN88">
        <v>4.8091388440796259E-2</v>
      </c>
      <c r="BO88">
        <v>4.9764199825009278E-2</v>
      </c>
      <c r="BQ88">
        <v>9.7855588265805538E-2</v>
      </c>
      <c r="BR88">
        <v>4.8927794132902769E-2</v>
      </c>
      <c r="BS88">
        <v>0.27804023895364599</v>
      </c>
      <c r="BT88" s="68" t="s">
        <v>1293</v>
      </c>
      <c r="BU88" s="68">
        <v>1373</v>
      </c>
      <c r="BV88" s="68">
        <v>10</v>
      </c>
      <c r="BX88" s="68" t="s">
        <v>464</v>
      </c>
      <c r="BY88" s="68" t="s">
        <v>464</v>
      </c>
      <c r="BZ88" s="68">
        <v>0</v>
      </c>
      <c r="CA88" s="68">
        <v>6.1</v>
      </c>
      <c r="CB88" s="68">
        <v>1.32</v>
      </c>
      <c r="CC88" s="68">
        <v>0</v>
      </c>
      <c r="CD88" s="68" t="s">
        <v>464</v>
      </c>
      <c r="CE88" s="68" t="s">
        <v>464</v>
      </c>
      <c r="CF88" s="68" t="s">
        <v>1266</v>
      </c>
      <c r="CG88" s="68">
        <v>300</v>
      </c>
      <c r="CI88" s="68" t="s">
        <v>1287</v>
      </c>
      <c r="CK88" s="70">
        <v>10</v>
      </c>
      <c r="CM88" s="12"/>
    </row>
    <row r="89" spans="1:91" x14ac:dyDescent="0.3">
      <c r="A89" t="s">
        <v>43</v>
      </c>
      <c r="C89" t="s">
        <v>3964</v>
      </c>
      <c r="D89" s="12"/>
      <c r="E89">
        <v>4.07</v>
      </c>
      <c r="F89" t="s">
        <v>36</v>
      </c>
      <c r="G89" s="8" t="s">
        <v>548</v>
      </c>
      <c r="H89">
        <v>-1</v>
      </c>
      <c r="M89" t="b">
        <v>1</v>
      </c>
      <c r="N89" t="b">
        <v>0</v>
      </c>
      <c r="O89" t="b">
        <v>0</v>
      </c>
      <c r="P89" t="b">
        <v>0</v>
      </c>
      <c r="Q89" t="s">
        <v>548</v>
      </c>
      <c r="R89">
        <v>-1</v>
      </c>
      <c r="U89" s="20">
        <v>1</v>
      </c>
      <c r="V89">
        <v>0</v>
      </c>
      <c r="W89">
        <v>0</v>
      </c>
      <c r="AC89" s="20">
        <v>9.9321903099999993</v>
      </c>
      <c r="AD89" s="20">
        <v>9.9321903099999993</v>
      </c>
      <c r="AE89" s="20">
        <v>9.9321899499999997</v>
      </c>
      <c r="AF89">
        <v>0</v>
      </c>
      <c r="AI89">
        <v>0</v>
      </c>
      <c r="AL89" t="s">
        <v>464</v>
      </c>
      <c r="AM89">
        <v>24</v>
      </c>
      <c r="AN89" s="44">
        <f t="shared" si="1"/>
        <v>0</v>
      </c>
      <c r="AO89" s="46">
        <v>275.17611786249188</v>
      </c>
      <c r="AP89" s="44">
        <v>0</v>
      </c>
      <c r="AQ89" s="44">
        <v>0</v>
      </c>
      <c r="AR89" s="41"/>
      <c r="AS89" s="40">
        <v>8.7216871094871057E-2</v>
      </c>
      <c r="AT89" s="41"/>
      <c r="AU89" s="41"/>
      <c r="AV89" s="23">
        <v>1.8421052631578949</v>
      </c>
      <c r="AW89" s="23">
        <v>2.5263157894736841</v>
      </c>
      <c r="AX89" s="23">
        <v>0.68421052631578949</v>
      </c>
      <c r="AY89" s="23">
        <v>0</v>
      </c>
      <c r="AZ89" s="23">
        <v>0.36458333333333343</v>
      </c>
      <c r="BA89" s="23">
        <v>0.5</v>
      </c>
      <c r="BB89" s="23">
        <v>0.13541666666666671</v>
      </c>
      <c r="BC89" s="23">
        <v>0</v>
      </c>
      <c r="BD89" s="20">
        <v>0.89</v>
      </c>
      <c r="BE89" s="20">
        <v>3.44</v>
      </c>
      <c r="BF89" s="20">
        <v>2.5499999999999998</v>
      </c>
      <c r="BG89" s="20">
        <v>2.6236842105263158</v>
      </c>
      <c r="BH89">
        <v>2.623684210526315</v>
      </c>
      <c r="BI89">
        <v>5.9521582263157891</v>
      </c>
      <c r="BJ89" s="64">
        <v>0.56264133404440497</v>
      </c>
      <c r="BK89" s="64"/>
      <c r="BL89" s="64"/>
      <c r="BN89">
        <v>4.3608435547435528E-2</v>
      </c>
      <c r="BQ89">
        <v>8.7216871094871057E-2</v>
      </c>
      <c r="BR89">
        <v>4.3608435547435528E-2</v>
      </c>
      <c r="BS89">
        <v>0.56264133404440497</v>
      </c>
      <c r="BT89" s="68" t="s">
        <v>1293</v>
      </c>
      <c r="BU89" s="68">
        <v>1073</v>
      </c>
      <c r="BV89" s="68">
        <v>10</v>
      </c>
      <c r="BX89" s="68" t="s">
        <v>464</v>
      </c>
      <c r="BY89" s="68" t="s">
        <v>464</v>
      </c>
      <c r="BZ89" s="68">
        <v>0</v>
      </c>
      <c r="CA89" s="68">
        <v>5.8</v>
      </c>
      <c r="CB89" s="68">
        <v>1.32</v>
      </c>
      <c r="CC89" s="68">
        <v>0</v>
      </c>
      <c r="CD89" s="68" t="s">
        <v>464</v>
      </c>
      <c r="CE89" s="68" t="s">
        <v>464</v>
      </c>
      <c r="CF89" s="68" t="s">
        <v>1266</v>
      </c>
      <c r="CG89" s="68">
        <v>300</v>
      </c>
      <c r="CI89" s="68" t="s">
        <v>1287</v>
      </c>
      <c r="CK89" s="70">
        <v>4</v>
      </c>
      <c r="CM89" s="12"/>
    </row>
    <row r="90" spans="1:91" x14ac:dyDescent="0.3">
      <c r="A90" t="s">
        <v>37</v>
      </c>
      <c r="C90" t="s">
        <v>3965</v>
      </c>
      <c r="D90" s="12"/>
      <c r="E90">
        <v>4.04</v>
      </c>
      <c r="F90" t="s">
        <v>36</v>
      </c>
      <c r="G90" s="8" t="s">
        <v>544</v>
      </c>
      <c r="H90" t="s">
        <v>625</v>
      </c>
      <c r="M90" t="b">
        <v>1</v>
      </c>
      <c r="N90" t="b">
        <v>1</v>
      </c>
      <c r="O90" t="b">
        <v>0</v>
      </c>
      <c r="P90" t="b">
        <v>0</v>
      </c>
      <c r="Q90" t="s">
        <v>544</v>
      </c>
      <c r="R90" t="s">
        <v>625</v>
      </c>
      <c r="U90" s="20">
        <v>1</v>
      </c>
      <c r="V90">
        <v>2</v>
      </c>
      <c r="W90">
        <v>0</v>
      </c>
      <c r="AB90" s="1">
        <v>0</v>
      </c>
      <c r="AC90" s="20">
        <v>5.7458564399999998</v>
      </c>
      <c r="AD90" s="20">
        <v>5.7458564399999998</v>
      </c>
      <c r="AE90" s="20">
        <v>11.67169612</v>
      </c>
      <c r="AF90">
        <v>5.6660000000000004</v>
      </c>
      <c r="AG90">
        <v>5.6659999999999986</v>
      </c>
      <c r="AH90">
        <v>22.968</v>
      </c>
      <c r="AI90">
        <v>0</v>
      </c>
      <c r="AL90" t="s">
        <v>464</v>
      </c>
      <c r="AM90">
        <v>30</v>
      </c>
      <c r="AN90" s="44">
        <f t="shared" si="1"/>
        <v>0</v>
      </c>
      <c r="AO90" s="46">
        <v>333.30247418302179</v>
      </c>
      <c r="AP90" s="44">
        <v>638.56770625824583</v>
      </c>
      <c r="AQ90" s="44">
        <v>0</v>
      </c>
      <c r="AR90" s="41"/>
      <c r="AS90" s="40">
        <v>9.0008332742008132E-2</v>
      </c>
      <c r="AT90" s="41">
        <v>9.3960279249911127E-2</v>
      </c>
      <c r="AU90" s="41"/>
      <c r="AV90" s="23">
        <v>1.833333333333333</v>
      </c>
      <c r="AW90" s="23">
        <v>2.5</v>
      </c>
      <c r="AX90" s="23">
        <v>0.66666666666666663</v>
      </c>
      <c r="AY90" s="23">
        <v>0</v>
      </c>
      <c r="AZ90" s="23">
        <v>0.36666666666666659</v>
      </c>
      <c r="BA90" s="23">
        <v>0.5</v>
      </c>
      <c r="BB90" s="23">
        <v>0.1333333333333333</v>
      </c>
      <c r="BC90" s="23">
        <v>0</v>
      </c>
      <c r="BD90" s="20">
        <v>0.95</v>
      </c>
      <c r="BE90" s="20">
        <v>3.44</v>
      </c>
      <c r="BF90" s="20">
        <v>2.4900000000000002</v>
      </c>
      <c r="BG90" s="20">
        <v>2.614583333333333</v>
      </c>
      <c r="BH90">
        <v>2.614583333333333</v>
      </c>
      <c r="BI90">
        <v>5.9505645781250003</v>
      </c>
      <c r="BJ90" s="64">
        <v>0.54547732833861384</v>
      </c>
      <c r="BK90" s="64">
        <v>0.56942730227099381</v>
      </c>
      <c r="BL90" s="64"/>
      <c r="BN90">
        <v>4.5004166371004073E-2</v>
      </c>
      <c r="BO90">
        <v>4.6980139624955557E-2</v>
      </c>
      <c r="BQ90">
        <v>9.1984305995959637E-2</v>
      </c>
      <c r="BR90">
        <v>4.5992152997979818E-2</v>
      </c>
      <c r="BS90">
        <v>0.55745231530480388</v>
      </c>
      <c r="BT90" s="68" t="s">
        <v>1293</v>
      </c>
      <c r="BU90" s="68">
        <v>1073</v>
      </c>
      <c r="BV90" s="68">
        <v>10</v>
      </c>
      <c r="BX90" s="68" t="s">
        <v>464</v>
      </c>
      <c r="BY90" s="68" t="s">
        <v>464</v>
      </c>
      <c r="BZ90" s="68">
        <v>0</v>
      </c>
      <c r="CA90" s="68">
        <v>7.9</v>
      </c>
      <c r="CB90" s="68">
        <v>1.32</v>
      </c>
      <c r="CC90" s="68">
        <v>0</v>
      </c>
      <c r="CD90" s="68" t="s">
        <v>464</v>
      </c>
      <c r="CE90" s="68" t="s">
        <v>464</v>
      </c>
      <c r="CF90" s="68" t="s">
        <v>1266</v>
      </c>
      <c r="CG90" s="68">
        <v>300</v>
      </c>
      <c r="CI90" s="68" t="s">
        <v>1287</v>
      </c>
      <c r="CK90" s="70">
        <v>6</v>
      </c>
      <c r="CM90" s="12"/>
    </row>
    <row r="91" spans="1:91" x14ac:dyDescent="0.3">
      <c r="A91" t="s">
        <v>38</v>
      </c>
      <c r="C91" t="s">
        <v>714</v>
      </c>
      <c r="D91" s="12"/>
      <c r="E91">
        <v>3.87</v>
      </c>
      <c r="F91" t="s">
        <v>36</v>
      </c>
      <c r="G91" s="8" t="s">
        <v>545</v>
      </c>
      <c r="H91" t="s">
        <v>626</v>
      </c>
      <c r="M91" t="b">
        <v>1</v>
      </c>
      <c r="N91" t="b">
        <v>1</v>
      </c>
      <c r="O91" t="b">
        <v>0</v>
      </c>
      <c r="P91" t="b">
        <v>0</v>
      </c>
      <c r="Q91" t="s">
        <v>545</v>
      </c>
      <c r="R91" t="s">
        <v>626</v>
      </c>
      <c r="U91" s="20">
        <v>1</v>
      </c>
      <c r="V91">
        <v>1</v>
      </c>
      <c r="W91">
        <v>0</v>
      </c>
      <c r="AC91" s="20">
        <v>5.8532381300000003</v>
      </c>
      <c r="AD91" s="20">
        <v>5.8532371599999999</v>
      </c>
      <c r="AE91" s="20">
        <v>11.912811489999999</v>
      </c>
      <c r="AF91">
        <v>5.7946</v>
      </c>
      <c r="AG91">
        <v>5.7946</v>
      </c>
      <c r="AH91">
        <v>11.787599999999999</v>
      </c>
      <c r="AI91">
        <v>0</v>
      </c>
      <c r="AL91" t="s">
        <v>464</v>
      </c>
      <c r="AM91">
        <v>30</v>
      </c>
      <c r="AN91" s="44">
        <f t="shared" si="1"/>
        <v>0</v>
      </c>
      <c r="AO91" s="46">
        <v>353.45760058531442</v>
      </c>
      <c r="AP91" s="44">
        <v>342.77011164986573</v>
      </c>
      <c r="AQ91" s="44">
        <v>0</v>
      </c>
      <c r="AR91" s="41"/>
      <c r="AS91" s="40">
        <v>8.487580957467307E-2</v>
      </c>
      <c r="AT91" s="41">
        <v>8.752221672887435E-2</v>
      </c>
      <c r="AU91" s="41"/>
      <c r="AV91" s="23">
        <v>1.833333333333333</v>
      </c>
      <c r="AW91" s="23">
        <v>2.5</v>
      </c>
      <c r="AX91" s="23">
        <v>0.66666666666666663</v>
      </c>
      <c r="AY91" s="23">
        <v>0</v>
      </c>
      <c r="AZ91" s="23">
        <v>0.36666666666666659</v>
      </c>
      <c r="BA91" s="23">
        <v>0.5</v>
      </c>
      <c r="BB91" s="23">
        <v>0.1333333333333333</v>
      </c>
      <c r="BC91" s="23">
        <v>0</v>
      </c>
      <c r="BD91" s="20">
        <v>0.89</v>
      </c>
      <c r="BE91" s="20">
        <v>3.44</v>
      </c>
      <c r="BF91" s="20">
        <v>2.5499999999999998</v>
      </c>
      <c r="BG91" s="20">
        <v>2.6020833333333329</v>
      </c>
      <c r="BH91">
        <v>2.6020833333333329</v>
      </c>
      <c r="BI91">
        <v>5.9098726145833336</v>
      </c>
      <c r="BJ91" s="64">
        <v>0.57410011132036598</v>
      </c>
      <c r="BK91" s="64">
        <v>0.59200041353179045</v>
      </c>
      <c r="BL91" s="64"/>
      <c r="BN91">
        <v>4.2437904787336528E-2</v>
      </c>
      <c r="BO91">
        <v>4.3761108364437168E-2</v>
      </c>
      <c r="BQ91">
        <v>8.619901315177371E-2</v>
      </c>
      <c r="BR91">
        <v>4.3099506575886848E-2</v>
      </c>
      <c r="BS91">
        <v>0.58305026242607827</v>
      </c>
      <c r="BT91" s="68" t="s">
        <v>1293</v>
      </c>
      <c r="BU91" s="68">
        <v>1073</v>
      </c>
      <c r="BV91" s="68">
        <v>10</v>
      </c>
      <c r="BX91" s="68" t="s">
        <v>464</v>
      </c>
      <c r="BY91" s="68" t="s">
        <v>464</v>
      </c>
      <c r="BZ91" s="68">
        <v>0</v>
      </c>
      <c r="CA91" s="68">
        <v>1.9</v>
      </c>
      <c r="CB91" s="68">
        <v>1.32</v>
      </c>
      <c r="CC91" s="68">
        <v>0</v>
      </c>
      <c r="CD91" s="68" t="s">
        <v>464</v>
      </c>
      <c r="CE91" s="68" t="s">
        <v>464</v>
      </c>
      <c r="CF91" s="68" t="s">
        <v>1266</v>
      </c>
      <c r="CG91" s="68">
        <v>300</v>
      </c>
      <c r="CI91" s="68" t="s">
        <v>1287</v>
      </c>
      <c r="CK91" s="70">
        <v>6</v>
      </c>
      <c r="CM91" s="12"/>
    </row>
    <row r="92" spans="1:91" x14ac:dyDescent="0.3">
      <c r="A92" t="s">
        <v>41</v>
      </c>
      <c r="C92" t="s">
        <v>3960</v>
      </c>
      <c r="D92" s="12"/>
      <c r="E92">
        <v>3.95</v>
      </c>
      <c r="F92" t="s">
        <v>36</v>
      </c>
      <c r="G92" s="8" t="s">
        <v>547</v>
      </c>
      <c r="H92" t="s">
        <v>628</v>
      </c>
      <c r="M92" t="b">
        <v>1</v>
      </c>
      <c r="N92" t="b">
        <v>1</v>
      </c>
      <c r="O92" t="b">
        <v>0</v>
      </c>
      <c r="P92" t="b">
        <v>0</v>
      </c>
      <c r="Q92" t="s">
        <v>547</v>
      </c>
      <c r="R92" t="s">
        <v>628</v>
      </c>
      <c r="U92" s="20">
        <v>1</v>
      </c>
      <c r="V92">
        <v>3</v>
      </c>
      <c r="W92">
        <v>0</v>
      </c>
      <c r="AC92" s="20">
        <v>9.3662349099999993</v>
      </c>
      <c r="AD92" s="20">
        <v>9.3662349099999993</v>
      </c>
      <c r="AE92" s="20">
        <v>9.3662351000000008</v>
      </c>
      <c r="AF92">
        <v>5.5609999999999999</v>
      </c>
      <c r="AG92">
        <v>5.5609999999999999</v>
      </c>
      <c r="AH92">
        <v>26.24</v>
      </c>
      <c r="AI92">
        <v>0</v>
      </c>
      <c r="AL92" t="s">
        <v>464</v>
      </c>
      <c r="AM92">
        <v>24</v>
      </c>
      <c r="AN92" s="44">
        <f t="shared" ref="AN92:AN95" si="8">X92*Y92*Z92</f>
        <v>0</v>
      </c>
      <c r="AO92" s="46">
        <v>238.908881754341</v>
      </c>
      <c r="AP92" s="44">
        <v>702.74902632242595</v>
      </c>
      <c r="AQ92" s="44">
        <v>0</v>
      </c>
      <c r="AR92" s="41"/>
      <c r="AS92" s="40">
        <v>0.10045670895014321</v>
      </c>
      <c r="AT92" s="41">
        <v>0.1024547844296349</v>
      </c>
      <c r="AU92" s="41"/>
      <c r="AV92" s="23">
        <v>2</v>
      </c>
      <c r="AW92" s="23">
        <v>2.5263157894736841</v>
      </c>
      <c r="AX92" s="23">
        <v>0.52631578947368418</v>
      </c>
      <c r="AY92" s="23">
        <v>0</v>
      </c>
      <c r="AZ92" s="23">
        <v>0.39583333333333343</v>
      </c>
      <c r="BA92" s="23">
        <v>0.5</v>
      </c>
      <c r="BB92" s="23">
        <v>0.1041666666666667</v>
      </c>
      <c r="BC92" s="23">
        <v>0</v>
      </c>
      <c r="BD92" s="20">
        <v>1.1000000000000001</v>
      </c>
      <c r="BE92" s="20">
        <v>3.44</v>
      </c>
      <c r="BF92" s="20">
        <v>2.34</v>
      </c>
      <c r="BG92" s="20">
        <v>2.647368421052632</v>
      </c>
      <c r="BH92">
        <v>2.6473684210526311</v>
      </c>
      <c r="BI92">
        <v>5.9525974578947363</v>
      </c>
      <c r="BJ92" s="64">
        <v>0.55552189395192297</v>
      </c>
      <c r="BK92" s="64">
        <v>0.56657117763069742</v>
      </c>
      <c r="BL92" s="64"/>
      <c r="BN92">
        <v>5.0228354475071582E-2</v>
      </c>
      <c r="BO92">
        <v>5.1227392214817473E-2</v>
      </c>
      <c r="BQ92">
        <v>0.10145574668988901</v>
      </c>
      <c r="BR92">
        <v>5.0727873344944517E-2</v>
      </c>
      <c r="BS92">
        <v>0.56104653579131014</v>
      </c>
      <c r="BT92" s="68" t="s">
        <v>1293</v>
      </c>
      <c r="BU92" s="68">
        <v>1473</v>
      </c>
      <c r="BV92" s="68">
        <v>10</v>
      </c>
      <c r="BX92" s="68" t="s">
        <v>1275</v>
      </c>
      <c r="BY92" s="68" t="s">
        <v>56</v>
      </c>
      <c r="BZ92" s="68">
        <v>0.6</v>
      </c>
      <c r="CA92" s="68">
        <v>3.4</v>
      </c>
      <c r="CB92" s="68">
        <v>1.32</v>
      </c>
      <c r="CC92" s="68">
        <v>0</v>
      </c>
      <c r="CD92" s="68" t="s">
        <v>464</v>
      </c>
      <c r="CE92" s="68" t="s">
        <v>464</v>
      </c>
      <c r="CF92" s="68" t="s">
        <v>1266</v>
      </c>
      <c r="CG92" s="68">
        <v>300</v>
      </c>
      <c r="CI92" s="68" t="s">
        <v>1287</v>
      </c>
      <c r="CK92" s="70">
        <f>357*2</f>
        <v>714</v>
      </c>
      <c r="CM92" s="12"/>
    </row>
    <row r="93" spans="1:91" x14ac:dyDescent="0.3">
      <c r="A93" t="s">
        <v>39</v>
      </c>
      <c r="C93" t="s">
        <v>3961</v>
      </c>
      <c r="D93" s="12"/>
      <c r="E93">
        <v>3.79</v>
      </c>
      <c r="F93" t="s">
        <v>36</v>
      </c>
      <c r="G93" s="8">
        <v>-1</v>
      </c>
      <c r="H93">
        <v>-1</v>
      </c>
      <c r="I93" t="s">
        <v>1150</v>
      </c>
      <c r="M93" t="b">
        <v>0</v>
      </c>
      <c r="N93" t="b">
        <v>0</v>
      </c>
      <c r="O93" t="b">
        <v>1</v>
      </c>
      <c r="P93" t="b">
        <v>0</v>
      </c>
      <c r="Q93">
        <v>-1</v>
      </c>
      <c r="R93">
        <v>-1</v>
      </c>
      <c r="S93" t="s">
        <v>1150</v>
      </c>
      <c r="U93" s="20">
        <v>0</v>
      </c>
      <c r="V93">
        <v>0</v>
      </c>
      <c r="W93">
        <v>1</v>
      </c>
      <c r="AC93" s="20">
        <v>0</v>
      </c>
      <c r="AD93" s="20"/>
      <c r="AE93" s="20"/>
      <c r="AF93">
        <v>0</v>
      </c>
      <c r="AI93">
        <v>5.532</v>
      </c>
      <c r="AJ93">
        <v>5.532</v>
      </c>
      <c r="AK93">
        <v>11.016</v>
      </c>
      <c r="AL93" t="s">
        <v>464</v>
      </c>
      <c r="AM93">
        <v>30</v>
      </c>
      <c r="AN93" s="44">
        <f t="shared" si="8"/>
        <v>0</v>
      </c>
      <c r="AO93" s="46">
        <v>0</v>
      </c>
      <c r="AP93" s="44">
        <v>0</v>
      </c>
      <c r="AQ93" s="44">
        <v>291.95700632233962</v>
      </c>
      <c r="AR93" s="41"/>
      <c r="AS93" s="40"/>
      <c r="AT93" s="41"/>
      <c r="AU93" s="41">
        <v>0.1027548555107393</v>
      </c>
      <c r="AV93" s="23">
        <v>2</v>
      </c>
      <c r="AW93" s="23">
        <v>2.5</v>
      </c>
      <c r="AX93" s="23">
        <v>0.5</v>
      </c>
      <c r="AY93" s="23">
        <v>0</v>
      </c>
      <c r="AZ93" s="23">
        <v>0.4</v>
      </c>
      <c r="BA93" s="23">
        <v>0.5</v>
      </c>
      <c r="BB93" s="23">
        <v>0.1</v>
      </c>
      <c r="BC93" s="23">
        <v>0</v>
      </c>
      <c r="BD93" s="20">
        <v>1</v>
      </c>
      <c r="BE93" s="20">
        <v>3.44</v>
      </c>
      <c r="BF93" s="20">
        <v>2.44</v>
      </c>
      <c r="BG93" s="20">
        <v>2.6316666666666659</v>
      </c>
      <c r="BH93">
        <v>2.6316666666666668</v>
      </c>
      <c r="BI93">
        <v>5.9266157452083332</v>
      </c>
      <c r="BJ93" s="64"/>
      <c r="BK93" s="64"/>
      <c r="BL93" s="64">
        <v>0</v>
      </c>
      <c r="BP93">
        <v>5.1377427755369638E-2</v>
      </c>
      <c r="BQ93">
        <v>0.1027548555107393</v>
      </c>
      <c r="BR93">
        <v>5.1377427755369638E-2</v>
      </c>
      <c r="BS93">
        <v>0</v>
      </c>
      <c r="BT93" s="68" t="s">
        <v>1293</v>
      </c>
      <c r="BU93" s="68">
        <v>1373</v>
      </c>
      <c r="BV93" s="68">
        <v>10</v>
      </c>
      <c r="BX93" s="68" t="s">
        <v>1275</v>
      </c>
      <c r="BY93" s="68" t="s">
        <v>56</v>
      </c>
      <c r="BZ93" s="68">
        <v>0.2</v>
      </c>
      <c r="CA93" s="68">
        <v>6.2</v>
      </c>
      <c r="CB93" s="68">
        <v>1.32</v>
      </c>
      <c r="CC93" s="68">
        <v>0</v>
      </c>
      <c r="CD93" s="68" t="s">
        <v>464</v>
      </c>
      <c r="CE93" s="68" t="s">
        <v>464</v>
      </c>
      <c r="CF93" s="68" t="s">
        <v>1266</v>
      </c>
      <c r="CG93" s="68">
        <v>300</v>
      </c>
      <c r="CI93" s="68" t="s">
        <v>1287</v>
      </c>
      <c r="CK93" s="70">
        <f>11*2</f>
        <v>22</v>
      </c>
      <c r="CM93" s="12"/>
    </row>
    <row r="94" spans="1:91" x14ac:dyDescent="0.3">
      <c r="A94" t="s">
        <v>42</v>
      </c>
      <c r="C94" t="s">
        <v>3962</v>
      </c>
      <c r="D94" s="12"/>
      <c r="E94">
        <v>3.82</v>
      </c>
      <c r="F94" t="s">
        <v>36</v>
      </c>
      <c r="G94" s="8">
        <v>-1</v>
      </c>
      <c r="H94">
        <v>-1</v>
      </c>
      <c r="I94" t="s">
        <v>1151</v>
      </c>
      <c r="M94" t="b">
        <v>0</v>
      </c>
      <c r="N94" t="b">
        <v>0</v>
      </c>
      <c r="O94" t="b">
        <v>1</v>
      </c>
      <c r="P94" t="b">
        <v>0</v>
      </c>
      <c r="Q94">
        <v>-1</v>
      </c>
      <c r="R94">
        <v>-1</v>
      </c>
      <c r="S94" t="s">
        <v>1151</v>
      </c>
      <c r="U94" s="20">
        <v>0</v>
      </c>
      <c r="V94">
        <v>0</v>
      </c>
      <c r="W94">
        <v>1</v>
      </c>
      <c r="AC94" s="20">
        <v>0</v>
      </c>
      <c r="AD94" s="20"/>
      <c r="AE94" s="20"/>
      <c r="AF94">
        <v>0</v>
      </c>
      <c r="AI94">
        <v>5.55</v>
      </c>
      <c r="AJ94">
        <v>5.55</v>
      </c>
      <c r="AK94">
        <v>11.066000000000001</v>
      </c>
      <c r="AL94" t="s">
        <v>464</v>
      </c>
      <c r="AM94">
        <v>30</v>
      </c>
      <c r="AN94" s="44">
        <f t="shared" si="8"/>
        <v>0</v>
      </c>
      <c r="AO94" s="46">
        <v>0</v>
      </c>
      <c r="AP94" s="44">
        <v>0</v>
      </c>
      <c r="AQ94" s="44">
        <v>295.19382183577648</v>
      </c>
      <c r="AR94" s="41"/>
      <c r="AS94" s="40"/>
      <c r="AT94" s="41"/>
      <c r="AU94" s="41">
        <v>0.1016281432092089</v>
      </c>
      <c r="AV94" s="23">
        <v>2</v>
      </c>
      <c r="AW94" s="23">
        <v>2.5</v>
      </c>
      <c r="AX94" s="23">
        <v>0.5</v>
      </c>
      <c r="AY94" s="23">
        <v>0</v>
      </c>
      <c r="AZ94" s="23">
        <v>0.4</v>
      </c>
      <c r="BA94" s="23">
        <v>0.5</v>
      </c>
      <c r="BB94" s="23">
        <v>0.1</v>
      </c>
      <c r="BC94" s="23">
        <v>0</v>
      </c>
      <c r="BD94" s="20">
        <v>0.95</v>
      </c>
      <c r="BE94" s="20">
        <v>3.44</v>
      </c>
      <c r="BF94" s="20">
        <v>2.4900000000000002</v>
      </c>
      <c r="BG94" s="20">
        <v>2.6295833333333332</v>
      </c>
      <c r="BH94">
        <v>2.6295833333333332</v>
      </c>
      <c r="BI94">
        <v>5.9184746406250008</v>
      </c>
      <c r="BJ94" s="64"/>
      <c r="BK94" s="64"/>
      <c r="BL94" s="64">
        <v>0</v>
      </c>
      <c r="BP94">
        <v>5.0814071604604473E-2</v>
      </c>
      <c r="BQ94">
        <v>0.1016281432092089</v>
      </c>
      <c r="BR94">
        <v>5.0814071604604473E-2</v>
      </c>
      <c r="BS94">
        <v>0</v>
      </c>
      <c r="BT94" s="68" t="s">
        <v>1293</v>
      </c>
      <c r="BU94" s="68">
        <v>1373</v>
      </c>
      <c r="BV94" s="68">
        <v>10</v>
      </c>
      <c r="BX94" s="68" t="s">
        <v>1275</v>
      </c>
      <c r="BY94" s="68" t="s">
        <v>56</v>
      </c>
      <c r="BZ94" s="68">
        <v>0.7</v>
      </c>
      <c r="CA94" s="68">
        <v>6.2</v>
      </c>
      <c r="CB94" s="68">
        <v>1.32</v>
      </c>
      <c r="CC94" s="68">
        <v>0</v>
      </c>
      <c r="CD94" s="68" t="s">
        <v>464</v>
      </c>
      <c r="CE94" s="68" t="s">
        <v>464</v>
      </c>
      <c r="CF94" s="68" t="s">
        <v>1266</v>
      </c>
      <c r="CG94" s="68">
        <v>300</v>
      </c>
      <c r="CI94" s="68" t="s">
        <v>1287</v>
      </c>
      <c r="CK94" s="70">
        <f>23*2</f>
        <v>46</v>
      </c>
      <c r="CM94" s="12"/>
    </row>
    <row r="95" spans="1:91" ht="15" customHeight="1" x14ac:dyDescent="0.3">
      <c r="A95" t="s">
        <v>39</v>
      </c>
      <c r="C95" t="s">
        <v>3961</v>
      </c>
      <c r="D95" s="12"/>
      <c r="E95">
        <v>3.85</v>
      </c>
      <c r="F95" t="s">
        <v>36</v>
      </c>
      <c r="G95" s="8" t="s">
        <v>546</v>
      </c>
      <c r="H95" t="s">
        <v>627</v>
      </c>
      <c r="I95" t="s">
        <v>1150</v>
      </c>
      <c r="M95" t="b">
        <v>0</v>
      </c>
      <c r="N95" t="b">
        <v>0</v>
      </c>
      <c r="O95" t="b">
        <v>1</v>
      </c>
      <c r="P95" t="b">
        <v>0</v>
      </c>
      <c r="Q95" t="s">
        <v>546</v>
      </c>
      <c r="R95" t="s">
        <v>627</v>
      </c>
      <c r="S95" t="s">
        <v>1150</v>
      </c>
      <c r="U95" s="20">
        <v>2</v>
      </c>
      <c r="V95">
        <v>2</v>
      </c>
      <c r="W95">
        <v>0</v>
      </c>
      <c r="AC95" s="20">
        <v>5.6269875200000001</v>
      </c>
      <c r="AD95" s="20">
        <v>5.6269875200000001</v>
      </c>
      <c r="AE95" s="20">
        <v>22.749475</v>
      </c>
      <c r="AF95">
        <v>5.5670999999999999</v>
      </c>
      <c r="AG95">
        <v>5.5670999999999999</v>
      </c>
      <c r="AH95">
        <v>22.4603</v>
      </c>
      <c r="AI95">
        <v>0</v>
      </c>
      <c r="AL95" t="s">
        <v>464</v>
      </c>
      <c r="AM95">
        <v>30</v>
      </c>
      <c r="AN95" s="44">
        <f t="shared" si="8"/>
        <v>0</v>
      </c>
      <c r="AO95" s="46">
        <v>623.81230762201892</v>
      </c>
      <c r="AP95" s="44">
        <v>602.84300974379039</v>
      </c>
      <c r="AQ95" s="44">
        <v>0</v>
      </c>
      <c r="AR95" s="41"/>
      <c r="AS95" s="40">
        <v>9.6182776881592519E-2</v>
      </c>
      <c r="AT95" s="41">
        <v>9.9528399650018556E-2</v>
      </c>
      <c r="AU95" s="41"/>
      <c r="AV95" s="23">
        <v>2</v>
      </c>
      <c r="AW95" s="23">
        <v>2.5</v>
      </c>
      <c r="AX95" s="23">
        <v>0.5</v>
      </c>
      <c r="AY95" s="23">
        <v>0</v>
      </c>
      <c r="AZ95" s="23">
        <v>0.4</v>
      </c>
      <c r="BA95" s="23">
        <v>0.5</v>
      </c>
      <c r="BB95" s="23">
        <v>0.1</v>
      </c>
      <c r="BC95" s="23">
        <v>0</v>
      </c>
      <c r="BD95" s="20">
        <v>0.89</v>
      </c>
      <c r="BE95" s="20">
        <v>3.44</v>
      </c>
      <c r="BF95" s="20">
        <v>2.5499999999999998</v>
      </c>
      <c r="BG95" s="20">
        <v>2.6270833333333332</v>
      </c>
      <c r="BH95">
        <v>2.6270833333333332</v>
      </c>
      <c r="BI95">
        <v>5.9103362479166668</v>
      </c>
      <c r="BJ95" s="64">
        <v>0.55608047790729209</v>
      </c>
      <c r="BK95" s="64">
        <v>0</v>
      </c>
      <c r="BL95" s="64"/>
      <c r="BN95">
        <v>4.8091388440796259E-2</v>
      </c>
      <c r="BO95">
        <v>4.9764199825009278E-2</v>
      </c>
      <c r="BQ95">
        <v>9.7855588265805538E-2</v>
      </c>
      <c r="BR95">
        <v>4.8927794132902769E-2</v>
      </c>
      <c r="BS95">
        <v>0.27804023895364599</v>
      </c>
      <c r="BT95" s="68" t="s">
        <v>1293</v>
      </c>
      <c r="BU95" s="68">
        <v>1373</v>
      </c>
      <c r="BV95" s="68">
        <v>10</v>
      </c>
      <c r="BX95" s="68" t="s">
        <v>1275</v>
      </c>
      <c r="BY95" s="68" t="s">
        <v>56</v>
      </c>
      <c r="BZ95" s="68">
        <v>0.5</v>
      </c>
      <c r="CA95" s="68">
        <v>6.1</v>
      </c>
      <c r="CB95" s="68">
        <v>1.32</v>
      </c>
      <c r="CC95" s="68">
        <v>0</v>
      </c>
      <c r="CD95" s="68" t="s">
        <v>464</v>
      </c>
      <c r="CE95" s="68" t="s">
        <v>464</v>
      </c>
      <c r="CF95" s="68" t="s">
        <v>1266</v>
      </c>
      <c r="CG95" s="68">
        <v>300</v>
      </c>
      <c r="CI95" s="68" t="s">
        <v>1287</v>
      </c>
      <c r="CK95" s="70">
        <f>118*2</f>
        <v>236</v>
      </c>
      <c r="CM95" s="12"/>
    </row>
    <row r="96" spans="1:91" x14ac:dyDescent="0.3">
      <c r="A96" t="s">
        <v>185</v>
      </c>
      <c r="C96" t="s">
        <v>3966</v>
      </c>
      <c r="D96" s="12"/>
      <c r="E96">
        <v>4.5999999999999996</v>
      </c>
      <c r="F96" t="s">
        <v>57</v>
      </c>
      <c r="G96" s="8" t="s">
        <v>556</v>
      </c>
      <c r="H96" t="s">
        <v>633</v>
      </c>
      <c r="M96" t="b">
        <v>1</v>
      </c>
      <c r="N96" t="b">
        <v>1</v>
      </c>
      <c r="O96" t="b">
        <v>0</v>
      </c>
      <c r="P96" t="b">
        <v>0</v>
      </c>
      <c r="Q96" t="s">
        <v>556</v>
      </c>
      <c r="R96" t="s">
        <v>633</v>
      </c>
      <c r="U96" s="20">
        <v>2</v>
      </c>
      <c r="V96">
        <v>4</v>
      </c>
      <c r="W96">
        <v>0</v>
      </c>
      <c r="AB96" s="1">
        <v>0</v>
      </c>
      <c r="AC96" s="20">
        <v>13.81974189</v>
      </c>
      <c r="AD96" s="20">
        <v>13.81974189</v>
      </c>
      <c r="AE96" s="20">
        <v>5.7110870199999999</v>
      </c>
      <c r="AF96">
        <v>3.94</v>
      </c>
      <c r="AG96">
        <v>27.15</v>
      </c>
      <c r="AH96">
        <v>5.6920000000000002</v>
      </c>
      <c r="AI96">
        <v>0</v>
      </c>
      <c r="AM96">
        <v>14</v>
      </c>
      <c r="AN96" s="44">
        <f t="shared" ref="AN96:AN211" si="9">X96*Y96*Z96</f>
        <v>0</v>
      </c>
      <c r="AO96" s="46">
        <v>309.44138863753989</v>
      </c>
      <c r="AP96" s="44">
        <v>608.87893199999996</v>
      </c>
      <c r="AQ96" s="44">
        <v>0</v>
      </c>
      <c r="AR96" s="41"/>
      <c r="AS96" s="40">
        <v>9.0485633235046756E-2</v>
      </c>
      <c r="AT96" s="41">
        <v>9.1972306901891634E-2</v>
      </c>
      <c r="AU96" s="41"/>
      <c r="AV96" s="23">
        <v>2</v>
      </c>
      <c r="AW96" s="23">
        <v>2.545454545454545</v>
      </c>
      <c r="AX96" s="23">
        <v>0.54545454545454541</v>
      </c>
      <c r="AY96" s="23">
        <v>2.545454545454545</v>
      </c>
      <c r="AZ96" s="23">
        <v>0.26190476190476192</v>
      </c>
      <c r="BA96" s="23">
        <v>0.33333333333333331</v>
      </c>
      <c r="BB96" s="23">
        <v>7.1428571428571425E-2</v>
      </c>
      <c r="BC96" s="23">
        <v>0.33333333333333331</v>
      </c>
      <c r="BD96" s="20">
        <v>0.95</v>
      </c>
      <c r="BE96" s="20">
        <v>3.44</v>
      </c>
      <c r="BF96" s="20">
        <v>2.4900000000000002</v>
      </c>
      <c r="BG96" s="20">
        <v>2.6345454545454539</v>
      </c>
      <c r="BH96">
        <v>2.6345454545454552</v>
      </c>
      <c r="BI96">
        <v>6.036062318181818</v>
      </c>
      <c r="BJ96" s="64">
        <v>0.52932707238284982</v>
      </c>
      <c r="BK96" s="64">
        <v>0.53802388525275069</v>
      </c>
      <c r="BL96" s="64"/>
      <c r="BN96">
        <v>4.5242816617523378E-2</v>
      </c>
      <c r="BO96">
        <v>4.5986153450945817E-2</v>
      </c>
      <c r="BQ96">
        <v>9.1228970068469195E-2</v>
      </c>
      <c r="BR96">
        <v>4.5614485034234598E-2</v>
      </c>
      <c r="BS96">
        <v>0.5336754788178002</v>
      </c>
      <c r="BT96" s="68" t="s">
        <v>1264</v>
      </c>
      <c r="BU96" s="68">
        <v>1450</v>
      </c>
      <c r="BV96" s="68">
        <v>200</v>
      </c>
      <c r="BX96" s="68" t="s">
        <v>464</v>
      </c>
      <c r="BY96" s="68" t="s">
        <v>464</v>
      </c>
      <c r="BZ96" s="68">
        <v>0</v>
      </c>
      <c r="CA96" s="68">
        <v>0.9</v>
      </c>
      <c r="CB96" s="68">
        <v>2.63</v>
      </c>
      <c r="CC96" s="68">
        <v>0</v>
      </c>
      <c r="CD96" s="68" t="s">
        <v>464</v>
      </c>
      <c r="CE96" s="68" t="s">
        <v>464</v>
      </c>
      <c r="CF96" s="68" t="s">
        <v>1271</v>
      </c>
      <c r="CG96" s="68">
        <v>300</v>
      </c>
      <c r="CI96" s="68" t="s">
        <v>1287</v>
      </c>
      <c r="CK96" s="70">
        <v>52</v>
      </c>
    </row>
    <row r="97" spans="1:89" x14ac:dyDescent="0.3">
      <c r="A97" t="s">
        <v>49</v>
      </c>
      <c r="C97" t="s">
        <v>3967</v>
      </c>
      <c r="D97" s="12"/>
      <c r="E97">
        <v>3.9</v>
      </c>
      <c r="F97" t="s">
        <v>57</v>
      </c>
      <c r="G97" s="8" t="s">
        <v>553</v>
      </c>
      <c r="H97" t="s">
        <v>631</v>
      </c>
      <c r="M97" t="b">
        <v>1</v>
      </c>
      <c r="N97" t="b">
        <v>1</v>
      </c>
      <c r="O97" t="b">
        <v>0</v>
      </c>
      <c r="P97" t="b">
        <v>0</v>
      </c>
      <c r="Q97" t="s">
        <v>553</v>
      </c>
      <c r="R97" t="s">
        <v>631</v>
      </c>
      <c r="U97" s="20">
        <v>8</v>
      </c>
      <c r="V97">
        <v>8</v>
      </c>
      <c r="W97">
        <v>0</v>
      </c>
      <c r="AB97" s="1">
        <v>0</v>
      </c>
      <c r="AC97" s="20">
        <v>5.8017180100000001</v>
      </c>
      <c r="AD97" s="20">
        <v>7.9756520899999996</v>
      </c>
      <c r="AE97" s="20">
        <v>27.352093400000001</v>
      </c>
      <c r="AF97">
        <v>26.646989999999999</v>
      </c>
      <c r="AG97">
        <v>7.9359999999999999</v>
      </c>
      <c r="AH97">
        <v>5.7050000000000001</v>
      </c>
      <c r="AI97">
        <v>0</v>
      </c>
      <c r="AM97">
        <v>14</v>
      </c>
      <c r="AN97" s="44">
        <f t="shared" si="9"/>
        <v>0</v>
      </c>
      <c r="AO97" s="46">
        <v>1265.6493143942739</v>
      </c>
      <c r="AP97" s="44">
        <v>1206.4392746112001</v>
      </c>
      <c r="AQ97" s="44">
        <v>0</v>
      </c>
      <c r="AR97" s="41"/>
      <c r="AS97" s="40">
        <v>8.8492127105210025E-2</v>
      </c>
      <c r="AT97" s="41">
        <v>9.2835174017436004E-2</v>
      </c>
      <c r="AU97" s="41"/>
      <c r="AV97" s="23">
        <v>1.8181818181818179</v>
      </c>
      <c r="AW97" s="23">
        <v>2.545454545454545</v>
      </c>
      <c r="AX97" s="23">
        <v>0.72727272727272729</v>
      </c>
      <c r="AY97" s="23">
        <v>0</v>
      </c>
      <c r="AZ97" s="23">
        <v>0.35714285714285721</v>
      </c>
      <c r="BA97" s="23">
        <v>0.5</v>
      </c>
      <c r="BB97" s="23">
        <v>0.1428571428571429</v>
      </c>
      <c r="BC97" s="23">
        <v>0</v>
      </c>
      <c r="BD97" s="20">
        <v>0.95</v>
      </c>
      <c r="BE97" s="20">
        <v>3.44</v>
      </c>
      <c r="BF97" s="20">
        <v>2.4900000000000002</v>
      </c>
      <c r="BG97" s="20">
        <v>2.6527272727272719</v>
      </c>
      <c r="BH97">
        <v>2.6527272727272728</v>
      </c>
      <c r="BI97">
        <v>6.0182046818181814</v>
      </c>
      <c r="BJ97" s="64">
        <v>0.5176653673612065</v>
      </c>
      <c r="BK97" s="64">
        <v>0.54307152550012683</v>
      </c>
      <c r="BL97" s="64"/>
      <c r="BN97">
        <v>4.4246063552605013E-2</v>
      </c>
      <c r="BO97">
        <v>4.6417587008717988E-2</v>
      </c>
      <c r="BQ97">
        <v>9.0663650561323014E-2</v>
      </c>
      <c r="BR97">
        <v>4.53318252806615E-2</v>
      </c>
      <c r="BS97">
        <v>0.53036844643066661</v>
      </c>
      <c r="BT97" s="68" t="s">
        <v>1264</v>
      </c>
      <c r="BU97" s="68">
        <v>1370</v>
      </c>
      <c r="BV97" s="68">
        <v>150</v>
      </c>
      <c r="BX97" s="68" t="s">
        <v>464</v>
      </c>
      <c r="BY97" s="68" t="s">
        <v>464</v>
      </c>
      <c r="BZ97" s="68">
        <v>0</v>
      </c>
      <c r="CA97" s="68">
        <v>0.7</v>
      </c>
      <c r="CB97" s="68">
        <v>2.63</v>
      </c>
      <c r="CC97" s="68">
        <v>0</v>
      </c>
      <c r="CD97" s="68" t="s">
        <v>464</v>
      </c>
      <c r="CE97" s="68" t="s">
        <v>464</v>
      </c>
      <c r="CF97" s="68" t="s">
        <v>1271</v>
      </c>
      <c r="CG97" s="68">
        <v>300</v>
      </c>
      <c r="CI97" s="68" t="s">
        <v>1287</v>
      </c>
      <c r="CK97" s="70">
        <v>5.9</v>
      </c>
    </row>
    <row r="98" spans="1:89" x14ac:dyDescent="0.3">
      <c r="A98" t="s">
        <v>185</v>
      </c>
      <c r="C98" t="s">
        <v>3966</v>
      </c>
      <c r="D98" s="12"/>
      <c r="E98">
        <v>4.5999999999999996</v>
      </c>
      <c r="F98" t="s">
        <v>57</v>
      </c>
      <c r="G98" s="8" t="s">
        <v>556</v>
      </c>
      <c r="H98" t="s">
        <v>633</v>
      </c>
      <c r="M98" t="b">
        <v>1</v>
      </c>
      <c r="N98" t="b">
        <v>1</v>
      </c>
      <c r="O98" t="b">
        <v>0</v>
      </c>
      <c r="P98" t="b">
        <v>0</v>
      </c>
      <c r="Q98" t="s">
        <v>556</v>
      </c>
      <c r="R98" t="s">
        <v>633</v>
      </c>
      <c r="U98" s="20">
        <v>2</v>
      </c>
      <c r="V98">
        <v>4</v>
      </c>
      <c r="W98">
        <v>0</v>
      </c>
      <c r="AB98" s="1">
        <v>0</v>
      </c>
      <c r="AC98" s="20">
        <v>13.81974189</v>
      </c>
      <c r="AD98" s="20">
        <v>13.81974189</v>
      </c>
      <c r="AE98" s="20">
        <v>5.7110870199999999</v>
      </c>
      <c r="AF98">
        <v>3.94</v>
      </c>
      <c r="AG98">
        <v>27.15</v>
      </c>
      <c r="AH98">
        <v>5.6920000000000002</v>
      </c>
      <c r="AI98">
        <v>0</v>
      </c>
      <c r="AM98">
        <v>14</v>
      </c>
      <c r="AN98" s="44">
        <f t="shared" ref="AN98:AN100" si="10">X98*Y98*Z98</f>
        <v>0</v>
      </c>
      <c r="AO98" s="46">
        <v>309.44138863753989</v>
      </c>
      <c r="AP98" s="44">
        <v>608.87893199999996</v>
      </c>
      <c r="AQ98" s="44">
        <v>0</v>
      </c>
      <c r="AR98" s="41"/>
      <c r="AS98" s="40">
        <v>9.0485633235046756E-2</v>
      </c>
      <c r="AT98" s="41">
        <v>9.1972306901891634E-2</v>
      </c>
      <c r="AU98" s="41"/>
      <c r="AV98" s="23">
        <v>2</v>
      </c>
      <c r="AW98" s="23">
        <v>2.545454545454545</v>
      </c>
      <c r="AX98" s="23">
        <v>0.54545454545454541</v>
      </c>
      <c r="AY98" s="23">
        <v>2.545454545454545</v>
      </c>
      <c r="AZ98" s="23">
        <v>0.26190476190476192</v>
      </c>
      <c r="BA98" s="23">
        <v>0.33333333333333331</v>
      </c>
      <c r="BB98" s="23">
        <v>7.1428571428571425E-2</v>
      </c>
      <c r="BC98" s="23">
        <v>0.33333333333333331</v>
      </c>
      <c r="BD98" s="20">
        <v>0.95</v>
      </c>
      <c r="BE98" s="20">
        <v>3.44</v>
      </c>
      <c r="BF98" s="20">
        <v>2.4900000000000002</v>
      </c>
      <c r="BG98" s="20">
        <v>2.6345454545454539</v>
      </c>
      <c r="BH98">
        <v>2.6345454545454552</v>
      </c>
      <c r="BI98">
        <v>6.036062318181818</v>
      </c>
      <c r="BJ98" s="64">
        <v>0.52932707238284982</v>
      </c>
      <c r="BK98" s="64">
        <v>0.53802388525275069</v>
      </c>
      <c r="BL98" s="64"/>
      <c r="BN98">
        <v>4.5242816617523378E-2</v>
      </c>
      <c r="BO98">
        <v>4.5986153450945817E-2</v>
      </c>
      <c r="BQ98">
        <v>9.1228970068469195E-2</v>
      </c>
      <c r="BR98">
        <v>4.5614485034234598E-2</v>
      </c>
      <c r="BS98">
        <v>0.5336754788178002</v>
      </c>
      <c r="BT98" s="68" t="s">
        <v>1264</v>
      </c>
      <c r="BU98" s="68">
        <v>1450</v>
      </c>
      <c r="BV98" s="68">
        <v>200</v>
      </c>
      <c r="BX98" s="68" t="s">
        <v>1275</v>
      </c>
      <c r="BY98" s="68" t="s">
        <v>56</v>
      </c>
      <c r="BZ98" s="68">
        <v>0.15</v>
      </c>
      <c r="CA98" s="68">
        <v>0.9</v>
      </c>
      <c r="CB98" s="68">
        <v>2.63</v>
      </c>
      <c r="CC98" s="68">
        <v>0</v>
      </c>
      <c r="CD98" s="68" t="s">
        <v>464</v>
      </c>
      <c r="CE98" s="68" t="s">
        <v>464</v>
      </c>
      <c r="CF98" s="68" t="s">
        <v>1271</v>
      </c>
      <c r="CG98" s="68">
        <v>300</v>
      </c>
      <c r="CI98" s="68" t="s">
        <v>1287</v>
      </c>
      <c r="CK98" s="70">
        <v>1000</v>
      </c>
    </row>
    <row r="99" spans="1:89" x14ac:dyDescent="0.3">
      <c r="A99" t="s">
        <v>49</v>
      </c>
      <c r="C99" t="s">
        <v>3967</v>
      </c>
      <c r="D99" s="12"/>
      <c r="E99">
        <v>3.9</v>
      </c>
      <c r="F99" t="s">
        <v>57</v>
      </c>
      <c r="G99" s="8" t="s">
        <v>553</v>
      </c>
      <c r="H99" t="s">
        <v>631</v>
      </c>
      <c r="M99" t="b">
        <v>1</v>
      </c>
      <c r="N99" t="b">
        <v>1</v>
      </c>
      <c r="O99" t="b">
        <v>0</v>
      </c>
      <c r="P99" t="b">
        <v>0</v>
      </c>
      <c r="Q99" t="s">
        <v>553</v>
      </c>
      <c r="R99" t="s">
        <v>631</v>
      </c>
      <c r="U99" s="20">
        <v>8</v>
      </c>
      <c r="V99">
        <v>8</v>
      </c>
      <c r="W99">
        <v>0</v>
      </c>
      <c r="AB99" s="1">
        <v>0</v>
      </c>
      <c r="AC99" s="20">
        <v>5.8017180100000001</v>
      </c>
      <c r="AD99" s="20">
        <v>7.9756520899999996</v>
      </c>
      <c r="AE99" s="20">
        <v>27.352093400000001</v>
      </c>
      <c r="AF99">
        <v>26.646989999999999</v>
      </c>
      <c r="AG99">
        <v>7.9359999999999999</v>
      </c>
      <c r="AH99">
        <v>5.7050000000000001</v>
      </c>
      <c r="AI99">
        <v>0</v>
      </c>
      <c r="AM99">
        <v>14</v>
      </c>
      <c r="AN99" s="44">
        <f t="shared" si="10"/>
        <v>0</v>
      </c>
      <c r="AO99" s="46">
        <v>1265.6493143942739</v>
      </c>
      <c r="AP99" s="44">
        <v>1206.4392746112001</v>
      </c>
      <c r="AQ99" s="44">
        <v>0</v>
      </c>
      <c r="AR99" s="41"/>
      <c r="AS99" s="40">
        <v>8.8492127105210025E-2</v>
      </c>
      <c r="AT99" s="41">
        <v>9.2835174017436004E-2</v>
      </c>
      <c r="AU99" s="41"/>
      <c r="AV99" s="23">
        <v>1.8181818181818179</v>
      </c>
      <c r="AW99" s="23">
        <v>2.545454545454545</v>
      </c>
      <c r="AX99" s="23">
        <v>0.72727272727272729</v>
      </c>
      <c r="AY99" s="23">
        <v>0</v>
      </c>
      <c r="AZ99" s="23">
        <v>0.35714285714285721</v>
      </c>
      <c r="BA99" s="23">
        <v>0.5</v>
      </c>
      <c r="BB99" s="23">
        <v>0.1428571428571429</v>
      </c>
      <c r="BC99" s="23">
        <v>0</v>
      </c>
      <c r="BD99" s="20">
        <v>0.95</v>
      </c>
      <c r="BE99" s="20">
        <v>3.44</v>
      </c>
      <c r="BF99" s="20">
        <v>2.4900000000000002</v>
      </c>
      <c r="BG99" s="20">
        <v>2.6527272727272719</v>
      </c>
      <c r="BH99">
        <v>2.6527272727272728</v>
      </c>
      <c r="BI99">
        <v>6.0182046818181814</v>
      </c>
      <c r="BJ99" s="64">
        <v>0.5176653673612065</v>
      </c>
      <c r="BK99" s="64">
        <v>0.54307152550012683</v>
      </c>
      <c r="BL99" s="64"/>
      <c r="BN99">
        <v>4.4246063552605013E-2</v>
      </c>
      <c r="BO99">
        <v>4.6417587008717988E-2</v>
      </c>
      <c r="BQ99">
        <v>9.0663650561323014E-2</v>
      </c>
      <c r="BR99">
        <v>4.53318252806615E-2</v>
      </c>
      <c r="BS99">
        <v>0.53036844643066661</v>
      </c>
      <c r="BT99" s="68" t="s">
        <v>1264</v>
      </c>
      <c r="BU99" s="68">
        <v>1370</v>
      </c>
      <c r="BV99" s="68">
        <v>150</v>
      </c>
      <c r="BX99" s="68" t="s">
        <v>1275</v>
      </c>
      <c r="BY99" s="68" t="s">
        <v>56</v>
      </c>
      <c r="BZ99" s="68">
        <v>0.5</v>
      </c>
      <c r="CA99" s="68">
        <v>0.7</v>
      </c>
      <c r="CB99" s="68">
        <v>2.63</v>
      </c>
      <c r="CC99" s="68">
        <v>0</v>
      </c>
      <c r="CD99" s="68" t="s">
        <v>464</v>
      </c>
      <c r="CE99" s="68" t="s">
        <v>464</v>
      </c>
      <c r="CF99" s="68" t="s">
        <v>1271</v>
      </c>
      <c r="CG99" s="68">
        <v>300</v>
      </c>
      <c r="CI99" s="68" t="s">
        <v>1287</v>
      </c>
      <c r="CK99" s="70">
        <v>10</v>
      </c>
    </row>
    <row r="100" spans="1:89" x14ac:dyDescent="0.3">
      <c r="A100" t="s">
        <v>0</v>
      </c>
      <c r="B100" t="s">
        <v>0</v>
      </c>
      <c r="C100" t="s">
        <v>685</v>
      </c>
      <c r="D100" s="12"/>
      <c r="E100" s="58">
        <v>3.3</v>
      </c>
      <c r="F100" t="s">
        <v>1294</v>
      </c>
      <c r="G100" s="8" t="s">
        <v>523</v>
      </c>
      <c r="H100" t="s">
        <v>606</v>
      </c>
      <c r="I100" t="s">
        <v>1153</v>
      </c>
      <c r="M100" t="b">
        <v>1</v>
      </c>
      <c r="N100" t="b">
        <v>1</v>
      </c>
      <c r="O100" t="b">
        <v>0</v>
      </c>
      <c r="P100" t="b">
        <v>0</v>
      </c>
      <c r="Q100" t="s">
        <v>523</v>
      </c>
      <c r="R100" t="s">
        <v>606</v>
      </c>
      <c r="S100" t="s">
        <v>1153</v>
      </c>
      <c r="T100" s="81">
        <v>4</v>
      </c>
      <c r="U100" s="20">
        <v>0</v>
      </c>
      <c r="V100">
        <v>0</v>
      </c>
      <c r="W100">
        <v>4</v>
      </c>
      <c r="X100" s="1">
        <v>6.6</v>
      </c>
      <c r="Y100" s="1">
        <v>7.94</v>
      </c>
      <c r="Z100" s="1">
        <v>33.700000000000003</v>
      </c>
      <c r="AB100" s="1">
        <v>16.850000000000001</v>
      </c>
      <c r="AC100" s="20">
        <v>0</v>
      </c>
      <c r="AD100" s="20"/>
      <c r="AE100" s="20"/>
      <c r="AF100">
        <v>0</v>
      </c>
      <c r="AI100">
        <v>34.1</v>
      </c>
      <c r="AJ100">
        <v>7.85</v>
      </c>
      <c r="AK100">
        <v>6.52</v>
      </c>
      <c r="AM100">
        <v>34</v>
      </c>
      <c r="AN100" s="44">
        <f t="shared" si="10"/>
        <v>1766.0147999999999</v>
      </c>
      <c r="AO100" s="46">
        <v>0</v>
      </c>
      <c r="AP100" s="44">
        <v>0</v>
      </c>
      <c r="AQ100" s="44">
        <v>1745.3062</v>
      </c>
      <c r="AR100" s="41"/>
      <c r="AS100" s="40"/>
      <c r="AT100" s="41"/>
      <c r="AU100" s="41">
        <v>7.7923289334559179E-2</v>
      </c>
      <c r="AV100" s="23">
        <v>1.62962962962963</v>
      </c>
      <c r="AW100" s="23">
        <v>2.518518518518519</v>
      </c>
      <c r="AX100" s="23">
        <v>0.88888888888888884</v>
      </c>
      <c r="AY100" s="23">
        <v>0</v>
      </c>
      <c r="AZ100" s="23">
        <v>0.32352941176470579</v>
      </c>
      <c r="BA100" s="23">
        <v>0.5</v>
      </c>
      <c r="BB100" s="23">
        <v>0.1764705882352941</v>
      </c>
      <c r="BC100" s="23">
        <v>0</v>
      </c>
      <c r="BD100" s="20">
        <v>0.82</v>
      </c>
      <c r="BE100" s="20">
        <v>3.44</v>
      </c>
      <c r="BF100" s="20">
        <v>2.62</v>
      </c>
      <c r="BG100" s="20">
        <v>2.642962962962963</v>
      </c>
      <c r="BH100">
        <v>2.642962962962963</v>
      </c>
      <c r="BI100">
        <v>5.9454711914814808</v>
      </c>
      <c r="BJ100" s="64"/>
      <c r="BK100" s="64"/>
      <c r="BL100" s="64">
        <v>0.52945551775309363</v>
      </c>
      <c r="BP100">
        <v>3.8961644667279589E-2</v>
      </c>
      <c r="BQ100">
        <v>7.7923289334559179E-2</v>
      </c>
      <c r="BR100">
        <v>3.8961644667279589E-2</v>
      </c>
      <c r="BS100">
        <v>0.52945551775309363</v>
      </c>
      <c r="BT100" s="68" t="s">
        <v>1264</v>
      </c>
      <c r="BU100" s="68">
        <v>1673</v>
      </c>
      <c r="BV100" s="68">
        <v>0.25</v>
      </c>
      <c r="BX100" s="68" t="s">
        <v>1275</v>
      </c>
      <c r="BY100" s="68" t="s">
        <v>56</v>
      </c>
      <c r="BZ100" s="68">
        <v>0.1</v>
      </c>
      <c r="CB100" s="68">
        <v>2.85</v>
      </c>
      <c r="CC100" s="68">
        <v>0</v>
      </c>
      <c r="CD100" s="68" t="s">
        <v>464</v>
      </c>
      <c r="CE100" s="68" t="s">
        <v>464</v>
      </c>
      <c r="CF100" s="68" t="s">
        <v>1266</v>
      </c>
      <c r="CG100" s="68">
        <v>400</v>
      </c>
      <c r="CI100" s="68" t="s">
        <v>1287</v>
      </c>
      <c r="CJ100" s="68">
        <v>293</v>
      </c>
      <c r="CK100" s="70">
        <v>403</v>
      </c>
    </row>
    <row r="101" spans="1:89" x14ac:dyDescent="0.3">
      <c r="A101" t="s">
        <v>1299</v>
      </c>
      <c r="B101" t="s">
        <v>0</v>
      </c>
      <c r="C101" t="s">
        <v>3968</v>
      </c>
      <c r="D101" s="12"/>
      <c r="E101" s="58">
        <v>3.1</v>
      </c>
      <c r="F101" t="s">
        <v>1294</v>
      </c>
      <c r="G101" s="8" t="s">
        <v>523</v>
      </c>
      <c r="H101" t="s">
        <v>606</v>
      </c>
      <c r="I101" s="1" t="s">
        <v>1153</v>
      </c>
      <c r="J101" s="1" t="s">
        <v>1766</v>
      </c>
      <c r="K101" s="1" t="s">
        <v>1766</v>
      </c>
      <c r="L101" s="1" t="s">
        <v>1766</v>
      </c>
      <c r="M101" t="b">
        <v>1</v>
      </c>
      <c r="N101" t="b">
        <v>1</v>
      </c>
      <c r="O101" t="b">
        <v>0</v>
      </c>
      <c r="P101" t="b">
        <v>0</v>
      </c>
      <c r="Q101" t="s">
        <v>1888</v>
      </c>
      <c r="R101" t="s">
        <v>1889</v>
      </c>
      <c r="S101" t="s">
        <v>1885</v>
      </c>
      <c r="U101" s="20"/>
      <c r="AC101" s="20"/>
      <c r="AD101" s="20"/>
      <c r="AE101" s="20"/>
      <c r="AN101" s="44"/>
      <c r="AO101" s="46"/>
      <c r="AP101" s="44"/>
      <c r="AQ101" s="44"/>
      <c r="AR101" s="41"/>
      <c r="AS101" s="40"/>
      <c r="AT101" s="41"/>
      <c r="AU101" s="41"/>
      <c r="AV101" s="23"/>
      <c r="AW101" s="23"/>
      <c r="AX101" s="23"/>
      <c r="AY101" s="23"/>
      <c r="AZ101" s="23"/>
      <c r="BA101" s="23"/>
      <c r="BB101" s="23"/>
      <c r="BC101" s="23"/>
      <c r="BD101" s="20"/>
      <c r="BE101" s="20"/>
      <c r="BF101" s="20"/>
      <c r="BG101" s="20"/>
      <c r="BJ101" s="64"/>
      <c r="BK101" s="64"/>
      <c r="BL101" s="64"/>
      <c r="BT101" s="68" t="s">
        <v>1264</v>
      </c>
      <c r="BU101" s="68">
        <v>1673</v>
      </c>
      <c r="BV101" s="68">
        <v>0.25</v>
      </c>
      <c r="BX101" s="68" t="s">
        <v>1275</v>
      </c>
      <c r="BY101" s="68" t="s">
        <v>56</v>
      </c>
      <c r="BZ101" s="68">
        <v>0.1</v>
      </c>
      <c r="CB101" s="68">
        <v>2.85</v>
      </c>
      <c r="CC101" s="68">
        <v>0</v>
      </c>
      <c r="CD101" s="68" t="s">
        <v>464</v>
      </c>
      <c r="CE101" s="68" t="s">
        <v>464</v>
      </c>
      <c r="CF101" s="68" t="s">
        <v>1266</v>
      </c>
      <c r="CG101" s="68">
        <v>400</v>
      </c>
      <c r="CI101" s="68" t="s">
        <v>1287</v>
      </c>
      <c r="CJ101" s="68">
        <v>293</v>
      </c>
      <c r="CK101" s="70">
        <v>409</v>
      </c>
    </row>
    <row r="102" spans="1:89" x14ac:dyDescent="0.3">
      <c r="A102" t="s">
        <v>1300</v>
      </c>
      <c r="B102" t="s">
        <v>0</v>
      </c>
      <c r="C102" t="s">
        <v>3969</v>
      </c>
      <c r="D102" s="12"/>
      <c r="E102" s="58">
        <v>3.1</v>
      </c>
      <c r="F102" t="s">
        <v>1294</v>
      </c>
      <c r="G102" s="8" t="s">
        <v>523</v>
      </c>
      <c r="H102" t="s">
        <v>606</v>
      </c>
      <c r="I102" s="1" t="s">
        <v>1153</v>
      </c>
      <c r="J102" s="1" t="s">
        <v>1767</v>
      </c>
      <c r="K102" s="1" t="s">
        <v>1767</v>
      </c>
      <c r="L102" s="1" t="s">
        <v>1767</v>
      </c>
      <c r="M102" t="b">
        <v>1</v>
      </c>
      <c r="N102" t="b">
        <v>1</v>
      </c>
      <c r="O102" t="b">
        <v>0</v>
      </c>
      <c r="P102" t="b">
        <v>0</v>
      </c>
      <c r="Q102" t="s">
        <v>1896</v>
      </c>
      <c r="R102" t="s">
        <v>1907</v>
      </c>
      <c r="S102" t="s">
        <v>1886</v>
      </c>
      <c r="U102" s="20"/>
      <c r="AC102" s="20"/>
      <c r="AD102" s="20"/>
      <c r="AE102" s="20"/>
      <c r="AN102" s="44"/>
      <c r="AO102" s="46"/>
      <c r="AP102" s="44"/>
      <c r="AQ102" s="44"/>
      <c r="AR102" s="41"/>
      <c r="AS102" s="40"/>
      <c r="AT102" s="41"/>
      <c r="AU102" s="41"/>
      <c r="AV102" s="23"/>
      <c r="AW102" s="23"/>
      <c r="AX102" s="23"/>
      <c r="AY102" s="23"/>
      <c r="AZ102" s="23"/>
      <c r="BA102" s="23"/>
      <c r="BB102" s="23"/>
      <c r="BC102" s="23"/>
      <c r="BD102" s="20"/>
      <c r="BE102" s="20"/>
      <c r="BF102" s="20"/>
      <c r="BG102" s="20"/>
      <c r="BJ102" s="64"/>
      <c r="BK102" s="64"/>
      <c r="BL102" s="64"/>
      <c r="BT102" s="68" t="s">
        <v>1264</v>
      </c>
      <c r="BU102" s="68">
        <v>1673</v>
      </c>
      <c r="BV102" s="68">
        <v>0.25</v>
      </c>
      <c r="BX102" s="68" t="s">
        <v>1275</v>
      </c>
      <c r="BY102" s="68" t="s">
        <v>56</v>
      </c>
      <c r="BZ102" s="68">
        <v>0.1</v>
      </c>
      <c r="CB102" s="68">
        <v>2.85</v>
      </c>
      <c r="CC102" s="68">
        <v>0</v>
      </c>
      <c r="CD102" s="68" t="s">
        <v>464</v>
      </c>
      <c r="CE102" s="68" t="s">
        <v>464</v>
      </c>
      <c r="CF102" s="68" t="s">
        <v>1266</v>
      </c>
      <c r="CG102" s="68">
        <v>400</v>
      </c>
      <c r="CI102" s="68" t="s">
        <v>1287</v>
      </c>
      <c r="CJ102" s="68">
        <v>293</v>
      </c>
      <c r="CK102" s="70">
        <v>233</v>
      </c>
    </row>
    <row r="103" spans="1:89" x14ac:dyDescent="0.3">
      <c r="A103" t="s">
        <v>1301</v>
      </c>
      <c r="B103" t="s">
        <v>0</v>
      </c>
      <c r="C103" t="s">
        <v>3970</v>
      </c>
      <c r="D103" s="12"/>
      <c r="E103" s="58">
        <v>3.02</v>
      </c>
      <c r="F103" t="s">
        <v>1294</v>
      </c>
      <c r="G103" s="8" t="s">
        <v>523</v>
      </c>
      <c r="H103" t="s">
        <v>606</v>
      </c>
      <c r="I103" s="1" t="s">
        <v>1153</v>
      </c>
      <c r="J103" s="1" t="s">
        <v>1768</v>
      </c>
      <c r="K103" s="1" t="s">
        <v>1768</v>
      </c>
      <c r="L103" s="1" t="s">
        <v>1768</v>
      </c>
      <c r="M103" t="b">
        <v>1</v>
      </c>
      <c r="N103" t="b">
        <v>1</v>
      </c>
      <c r="O103" t="b">
        <v>0</v>
      </c>
      <c r="P103" t="b">
        <v>0</v>
      </c>
      <c r="Q103" t="s">
        <v>1897</v>
      </c>
      <c r="R103" t="s">
        <v>1913</v>
      </c>
      <c r="S103" t="s">
        <v>1887</v>
      </c>
      <c r="U103" s="20"/>
      <c r="AC103" s="20"/>
      <c r="AD103" s="20"/>
      <c r="AE103" s="20"/>
      <c r="AN103" s="44"/>
      <c r="AO103" s="46"/>
      <c r="AP103" s="44"/>
      <c r="AQ103" s="44"/>
      <c r="AR103" s="41"/>
      <c r="AS103" s="40"/>
      <c r="AT103" s="41"/>
      <c r="AU103" s="41"/>
      <c r="AV103" s="23"/>
      <c r="AW103" s="23"/>
      <c r="AX103" s="23"/>
      <c r="AY103" s="23"/>
      <c r="AZ103" s="23"/>
      <c r="BA103" s="23"/>
      <c r="BB103" s="23"/>
      <c r="BC103" s="23"/>
      <c r="BD103" s="20"/>
      <c r="BE103" s="20"/>
      <c r="BF103" s="20"/>
      <c r="BG103" s="20"/>
      <c r="BJ103" s="64"/>
      <c r="BK103" s="64"/>
      <c r="BL103" s="64"/>
      <c r="BT103" s="68" t="s">
        <v>1264</v>
      </c>
      <c r="BU103" s="68">
        <v>1673</v>
      </c>
      <c r="BV103" s="68">
        <v>0.25</v>
      </c>
      <c r="BX103" s="68" t="s">
        <v>1275</v>
      </c>
      <c r="BY103" s="68" t="s">
        <v>56</v>
      </c>
      <c r="BZ103" s="68">
        <v>0.1</v>
      </c>
      <c r="CB103" s="68">
        <v>2.85</v>
      </c>
      <c r="CC103" s="68">
        <v>0</v>
      </c>
      <c r="CD103" s="68" t="s">
        <v>464</v>
      </c>
      <c r="CE103" s="68" t="s">
        <v>464</v>
      </c>
      <c r="CF103" s="68" t="s">
        <v>1266</v>
      </c>
      <c r="CG103" s="68">
        <v>400</v>
      </c>
      <c r="CI103" s="68" t="s">
        <v>1287</v>
      </c>
      <c r="CJ103" s="68">
        <v>293</v>
      </c>
      <c r="CK103" s="70">
        <v>31</v>
      </c>
    </row>
    <row r="104" spans="1:89" x14ac:dyDescent="0.3">
      <c r="A104" t="s">
        <v>1302</v>
      </c>
      <c r="B104" t="s">
        <v>0</v>
      </c>
      <c r="C104" t="s">
        <v>3971</v>
      </c>
      <c r="D104" s="12"/>
      <c r="E104" s="58">
        <v>3.5</v>
      </c>
      <c r="F104" t="s">
        <v>1294</v>
      </c>
      <c r="G104" s="8" t="s">
        <v>523</v>
      </c>
      <c r="H104" t="s">
        <v>606</v>
      </c>
      <c r="I104" s="1" t="s">
        <v>1153</v>
      </c>
      <c r="J104" s="1" t="s">
        <v>1735</v>
      </c>
      <c r="K104" s="1" t="s">
        <v>1735</v>
      </c>
      <c r="L104" s="1" t="s">
        <v>1735</v>
      </c>
      <c r="M104" t="b">
        <v>1</v>
      </c>
      <c r="N104" t="b">
        <v>1</v>
      </c>
      <c r="O104" t="b">
        <v>0</v>
      </c>
      <c r="P104" t="b">
        <v>0</v>
      </c>
      <c r="Q104" t="s">
        <v>1898</v>
      </c>
      <c r="R104" t="s">
        <v>1953</v>
      </c>
      <c r="S104" t="s">
        <v>1890</v>
      </c>
      <c r="U104" s="20"/>
      <c r="AC104" s="20"/>
      <c r="AD104" s="20"/>
      <c r="AE104" s="20"/>
      <c r="AN104" s="44"/>
      <c r="AO104" s="46"/>
      <c r="AP104" s="44"/>
      <c r="AQ104" s="44"/>
      <c r="AR104" s="41"/>
      <c r="AS104" s="40"/>
      <c r="AT104" s="41"/>
      <c r="AU104" s="41"/>
      <c r="AV104" s="23"/>
      <c r="AW104" s="23"/>
      <c r="AX104" s="23"/>
      <c r="AY104" s="23"/>
      <c r="AZ104" s="23"/>
      <c r="BA104" s="23"/>
      <c r="BB104" s="23"/>
      <c r="BC104" s="23"/>
      <c r="BD104" s="20"/>
      <c r="BE104" s="20"/>
      <c r="BF104" s="20"/>
      <c r="BG104" s="20"/>
      <c r="BJ104" s="64"/>
      <c r="BK104" s="64"/>
      <c r="BL104" s="64"/>
      <c r="BT104" s="68" t="s">
        <v>1264</v>
      </c>
      <c r="BU104" s="68">
        <v>1673</v>
      </c>
      <c r="BV104" s="68">
        <v>0.25</v>
      </c>
      <c r="BX104" s="68" t="s">
        <v>1275</v>
      </c>
      <c r="BY104" s="68" t="s">
        <v>56</v>
      </c>
      <c r="BZ104" s="68">
        <v>0.1</v>
      </c>
      <c r="CB104" s="68">
        <v>2.85</v>
      </c>
      <c r="CC104" s="68">
        <v>0</v>
      </c>
      <c r="CD104" s="68" t="s">
        <v>464</v>
      </c>
      <c r="CE104" s="68" t="s">
        <v>464</v>
      </c>
      <c r="CF104" s="68" t="s">
        <v>1266</v>
      </c>
      <c r="CG104" s="68">
        <v>400</v>
      </c>
      <c r="CI104" s="68" t="s">
        <v>1287</v>
      </c>
      <c r="CJ104" s="68">
        <v>293</v>
      </c>
      <c r="CK104" s="70">
        <v>11</v>
      </c>
    </row>
    <row r="105" spans="1:89" x14ac:dyDescent="0.3">
      <c r="A105" t="s">
        <v>59</v>
      </c>
      <c r="B105" t="s">
        <v>0</v>
      </c>
      <c r="C105" t="s">
        <v>3972</v>
      </c>
      <c r="D105" s="12"/>
      <c r="E105">
        <v>3.55</v>
      </c>
      <c r="F105" t="s">
        <v>1294</v>
      </c>
      <c r="G105" s="8" t="s">
        <v>523</v>
      </c>
      <c r="H105" t="s">
        <v>606</v>
      </c>
      <c r="I105" s="1" t="s">
        <v>1153</v>
      </c>
      <c r="J105" s="1" t="s">
        <v>1769</v>
      </c>
      <c r="K105" s="1" t="s">
        <v>1769</v>
      </c>
      <c r="L105" s="1" t="s">
        <v>1769</v>
      </c>
      <c r="M105" t="b">
        <v>1</v>
      </c>
      <c r="N105" t="b">
        <v>1</v>
      </c>
      <c r="O105" t="b">
        <v>1</v>
      </c>
      <c r="P105" t="b">
        <v>0</v>
      </c>
      <c r="Q105" t="s">
        <v>1899</v>
      </c>
      <c r="R105" t="s">
        <v>1955</v>
      </c>
      <c r="S105" t="s">
        <v>1891</v>
      </c>
      <c r="U105" s="20">
        <v>0</v>
      </c>
      <c r="V105">
        <v>0</v>
      </c>
      <c r="W105">
        <v>4</v>
      </c>
      <c r="AC105" s="20">
        <v>0</v>
      </c>
      <c r="AD105" s="20"/>
      <c r="AE105" s="20"/>
      <c r="AF105">
        <v>0</v>
      </c>
      <c r="AI105">
        <v>34.1</v>
      </c>
      <c r="AJ105">
        <v>7.85</v>
      </c>
      <c r="AK105">
        <v>6.52</v>
      </c>
      <c r="AM105">
        <v>34</v>
      </c>
      <c r="AN105" s="44">
        <f t="shared" ref="AN105" si="11">X105*Y105*Z105</f>
        <v>0</v>
      </c>
      <c r="AO105" s="46">
        <v>0</v>
      </c>
      <c r="AP105" s="44">
        <v>0</v>
      </c>
      <c r="AQ105" s="44">
        <v>1745.3062</v>
      </c>
      <c r="AR105" s="41"/>
      <c r="AS105" s="40"/>
      <c r="AT105" s="41"/>
      <c r="AU105" s="41">
        <v>7.7923289334559179E-2</v>
      </c>
      <c r="AV105" s="23">
        <v>1.62962962962963</v>
      </c>
      <c r="AW105" s="23">
        <v>2.518518518518519</v>
      </c>
      <c r="AX105" s="23">
        <v>0.88888888888888884</v>
      </c>
      <c r="AY105" s="23">
        <v>0</v>
      </c>
      <c r="AZ105" s="23">
        <v>0.32352941176470579</v>
      </c>
      <c r="BA105" s="23">
        <v>0.5</v>
      </c>
      <c r="BB105" s="23">
        <v>0.1764705882352941</v>
      </c>
      <c r="BC105" s="23">
        <v>0</v>
      </c>
      <c r="BD105" s="20">
        <v>0.82</v>
      </c>
      <c r="BE105" s="20">
        <v>3.44</v>
      </c>
      <c r="BF105" s="20">
        <v>2.62</v>
      </c>
      <c r="BG105" s="20">
        <v>2.642962962962963</v>
      </c>
      <c r="BH105">
        <v>2.642962962962963</v>
      </c>
      <c r="BI105">
        <v>5.9454711914814808</v>
      </c>
      <c r="BJ105" s="64"/>
      <c r="BK105" s="64"/>
      <c r="BL105" s="64">
        <v>0.52945551775309363</v>
      </c>
      <c r="BP105">
        <v>3.8961644667279589E-2</v>
      </c>
      <c r="BQ105">
        <v>7.7923289334559179E-2</v>
      </c>
      <c r="BR105">
        <v>3.8961644667279589E-2</v>
      </c>
      <c r="BS105">
        <v>0.52945551775309363</v>
      </c>
      <c r="BT105" s="68" t="s">
        <v>1264</v>
      </c>
      <c r="BU105" s="68">
        <v>1300</v>
      </c>
      <c r="BV105" s="68">
        <v>40</v>
      </c>
      <c r="BX105" s="68" t="s">
        <v>1275</v>
      </c>
      <c r="BY105" s="68" t="s">
        <v>56</v>
      </c>
      <c r="BZ105" s="68">
        <v>0.1</v>
      </c>
      <c r="CB105" s="68">
        <v>2.85</v>
      </c>
      <c r="CC105" s="68">
        <v>0</v>
      </c>
      <c r="CD105" s="68" t="s">
        <v>464</v>
      </c>
      <c r="CE105" s="68" t="s">
        <v>464</v>
      </c>
      <c r="CF105" s="68" t="s">
        <v>1266</v>
      </c>
      <c r="CG105" s="68">
        <v>400</v>
      </c>
      <c r="CI105" s="68" t="s">
        <v>1287</v>
      </c>
      <c r="CJ105" s="68">
        <v>293</v>
      </c>
      <c r="CK105" s="70">
        <v>936</v>
      </c>
    </row>
    <row r="106" spans="1:89" x14ac:dyDescent="0.3">
      <c r="A106" t="s">
        <v>1296</v>
      </c>
      <c r="B106" t="s">
        <v>0</v>
      </c>
      <c r="C106" t="s">
        <v>3973</v>
      </c>
      <c r="D106" s="12"/>
      <c r="E106" s="58">
        <v>3.7</v>
      </c>
      <c r="F106" t="s">
        <v>1294</v>
      </c>
      <c r="G106" s="8" t="s">
        <v>523</v>
      </c>
      <c r="H106" t="s">
        <v>606</v>
      </c>
      <c r="I106" s="1" t="s">
        <v>1153</v>
      </c>
      <c r="J106" s="1" t="s">
        <v>1770</v>
      </c>
      <c r="K106" s="1" t="s">
        <v>1770</v>
      </c>
      <c r="L106" s="1" t="s">
        <v>1770</v>
      </c>
      <c r="M106" t="b">
        <v>1</v>
      </c>
      <c r="N106" t="b">
        <v>1</v>
      </c>
      <c r="O106" t="b">
        <v>1</v>
      </c>
      <c r="P106" t="b">
        <v>0</v>
      </c>
      <c r="Q106" t="s">
        <v>1900</v>
      </c>
      <c r="R106" t="s">
        <v>1957</v>
      </c>
      <c r="S106" t="s">
        <v>1892</v>
      </c>
      <c r="U106" s="20"/>
      <c r="AC106" s="20"/>
      <c r="AD106" s="20"/>
      <c r="AE106" s="20"/>
      <c r="AN106" s="44"/>
      <c r="AO106" s="46"/>
      <c r="AP106" s="44"/>
      <c r="AQ106" s="44"/>
      <c r="AR106" s="41"/>
      <c r="AS106" s="40"/>
      <c r="AT106" s="41"/>
      <c r="AU106" s="41"/>
      <c r="AV106" s="23"/>
      <c r="AW106" s="23"/>
      <c r="AX106" s="23"/>
      <c r="AY106" s="23"/>
      <c r="AZ106" s="23"/>
      <c r="BA106" s="23"/>
      <c r="BB106" s="23"/>
      <c r="BC106" s="23"/>
      <c r="BD106" s="20"/>
      <c r="BE106" s="20"/>
      <c r="BF106" s="20"/>
      <c r="BG106" s="20"/>
      <c r="BJ106" s="64"/>
      <c r="BK106" s="64"/>
      <c r="BL106" s="64"/>
      <c r="BT106" s="68" t="s">
        <v>1264</v>
      </c>
      <c r="BU106" s="68">
        <v>1300</v>
      </c>
      <c r="BV106" s="68">
        <v>40</v>
      </c>
      <c r="BX106" s="68" t="s">
        <v>1275</v>
      </c>
      <c r="BY106" s="68" t="s">
        <v>56</v>
      </c>
      <c r="BZ106" s="68">
        <v>0.1</v>
      </c>
      <c r="CB106" s="68">
        <v>2.85</v>
      </c>
      <c r="CC106" s="68">
        <v>0</v>
      </c>
      <c r="CD106" s="68" t="s">
        <v>464</v>
      </c>
      <c r="CE106" s="68" t="s">
        <v>464</v>
      </c>
      <c r="CF106" s="68" t="s">
        <v>1266</v>
      </c>
      <c r="CG106" s="68">
        <v>400</v>
      </c>
      <c r="CI106" s="68" t="s">
        <v>1287</v>
      </c>
      <c r="CJ106" s="68">
        <v>293</v>
      </c>
      <c r="CK106" s="70">
        <v>362</v>
      </c>
    </row>
    <row r="107" spans="1:89" x14ac:dyDescent="0.3">
      <c r="A107" t="s">
        <v>1297</v>
      </c>
      <c r="B107" t="s">
        <v>0</v>
      </c>
      <c r="C107" t="s">
        <v>3974</v>
      </c>
      <c r="D107" s="12"/>
      <c r="E107" s="58">
        <v>3.65</v>
      </c>
      <c r="F107" t="s">
        <v>1294</v>
      </c>
      <c r="G107" s="8" t="s">
        <v>523</v>
      </c>
      <c r="H107" t="s">
        <v>606</v>
      </c>
      <c r="I107" s="1" t="s">
        <v>1153</v>
      </c>
      <c r="J107" s="1" t="s">
        <v>1771</v>
      </c>
      <c r="K107" s="1" t="s">
        <v>1771</v>
      </c>
      <c r="L107" s="1" t="s">
        <v>1771</v>
      </c>
      <c r="M107" t="b">
        <v>1</v>
      </c>
      <c r="N107" t="b">
        <v>1</v>
      </c>
      <c r="O107" t="b">
        <v>1</v>
      </c>
      <c r="P107" t="b">
        <v>0</v>
      </c>
      <c r="Q107" t="s">
        <v>1901</v>
      </c>
      <c r="R107" t="s">
        <v>1959</v>
      </c>
      <c r="S107" t="s">
        <v>1893</v>
      </c>
      <c r="U107" s="20"/>
      <c r="AC107" s="20"/>
      <c r="AD107" s="20"/>
      <c r="AE107" s="20"/>
      <c r="AN107" s="44"/>
      <c r="AO107" s="46"/>
      <c r="AP107" s="44"/>
      <c r="AQ107" s="44"/>
      <c r="AR107" s="41"/>
      <c r="AS107" s="40"/>
      <c r="AT107" s="41"/>
      <c r="AU107" s="41"/>
      <c r="AV107" s="23"/>
      <c r="AW107" s="23"/>
      <c r="AX107" s="23"/>
      <c r="AY107" s="23"/>
      <c r="AZ107" s="23"/>
      <c r="BA107" s="23"/>
      <c r="BB107" s="23"/>
      <c r="BC107" s="23"/>
      <c r="BD107" s="20"/>
      <c r="BE107" s="20"/>
      <c r="BF107" s="20"/>
      <c r="BG107" s="20"/>
      <c r="BJ107" s="64"/>
      <c r="BK107" s="64"/>
      <c r="BL107" s="64"/>
      <c r="BT107" s="68" t="s">
        <v>1264</v>
      </c>
      <c r="BU107" s="68">
        <v>1300</v>
      </c>
      <c r="BV107" s="68">
        <v>40</v>
      </c>
      <c r="BX107" s="68" t="s">
        <v>1275</v>
      </c>
      <c r="BY107" s="68" t="s">
        <v>56</v>
      </c>
      <c r="BZ107" s="68">
        <v>0.1</v>
      </c>
      <c r="CB107" s="68">
        <v>2.85</v>
      </c>
      <c r="CC107" s="68">
        <v>0</v>
      </c>
      <c r="CD107" s="68" t="s">
        <v>464</v>
      </c>
      <c r="CE107" s="68" t="s">
        <v>464</v>
      </c>
      <c r="CF107" s="68" t="s">
        <v>1266</v>
      </c>
      <c r="CG107" s="68">
        <v>400</v>
      </c>
      <c r="CI107" s="68" t="s">
        <v>1287</v>
      </c>
      <c r="CJ107" s="68">
        <v>293</v>
      </c>
      <c r="CK107" s="70">
        <v>126</v>
      </c>
    </row>
    <row r="108" spans="1:89" x14ac:dyDescent="0.3">
      <c r="A108" t="s">
        <v>1298</v>
      </c>
      <c r="B108" t="s">
        <v>0</v>
      </c>
      <c r="C108" t="s">
        <v>3975</v>
      </c>
      <c r="D108" s="12"/>
      <c r="E108" s="58">
        <v>3.6</v>
      </c>
      <c r="F108" t="s">
        <v>1294</v>
      </c>
      <c r="G108" s="8" t="s">
        <v>523</v>
      </c>
      <c r="H108" t="s">
        <v>606</v>
      </c>
      <c r="I108" s="1" t="s">
        <v>1153</v>
      </c>
      <c r="J108" s="1" t="s">
        <v>1772</v>
      </c>
      <c r="K108" s="1" t="s">
        <v>1772</v>
      </c>
      <c r="L108" s="1" t="s">
        <v>1772</v>
      </c>
      <c r="M108" t="b">
        <v>1</v>
      </c>
      <c r="N108" t="b">
        <v>1</v>
      </c>
      <c r="O108" t="b">
        <v>1</v>
      </c>
      <c r="P108" t="b">
        <v>0</v>
      </c>
      <c r="Q108" t="s">
        <v>1902</v>
      </c>
      <c r="R108" t="s">
        <v>1961</v>
      </c>
      <c r="S108" t="s">
        <v>1894</v>
      </c>
      <c r="U108" s="20"/>
      <c r="AC108" s="20"/>
      <c r="AD108" s="20"/>
      <c r="AE108" s="20"/>
      <c r="AN108" s="44"/>
      <c r="AO108" s="46"/>
      <c r="AP108" s="44"/>
      <c r="AQ108" s="44"/>
      <c r="AR108" s="41"/>
      <c r="AS108" s="40"/>
      <c r="AT108" s="41"/>
      <c r="AU108" s="41"/>
      <c r="AV108" s="23"/>
      <c r="AW108" s="23"/>
      <c r="AX108" s="23"/>
      <c r="AY108" s="23"/>
      <c r="AZ108" s="23"/>
      <c r="BA108" s="23"/>
      <c r="BB108" s="23"/>
      <c r="BC108" s="23"/>
      <c r="BD108" s="20"/>
      <c r="BE108" s="20"/>
      <c r="BF108" s="20"/>
      <c r="BG108" s="20"/>
      <c r="BJ108" s="64"/>
      <c r="BK108" s="64"/>
      <c r="BL108" s="64"/>
      <c r="BT108" s="68" t="s">
        <v>1264</v>
      </c>
      <c r="BU108" s="68">
        <v>1300</v>
      </c>
      <c r="BV108" s="68">
        <v>40</v>
      </c>
      <c r="BX108" s="68" t="s">
        <v>1275</v>
      </c>
      <c r="BY108" s="68" t="s">
        <v>56</v>
      </c>
      <c r="BZ108" s="68">
        <v>0.1</v>
      </c>
      <c r="CB108" s="68">
        <v>2.85</v>
      </c>
      <c r="CC108" s="68">
        <v>0</v>
      </c>
      <c r="CD108" s="68" t="s">
        <v>464</v>
      </c>
      <c r="CE108" s="68" t="s">
        <v>464</v>
      </c>
      <c r="CF108" s="68" t="s">
        <v>1266</v>
      </c>
      <c r="CG108" s="68">
        <v>400</v>
      </c>
      <c r="CI108" s="68" t="s">
        <v>1287</v>
      </c>
      <c r="CJ108" s="68">
        <v>293</v>
      </c>
      <c r="CK108" s="70">
        <v>101</v>
      </c>
    </row>
    <row r="109" spans="1:89" x14ac:dyDescent="0.3">
      <c r="A109" t="s">
        <v>58</v>
      </c>
      <c r="B109" t="s">
        <v>0</v>
      </c>
      <c r="C109" t="s">
        <v>3976</v>
      </c>
      <c r="D109" s="12"/>
      <c r="E109">
        <v>4.0999999999999996</v>
      </c>
      <c r="F109" t="s">
        <v>1294</v>
      </c>
      <c r="G109" s="8" t="s">
        <v>523</v>
      </c>
      <c r="H109" t="s">
        <v>606</v>
      </c>
      <c r="I109" s="1" t="s">
        <v>1153</v>
      </c>
      <c r="J109" s="1" t="s">
        <v>1773</v>
      </c>
      <c r="K109" s="1" t="s">
        <v>1773</v>
      </c>
      <c r="L109" s="1" t="s">
        <v>1773</v>
      </c>
      <c r="M109" t="b">
        <v>1</v>
      </c>
      <c r="N109" t="b">
        <v>1</v>
      </c>
      <c r="O109" t="b">
        <v>1</v>
      </c>
      <c r="P109" t="b">
        <v>0</v>
      </c>
      <c r="Q109" t="s">
        <v>1903</v>
      </c>
      <c r="R109" t="s">
        <v>1963</v>
      </c>
      <c r="S109" t="s">
        <v>1895</v>
      </c>
      <c r="U109" s="20"/>
      <c r="AC109" s="20"/>
      <c r="AD109" s="20"/>
      <c r="AE109" s="20"/>
      <c r="AN109" s="44"/>
      <c r="AO109" s="46"/>
      <c r="AP109" s="44"/>
      <c r="AQ109" s="44"/>
      <c r="AR109" s="41"/>
      <c r="AS109" s="40"/>
      <c r="AT109" s="41"/>
      <c r="AU109" s="41"/>
      <c r="AV109" s="23"/>
      <c r="AW109" s="23"/>
      <c r="AX109" s="23"/>
      <c r="AY109" s="23"/>
      <c r="AZ109" s="23"/>
      <c r="BA109" s="23"/>
      <c r="BB109" s="23"/>
      <c r="BC109" s="23"/>
      <c r="BD109" s="20"/>
      <c r="BE109" s="20"/>
      <c r="BF109" s="20"/>
      <c r="BG109" s="20"/>
      <c r="BJ109" s="64"/>
      <c r="BK109" s="64"/>
      <c r="BL109" s="64"/>
      <c r="BT109" s="68" t="s">
        <v>1264</v>
      </c>
      <c r="BU109" s="68">
        <v>1300</v>
      </c>
      <c r="BV109" s="68">
        <v>40</v>
      </c>
      <c r="BX109" s="68" t="s">
        <v>1275</v>
      </c>
      <c r="BY109" s="68" t="s">
        <v>56</v>
      </c>
      <c r="BZ109" s="68">
        <v>0.1</v>
      </c>
      <c r="CB109" s="68">
        <v>2.85</v>
      </c>
      <c r="CC109" s="68">
        <v>0</v>
      </c>
      <c r="CD109" s="68" t="s">
        <v>464</v>
      </c>
      <c r="CE109" s="68" t="s">
        <v>464</v>
      </c>
      <c r="CF109" s="68" t="s">
        <v>1266</v>
      </c>
      <c r="CG109" s="68">
        <v>400</v>
      </c>
      <c r="CI109" s="68" t="s">
        <v>1287</v>
      </c>
      <c r="CJ109" s="68">
        <v>293</v>
      </c>
      <c r="CK109" s="70">
        <v>92</v>
      </c>
    </row>
    <row r="110" spans="1:89" x14ac:dyDescent="0.3">
      <c r="A110" t="s">
        <v>1289</v>
      </c>
      <c r="B110" t="s">
        <v>2777</v>
      </c>
      <c r="C110" t="s">
        <v>3952</v>
      </c>
      <c r="D110" s="12"/>
      <c r="E110" s="58">
        <v>3</v>
      </c>
      <c r="F110" t="s">
        <v>1294</v>
      </c>
      <c r="G110" s="8"/>
      <c r="I110" t="s">
        <v>1292</v>
      </c>
      <c r="M110" t="b">
        <v>0</v>
      </c>
      <c r="N110" t="b">
        <v>0</v>
      </c>
      <c r="O110" t="b">
        <v>1</v>
      </c>
      <c r="P110" t="b">
        <v>0</v>
      </c>
      <c r="S110" t="s">
        <v>1292</v>
      </c>
      <c r="U110" s="20"/>
      <c r="AC110" s="20"/>
      <c r="AD110" s="20"/>
      <c r="AE110" s="20"/>
      <c r="AN110" s="44"/>
      <c r="AO110" s="46"/>
      <c r="AP110" s="44"/>
      <c r="AQ110" s="44"/>
      <c r="AR110" s="41"/>
      <c r="AS110" s="40"/>
      <c r="AT110" s="41"/>
      <c r="AU110" s="41"/>
      <c r="AV110" s="23"/>
      <c r="AW110" s="23"/>
      <c r="AX110" s="23"/>
      <c r="AY110" s="23"/>
      <c r="AZ110" s="23"/>
      <c r="BA110" s="23"/>
      <c r="BB110" s="23"/>
      <c r="BC110" s="23"/>
      <c r="BD110" s="20"/>
      <c r="BE110" s="20"/>
      <c r="BF110" s="20"/>
      <c r="BG110" s="20"/>
      <c r="BJ110" s="64"/>
      <c r="BK110" s="64"/>
      <c r="BL110" s="64"/>
      <c r="BT110" s="68" t="s">
        <v>1290</v>
      </c>
      <c r="BX110" s="68" t="s">
        <v>1275</v>
      </c>
      <c r="BY110" s="68" t="s">
        <v>56</v>
      </c>
      <c r="BZ110" s="68">
        <v>0.1</v>
      </c>
      <c r="CB110" s="68">
        <v>2.85</v>
      </c>
      <c r="CC110" s="68">
        <v>0</v>
      </c>
      <c r="CD110" s="68" t="s">
        <v>464</v>
      </c>
      <c r="CE110" s="68" t="s">
        <v>464</v>
      </c>
      <c r="CF110" s="68" t="s">
        <v>1266</v>
      </c>
      <c r="CG110" s="68">
        <v>400</v>
      </c>
      <c r="CI110" s="68" t="s">
        <v>1287</v>
      </c>
      <c r="CJ110" s="68">
        <v>293</v>
      </c>
      <c r="CK110" s="70">
        <v>1</v>
      </c>
    </row>
    <row r="111" spans="1:89" x14ac:dyDescent="0.3">
      <c r="A111" t="s">
        <v>1273</v>
      </c>
      <c r="C111" t="s">
        <v>3932</v>
      </c>
      <c r="D111" s="12"/>
      <c r="F111" t="s">
        <v>1294</v>
      </c>
      <c r="G111" s="8"/>
      <c r="I111" t="s">
        <v>1274</v>
      </c>
      <c r="M111" t="b">
        <v>0</v>
      </c>
      <c r="N111" t="b">
        <v>0</v>
      </c>
      <c r="O111" t="b">
        <v>1</v>
      </c>
      <c r="P111" t="b">
        <v>0</v>
      </c>
      <c r="S111" t="s">
        <v>1274</v>
      </c>
      <c r="U111" s="20"/>
      <c r="AC111" s="20"/>
      <c r="AD111" s="20"/>
      <c r="AE111" s="20"/>
      <c r="AN111" s="44"/>
      <c r="AO111" s="46"/>
      <c r="AP111" s="44"/>
      <c r="AQ111" s="44"/>
      <c r="AR111" s="41"/>
      <c r="AS111" s="40"/>
      <c r="AT111" s="41"/>
      <c r="AU111" s="41"/>
      <c r="AV111" s="23"/>
      <c r="AW111" s="23"/>
      <c r="AX111" s="23"/>
      <c r="AY111" s="23"/>
      <c r="AZ111" s="23"/>
      <c r="BA111" s="23"/>
      <c r="BB111" s="23"/>
      <c r="BC111" s="23"/>
      <c r="BD111" s="20"/>
      <c r="BE111" s="20"/>
      <c r="BF111" s="20"/>
      <c r="BG111" s="20"/>
      <c r="BJ111" s="64"/>
      <c r="BK111" s="64"/>
      <c r="BL111" s="64"/>
      <c r="BT111" s="68" t="s">
        <v>1264</v>
      </c>
      <c r="BU111" s="68">
        <v>1673</v>
      </c>
      <c r="BV111" s="68">
        <v>0.25</v>
      </c>
      <c r="BX111" s="68" t="s">
        <v>1275</v>
      </c>
      <c r="BY111" s="68" t="s">
        <v>56</v>
      </c>
      <c r="BZ111" s="68">
        <v>0.1</v>
      </c>
      <c r="CB111" s="68">
        <v>2.85</v>
      </c>
      <c r="CC111" s="68">
        <v>0</v>
      </c>
      <c r="CD111" s="68" t="s">
        <v>464</v>
      </c>
      <c r="CE111" s="68" t="s">
        <v>464</v>
      </c>
      <c r="CF111" s="68" t="s">
        <v>1266</v>
      </c>
      <c r="CG111" s="68">
        <v>400</v>
      </c>
      <c r="CI111" s="68" t="s">
        <v>1287</v>
      </c>
      <c r="CJ111" s="68">
        <v>293</v>
      </c>
      <c r="CK111" s="70">
        <v>1</v>
      </c>
    </row>
    <row r="112" spans="1:89" x14ac:dyDescent="0.3">
      <c r="A112" t="s">
        <v>1303</v>
      </c>
      <c r="C112" t="s">
        <v>3931</v>
      </c>
      <c r="D112" s="12"/>
      <c r="F112" t="s">
        <v>1294</v>
      </c>
      <c r="G112" s="8"/>
      <c r="I112" t="s">
        <v>1304</v>
      </c>
      <c r="M112" t="b">
        <v>0</v>
      </c>
      <c r="N112" t="b">
        <v>0</v>
      </c>
      <c r="O112" t="b">
        <v>1</v>
      </c>
      <c r="P112" t="b">
        <v>0</v>
      </c>
      <c r="S112" t="s">
        <v>1304</v>
      </c>
      <c r="U112" s="20"/>
      <c r="AC112" s="20"/>
      <c r="AD112" s="20"/>
      <c r="AE112" s="20"/>
      <c r="AN112" s="44"/>
      <c r="AO112" s="46"/>
      <c r="AP112" s="44"/>
      <c r="AQ112" s="44"/>
      <c r="AR112" s="41"/>
      <c r="AS112" s="40"/>
      <c r="AT112" s="41"/>
      <c r="AU112" s="41"/>
      <c r="AV112" s="23"/>
      <c r="AW112" s="23"/>
      <c r="AX112" s="23"/>
      <c r="AY112" s="23"/>
      <c r="AZ112" s="23"/>
      <c r="BA112" s="23"/>
      <c r="BB112" s="23"/>
      <c r="BC112" s="23"/>
      <c r="BD112" s="20"/>
      <c r="BE112" s="20"/>
      <c r="BF112" s="20"/>
      <c r="BG112" s="20"/>
      <c r="BJ112" s="64"/>
      <c r="BK112" s="64"/>
      <c r="BL112" s="64"/>
      <c r="BT112" s="68" t="s">
        <v>1264</v>
      </c>
      <c r="BU112" s="68">
        <v>1673</v>
      </c>
      <c r="BV112" s="68">
        <v>0.25</v>
      </c>
      <c r="BX112" s="68" t="s">
        <v>1275</v>
      </c>
      <c r="BY112" s="68" t="s">
        <v>56</v>
      </c>
      <c r="BZ112" s="68">
        <v>0.1</v>
      </c>
      <c r="CB112" s="68">
        <v>2.85</v>
      </c>
      <c r="CC112" s="68">
        <v>0</v>
      </c>
      <c r="CD112" s="68" t="s">
        <v>464</v>
      </c>
      <c r="CE112" s="68" t="s">
        <v>464</v>
      </c>
      <c r="CF112" s="68" t="s">
        <v>1266</v>
      </c>
      <c r="CG112" s="68">
        <v>400</v>
      </c>
      <c r="CI112" s="68" t="s">
        <v>1287</v>
      </c>
      <c r="CJ112" s="68">
        <v>293</v>
      </c>
      <c r="CK112" s="70">
        <v>1</v>
      </c>
    </row>
    <row r="113" spans="1:90" x14ac:dyDescent="0.3">
      <c r="A113" t="s">
        <v>1288</v>
      </c>
      <c r="B113" t="s">
        <v>2777</v>
      </c>
      <c r="C113" t="s">
        <v>3951</v>
      </c>
      <c r="D113" s="12"/>
      <c r="E113" s="58">
        <v>3.7</v>
      </c>
      <c r="F113" t="s">
        <v>1294</v>
      </c>
      <c r="G113" s="8"/>
      <c r="I113" t="s">
        <v>1291</v>
      </c>
      <c r="M113" t="b">
        <v>0</v>
      </c>
      <c r="N113" t="b">
        <v>0</v>
      </c>
      <c r="O113" t="b">
        <v>1</v>
      </c>
      <c r="P113" t="b">
        <v>0</v>
      </c>
      <c r="S113" t="s">
        <v>1291</v>
      </c>
      <c r="U113" s="20"/>
      <c r="AB113">
        <v>0</v>
      </c>
      <c r="AC113" s="20"/>
      <c r="AD113" s="20"/>
      <c r="AE113" s="20"/>
      <c r="AN113" s="44"/>
      <c r="AO113" s="46"/>
      <c r="AP113" s="44"/>
      <c r="AQ113" s="44"/>
      <c r="AR113" s="41"/>
      <c r="AS113" s="40"/>
      <c r="AT113" s="41"/>
      <c r="AU113" s="41"/>
      <c r="AV113" s="23"/>
      <c r="AW113" s="23"/>
      <c r="AX113" s="23"/>
      <c r="AY113" s="23"/>
      <c r="AZ113" s="23"/>
      <c r="BA113" s="23"/>
      <c r="BB113" s="23"/>
      <c r="BC113" s="23"/>
      <c r="BD113" s="20"/>
      <c r="BE113" s="20"/>
      <c r="BF113" s="20"/>
      <c r="BG113" s="20"/>
      <c r="BJ113" s="64"/>
      <c r="BK113" s="64"/>
      <c r="BL113" s="64"/>
      <c r="BT113" s="68" t="s">
        <v>1290</v>
      </c>
      <c r="BV113" s="68">
        <v>0.25</v>
      </c>
      <c r="BX113" s="68" t="s">
        <v>1275</v>
      </c>
      <c r="BY113" s="68" t="s">
        <v>56</v>
      </c>
      <c r="BZ113" s="68">
        <v>0.1</v>
      </c>
      <c r="CB113" s="68">
        <v>2.85</v>
      </c>
      <c r="CC113" s="68">
        <v>0</v>
      </c>
      <c r="CD113" s="68" t="s">
        <v>464</v>
      </c>
      <c r="CE113" s="68" t="s">
        <v>464</v>
      </c>
      <c r="CF113" s="68" t="s">
        <v>1266</v>
      </c>
      <c r="CG113" s="68">
        <v>400</v>
      </c>
      <c r="CI113" s="68" t="s">
        <v>1287</v>
      </c>
      <c r="CJ113" s="68">
        <v>293</v>
      </c>
      <c r="CK113" s="70">
        <v>4</v>
      </c>
    </row>
    <row r="114" spans="1:90" x14ac:dyDescent="0.3">
      <c r="A114" t="s">
        <v>27</v>
      </c>
      <c r="C114" t="s">
        <v>3977</v>
      </c>
      <c r="D114" s="12"/>
      <c r="F114" t="s">
        <v>1294</v>
      </c>
      <c r="G114" s="8" t="s">
        <v>563</v>
      </c>
      <c r="H114" t="s">
        <v>641</v>
      </c>
      <c r="M114" t="b">
        <v>1</v>
      </c>
      <c r="N114" t="b">
        <v>1</v>
      </c>
      <c r="O114" t="b">
        <v>0</v>
      </c>
      <c r="P114" t="b">
        <v>0</v>
      </c>
      <c r="Q114" t="s">
        <v>563</v>
      </c>
      <c r="R114" t="s">
        <v>641</v>
      </c>
      <c r="U114" s="20"/>
      <c r="AC114" s="20"/>
      <c r="AD114" s="20"/>
      <c r="AE114" s="20"/>
      <c r="AN114" s="44"/>
      <c r="AO114" s="46"/>
      <c r="AP114" s="44"/>
      <c r="AQ114" s="44"/>
      <c r="AR114" s="41"/>
      <c r="AS114" s="40"/>
      <c r="AT114" s="41"/>
      <c r="AU114" s="41"/>
      <c r="AV114" s="23"/>
      <c r="AW114" s="23"/>
      <c r="AX114" s="23"/>
      <c r="AY114" s="23"/>
      <c r="AZ114" s="23"/>
      <c r="BA114" s="23"/>
      <c r="BB114" s="23"/>
      <c r="BC114" s="23"/>
      <c r="BD114" s="20"/>
      <c r="BE114" s="20"/>
      <c r="BF114" s="20"/>
      <c r="BG114" s="20"/>
      <c r="BJ114" s="64"/>
      <c r="BK114" s="64"/>
      <c r="BL114" s="64"/>
      <c r="BT114" s="68" t="s">
        <v>1264</v>
      </c>
      <c r="BU114" s="68">
        <v>1673</v>
      </c>
      <c r="BV114" s="68">
        <v>0.25</v>
      </c>
      <c r="BX114" s="68" t="s">
        <v>1275</v>
      </c>
      <c r="BY114" s="68" t="s">
        <v>56</v>
      </c>
      <c r="BZ114" s="68">
        <v>0.1</v>
      </c>
      <c r="CB114" s="68">
        <v>2.85</v>
      </c>
      <c r="CC114" s="68">
        <v>0</v>
      </c>
      <c r="CD114" s="68" t="s">
        <v>464</v>
      </c>
      <c r="CE114" s="68" t="s">
        <v>464</v>
      </c>
      <c r="CF114" s="68" t="s">
        <v>1266</v>
      </c>
      <c r="CG114" s="68">
        <v>400</v>
      </c>
      <c r="CI114" s="68" t="s">
        <v>1287</v>
      </c>
      <c r="CJ114" s="68">
        <v>293</v>
      </c>
      <c r="CK114" s="70">
        <v>6</v>
      </c>
    </row>
    <row r="115" spans="1:90" x14ac:dyDescent="0.3">
      <c r="A115" t="s">
        <v>60</v>
      </c>
      <c r="C115" t="s">
        <v>3978</v>
      </c>
      <c r="D115" s="12"/>
      <c r="E115">
        <v>2.54</v>
      </c>
      <c r="F115" t="s">
        <v>62</v>
      </c>
      <c r="G115" s="8" t="s">
        <v>558</v>
      </c>
      <c r="H115" t="s">
        <v>635</v>
      </c>
      <c r="M115" t="b">
        <v>1</v>
      </c>
      <c r="N115" t="b">
        <v>1</v>
      </c>
      <c r="O115" t="b">
        <v>0</v>
      </c>
      <c r="P115" t="b">
        <v>0</v>
      </c>
      <c r="Q115" t="s">
        <v>558</v>
      </c>
      <c r="R115" t="s">
        <v>635</v>
      </c>
      <c r="T115">
        <v>2</v>
      </c>
      <c r="U115" s="20">
        <v>1</v>
      </c>
      <c r="V115">
        <v>2</v>
      </c>
      <c r="W115">
        <v>0</v>
      </c>
      <c r="X115">
        <v>3.8860999999999999</v>
      </c>
      <c r="Y115">
        <v>3.8860999999999999</v>
      </c>
      <c r="Z115">
        <v>12.5922</v>
      </c>
      <c r="AA115" t="s">
        <v>440</v>
      </c>
      <c r="AB115">
        <f>Z115/2</f>
        <v>6.2961</v>
      </c>
      <c r="AC115" s="20">
        <v>3.8962357000000001</v>
      </c>
      <c r="AD115" s="20">
        <v>3.8962353200000002</v>
      </c>
      <c r="AE115" s="20">
        <v>6.87349342</v>
      </c>
      <c r="AF115">
        <v>3.8839999999999999</v>
      </c>
      <c r="AG115">
        <v>3.8839999999999999</v>
      </c>
      <c r="AH115">
        <v>12.6</v>
      </c>
      <c r="AI115">
        <v>0</v>
      </c>
      <c r="AM115">
        <v>8</v>
      </c>
      <c r="AN115" s="44">
        <f t="shared" si="9"/>
        <v>190.164548614962</v>
      </c>
      <c r="AO115" s="46">
        <v>95.595427689592043</v>
      </c>
      <c r="AP115" s="44">
        <v>190.07674560000001</v>
      </c>
      <c r="AQ115" s="44">
        <v>0</v>
      </c>
      <c r="AR115" s="41"/>
      <c r="AS115" s="40">
        <v>8.3686010862117841E-2</v>
      </c>
      <c r="AT115" s="41">
        <v>8.4176525379230829E-2</v>
      </c>
      <c r="AU115" s="41"/>
      <c r="AV115" s="23">
        <v>2</v>
      </c>
      <c r="AW115" s="23">
        <v>2.285714285714286</v>
      </c>
      <c r="AX115" s="23">
        <v>0.2857142857142857</v>
      </c>
      <c r="AY115" s="23">
        <v>0</v>
      </c>
      <c r="AZ115" s="23">
        <v>0.4375</v>
      </c>
      <c r="BA115" s="23">
        <v>0.5</v>
      </c>
      <c r="BB115" s="23">
        <v>6.25E-2</v>
      </c>
      <c r="BC115" s="23">
        <v>0</v>
      </c>
      <c r="BD115" s="20">
        <v>0.95</v>
      </c>
      <c r="BE115" s="20">
        <v>3.44</v>
      </c>
      <c r="BF115" s="20">
        <v>2.4900000000000002</v>
      </c>
      <c r="BG115" s="20">
        <v>2.4571428571428569</v>
      </c>
      <c r="BH115">
        <v>2.4571428571428569</v>
      </c>
      <c r="BI115">
        <v>5.6224409357142857</v>
      </c>
      <c r="BJ115" s="64">
        <v>0.57028696666713652</v>
      </c>
      <c r="BK115" s="64">
        <v>0.57362962851932398</v>
      </c>
      <c r="BL115" s="64"/>
      <c r="BN115">
        <v>4.184300543105892E-2</v>
      </c>
      <c r="BO115">
        <v>4.2088262689615408E-2</v>
      </c>
      <c r="BQ115">
        <v>8.3931268120674335E-2</v>
      </c>
      <c r="BR115">
        <v>4.1965634060337167E-2</v>
      </c>
      <c r="BS115">
        <v>0.57195829759323025</v>
      </c>
      <c r="BT115" s="68" t="s">
        <v>1305</v>
      </c>
      <c r="BU115" s="68">
        <v>823</v>
      </c>
      <c r="BV115" s="68">
        <v>5</v>
      </c>
      <c r="BW115" s="68" t="s">
        <v>1307</v>
      </c>
      <c r="BX115" s="68" t="s">
        <v>1275</v>
      </c>
      <c r="BY115" s="68" t="s">
        <v>863</v>
      </c>
      <c r="BZ115" s="68" t="s">
        <v>464</v>
      </c>
      <c r="CA115" s="68">
        <v>0.4</v>
      </c>
      <c r="CB115" s="68">
        <v>1</v>
      </c>
      <c r="CC115" s="68">
        <v>0</v>
      </c>
      <c r="CD115" s="68" t="s">
        <v>1308</v>
      </c>
      <c r="CE115" s="68" t="s">
        <v>464</v>
      </c>
      <c r="CF115" s="68" t="s">
        <v>1271</v>
      </c>
      <c r="CG115" s="68">
        <v>300</v>
      </c>
      <c r="CH115" s="68">
        <v>400</v>
      </c>
      <c r="CJ115" s="68">
        <v>293</v>
      </c>
      <c r="CK115" s="70">
        <v>0</v>
      </c>
    </row>
    <row r="116" spans="1:90" x14ac:dyDescent="0.3">
      <c r="A116" t="s">
        <v>61</v>
      </c>
      <c r="C116" t="s">
        <v>3979</v>
      </c>
      <c r="D116" s="12"/>
      <c r="E116">
        <v>2.3199999999999998</v>
      </c>
      <c r="F116" t="s">
        <v>62</v>
      </c>
      <c r="G116" s="25" t="s">
        <v>558</v>
      </c>
      <c r="H116" s="1" t="s">
        <v>635</v>
      </c>
      <c r="M116" t="b">
        <v>1</v>
      </c>
      <c r="N116" t="b">
        <v>1</v>
      </c>
      <c r="O116" t="b">
        <v>0</v>
      </c>
      <c r="P116" t="b">
        <v>0</v>
      </c>
      <c r="Q116" t="s">
        <v>558</v>
      </c>
      <c r="R116" t="s">
        <v>635</v>
      </c>
      <c r="T116">
        <v>2</v>
      </c>
      <c r="U116" s="20">
        <v>0</v>
      </c>
      <c r="V116">
        <v>2</v>
      </c>
      <c r="W116">
        <v>0</v>
      </c>
      <c r="X116">
        <v>3.8915000000000002</v>
      </c>
      <c r="Y116">
        <v>3.8915000000000002</v>
      </c>
      <c r="Z116">
        <v>12.589499999999999</v>
      </c>
      <c r="AA116" t="s">
        <v>440</v>
      </c>
      <c r="AB116">
        <f t="shared" ref="AB116:AB120" si="12">Z116/2</f>
        <v>6.2947499999999996</v>
      </c>
      <c r="AC116" s="20">
        <v>0</v>
      </c>
      <c r="AD116" s="20"/>
      <c r="AE116" s="20"/>
      <c r="AF116">
        <v>3.8839999999999999</v>
      </c>
      <c r="AG116">
        <v>3.8839999999999999</v>
      </c>
      <c r="AH116">
        <v>12.6</v>
      </c>
      <c r="AI116">
        <v>0</v>
      </c>
      <c r="AM116">
        <v>8</v>
      </c>
      <c r="AN116" s="44">
        <f t="shared" si="9"/>
        <v>190.65252074137501</v>
      </c>
      <c r="AO116" s="46">
        <v>0</v>
      </c>
      <c r="AP116" s="44">
        <v>190.07674560000001</v>
      </c>
      <c r="AQ116" s="44">
        <v>0</v>
      </c>
      <c r="AR116" s="41"/>
      <c r="AS116" s="40"/>
      <c r="AT116" s="41">
        <v>8.4176525379230829E-2</v>
      </c>
      <c r="AU116" s="41"/>
      <c r="AV116" s="23">
        <v>2</v>
      </c>
      <c r="AW116" s="23">
        <v>2.285714285714286</v>
      </c>
      <c r="AX116" s="23">
        <v>0.3</v>
      </c>
      <c r="AY116" s="23">
        <v>0</v>
      </c>
      <c r="AZ116" s="23">
        <v>0.43613707165109028</v>
      </c>
      <c r="BA116" s="23">
        <v>0.49844236760124599</v>
      </c>
      <c r="BB116" s="23">
        <v>6.5420560747663545E-2</v>
      </c>
      <c r="BC116" s="23">
        <v>0</v>
      </c>
      <c r="BD116" s="20">
        <v>0.95</v>
      </c>
      <c r="BE116" s="20">
        <v>3.44</v>
      </c>
      <c r="BF116" s="20">
        <v>2.4900000000000002</v>
      </c>
      <c r="BG116" s="20">
        <v>2.4592857142857141</v>
      </c>
      <c r="BH116">
        <v>2.459285714285715</v>
      </c>
      <c r="BI116">
        <v>5.625208883928571</v>
      </c>
      <c r="BJ116" s="64">
        <v>0.57028696666713652</v>
      </c>
      <c r="BK116" s="64">
        <v>0.57362962851932398</v>
      </c>
      <c r="BL116" s="64"/>
      <c r="BO116">
        <v>4.2088262689615408E-2</v>
      </c>
      <c r="BQ116">
        <v>8.4176525379230829E-2</v>
      </c>
      <c r="BR116">
        <v>4.2088262689615408E-2</v>
      </c>
      <c r="BS116">
        <v>0.57195829759323025</v>
      </c>
      <c r="BT116" s="68" t="s">
        <v>1305</v>
      </c>
      <c r="BU116" s="68">
        <v>823</v>
      </c>
      <c r="BV116" s="68">
        <v>5</v>
      </c>
      <c r="BW116" s="68" t="s">
        <v>1307</v>
      </c>
      <c r="BX116" s="68" t="s">
        <v>1275</v>
      </c>
      <c r="BY116" s="68" t="s">
        <v>863</v>
      </c>
      <c r="BZ116" s="68" t="s">
        <v>464</v>
      </c>
      <c r="CA116" s="68">
        <v>1.3</v>
      </c>
      <c r="CB116" s="68">
        <v>1</v>
      </c>
      <c r="CC116" s="68">
        <v>0</v>
      </c>
      <c r="CD116" s="68" t="s">
        <v>1308</v>
      </c>
      <c r="CE116" s="68" t="s">
        <v>464</v>
      </c>
      <c r="CF116" s="68" t="s">
        <v>1271</v>
      </c>
      <c r="CG116" s="68">
        <v>300</v>
      </c>
      <c r="CH116" s="68">
        <v>400</v>
      </c>
      <c r="CJ116" s="68">
        <v>293</v>
      </c>
      <c r="CK116" s="70">
        <v>40</v>
      </c>
    </row>
    <row r="117" spans="1:90" x14ac:dyDescent="0.3">
      <c r="A117" t="s">
        <v>883</v>
      </c>
      <c r="C117" t="s">
        <v>3980</v>
      </c>
      <c r="D117" s="12"/>
      <c r="E117">
        <v>2.2200000000000002</v>
      </c>
      <c r="F117" t="s">
        <v>62</v>
      </c>
      <c r="G117" s="25" t="s">
        <v>558</v>
      </c>
      <c r="H117" s="1" t="s">
        <v>635</v>
      </c>
      <c r="M117" t="b">
        <v>1</v>
      </c>
      <c r="N117" t="b">
        <v>1</v>
      </c>
      <c r="O117" t="b">
        <v>0</v>
      </c>
      <c r="P117" t="b">
        <v>0</v>
      </c>
      <c r="Q117" t="s">
        <v>558</v>
      </c>
      <c r="R117" t="s">
        <v>635</v>
      </c>
      <c r="T117">
        <v>2</v>
      </c>
      <c r="U117" s="20">
        <v>0</v>
      </c>
      <c r="V117">
        <v>2</v>
      </c>
      <c r="W117">
        <v>0</v>
      </c>
      <c r="X117">
        <v>3.8965000000000001</v>
      </c>
      <c r="Y117">
        <v>3.8965000000000001</v>
      </c>
      <c r="Z117">
        <v>12.6137</v>
      </c>
      <c r="AA117" t="s">
        <v>440</v>
      </c>
      <c r="AB117">
        <f t="shared" si="12"/>
        <v>6.3068499999999998</v>
      </c>
      <c r="AC117" s="20">
        <v>0</v>
      </c>
      <c r="AD117" s="20"/>
      <c r="AE117" s="20"/>
      <c r="AF117">
        <v>3.8839999999999999</v>
      </c>
      <c r="AG117">
        <v>3.8839999999999999</v>
      </c>
      <c r="AH117">
        <v>12.6</v>
      </c>
      <c r="AI117">
        <v>0</v>
      </c>
      <c r="AM117">
        <v>8</v>
      </c>
      <c r="AN117" s="44">
        <f t="shared" si="9"/>
        <v>191.51017750782501</v>
      </c>
      <c r="AO117" s="46">
        <v>0</v>
      </c>
      <c r="AP117" s="44">
        <v>190.07674560000001</v>
      </c>
      <c r="AQ117" s="44">
        <v>0</v>
      </c>
      <c r="AR117" s="41"/>
      <c r="AS117" s="40"/>
      <c r="AT117" s="41">
        <v>8.4176525379230829E-2</v>
      </c>
      <c r="AU117" s="41"/>
      <c r="AV117" s="23">
        <v>2</v>
      </c>
      <c r="AW117" s="23">
        <v>2.285714285714286</v>
      </c>
      <c r="AX117" s="23">
        <v>0.31428571428571428</v>
      </c>
      <c r="AY117" s="23">
        <v>0</v>
      </c>
      <c r="AZ117" s="23">
        <v>0.43478260869565211</v>
      </c>
      <c r="BA117" s="23">
        <v>0.49689440993788808</v>
      </c>
      <c r="BB117" s="23">
        <v>6.8322981366459631E-2</v>
      </c>
      <c r="BC117" s="23">
        <v>0</v>
      </c>
      <c r="BD117" s="20">
        <v>0.95</v>
      </c>
      <c r="BE117" s="20">
        <v>3.44</v>
      </c>
      <c r="BF117" s="20">
        <v>2.4900000000000002</v>
      </c>
      <c r="BG117" s="20">
        <v>2.4614285714285709</v>
      </c>
      <c r="BH117">
        <v>2.4614285714285709</v>
      </c>
      <c r="BI117">
        <v>5.627976832142858</v>
      </c>
      <c r="BJ117" s="64">
        <v>0.57028696666713652</v>
      </c>
      <c r="BK117" s="64">
        <v>0.57362962851932398</v>
      </c>
      <c r="BL117" s="64"/>
      <c r="BO117">
        <v>4.2088262689615408E-2</v>
      </c>
      <c r="BQ117">
        <v>8.4176525379230829E-2</v>
      </c>
      <c r="BR117">
        <v>4.2088262689615408E-2</v>
      </c>
      <c r="BS117">
        <v>0.57195829759323025</v>
      </c>
      <c r="BT117" s="68" t="s">
        <v>1305</v>
      </c>
      <c r="BU117" s="68">
        <v>823</v>
      </c>
      <c r="BV117" s="68">
        <v>5</v>
      </c>
      <c r="BW117" s="68" t="s">
        <v>1307</v>
      </c>
      <c r="BX117" s="68" t="s">
        <v>1275</v>
      </c>
      <c r="BY117" s="68" t="s">
        <v>863</v>
      </c>
      <c r="BZ117" s="68" t="s">
        <v>464</v>
      </c>
      <c r="CA117" s="68">
        <v>3.2</v>
      </c>
      <c r="CB117" s="68">
        <v>1</v>
      </c>
      <c r="CC117" s="68">
        <v>0</v>
      </c>
      <c r="CD117" s="68" t="s">
        <v>1308</v>
      </c>
      <c r="CE117" s="68" t="s">
        <v>464</v>
      </c>
      <c r="CF117" s="68" t="s">
        <v>1271</v>
      </c>
      <c r="CG117" s="68">
        <v>300</v>
      </c>
      <c r="CH117" s="68">
        <v>400</v>
      </c>
      <c r="CJ117" s="68">
        <v>293</v>
      </c>
      <c r="CK117" s="70">
        <v>170</v>
      </c>
    </row>
    <row r="118" spans="1:90" x14ac:dyDescent="0.3">
      <c r="A118" t="s">
        <v>884</v>
      </c>
      <c r="C118" t="s">
        <v>3981</v>
      </c>
      <c r="D118" s="12"/>
      <c r="E118">
        <v>2.16</v>
      </c>
      <c r="F118" t="s">
        <v>62</v>
      </c>
      <c r="G118" s="25" t="s">
        <v>558</v>
      </c>
      <c r="H118" s="1" t="s">
        <v>635</v>
      </c>
      <c r="M118" t="b">
        <v>0</v>
      </c>
      <c r="N118" t="b">
        <v>1</v>
      </c>
      <c r="O118" t="b">
        <v>0</v>
      </c>
      <c r="P118" t="b">
        <v>0</v>
      </c>
      <c r="Q118" t="s">
        <v>558</v>
      </c>
      <c r="R118" t="s">
        <v>635</v>
      </c>
      <c r="T118">
        <v>2</v>
      </c>
      <c r="U118" s="20">
        <v>0</v>
      </c>
      <c r="V118">
        <v>2</v>
      </c>
      <c r="W118">
        <v>0</v>
      </c>
      <c r="X118">
        <v>3.9016999999999999</v>
      </c>
      <c r="Y118">
        <v>3.9016999999999999</v>
      </c>
      <c r="Z118">
        <v>12.593500000000001</v>
      </c>
      <c r="AA118" t="s">
        <v>440</v>
      </c>
      <c r="AB118">
        <f t="shared" si="12"/>
        <v>6.2967500000000003</v>
      </c>
      <c r="AC118" s="20">
        <v>0</v>
      </c>
      <c r="AD118" s="20"/>
      <c r="AE118" s="20"/>
      <c r="AF118">
        <v>3.8839999999999999</v>
      </c>
      <c r="AG118">
        <v>3.8839999999999999</v>
      </c>
      <c r="AH118">
        <v>12.6</v>
      </c>
      <c r="AI118">
        <v>0</v>
      </c>
      <c r="AM118">
        <v>8</v>
      </c>
      <c r="AN118" s="44">
        <f t="shared" si="9"/>
        <v>191.71416120521499</v>
      </c>
      <c r="AO118" s="46">
        <v>0</v>
      </c>
      <c r="AP118" s="44">
        <v>190.07674560000001</v>
      </c>
      <c r="AQ118" s="44">
        <v>0</v>
      </c>
      <c r="AR118" s="41"/>
      <c r="AS118" s="40"/>
      <c r="AT118" s="41">
        <v>8.4176525379230829E-2</v>
      </c>
      <c r="AU118" s="41"/>
      <c r="AV118" s="23">
        <v>2</v>
      </c>
      <c r="AW118" s="23">
        <v>2.285714285714286</v>
      </c>
      <c r="AX118" s="23">
        <v>0.32857142857142863</v>
      </c>
      <c r="AY118" s="23">
        <v>0</v>
      </c>
      <c r="AZ118" s="23">
        <v>0.43343653250774</v>
      </c>
      <c r="BA118" s="23">
        <v>0.49535603715170279</v>
      </c>
      <c r="BB118" s="23">
        <v>7.1207430340557279E-2</v>
      </c>
      <c r="BC118" s="23">
        <v>0</v>
      </c>
      <c r="BD118" s="20">
        <v>0.95</v>
      </c>
      <c r="BE118" s="20">
        <v>3.44</v>
      </c>
      <c r="BF118" s="20">
        <v>2.4900000000000002</v>
      </c>
      <c r="BG118" s="20">
        <v>2.463571428571429</v>
      </c>
      <c r="BH118">
        <v>2.463571428571429</v>
      </c>
      <c r="BI118">
        <v>5.6307447803571433</v>
      </c>
      <c r="BJ118" s="64">
        <v>0.57028696666713652</v>
      </c>
      <c r="BK118" s="64">
        <v>0.57362962851932398</v>
      </c>
      <c r="BL118" s="64"/>
      <c r="BO118">
        <v>4.2088262689615408E-2</v>
      </c>
      <c r="BQ118">
        <v>8.4176525379230829E-2</v>
      </c>
      <c r="BR118">
        <v>4.2088262689615408E-2</v>
      </c>
      <c r="BS118">
        <v>0.57195829759323025</v>
      </c>
      <c r="BT118" s="68" t="s">
        <v>1305</v>
      </c>
      <c r="BU118" s="68">
        <v>823</v>
      </c>
      <c r="BV118" s="68">
        <v>5</v>
      </c>
      <c r="BW118" s="68" t="s">
        <v>1307</v>
      </c>
      <c r="BX118" s="68" t="s">
        <v>1275</v>
      </c>
      <c r="BY118" s="68" t="s">
        <v>863</v>
      </c>
      <c r="BZ118" s="68" t="s">
        <v>464</v>
      </c>
      <c r="CA118" s="68">
        <v>3.4</v>
      </c>
      <c r="CB118" s="68">
        <v>1</v>
      </c>
      <c r="CC118" s="68">
        <v>0</v>
      </c>
      <c r="CD118" s="68" t="s">
        <v>1308</v>
      </c>
      <c r="CE118" s="68" t="s">
        <v>464</v>
      </c>
      <c r="CF118" s="68" t="s">
        <v>1271</v>
      </c>
      <c r="CG118" s="68">
        <v>300</v>
      </c>
      <c r="CH118" s="68">
        <v>400</v>
      </c>
      <c r="CJ118" s="68">
        <v>293</v>
      </c>
      <c r="CK118" s="70">
        <v>75</v>
      </c>
    </row>
    <row r="119" spans="1:90" x14ac:dyDescent="0.3">
      <c r="A119" t="s">
        <v>885</v>
      </c>
      <c r="C119" t="s">
        <v>3982</v>
      </c>
      <c r="D119" s="12"/>
      <c r="E119">
        <v>2.1</v>
      </c>
      <c r="F119" t="s">
        <v>62</v>
      </c>
      <c r="G119" s="25" t="s">
        <v>558</v>
      </c>
      <c r="H119" s="1" t="s">
        <v>635</v>
      </c>
      <c r="M119" t="b">
        <v>0</v>
      </c>
      <c r="N119" t="b">
        <v>1</v>
      </c>
      <c r="O119" t="b">
        <v>0</v>
      </c>
      <c r="P119" t="b">
        <v>0</v>
      </c>
      <c r="Q119" t="s">
        <v>558</v>
      </c>
      <c r="R119" t="s">
        <v>635</v>
      </c>
      <c r="T119">
        <v>2</v>
      </c>
      <c r="U119" s="20">
        <v>0</v>
      </c>
      <c r="V119">
        <v>2</v>
      </c>
      <c r="W119">
        <v>0</v>
      </c>
      <c r="X119">
        <v>3.9022000000000001</v>
      </c>
      <c r="Y119">
        <v>3.9022000000000001</v>
      </c>
      <c r="Z119">
        <v>12.6189</v>
      </c>
      <c r="AA119" t="s">
        <v>440</v>
      </c>
      <c r="AB119">
        <f t="shared" si="12"/>
        <v>6.30945</v>
      </c>
      <c r="AC119" s="20">
        <v>0</v>
      </c>
      <c r="AD119" s="20"/>
      <c r="AE119" s="20"/>
      <c r="AF119">
        <v>3.8839999999999999</v>
      </c>
      <c r="AG119">
        <v>3.8839999999999999</v>
      </c>
      <c r="AH119">
        <v>12.6</v>
      </c>
      <c r="AI119">
        <v>0</v>
      </c>
      <c r="AM119">
        <v>8</v>
      </c>
      <c r="AN119" s="44">
        <f t="shared" si="9"/>
        <v>192.15007039947599</v>
      </c>
      <c r="AO119" s="46">
        <v>0</v>
      </c>
      <c r="AP119" s="44">
        <v>190.07674560000001</v>
      </c>
      <c r="AQ119" s="44">
        <v>0</v>
      </c>
      <c r="AR119" s="41"/>
      <c r="AS119" s="40"/>
      <c r="AT119" s="41">
        <v>8.4176525379230829E-2</v>
      </c>
      <c r="AU119" s="41"/>
      <c r="AV119" s="23">
        <v>2</v>
      </c>
      <c r="AW119" s="23">
        <v>2.285714285714286</v>
      </c>
      <c r="AX119" s="23">
        <v>0.34285714285714292</v>
      </c>
      <c r="AY119" s="23">
        <v>0</v>
      </c>
      <c r="AZ119" s="23">
        <v>0.4320987654320988</v>
      </c>
      <c r="BA119" s="23">
        <v>0.49382716049382719</v>
      </c>
      <c r="BB119" s="23">
        <v>7.4074074074074084E-2</v>
      </c>
      <c r="BC119" s="23">
        <v>0</v>
      </c>
      <c r="BD119" s="20">
        <v>0.95</v>
      </c>
      <c r="BE119" s="20">
        <v>3.44</v>
      </c>
      <c r="BF119" s="20">
        <v>2.4900000000000002</v>
      </c>
      <c r="BG119" s="20">
        <v>2.4657142857142849</v>
      </c>
      <c r="BH119">
        <v>2.4657142857142862</v>
      </c>
      <c r="BI119">
        <v>5.6335127285714286</v>
      </c>
      <c r="BJ119" s="64">
        <v>0.57028696666713652</v>
      </c>
      <c r="BK119" s="64">
        <v>0.57362962851932398</v>
      </c>
      <c r="BL119" s="64"/>
      <c r="BO119">
        <v>4.2088262689615408E-2</v>
      </c>
      <c r="BQ119">
        <v>8.4176525379230829E-2</v>
      </c>
      <c r="BR119">
        <v>4.2088262689615408E-2</v>
      </c>
      <c r="BS119">
        <v>0.57195829759323025</v>
      </c>
      <c r="BT119" s="68" t="s">
        <v>1305</v>
      </c>
      <c r="BU119" s="68">
        <v>823</v>
      </c>
      <c r="BV119" s="68">
        <v>5</v>
      </c>
      <c r="BW119" s="68" t="s">
        <v>1307</v>
      </c>
      <c r="BX119" s="68" t="s">
        <v>1275</v>
      </c>
      <c r="BY119" s="68" t="s">
        <v>863</v>
      </c>
      <c r="BZ119" s="68" t="s">
        <v>464</v>
      </c>
      <c r="CA119" s="68">
        <v>3.8</v>
      </c>
      <c r="CB119" s="68">
        <v>1</v>
      </c>
      <c r="CC119" s="68">
        <v>0</v>
      </c>
      <c r="CD119" s="68" t="s">
        <v>1308</v>
      </c>
      <c r="CE119" s="68" t="s">
        <v>464</v>
      </c>
      <c r="CF119" s="68" t="s">
        <v>1271</v>
      </c>
      <c r="CG119" s="68">
        <v>300</v>
      </c>
      <c r="CH119" s="68">
        <v>400</v>
      </c>
      <c r="CJ119" s="68">
        <v>293</v>
      </c>
      <c r="CK119" s="70">
        <v>45</v>
      </c>
    </row>
    <row r="120" spans="1:90" x14ac:dyDescent="0.3">
      <c r="A120" t="s">
        <v>886</v>
      </c>
      <c r="C120" t="s">
        <v>3983</v>
      </c>
      <c r="D120" s="12"/>
      <c r="E120">
        <v>2.08</v>
      </c>
      <c r="F120" t="s">
        <v>62</v>
      </c>
      <c r="G120" s="25" t="s">
        <v>558</v>
      </c>
      <c r="H120" s="1" t="s">
        <v>635</v>
      </c>
      <c r="M120" t="b">
        <v>0</v>
      </c>
      <c r="N120" t="b">
        <v>1</v>
      </c>
      <c r="O120" t="b">
        <v>0</v>
      </c>
      <c r="P120" t="b">
        <v>0</v>
      </c>
      <c r="Q120" t="s">
        <v>558</v>
      </c>
      <c r="R120" t="s">
        <v>635</v>
      </c>
      <c r="T120">
        <v>2</v>
      </c>
      <c r="U120" s="20">
        <v>0</v>
      </c>
      <c r="V120">
        <v>2</v>
      </c>
      <c r="W120">
        <v>0</v>
      </c>
      <c r="X120">
        <v>3.9043999999999999</v>
      </c>
      <c r="Y120">
        <v>3.9043999999999999</v>
      </c>
      <c r="Z120">
        <v>12.6092</v>
      </c>
      <c r="AA120" t="s">
        <v>440</v>
      </c>
      <c r="AB120">
        <f t="shared" si="12"/>
        <v>6.3045999999999998</v>
      </c>
      <c r="AC120" s="20">
        <v>0</v>
      </c>
      <c r="AD120" s="20"/>
      <c r="AE120" s="20"/>
      <c r="AF120">
        <v>3.8839999999999999</v>
      </c>
      <c r="AG120">
        <v>3.8839999999999999</v>
      </c>
      <c r="AH120">
        <v>12.6</v>
      </c>
      <c r="AI120">
        <v>0</v>
      </c>
      <c r="AM120">
        <v>8</v>
      </c>
      <c r="AN120">
        <f t="shared" si="9"/>
        <v>192.21892385811199</v>
      </c>
      <c r="AO120" s="20">
        <v>0</v>
      </c>
      <c r="AP120">
        <v>190.07674560000001</v>
      </c>
      <c r="AQ120">
        <v>0</v>
      </c>
      <c r="AS120" s="20"/>
      <c r="AT120">
        <v>8.4176525379230829E-2</v>
      </c>
      <c r="AV120">
        <v>2</v>
      </c>
      <c r="AW120">
        <v>2.285714285714286</v>
      </c>
      <c r="AX120">
        <v>0.35714285714285721</v>
      </c>
      <c r="AY120">
        <v>0</v>
      </c>
      <c r="AZ120">
        <v>0.43076923076923068</v>
      </c>
      <c r="BA120">
        <v>0.49230769230769222</v>
      </c>
      <c r="BB120">
        <v>7.6923076923076913E-2</v>
      </c>
      <c r="BC120">
        <v>0</v>
      </c>
      <c r="BD120" s="20">
        <v>0.95</v>
      </c>
      <c r="BE120" s="20">
        <v>3.44</v>
      </c>
      <c r="BF120" s="20">
        <v>2.4900000000000002</v>
      </c>
      <c r="BG120" s="20">
        <v>2.467857142857143</v>
      </c>
      <c r="BH120">
        <v>2.467857142857143</v>
      </c>
      <c r="BI120">
        <v>5.6362806767857148</v>
      </c>
      <c r="BJ120">
        <v>0.57028696666713652</v>
      </c>
      <c r="BK120">
        <v>0.57362962851932398</v>
      </c>
      <c r="BO120">
        <v>4.2088262689615408E-2</v>
      </c>
      <c r="BQ120">
        <v>8.4176525379230829E-2</v>
      </c>
      <c r="BR120">
        <v>4.2088262689615408E-2</v>
      </c>
      <c r="BS120">
        <v>0.57195829759323025</v>
      </c>
      <c r="BT120" s="72" t="s">
        <v>1305</v>
      </c>
      <c r="BU120" s="72">
        <v>823</v>
      </c>
      <c r="BV120" s="72">
        <v>5</v>
      </c>
      <c r="BW120" s="72" t="s">
        <v>1307</v>
      </c>
      <c r="BX120" s="72" t="s">
        <v>1275</v>
      </c>
      <c r="BY120" s="72" t="s">
        <v>863</v>
      </c>
      <c r="BZ120" s="72" t="s">
        <v>464</v>
      </c>
      <c r="CA120" s="72">
        <v>4.2</v>
      </c>
      <c r="CB120" s="72">
        <v>1</v>
      </c>
      <c r="CC120" s="72">
        <v>0</v>
      </c>
      <c r="CD120" s="72" t="s">
        <v>1308</v>
      </c>
      <c r="CE120" s="72" t="s">
        <v>464</v>
      </c>
      <c r="CF120" s="72" t="s">
        <v>1271</v>
      </c>
      <c r="CG120" s="72">
        <v>300</v>
      </c>
      <c r="CH120" s="72">
        <v>400</v>
      </c>
      <c r="CI120" s="72"/>
      <c r="CJ120" s="72">
        <v>293</v>
      </c>
      <c r="CK120" s="72">
        <v>50</v>
      </c>
    </row>
    <row r="121" spans="1:90" x14ac:dyDescent="0.3">
      <c r="A121" t="s">
        <v>215</v>
      </c>
      <c r="B121" t="s">
        <v>4</v>
      </c>
      <c r="C121" t="s">
        <v>3984</v>
      </c>
      <c r="D121" s="12"/>
      <c r="E121">
        <v>4.0999999999999996</v>
      </c>
      <c r="F121" t="s">
        <v>64</v>
      </c>
      <c r="G121" s="8" t="s">
        <v>587</v>
      </c>
      <c r="H121" t="s">
        <v>636</v>
      </c>
      <c r="M121" t="b">
        <v>1</v>
      </c>
      <c r="N121" t="b">
        <v>1</v>
      </c>
      <c r="O121" t="b">
        <v>0</v>
      </c>
      <c r="P121" t="b">
        <v>0</v>
      </c>
      <c r="Q121" t="s">
        <v>587</v>
      </c>
      <c r="R121" t="s">
        <v>636</v>
      </c>
      <c r="T121">
        <v>1</v>
      </c>
      <c r="U121" s="20">
        <v>1</v>
      </c>
      <c r="V121">
        <v>1</v>
      </c>
      <c r="W121">
        <v>0</v>
      </c>
      <c r="X121">
        <v>3.87</v>
      </c>
      <c r="Y121">
        <v>3.87</v>
      </c>
      <c r="Z121">
        <v>15.1</v>
      </c>
      <c r="AA121" t="s">
        <v>439</v>
      </c>
      <c r="AB121">
        <v>15.1</v>
      </c>
      <c r="AC121" s="20">
        <v>3.950634</v>
      </c>
      <c r="AD121" s="20">
        <v>3.950634</v>
      </c>
      <c r="AE121" s="20">
        <v>15.513552000000001</v>
      </c>
      <c r="AF121">
        <v>3.8658999999999999</v>
      </c>
      <c r="AG121">
        <v>3.8658999999999999</v>
      </c>
      <c r="AH121">
        <v>15.2538</v>
      </c>
      <c r="AI121">
        <v>0</v>
      </c>
      <c r="AM121">
        <v>20</v>
      </c>
      <c r="AN121" s="44">
        <f t="shared" si="9"/>
        <v>226.15119000000001</v>
      </c>
      <c r="AO121" s="46">
        <v>242.1279024923125</v>
      </c>
      <c r="AP121" s="44">
        <v>227.970829547178</v>
      </c>
      <c r="AQ121" s="44">
        <v>0</v>
      </c>
      <c r="AR121" s="41"/>
      <c r="AS121" s="40">
        <v>8.2600971611006269E-2</v>
      </c>
      <c r="AT121" s="41">
        <v>8.7730522539775438E-2</v>
      </c>
      <c r="AU121" s="41"/>
      <c r="AV121" s="23">
        <v>1.9375</v>
      </c>
      <c r="AW121" s="23">
        <v>2.5</v>
      </c>
      <c r="AX121" s="23">
        <v>0.5625</v>
      </c>
      <c r="AY121" s="23">
        <v>2.625</v>
      </c>
      <c r="AZ121" s="23">
        <v>0.25409836065573771</v>
      </c>
      <c r="BA121" s="23">
        <v>0.32786885245901642</v>
      </c>
      <c r="BB121" s="23">
        <v>7.3770491803278687E-2</v>
      </c>
      <c r="BC121" s="23">
        <v>0.34426229508196721</v>
      </c>
      <c r="BD121" s="20">
        <v>0.79</v>
      </c>
      <c r="BE121" s="20">
        <v>3.44</v>
      </c>
      <c r="BF121" s="20">
        <v>2.65</v>
      </c>
      <c r="BG121" s="20">
        <v>2.6056249999999999</v>
      </c>
      <c r="BH121">
        <v>2.6056249999999999</v>
      </c>
      <c r="BI121">
        <v>5.9703320286696879</v>
      </c>
      <c r="BJ121" s="64">
        <v>0.52453741991489755</v>
      </c>
      <c r="BK121" s="64">
        <v>0.55711138795694093</v>
      </c>
      <c r="BL121" s="64"/>
      <c r="BN121">
        <v>4.1300485805503127E-2</v>
      </c>
      <c r="BO121">
        <v>4.3865261269887712E-2</v>
      </c>
      <c r="BQ121">
        <v>8.5165747075390846E-2</v>
      </c>
      <c r="BR121">
        <v>4.2582873537695423E-2</v>
      </c>
      <c r="BS121">
        <v>0.54082440393591924</v>
      </c>
      <c r="BT121" s="68" t="s">
        <v>1264</v>
      </c>
      <c r="BU121" s="68">
        <v>1273</v>
      </c>
      <c r="BV121" s="68">
        <v>10</v>
      </c>
      <c r="BX121" s="68" t="s">
        <v>464</v>
      </c>
      <c r="BY121" s="68" t="s">
        <v>464</v>
      </c>
      <c r="BZ121" s="68">
        <v>0</v>
      </c>
      <c r="CB121" s="68">
        <v>1</v>
      </c>
      <c r="CC121" s="68">
        <v>0</v>
      </c>
      <c r="CD121" s="68" t="s">
        <v>464</v>
      </c>
      <c r="CE121" s="68" t="s">
        <v>464</v>
      </c>
      <c r="CF121" s="68" t="s">
        <v>1266</v>
      </c>
      <c r="CG121" s="68">
        <v>400</v>
      </c>
      <c r="CI121" s="68" t="s">
        <v>1287</v>
      </c>
      <c r="CK121" s="70">
        <f>7.6*5</f>
        <v>38</v>
      </c>
    </row>
    <row r="122" spans="1:90" x14ac:dyDescent="0.3">
      <c r="A122" t="s">
        <v>1727</v>
      </c>
      <c r="B122" t="s">
        <v>4</v>
      </c>
      <c r="C122" t="s">
        <v>3985</v>
      </c>
      <c r="D122" t="s">
        <v>681</v>
      </c>
      <c r="E122">
        <v>4.3</v>
      </c>
      <c r="F122" t="s">
        <v>64</v>
      </c>
      <c r="G122" s="99" t="s">
        <v>683</v>
      </c>
      <c r="H122">
        <v>7221084</v>
      </c>
      <c r="J122" t="s">
        <v>1736</v>
      </c>
      <c r="M122" t="b">
        <v>1</v>
      </c>
      <c r="N122" t="b">
        <v>1</v>
      </c>
      <c r="O122" t="b">
        <v>0</v>
      </c>
      <c r="P122" t="b">
        <v>0</v>
      </c>
      <c r="Q122" t="s">
        <v>1904</v>
      </c>
      <c r="R122">
        <v>7221084</v>
      </c>
      <c r="T122">
        <v>1</v>
      </c>
      <c r="U122" s="20">
        <v>0</v>
      </c>
      <c r="V122">
        <v>2</v>
      </c>
      <c r="W122">
        <v>0</v>
      </c>
      <c r="X122" s="1">
        <v>3.87</v>
      </c>
      <c r="Y122" s="1">
        <v>3.87</v>
      </c>
      <c r="Z122">
        <v>17.2</v>
      </c>
      <c r="AA122" t="s">
        <v>439</v>
      </c>
      <c r="AB122">
        <v>17.2</v>
      </c>
      <c r="AC122" s="20">
        <v>0</v>
      </c>
      <c r="AD122" s="20"/>
      <c r="AE122" s="20"/>
      <c r="AF122">
        <v>3.8607</v>
      </c>
      <c r="AG122">
        <v>3.8607</v>
      </c>
      <c r="AH122">
        <v>29.216000000000001</v>
      </c>
      <c r="AI122">
        <v>0</v>
      </c>
      <c r="AM122">
        <v>20</v>
      </c>
      <c r="AN122" s="44">
        <f t="shared" si="9"/>
        <v>257.60268000000002</v>
      </c>
      <c r="AO122" s="46">
        <v>0</v>
      </c>
      <c r="AP122" s="44">
        <v>435.46461117984001</v>
      </c>
      <c r="AQ122" s="44">
        <v>0</v>
      </c>
      <c r="AR122" s="41"/>
      <c r="AS122" s="40"/>
      <c r="AT122" s="41">
        <v>9.1855914288016927E-2</v>
      </c>
      <c r="AU122" s="41"/>
      <c r="AV122" s="23">
        <v>1.940917661847894</v>
      </c>
      <c r="AW122" s="23">
        <v>2.5141420490257702</v>
      </c>
      <c r="AX122" s="23">
        <v>0.56568196103079826</v>
      </c>
      <c r="AY122" s="23">
        <v>2.6398491514770579</v>
      </c>
      <c r="AZ122" s="23">
        <v>0.2533639645553003</v>
      </c>
      <c r="BA122" s="23">
        <v>0.32819166393173621</v>
      </c>
      <c r="BB122" s="23">
        <v>7.3843124384640635E-2</v>
      </c>
      <c r="BC122" s="23">
        <v>0.34460124712832302</v>
      </c>
      <c r="BD122" s="20">
        <v>0.79</v>
      </c>
      <c r="BE122" s="20">
        <v>3.44</v>
      </c>
      <c r="BF122" s="20">
        <v>2.65</v>
      </c>
      <c r="BG122" s="20">
        <v>2.62350722815839</v>
      </c>
      <c r="BH122">
        <v>2.6235072281583909</v>
      </c>
      <c r="BI122">
        <v>6.0278785903935539</v>
      </c>
      <c r="BJ122" s="64"/>
      <c r="BK122" s="64">
        <v>0</v>
      </c>
      <c r="BL122" s="64"/>
      <c r="BO122">
        <v>4.5927957144008463E-2</v>
      </c>
      <c r="BQ122">
        <v>9.1855914288016927E-2</v>
      </c>
      <c r="BR122">
        <v>4.5927957144008463E-2</v>
      </c>
      <c r="BS122">
        <v>0</v>
      </c>
      <c r="BT122" s="68" t="s">
        <v>1264</v>
      </c>
      <c r="BU122" s="68">
        <v>1273</v>
      </c>
      <c r="BV122" s="68">
        <v>10</v>
      </c>
      <c r="BX122" s="68" t="s">
        <v>464</v>
      </c>
      <c r="BY122" s="68" t="s">
        <v>464</v>
      </c>
      <c r="BZ122" s="68">
        <v>0</v>
      </c>
      <c r="CB122" s="68">
        <v>1</v>
      </c>
      <c r="CC122" s="68">
        <v>0</v>
      </c>
      <c r="CD122" s="68" t="s">
        <v>464</v>
      </c>
      <c r="CE122" s="68" t="s">
        <v>464</v>
      </c>
      <c r="CF122" s="68" t="s">
        <v>1266</v>
      </c>
      <c r="CG122" s="68">
        <v>400</v>
      </c>
      <c r="CI122" s="68" t="s">
        <v>1287</v>
      </c>
      <c r="CK122" s="70">
        <f>12.2*5</f>
        <v>61</v>
      </c>
    </row>
    <row r="123" spans="1:90" x14ac:dyDescent="0.3">
      <c r="A123" t="s">
        <v>1728</v>
      </c>
      <c r="B123" t="s">
        <v>4</v>
      </c>
      <c r="C123" t="s">
        <v>3986</v>
      </c>
      <c r="D123" t="s">
        <v>682</v>
      </c>
      <c r="E123">
        <v>4.2</v>
      </c>
      <c r="F123" t="s">
        <v>64</v>
      </c>
      <c r="G123" s="99" t="s">
        <v>683</v>
      </c>
      <c r="J123" t="s">
        <v>1737</v>
      </c>
      <c r="M123" t="b">
        <v>1</v>
      </c>
      <c r="N123" t="b">
        <v>0</v>
      </c>
      <c r="O123" t="b">
        <v>0</v>
      </c>
      <c r="P123" t="b">
        <v>0</v>
      </c>
      <c r="Q123" t="s">
        <v>1905</v>
      </c>
      <c r="T123">
        <v>1</v>
      </c>
      <c r="U123" s="20">
        <v>0</v>
      </c>
      <c r="V123">
        <v>0</v>
      </c>
      <c r="W123">
        <v>0</v>
      </c>
      <c r="X123" s="1">
        <v>3.87</v>
      </c>
      <c r="Y123" s="1">
        <v>3.87</v>
      </c>
      <c r="Z123">
        <v>14.4</v>
      </c>
      <c r="AA123" t="s">
        <v>439</v>
      </c>
      <c r="AB123">
        <v>14.4</v>
      </c>
      <c r="AC123" s="20">
        <v>0</v>
      </c>
      <c r="AD123" s="20"/>
      <c r="AE123" s="20"/>
      <c r="AF123">
        <v>0</v>
      </c>
      <c r="AI123">
        <v>0</v>
      </c>
      <c r="AM123">
        <v>20</v>
      </c>
      <c r="AN123" s="44">
        <f t="shared" si="9"/>
        <v>215.66736</v>
      </c>
      <c r="AO123" s="46">
        <v>0</v>
      </c>
      <c r="AP123" s="44">
        <v>0</v>
      </c>
      <c r="AQ123" s="44">
        <v>0</v>
      </c>
      <c r="AR123" s="41">
        <f>T123*AM123/AN123</f>
        <v>9.2735405116471964E-2</v>
      </c>
      <c r="AS123" s="40"/>
      <c r="AT123" s="41"/>
      <c r="AU123" s="41"/>
      <c r="AV123" s="23">
        <v>1.937926753569212</v>
      </c>
      <c r="AW123" s="23">
        <v>2.4829298572315328</v>
      </c>
      <c r="AX123" s="23">
        <v>0.55865921787709494</v>
      </c>
      <c r="AY123" s="23">
        <v>2.6070763500931098</v>
      </c>
      <c r="AZ123" s="23">
        <v>0.25544100801832759</v>
      </c>
      <c r="BA123" s="23">
        <v>0.32727867779414171</v>
      </c>
      <c r="BB123" s="23">
        <v>7.3637702503681887E-2</v>
      </c>
      <c r="BC123" s="23">
        <v>0.3436426116838488</v>
      </c>
      <c r="BD123" s="20">
        <v>0.79</v>
      </c>
      <c r="BE123" s="20">
        <v>3.44</v>
      </c>
      <c r="BF123" s="20">
        <v>2.65</v>
      </c>
      <c r="BG123" s="20">
        <v>2.671675977653631</v>
      </c>
      <c r="BH123">
        <v>2.671675977653631</v>
      </c>
      <c r="BI123">
        <v>6.2243029613210306</v>
      </c>
      <c r="BJ123" s="64"/>
      <c r="BK123" s="64"/>
      <c r="BL123" s="64"/>
      <c r="BM123">
        <v>4.6367702558235982E-2</v>
      </c>
      <c r="BQ123">
        <v>9.2735405116471964E-2</v>
      </c>
      <c r="BR123">
        <v>4.6367702558235982E-2</v>
      </c>
      <c r="BS123">
        <v>0</v>
      </c>
      <c r="BT123" s="68" t="s">
        <v>1264</v>
      </c>
      <c r="BU123" s="68">
        <v>1273</v>
      </c>
      <c r="BV123" s="68">
        <v>10</v>
      </c>
      <c r="BX123" s="68" t="s">
        <v>464</v>
      </c>
      <c r="BY123" s="68" t="s">
        <v>464</v>
      </c>
      <c r="BZ123" s="68">
        <v>0</v>
      </c>
      <c r="CB123" s="68">
        <v>1</v>
      </c>
      <c r="CC123" s="68">
        <v>0</v>
      </c>
      <c r="CD123" s="68" t="s">
        <v>464</v>
      </c>
      <c r="CE123" s="68" t="s">
        <v>464</v>
      </c>
      <c r="CF123" s="68" t="s">
        <v>1266</v>
      </c>
      <c r="CG123" s="68">
        <v>400</v>
      </c>
      <c r="CI123" s="68" t="s">
        <v>1287</v>
      </c>
      <c r="CK123" s="70">
        <f>2.6*5</f>
        <v>13</v>
      </c>
    </row>
    <row r="124" spans="1:90" x14ac:dyDescent="0.3">
      <c r="A124" t="s">
        <v>1309</v>
      </c>
      <c r="B124" t="s">
        <v>4</v>
      </c>
      <c r="C124" t="s">
        <v>3987</v>
      </c>
      <c r="D124" t="s">
        <v>854</v>
      </c>
      <c r="E124">
        <v>4</v>
      </c>
      <c r="F124" t="s">
        <v>64</v>
      </c>
      <c r="G124" s="8">
        <v>-1</v>
      </c>
      <c r="H124">
        <v>-1</v>
      </c>
      <c r="M124" t="b">
        <v>0</v>
      </c>
      <c r="N124" t="b">
        <v>0</v>
      </c>
      <c r="O124" t="b">
        <v>0</v>
      </c>
      <c r="P124" t="b">
        <v>1</v>
      </c>
      <c r="Q124">
        <v>-1</v>
      </c>
      <c r="R124">
        <v>-1</v>
      </c>
      <c r="T124">
        <v>2</v>
      </c>
      <c r="U124" s="20">
        <v>0</v>
      </c>
      <c r="V124">
        <v>0</v>
      </c>
      <c r="W124">
        <v>0</v>
      </c>
      <c r="X124" s="1">
        <v>3.87</v>
      </c>
      <c r="Y124" s="1">
        <v>3.87</v>
      </c>
      <c r="Z124">
        <v>28.5</v>
      </c>
      <c r="AA124" t="s">
        <v>439</v>
      </c>
      <c r="AB124">
        <v>14.25</v>
      </c>
      <c r="AC124" s="20">
        <v>0</v>
      </c>
      <c r="AD124" s="20"/>
      <c r="AE124" s="20"/>
      <c r="AF124">
        <v>0</v>
      </c>
      <c r="AI124">
        <v>0</v>
      </c>
      <c r="AM124">
        <v>20</v>
      </c>
      <c r="AN124" s="44">
        <f t="shared" si="9"/>
        <v>426.84165000000002</v>
      </c>
      <c r="AO124" s="46">
        <v>0</v>
      </c>
      <c r="AP124" s="44">
        <v>0</v>
      </c>
      <c r="AQ124" s="44">
        <v>0</v>
      </c>
      <c r="AR124" s="41">
        <f>T124*AM124/AN124</f>
        <v>9.3711567275592711E-2</v>
      </c>
      <c r="AS124" s="40"/>
      <c r="AT124" s="41"/>
      <c r="AU124" s="41"/>
      <c r="AV124" s="23">
        <v>1.9375</v>
      </c>
      <c r="AW124" s="23">
        <v>2.5</v>
      </c>
      <c r="AX124" s="23">
        <v>0.5625</v>
      </c>
      <c r="AY124" s="23">
        <v>2.625</v>
      </c>
      <c r="AZ124" s="23">
        <v>0.25409836065573771</v>
      </c>
      <c r="BA124" s="23">
        <v>0.32786885245901642</v>
      </c>
      <c r="BB124" s="23">
        <v>7.3770491803278687E-2</v>
      </c>
      <c r="BC124" s="23">
        <v>0.34426229508196721</v>
      </c>
      <c r="BD124" s="20">
        <v>1</v>
      </c>
      <c r="BE124" s="20">
        <v>3.44</v>
      </c>
      <c r="BF124" s="20">
        <v>2.44</v>
      </c>
      <c r="BG124" s="20">
        <v>2.6937500000000001</v>
      </c>
      <c r="BH124">
        <v>2.6937500000000001</v>
      </c>
      <c r="BI124">
        <v>6.2824412981156881</v>
      </c>
      <c r="BJ124" s="64"/>
      <c r="BK124" s="64"/>
      <c r="BL124" s="64"/>
      <c r="BM124">
        <v>4.6855783637796362E-2</v>
      </c>
      <c r="BQ124">
        <v>9.3711567275592711E-2</v>
      </c>
      <c r="BR124">
        <v>4.6855783637796362E-2</v>
      </c>
      <c r="BS124">
        <v>0</v>
      </c>
      <c r="BT124" s="68" t="s">
        <v>1264</v>
      </c>
      <c r="BU124" s="68">
        <v>1273</v>
      </c>
      <c r="BV124" s="68">
        <v>10</v>
      </c>
      <c r="BX124" s="68" t="s">
        <v>464</v>
      </c>
      <c r="BY124" s="68" t="s">
        <v>464</v>
      </c>
      <c r="BZ124" s="68">
        <v>0</v>
      </c>
      <c r="CB124" s="68">
        <v>1</v>
      </c>
      <c r="CC124" s="68">
        <v>0</v>
      </c>
      <c r="CD124" s="68" t="s">
        <v>464</v>
      </c>
      <c r="CE124" s="68" t="s">
        <v>464</v>
      </c>
      <c r="CF124" s="68" t="s">
        <v>1266</v>
      </c>
      <c r="CG124" s="68">
        <v>400</v>
      </c>
      <c r="CI124" s="68" t="s">
        <v>1287</v>
      </c>
      <c r="CK124" s="70">
        <f>110.3*5</f>
        <v>551.5</v>
      </c>
    </row>
    <row r="125" spans="1:90" x14ac:dyDescent="0.3">
      <c r="A125" t="s">
        <v>215</v>
      </c>
      <c r="B125" t="s">
        <v>4</v>
      </c>
      <c r="C125" t="s">
        <v>3984</v>
      </c>
      <c r="D125" s="12"/>
      <c r="E125">
        <v>4.0999999999999996</v>
      </c>
      <c r="F125" t="s">
        <v>64</v>
      </c>
      <c r="G125" s="8" t="s">
        <v>587</v>
      </c>
      <c r="H125" t="s">
        <v>636</v>
      </c>
      <c r="M125" t="b">
        <v>1</v>
      </c>
      <c r="N125" t="b">
        <v>1</v>
      </c>
      <c r="O125" t="b">
        <v>0</v>
      </c>
      <c r="P125" t="b">
        <v>0</v>
      </c>
      <c r="Q125" t="s">
        <v>587</v>
      </c>
      <c r="R125" t="s">
        <v>636</v>
      </c>
      <c r="T125">
        <v>1</v>
      </c>
      <c r="U125" s="20">
        <v>1</v>
      </c>
      <c r="V125">
        <v>1</v>
      </c>
      <c r="W125">
        <v>0</v>
      </c>
      <c r="X125">
        <v>3.87</v>
      </c>
      <c r="Y125">
        <v>3.87</v>
      </c>
      <c r="Z125">
        <v>15.1</v>
      </c>
      <c r="AA125" t="s">
        <v>439</v>
      </c>
      <c r="AB125">
        <v>15.1</v>
      </c>
      <c r="AC125" s="20">
        <v>3.950634</v>
      </c>
      <c r="AD125" s="20">
        <v>3.950634</v>
      </c>
      <c r="AE125" s="20">
        <v>15.513552000000001</v>
      </c>
      <c r="AF125">
        <v>3.8658999999999999</v>
      </c>
      <c r="AG125">
        <v>3.8658999999999999</v>
      </c>
      <c r="AH125">
        <v>15.2538</v>
      </c>
      <c r="AI125">
        <v>0</v>
      </c>
      <c r="AM125">
        <v>20</v>
      </c>
      <c r="AN125" s="44">
        <f t="shared" ref="AN125:AN127" si="13">X125*Y125*Z125</f>
        <v>226.15119000000001</v>
      </c>
      <c r="AO125" s="46">
        <v>242.1279024923125</v>
      </c>
      <c r="AP125" s="44">
        <v>227.970829547178</v>
      </c>
      <c r="AQ125" s="44">
        <v>0</v>
      </c>
      <c r="AR125" s="41"/>
      <c r="AS125" s="40">
        <v>8.2600971611006269E-2</v>
      </c>
      <c r="AT125" s="41">
        <v>8.7730522539775438E-2</v>
      </c>
      <c r="AU125" s="41"/>
      <c r="AV125" s="23">
        <v>1.9375</v>
      </c>
      <c r="AW125" s="23">
        <v>2.5</v>
      </c>
      <c r="AX125" s="23">
        <v>0.5625</v>
      </c>
      <c r="AY125" s="23">
        <v>2.625</v>
      </c>
      <c r="AZ125" s="23">
        <v>0.25409836065573771</v>
      </c>
      <c r="BA125" s="23">
        <v>0.32786885245901642</v>
      </c>
      <c r="BB125" s="23">
        <v>7.3770491803278687E-2</v>
      </c>
      <c r="BC125" s="23">
        <v>0.34426229508196721</v>
      </c>
      <c r="BD125" s="20">
        <v>0.79</v>
      </c>
      <c r="BE125" s="20">
        <v>3.44</v>
      </c>
      <c r="BF125" s="20">
        <v>2.65</v>
      </c>
      <c r="BG125" s="20">
        <v>2.6056249999999999</v>
      </c>
      <c r="BH125">
        <v>2.6056249999999999</v>
      </c>
      <c r="BI125">
        <v>5.9703320286696879</v>
      </c>
      <c r="BJ125" s="64">
        <v>0.52453741991489755</v>
      </c>
      <c r="BK125" s="64">
        <v>0.55711138795694093</v>
      </c>
      <c r="BL125" s="64"/>
      <c r="BN125">
        <v>4.1300485805503127E-2</v>
      </c>
      <c r="BO125">
        <v>4.3865261269887712E-2</v>
      </c>
      <c r="BQ125">
        <v>8.5165747075390846E-2</v>
      </c>
      <c r="BR125">
        <v>4.2582873537695423E-2</v>
      </c>
      <c r="BS125">
        <v>0.54082440393591924</v>
      </c>
      <c r="BT125" s="68" t="s">
        <v>1264</v>
      </c>
      <c r="BU125" s="68">
        <v>1273</v>
      </c>
      <c r="BV125" s="68">
        <v>10</v>
      </c>
      <c r="BX125" s="68" t="s">
        <v>1275</v>
      </c>
      <c r="BY125" s="68" t="s">
        <v>56</v>
      </c>
      <c r="BZ125" s="68">
        <v>0.5</v>
      </c>
      <c r="CB125" s="68">
        <v>1</v>
      </c>
      <c r="CC125" s="68">
        <v>0</v>
      </c>
      <c r="CD125" s="68" t="s">
        <v>464</v>
      </c>
      <c r="CE125" s="68" t="s">
        <v>464</v>
      </c>
      <c r="CF125" s="68" t="s">
        <v>1266</v>
      </c>
      <c r="CG125" s="68">
        <v>400</v>
      </c>
      <c r="CI125" s="68" t="s">
        <v>1287</v>
      </c>
      <c r="CK125" s="70">
        <f>5*23.9</f>
        <v>119.5</v>
      </c>
    </row>
    <row r="126" spans="1:90" x14ac:dyDescent="0.3">
      <c r="A126" t="s">
        <v>1727</v>
      </c>
      <c r="B126" t="s">
        <v>4</v>
      </c>
      <c r="C126" t="s">
        <v>3985</v>
      </c>
      <c r="D126" t="s">
        <v>681</v>
      </c>
      <c r="E126">
        <v>4.3</v>
      </c>
      <c r="F126" t="s">
        <v>64</v>
      </c>
      <c r="G126" s="99" t="s">
        <v>683</v>
      </c>
      <c r="H126">
        <v>7221084</v>
      </c>
      <c r="J126" t="s">
        <v>1736</v>
      </c>
      <c r="M126" t="b">
        <v>1</v>
      </c>
      <c r="N126" t="b">
        <v>1</v>
      </c>
      <c r="O126" t="b">
        <v>0</v>
      </c>
      <c r="P126" t="b">
        <v>0</v>
      </c>
      <c r="Q126" t="s">
        <v>1906</v>
      </c>
      <c r="R126">
        <v>7221084</v>
      </c>
      <c r="T126">
        <v>1</v>
      </c>
      <c r="U126" s="20">
        <v>0</v>
      </c>
      <c r="V126">
        <v>2</v>
      </c>
      <c r="W126">
        <v>0</v>
      </c>
      <c r="X126" s="1">
        <v>3.87</v>
      </c>
      <c r="Y126" s="1">
        <v>3.87</v>
      </c>
      <c r="Z126">
        <v>17.2</v>
      </c>
      <c r="AA126" t="s">
        <v>439</v>
      </c>
      <c r="AB126">
        <v>17.2</v>
      </c>
      <c r="AC126" s="20">
        <v>0</v>
      </c>
      <c r="AD126" s="20"/>
      <c r="AE126" s="20"/>
      <c r="AF126">
        <v>3.8607</v>
      </c>
      <c r="AG126">
        <v>3.8607</v>
      </c>
      <c r="AH126">
        <v>29.216000000000001</v>
      </c>
      <c r="AI126">
        <v>0</v>
      </c>
      <c r="AM126">
        <v>20</v>
      </c>
      <c r="AN126" s="44">
        <f t="shared" si="13"/>
        <v>257.60268000000002</v>
      </c>
      <c r="AO126" s="46">
        <v>0</v>
      </c>
      <c r="AP126" s="44">
        <v>435.46461117984001</v>
      </c>
      <c r="AQ126" s="44">
        <v>0</v>
      </c>
      <c r="AR126" s="41"/>
      <c r="AS126" s="40"/>
      <c r="AT126" s="41">
        <v>9.1855914288016927E-2</v>
      </c>
      <c r="AU126" s="41"/>
      <c r="AV126" s="23">
        <v>1.940917661847894</v>
      </c>
      <c r="AW126" s="23">
        <v>2.5141420490257702</v>
      </c>
      <c r="AX126" s="23">
        <v>0.56568196103079826</v>
      </c>
      <c r="AY126" s="23">
        <v>2.6398491514770579</v>
      </c>
      <c r="AZ126" s="23">
        <v>0.2533639645553003</v>
      </c>
      <c r="BA126" s="23">
        <v>0.32819166393173621</v>
      </c>
      <c r="BB126" s="23">
        <v>7.3843124384640635E-2</v>
      </c>
      <c r="BC126" s="23">
        <v>0.34460124712832302</v>
      </c>
      <c r="BD126" s="20">
        <v>0.79</v>
      </c>
      <c r="BE126" s="20">
        <v>3.44</v>
      </c>
      <c r="BF126" s="20">
        <v>2.65</v>
      </c>
      <c r="BG126" s="20">
        <v>2.62350722815839</v>
      </c>
      <c r="BH126">
        <v>2.6235072281583909</v>
      </c>
      <c r="BI126">
        <v>6.0278785903935539</v>
      </c>
      <c r="BJ126" s="64"/>
      <c r="BK126" s="64">
        <v>0</v>
      </c>
      <c r="BL126" s="64"/>
      <c r="BO126">
        <v>4.5927957144008463E-2</v>
      </c>
      <c r="BQ126">
        <v>9.1855914288016927E-2</v>
      </c>
      <c r="BR126">
        <v>4.5927957144008463E-2</v>
      </c>
      <c r="BS126">
        <v>0</v>
      </c>
      <c r="BT126" s="68" t="s">
        <v>1264</v>
      </c>
      <c r="BU126" s="68">
        <v>1273</v>
      </c>
      <c r="BV126" s="68">
        <v>10</v>
      </c>
      <c r="BX126" s="68" t="s">
        <v>1275</v>
      </c>
      <c r="BY126" s="68" t="s">
        <v>56</v>
      </c>
      <c r="BZ126" s="68">
        <v>0.5</v>
      </c>
      <c r="CB126" s="68">
        <v>1</v>
      </c>
      <c r="CC126" s="68">
        <v>0</v>
      </c>
      <c r="CD126" s="68" t="s">
        <v>464</v>
      </c>
      <c r="CE126" s="68" t="s">
        <v>464</v>
      </c>
      <c r="CF126" s="68" t="s">
        <v>1266</v>
      </c>
      <c r="CG126" s="68">
        <v>400</v>
      </c>
      <c r="CI126" s="68" t="s">
        <v>1287</v>
      </c>
      <c r="CK126" s="70">
        <f>308.4*5</f>
        <v>1542</v>
      </c>
    </row>
    <row r="127" spans="1:90" x14ac:dyDescent="0.3">
      <c r="A127" t="s">
        <v>1728</v>
      </c>
      <c r="B127" t="s">
        <v>4</v>
      </c>
      <c r="C127" t="s">
        <v>3986</v>
      </c>
      <c r="D127" t="s">
        <v>682</v>
      </c>
      <c r="E127">
        <v>4.2</v>
      </c>
      <c r="F127" t="s">
        <v>64</v>
      </c>
      <c r="G127" s="99" t="s">
        <v>683</v>
      </c>
      <c r="H127">
        <v>-1</v>
      </c>
      <c r="J127" t="s">
        <v>1737</v>
      </c>
      <c r="M127" t="b">
        <v>1</v>
      </c>
      <c r="N127" t="b">
        <v>0</v>
      </c>
      <c r="O127" t="b">
        <v>0</v>
      </c>
      <c r="P127" t="b">
        <v>0</v>
      </c>
      <c r="Q127" t="s">
        <v>1908</v>
      </c>
      <c r="R127">
        <v>-1</v>
      </c>
      <c r="T127">
        <v>1</v>
      </c>
      <c r="U127" s="20">
        <v>0</v>
      </c>
      <c r="V127">
        <v>0</v>
      </c>
      <c r="W127">
        <v>0</v>
      </c>
      <c r="X127" s="1">
        <v>3.87</v>
      </c>
      <c r="Y127" s="1">
        <v>3.87</v>
      </c>
      <c r="Z127">
        <v>14.4</v>
      </c>
      <c r="AA127" t="s">
        <v>439</v>
      </c>
      <c r="AB127">
        <v>14.4</v>
      </c>
      <c r="AC127" s="20">
        <v>0</v>
      </c>
      <c r="AD127" s="20"/>
      <c r="AE127" s="20"/>
      <c r="AF127">
        <v>0</v>
      </c>
      <c r="AI127">
        <v>0</v>
      </c>
      <c r="AM127">
        <v>20</v>
      </c>
      <c r="AN127" s="44">
        <f t="shared" si="13"/>
        <v>215.66736</v>
      </c>
      <c r="AO127" s="46">
        <v>0</v>
      </c>
      <c r="AP127" s="44">
        <v>0</v>
      </c>
      <c r="AQ127" s="44">
        <v>0</v>
      </c>
      <c r="AR127" s="41">
        <f>T127*AM127/AN127</f>
        <v>9.2735405116471964E-2</v>
      </c>
      <c r="AS127" s="40"/>
      <c r="AT127" s="41"/>
      <c r="AU127" s="41"/>
      <c r="AV127" s="23">
        <v>1.937926753569212</v>
      </c>
      <c r="AW127" s="23">
        <v>2.4829298572315328</v>
      </c>
      <c r="AX127" s="23">
        <v>0.55865921787709494</v>
      </c>
      <c r="AY127" s="23">
        <v>2.6070763500931098</v>
      </c>
      <c r="AZ127" s="23">
        <v>0.25544100801832759</v>
      </c>
      <c r="BA127" s="23">
        <v>0.32727867779414171</v>
      </c>
      <c r="BB127" s="23">
        <v>7.3637702503681887E-2</v>
      </c>
      <c r="BC127" s="23">
        <v>0.3436426116838488</v>
      </c>
      <c r="BD127" s="20">
        <v>0.79</v>
      </c>
      <c r="BE127" s="20">
        <v>3.44</v>
      </c>
      <c r="BF127" s="20">
        <v>2.65</v>
      </c>
      <c r="BG127" s="20">
        <v>2.671675977653631</v>
      </c>
      <c r="BH127">
        <v>2.671675977653631</v>
      </c>
      <c r="BI127">
        <v>6.2243029613210306</v>
      </c>
      <c r="BJ127" s="64"/>
      <c r="BK127" s="64"/>
      <c r="BL127" s="64"/>
      <c r="BM127">
        <v>4.6367702558235982E-2</v>
      </c>
      <c r="BQ127">
        <v>9.2735405116471964E-2</v>
      </c>
      <c r="BR127">
        <v>4.6367702558235982E-2</v>
      </c>
      <c r="BS127">
        <v>0</v>
      </c>
      <c r="BT127" s="68" t="s">
        <v>1264</v>
      </c>
      <c r="BU127" s="68">
        <v>1273</v>
      </c>
      <c r="BV127" s="68">
        <v>10</v>
      </c>
      <c r="BX127" s="68" t="s">
        <v>1275</v>
      </c>
      <c r="BY127" s="68" t="s">
        <v>56</v>
      </c>
      <c r="BZ127" s="68">
        <v>0.5</v>
      </c>
      <c r="CB127" s="68">
        <v>1</v>
      </c>
      <c r="CC127" s="68">
        <v>0</v>
      </c>
      <c r="CD127" s="68" t="s">
        <v>464</v>
      </c>
      <c r="CE127" s="68" t="s">
        <v>464</v>
      </c>
      <c r="CF127" s="68" t="s">
        <v>1266</v>
      </c>
      <c r="CG127" s="68">
        <v>400</v>
      </c>
      <c r="CI127" s="68" t="s">
        <v>1287</v>
      </c>
      <c r="CK127" s="70">
        <f>22.2*5</f>
        <v>111</v>
      </c>
    </row>
    <row r="128" spans="1:90" s="4" customFormat="1" x14ac:dyDescent="0.3">
      <c r="A128" s="4" t="s">
        <v>65</v>
      </c>
      <c r="B128"/>
      <c r="C128" t="s">
        <v>3988</v>
      </c>
      <c r="D128" s="29"/>
      <c r="E128" s="4">
        <v>2.62</v>
      </c>
      <c r="F128" s="4" t="s">
        <v>66</v>
      </c>
      <c r="G128" s="30" t="s">
        <v>559</v>
      </c>
      <c r="H128" s="4" t="s">
        <v>637</v>
      </c>
      <c r="I128"/>
      <c r="J128" s="97"/>
      <c r="M128" t="b">
        <v>1</v>
      </c>
      <c r="N128" t="b">
        <v>1</v>
      </c>
      <c r="O128" t="b">
        <v>0</v>
      </c>
      <c r="P128" t="b">
        <v>0</v>
      </c>
      <c r="Q128" t="s">
        <v>559</v>
      </c>
      <c r="R128" t="s">
        <v>637</v>
      </c>
      <c r="S128"/>
      <c r="T128" s="4">
        <v>4</v>
      </c>
      <c r="U128" s="31">
        <v>2</v>
      </c>
      <c r="V128" s="4">
        <v>4</v>
      </c>
      <c r="W128" s="4">
        <v>0</v>
      </c>
      <c r="X128" s="4">
        <v>5.4580000000000002</v>
      </c>
      <c r="Y128" s="4">
        <v>5.4210000000000003</v>
      </c>
      <c r="Z128" s="4">
        <v>41.02</v>
      </c>
      <c r="AA128" s="4" t="s">
        <v>450</v>
      </c>
      <c r="AB128" s="4">
        <v>10.255000000000001</v>
      </c>
      <c r="AC128" s="31">
        <v>5.5344280000000001</v>
      </c>
      <c r="AD128" s="31">
        <v>5.4860709999999999</v>
      </c>
      <c r="AE128" s="31">
        <v>20.96113527</v>
      </c>
      <c r="AF128" s="4">
        <v>5.4676999999999998</v>
      </c>
      <c r="AG128" s="4">
        <v>5.4396000000000004</v>
      </c>
      <c r="AH128" s="4">
        <v>41.247500000000002</v>
      </c>
      <c r="AI128" s="4">
        <v>0</v>
      </c>
      <c r="AM128" s="4">
        <v>30</v>
      </c>
      <c r="AN128" s="4">
        <f t="shared" si="9"/>
        <v>1213.6922943600002</v>
      </c>
      <c r="AO128" s="31">
        <v>630.95473618941708</v>
      </c>
      <c r="AP128" s="4">
        <v>1226.7873076977</v>
      </c>
      <c r="AQ128" s="4">
        <v>0</v>
      </c>
      <c r="AS128" s="31">
        <v>9.5093984653104466E-2</v>
      </c>
      <c r="AT128" s="4">
        <v>9.781646683743643E-2</v>
      </c>
      <c r="AV128" s="4">
        <v>2</v>
      </c>
      <c r="AW128" s="4">
        <v>3.125</v>
      </c>
      <c r="AX128" s="4">
        <v>2.583333333333333</v>
      </c>
      <c r="AY128" s="4">
        <v>2.916666666666667</v>
      </c>
      <c r="AZ128" s="4">
        <v>0.18823529411764711</v>
      </c>
      <c r="BA128" s="4">
        <v>0.29411764705882348</v>
      </c>
      <c r="BB128" s="4">
        <v>0.24313725490196081</v>
      </c>
      <c r="BC128" s="4">
        <v>0.2745098039215686</v>
      </c>
      <c r="BD128" s="31">
        <v>1.54</v>
      </c>
      <c r="BE128" s="31">
        <v>3.44</v>
      </c>
      <c r="BF128" s="31">
        <v>1.9</v>
      </c>
      <c r="BG128" s="31">
        <v>2.839583333333334</v>
      </c>
      <c r="BH128" s="4">
        <v>2.8395833333333331</v>
      </c>
      <c r="BI128" s="4">
        <v>6.168614470625001</v>
      </c>
      <c r="BJ128" s="4">
        <v>0.52762523515344584</v>
      </c>
      <c r="BK128" s="4">
        <v>0</v>
      </c>
      <c r="BN128" s="4">
        <v>4.7546992326552233E-2</v>
      </c>
      <c r="BO128" s="4">
        <v>4.8908233418718222E-2</v>
      </c>
      <c r="BQ128" s="4">
        <v>9.6455225745270448E-2</v>
      </c>
      <c r="BR128" s="4">
        <v>4.8227612872635231E-2</v>
      </c>
      <c r="BS128" s="4">
        <v>0.26381261757672292</v>
      </c>
      <c r="BT128" s="71"/>
      <c r="BU128" s="71"/>
      <c r="BV128" s="71"/>
      <c r="BW128" s="71"/>
      <c r="BX128" s="71"/>
      <c r="BY128" s="71"/>
      <c r="BZ128" s="71"/>
      <c r="CA128" s="71"/>
      <c r="CB128" s="71"/>
      <c r="CC128" s="71"/>
      <c r="CD128" s="71" t="s">
        <v>464</v>
      </c>
      <c r="CE128" s="71" t="s">
        <v>464</v>
      </c>
      <c r="CF128" s="71"/>
      <c r="CG128" s="71"/>
      <c r="CH128" s="71"/>
      <c r="CI128" s="71"/>
      <c r="CJ128" s="71"/>
      <c r="CK128" s="71"/>
      <c r="CL128"/>
    </row>
    <row r="129" spans="1:90" s="4" customFormat="1" x14ac:dyDescent="0.3">
      <c r="A129" s="4" t="s">
        <v>67</v>
      </c>
      <c r="B129"/>
      <c r="C129" t="s">
        <v>3989</v>
      </c>
      <c r="D129" s="29"/>
      <c r="E129" s="4">
        <v>2.67</v>
      </c>
      <c r="F129" s="4" t="s">
        <v>66</v>
      </c>
      <c r="G129" s="30" t="s">
        <v>559</v>
      </c>
      <c r="H129" s="4">
        <v>-1</v>
      </c>
      <c r="J129" s="97" t="s">
        <v>1774</v>
      </c>
      <c r="M129" t="b">
        <v>1</v>
      </c>
      <c r="N129" t="b">
        <v>0</v>
      </c>
      <c r="O129" t="b">
        <v>0</v>
      </c>
      <c r="P129" t="b">
        <v>0</v>
      </c>
      <c r="Q129" t="s">
        <v>1909</v>
      </c>
      <c r="R129">
        <v>-1</v>
      </c>
      <c r="S129"/>
      <c r="T129" s="4">
        <v>4</v>
      </c>
      <c r="U129" s="31">
        <v>0</v>
      </c>
      <c r="V129" s="4">
        <v>0</v>
      </c>
      <c r="W129" s="4">
        <v>0</v>
      </c>
      <c r="X129" s="4">
        <v>5.4359999999999999</v>
      </c>
      <c r="Y129" s="4">
        <v>5.42</v>
      </c>
      <c r="Z129" s="4">
        <v>41.19</v>
      </c>
      <c r="AA129" s="4" t="s">
        <v>450</v>
      </c>
      <c r="AC129" s="31">
        <v>0</v>
      </c>
      <c r="AD129" s="31"/>
      <c r="AE129" s="31"/>
      <c r="AF129" s="4">
        <v>0</v>
      </c>
      <c r="AI129" s="4">
        <v>0</v>
      </c>
      <c r="AM129" s="4">
        <v>30</v>
      </c>
      <c r="AN129" s="4">
        <f t="shared" si="9"/>
        <v>1213.5859128</v>
      </c>
      <c r="AO129" s="31">
        <v>0</v>
      </c>
      <c r="AP129" s="4">
        <v>0</v>
      </c>
      <c r="AQ129" s="4">
        <v>0</v>
      </c>
      <c r="AR129" s="4">
        <f>T129*AM129/AN129</f>
        <v>9.8880514955166685E-2</v>
      </c>
      <c r="AS129" s="31"/>
      <c r="AV129" s="4">
        <v>2</v>
      </c>
      <c r="AW129" s="4">
        <v>3</v>
      </c>
      <c r="AX129" s="4">
        <v>2.208333333333333</v>
      </c>
      <c r="AY129" s="4">
        <v>2.333333333333333</v>
      </c>
      <c r="AZ129" s="4">
        <v>0.20960698689956331</v>
      </c>
      <c r="BA129" s="4">
        <v>0.31441048034934499</v>
      </c>
      <c r="BB129" s="4">
        <v>0.23144104803493451</v>
      </c>
      <c r="BC129" s="4">
        <v>0.24454148471615719</v>
      </c>
      <c r="BD129" s="31">
        <v>1.1000000000000001</v>
      </c>
      <c r="BE129" s="31">
        <v>3.44</v>
      </c>
      <c r="BF129" s="31">
        <v>2.34</v>
      </c>
      <c r="BG129" s="31">
        <v>2.80125</v>
      </c>
      <c r="BH129" s="4">
        <v>2.80125</v>
      </c>
      <c r="BI129" s="4">
        <v>6.1250013054166672</v>
      </c>
      <c r="BM129" s="4">
        <v>4.9440257477583342E-2</v>
      </c>
      <c r="BQ129" s="4">
        <v>9.8880514955166685E-2</v>
      </c>
      <c r="BR129" s="4">
        <v>4.9440257477583342E-2</v>
      </c>
      <c r="BS129" s="4">
        <v>0</v>
      </c>
      <c r="BT129" s="71"/>
      <c r="BU129" s="71"/>
      <c r="BV129" s="71"/>
      <c r="BW129" s="71"/>
      <c r="BX129" s="71"/>
      <c r="BY129" s="71"/>
      <c r="BZ129" s="71"/>
      <c r="CA129" s="71"/>
      <c r="CB129" s="71"/>
      <c r="CC129" s="71"/>
      <c r="CD129" s="71" t="s">
        <v>464</v>
      </c>
      <c r="CE129" s="71" t="s">
        <v>464</v>
      </c>
      <c r="CF129" s="71"/>
      <c r="CG129" s="71"/>
      <c r="CH129" s="71"/>
      <c r="CI129" s="71"/>
      <c r="CJ129" s="71"/>
      <c r="CK129" s="71"/>
      <c r="CL129"/>
    </row>
    <row r="130" spans="1:90" s="4" customFormat="1" x14ac:dyDescent="0.3">
      <c r="A130" s="4" t="s">
        <v>68</v>
      </c>
      <c r="B130"/>
      <c r="C130" t="s">
        <v>3990</v>
      </c>
      <c r="D130" s="29"/>
      <c r="E130" s="4">
        <v>2.71</v>
      </c>
      <c r="F130" s="4" t="s">
        <v>66</v>
      </c>
      <c r="G130" s="30" t="s">
        <v>559</v>
      </c>
      <c r="H130" s="4">
        <v>-1</v>
      </c>
      <c r="J130" s="97" t="s">
        <v>1775</v>
      </c>
      <c r="M130" t="b">
        <v>1</v>
      </c>
      <c r="N130" t="b">
        <v>0</v>
      </c>
      <c r="O130" t="b">
        <v>0</v>
      </c>
      <c r="P130" t="b">
        <v>0</v>
      </c>
      <c r="Q130" t="s">
        <v>1910</v>
      </c>
      <c r="R130">
        <v>-1</v>
      </c>
      <c r="S130"/>
      <c r="T130" s="4">
        <v>4</v>
      </c>
      <c r="U130" s="31">
        <v>0</v>
      </c>
      <c r="V130" s="4">
        <v>0</v>
      </c>
      <c r="W130" s="4">
        <v>0</v>
      </c>
      <c r="X130" s="4">
        <v>5.4370000000000003</v>
      </c>
      <c r="Y130" s="4">
        <v>5.4359999999999999</v>
      </c>
      <c r="Z130" s="4">
        <v>41.29</v>
      </c>
      <c r="AA130" s="4" t="s">
        <v>450</v>
      </c>
      <c r="AC130" s="31">
        <v>0</v>
      </c>
      <c r="AD130" s="31"/>
      <c r="AE130" s="31"/>
      <c r="AF130" s="4">
        <v>0</v>
      </c>
      <c r="AI130" s="4">
        <v>0</v>
      </c>
      <c r="AM130" s="4">
        <v>30</v>
      </c>
      <c r="AN130" s="4">
        <f t="shared" si="9"/>
        <v>1220.3479162799999</v>
      </c>
      <c r="AO130" s="31">
        <v>0</v>
      </c>
      <c r="AP130" s="4">
        <v>0</v>
      </c>
      <c r="AQ130" s="4">
        <v>0</v>
      </c>
      <c r="AR130" s="4">
        <f>T130*AM130/AN130</f>
        <v>9.8332613510577649E-2</v>
      </c>
      <c r="AS130" s="31"/>
      <c r="AV130" s="4">
        <v>2</v>
      </c>
      <c r="AW130" s="4">
        <v>2.875</v>
      </c>
      <c r="AX130" s="4">
        <v>1.833333333333333</v>
      </c>
      <c r="AY130" s="4">
        <v>1.75</v>
      </c>
      <c r="AZ130" s="4">
        <v>0.23645320197044331</v>
      </c>
      <c r="BA130" s="4">
        <v>0.33990147783251229</v>
      </c>
      <c r="BB130" s="4">
        <v>0.21674876847290639</v>
      </c>
      <c r="BC130" s="4">
        <v>0.2068965517241379</v>
      </c>
      <c r="BD130" s="31">
        <v>1.1000000000000001</v>
      </c>
      <c r="BE130" s="31">
        <v>3.44</v>
      </c>
      <c r="BF130" s="31">
        <v>2.34</v>
      </c>
      <c r="BG130" s="31">
        <v>2.7629166666666669</v>
      </c>
      <c r="BH130" s="4">
        <v>2.762916666666666</v>
      </c>
      <c r="BI130" s="4">
        <v>6.0813881402083334</v>
      </c>
      <c r="BM130" s="4">
        <v>4.9166306755288817E-2</v>
      </c>
      <c r="BQ130" s="4">
        <v>9.8332613510577649E-2</v>
      </c>
      <c r="BR130" s="4">
        <v>4.9166306755288817E-2</v>
      </c>
      <c r="BS130" s="4">
        <v>0</v>
      </c>
      <c r="BT130" s="71"/>
      <c r="BU130" s="71"/>
      <c r="BV130" s="71"/>
      <c r="BW130" s="71"/>
      <c r="BX130" s="71"/>
      <c r="BY130" s="71"/>
      <c r="BZ130" s="71"/>
      <c r="CA130" s="71"/>
      <c r="CB130" s="71"/>
      <c r="CC130" s="71"/>
      <c r="CD130" s="71" t="s">
        <v>464</v>
      </c>
      <c r="CE130" s="71" t="s">
        <v>464</v>
      </c>
      <c r="CF130" s="71"/>
      <c r="CG130" s="71"/>
      <c r="CH130" s="71"/>
      <c r="CI130" s="71"/>
      <c r="CJ130" s="71"/>
      <c r="CK130" s="71"/>
      <c r="CL130"/>
    </row>
    <row r="131" spans="1:90" x14ac:dyDescent="0.3">
      <c r="A131" t="s">
        <v>71</v>
      </c>
      <c r="B131" t="s">
        <v>318</v>
      </c>
      <c r="C131" t="s">
        <v>3991</v>
      </c>
      <c r="D131" s="12"/>
      <c r="E131">
        <v>3.59</v>
      </c>
      <c r="F131" t="s">
        <v>77</v>
      </c>
      <c r="G131" s="8" t="s">
        <v>561</v>
      </c>
      <c r="H131" t="s">
        <v>639</v>
      </c>
      <c r="M131" t="b">
        <v>1</v>
      </c>
      <c r="N131" t="b">
        <v>1</v>
      </c>
      <c r="O131" t="b">
        <v>0</v>
      </c>
      <c r="P131" t="b">
        <v>0</v>
      </c>
      <c r="Q131" t="s">
        <v>561</v>
      </c>
      <c r="R131" t="s">
        <v>639</v>
      </c>
      <c r="U131" s="20">
        <v>2</v>
      </c>
      <c r="V131">
        <v>2</v>
      </c>
      <c r="W131">
        <v>0</v>
      </c>
      <c r="AC131" s="20">
        <v>3.8703880000000002</v>
      </c>
      <c r="AD131" s="20">
        <v>3.8703880000000002</v>
      </c>
      <c r="AE131" s="20">
        <v>13.604850000000001</v>
      </c>
      <c r="AF131">
        <v>3.8415499999999998</v>
      </c>
      <c r="AG131">
        <v>3.8415499999999998</v>
      </c>
      <c r="AH131">
        <v>13.4695</v>
      </c>
      <c r="AI131">
        <v>0</v>
      </c>
      <c r="AM131">
        <v>8</v>
      </c>
      <c r="AN131" s="44">
        <f t="shared" si="9"/>
        <v>0</v>
      </c>
      <c r="AO131" s="46">
        <v>203.79933701026059</v>
      </c>
      <c r="AP131" s="44">
        <v>198.77623248847371</v>
      </c>
      <c r="AQ131" s="44">
        <v>0</v>
      </c>
      <c r="AR131" s="41"/>
      <c r="AS131" s="40">
        <v>7.8508596910668346E-2</v>
      </c>
      <c r="AT131" s="41">
        <v>8.0492520658513728E-2</v>
      </c>
      <c r="AU131" s="41"/>
      <c r="AV131" s="23">
        <v>1.857142857142857</v>
      </c>
      <c r="AW131" s="23">
        <v>2.285714285714286</v>
      </c>
      <c r="AX131" s="23">
        <v>0.42857142857142849</v>
      </c>
      <c r="AY131" s="23">
        <v>0</v>
      </c>
      <c r="AZ131" s="23">
        <v>0.40625000000000011</v>
      </c>
      <c r="BA131" s="23">
        <v>0.5</v>
      </c>
      <c r="BB131" s="23">
        <v>9.375E-2</v>
      </c>
      <c r="BC131" s="23">
        <v>0</v>
      </c>
      <c r="BD131" s="20">
        <v>0.82</v>
      </c>
      <c r="BE131" s="20">
        <v>3.44</v>
      </c>
      <c r="BF131" s="20">
        <v>2.62</v>
      </c>
      <c r="BG131" s="20">
        <v>2.46</v>
      </c>
      <c r="BH131">
        <v>2.46</v>
      </c>
      <c r="BI131">
        <v>5.5854910899999997</v>
      </c>
      <c r="BJ131" s="64">
        <v>0.55645098073491572</v>
      </c>
      <c r="BK131" s="64">
        <v>0.57051257855519</v>
      </c>
      <c r="BL131" s="64"/>
      <c r="BN131">
        <v>3.9254298455334173E-2</v>
      </c>
      <c r="BO131">
        <v>4.0246260329256871E-2</v>
      </c>
      <c r="BQ131">
        <v>7.950055878459103E-2</v>
      </c>
      <c r="BR131">
        <v>3.9750279392295522E-2</v>
      </c>
      <c r="BS131">
        <v>0.56348177964505286</v>
      </c>
      <c r="BT131" s="68" t="s">
        <v>1264</v>
      </c>
      <c r="BU131" s="68">
        <v>1223</v>
      </c>
      <c r="BV131" s="68">
        <v>0.5</v>
      </c>
      <c r="BX131" s="68" t="s">
        <v>464</v>
      </c>
      <c r="BY131" s="68" t="s">
        <v>464</v>
      </c>
      <c r="BZ131" s="68">
        <v>0</v>
      </c>
      <c r="CA131" s="68">
        <v>3.59</v>
      </c>
      <c r="CB131" s="68">
        <v>0.6</v>
      </c>
      <c r="CC131" s="68">
        <v>0</v>
      </c>
      <c r="CD131" s="68" t="s">
        <v>464</v>
      </c>
      <c r="CE131" s="68" t="s">
        <v>464</v>
      </c>
      <c r="CF131" s="68" t="s">
        <v>1266</v>
      </c>
      <c r="CG131" s="68">
        <v>450</v>
      </c>
      <c r="CI131" s="68" t="s">
        <v>1287</v>
      </c>
      <c r="CK131" s="70">
        <v>36</v>
      </c>
    </row>
    <row r="132" spans="1:90" x14ac:dyDescent="0.3">
      <c r="A132" t="s">
        <v>72</v>
      </c>
      <c r="B132" t="s">
        <v>318</v>
      </c>
      <c r="C132" t="s">
        <v>3992</v>
      </c>
      <c r="D132" s="12"/>
      <c r="E132">
        <v>3.74</v>
      </c>
      <c r="F132" t="s">
        <v>77</v>
      </c>
      <c r="G132" s="74" t="s">
        <v>561</v>
      </c>
      <c r="H132" s="1" t="s">
        <v>639</v>
      </c>
      <c r="J132" s="97" t="s">
        <v>1776</v>
      </c>
      <c r="M132" t="b">
        <v>1</v>
      </c>
      <c r="N132" t="b">
        <v>1</v>
      </c>
      <c r="O132" t="b">
        <v>0</v>
      </c>
      <c r="P132" t="b">
        <v>0</v>
      </c>
      <c r="Q132" t="s">
        <v>1911</v>
      </c>
      <c r="R132" t="s">
        <v>639</v>
      </c>
      <c r="U132" s="20">
        <v>0</v>
      </c>
      <c r="V132">
        <v>2</v>
      </c>
      <c r="W132">
        <v>0</v>
      </c>
      <c r="AC132" s="20">
        <v>0</v>
      </c>
      <c r="AD132" s="20"/>
      <c r="AE132" s="20"/>
      <c r="AF132">
        <v>3.8415499999999998</v>
      </c>
      <c r="AG132">
        <v>3.8415499999999998</v>
      </c>
      <c r="AH132">
        <v>13.4695</v>
      </c>
      <c r="AI132">
        <v>0</v>
      </c>
      <c r="AM132">
        <v>8</v>
      </c>
      <c r="AN132" s="44">
        <f t="shared" si="9"/>
        <v>0</v>
      </c>
      <c r="AO132" s="46">
        <v>0</v>
      </c>
      <c r="AP132" s="44">
        <v>198.77623248847371</v>
      </c>
      <c r="AQ132" s="44">
        <v>0</v>
      </c>
      <c r="AR132" s="41"/>
      <c r="AS132" s="40"/>
      <c r="AT132" s="41">
        <v>8.0492520658513728E-2</v>
      </c>
      <c r="AU132" s="41"/>
      <c r="AV132" s="23">
        <v>1.857142857142857</v>
      </c>
      <c r="AW132" s="23">
        <v>2.285714285714286</v>
      </c>
      <c r="AX132" s="23">
        <v>0.42857142857142849</v>
      </c>
      <c r="AY132" s="23">
        <v>0</v>
      </c>
      <c r="AZ132" s="23">
        <v>0.40625000000000011</v>
      </c>
      <c r="BA132" s="23">
        <v>0.5</v>
      </c>
      <c r="BB132" s="23">
        <v>9.375E-2</v>
      </c>
      <c r="BC132" s="23">
        <v>0</v>
      </c>
      <c r="BD132" s="20">
        <v>0.82</v>
      </c>
      <c r="BE132" s="20">
        <v>3.44</v>
      </c>
      <c r="BF132" s="20">
        <v>2.62</v>
      </c>
      <c r="BG132" s="20">
        <v>2.4569999999999999</v>
      </c>
      <c r="BH132">
        <v>2.4569999999999999</v>
      </c>
      <c r="BI132">
        <v>5.5866607328571423</v>
      </c>
      <c r="BJ132" s="64">
        <v>0.55645098073491572</v>
      </c>
      <c r="BK132" s="64">
        <v>0.57051257855519</v>
      </c>
      <c r="BL132" s="64"/>
      <c r="BO132">
        <v>4.0246260329256871E-2</v>
      </c>
      <c r="BQ132">
        <v>8.0492520658513728E-2</v>
      </c>
      <c r="BR132">
        <v>4.0246260329256871E-2</v>
      </c>
      <c r="BS132">
        <v>0.56348177964505286</v>
      </c>
      <c r="BT132" s="68" t="s">
        <v>1264</v>
      </c>
      <c r="BU132" s="68">
        <v>1223</v>
      </c>
      <c r="BV132" s="68">
        <v>0.5</v>
      </c>
      <c r="BX132" s="68" t="s">
        <v>464</v>
      </c>
      <c r="BY132" s="68" t="s">
        <v>464</v>
      </c>
      <c r="BZ132" s="68">
        <v>0</v>
      </c>
      <c r="CA132" s="68">
        <v>3.74</v>
      </c>
      <c r="CB132" s="68">
        <v>0.6</v>
      </c>
      <c r="CC132" s="68">
        <v>0</v>
      </c>
      <c r="CD132" s="68" t="s">
        <v>464</v>
      </c>
      <c r="CE132" s="68" t="s">
        <v>464</v>
      </c>
      <c r="CF132" s="68" t="s">
        <v>1266</v>
      </c>
      <c r="CG132" s="68">
        <v>450</v>
      </c>
      <c r="CI132" s="68" t="s">
        <v>1287</v>
      </c>
      <c r="CK132" s="70">
        <v>65.400000000000006</v>
      </c>
    </row>
    <row r="133" spans="1:90" x14ac:dyDescent="0.3">
      <c r="A133" t="s">
        <v>76</v>
      </c>
      <c r="B133" t="s">
        <v>318</v>
      </c>
      <c r="C133" t="s">
        <v>3993</v>
      </c>
      <c r="D133" s="12"/>
      <c r="E133">
        <v>3.82</v>
      </c>
      <c r="F133" t="s">
        <v>77</v>
      </c>
      <c r="G133" s="74" t="s">
        <v>561</v>
      </c>
      <c r="H133" s="1" t="s">
        <v>639</v>
      </c>
      <c r="J133" s="97" t="s">
        <v>1777</v>
      </c>
      <c r="M133" t="b">
        <v>1</v>
      </c>
      <c r="N133" t="b">
        <v>0</v>
      </c>
      <c r="O133" t="b">
        <v>0</v>
      </c>
      <c r="P133" t="b">
        <v>0</v>
      </c>
      <c r="Q133" t="s">
        <v>1912</v>
      </c>
      <c r="R133" t="s">
        <v>639</v>
      </c>
      <c r="U133" s="20">
        <v>0</v>
      </c>
      <c r="V133">
        <v>1</v>
      </c>
      <c r="W133">
        <v>0</v>
      </c>
      <c r="AC133" s="20">
        <v>0</v>
      </c>
      <c r="AD133" s="20"/>
      <c r="AE133" s="20"/>
      <c r="AF133">
        <v>6.7352999999999987</v>
      </c>
      <c r="AG133">
        <v>8.0756999999999994</v>
      </c>
      <c r="AH133">
        <v>15.016999999999999</v>
      </c>
      <c r="AI133">
        <v>0</v>
      </c>
      <c r="AM133">
        <v>8</v>
      </c>
      <c r="AN133" s="44">
        <f t="shared" si="9"/>
        <v>0</v>
      </c>
      <c r="AO133" s="46">
        <v>0</v>
      </c>
      <c r="AP133" s="44">
        <v>801.31327174450405</v>
      </c>
      <c r="AQ133" s="44">
        <v>0</v>
      </c>
      <c r="AR133" s="41"/>
      <c r="AS133" s="40"/>
      <c r="AT133" s="41">
        <v>9.9836110071951645E-3</v>
      </c>
      <c r="AU133" s="41"/>
      <c r="AV133" s="23">
        <v>1.857142857142857</v>
      </c>
      <c r="AW133" s="23">
        <v>2.285714285714286</v>
      </c>
      <c r="AX133" s="23">
        <v>0.42857142857142849</v>
      </c>
      <c r="AY133" s="23">
        <v>0</v>
      </c>
      <c r="AZ133" s="23">
        <v>0.40625000000000011</v>
      </c>
      <c r="BA133" s="23">
        <v>0.5</v>
      </c>
      <c r="BB133" s="23">
        <v>9.375E-2</v>
      </c>
      <c r="BC133" s="23">
        <v>0</v>
      </c>
      <c r="BD133" s="20">
        <v>0.82</v>
      </c>
      <c r="BE133" s="20">
        <v>3.44</v>
      </c>
      <c r="BF133" s="20">
        <v>2.62</v>
      </c>
      <c r="BG133" s="20">
        <v>2.4510000000000001</v>
      </c>
      <c r="BH133">
        <v>2.4510000000000001</v>
      </c>
      <c r="BI133">
        <v>5.5890000185714284</v>
      </c>
      <c r="BJ133" s="64"/>
      <c r="BK133" s="64">
        <v>0.26693366029414328</v>
      </c>
      <c r="BL133" s="64"/>
      <c r="BO133">
        <v>4.9918055035975822E-3</v>
      </c>
      <c r="BQ133">
        <v>9.9836110071951645E-3</v>
      </c>
      <c r="BR133">
        <v>4.9918055035975822E-3</v>
      </c>
      <c r="BS133">
        <v>0.26693366029414328</v>
      </c>
      <c r="BT133" s="68" t="s">
        <v>1264</v>
      </c>
      <c r="BU133" s="68">
        <v>1223</v>
      </c>
      <c r="BV133" s="68">
        <v>0.5</v>
      </c>
      <c r="BX133" s="68" t="s">
        <v>464</v>
      </c>
      <c r="BY133" s="68" t="s">
        <v>464</v>
      </c>
      <c r="BZ133" s="68">
        <v>0</v>
      </c>
      <c r="CA133" s="68">
        <v>3.82</v>
      </c>
      <c r="CB133" s="68">
        <v>0.6</v>
      </c>
      <c r="CC133" s="68">
        <v>0</v>
      </c>
      <c r="CD133" s="68" t="s">
        <v>464</v>
      </c>
      <c r="CE133" s="68" t="s">
        <v>464</v>
      </c>
      <c r="CF133" s="68" t="s">
        <v>1266</v>
      </c>
      <c r="CG133" s="68">
        <v>450</v>
      </c>
      <c r="CI133" s="68" t="s">
        <v>1287</v>
      </c>
      <c r="CK133" s="70">
        <v>84.2</v>
      </c>
    </row>
    <row r="134" spans="1:90" x14ac:dyDescent="0.3">
      <c r="A134" t="s">
        <v>75</v>
      </c>
      <c r="B134" t="s">
        <v>318</v>
      </c>
      <c r="C134" t="s">
        <v>3994</v>
      </c>
      <c r="D134" s="12"/>
      <c r="E134">
        <v>4.16</v>
      </c>
      <c r="F134" t="s">
        <v>77</v>
      </c>
      <c r="G134" s="74" t="s">
        <v>561</v>
      </c>
      <c r="H134" s="1" t="s">
        <v>639</v>
      </c>
      <c r="J134" s="97" t="s">
        <v>1778</v>
      </c>
      <c r="M134" t="b">
        <v>1</v>
      </c>
      <c r="N134" t="b">
        <v>0</v>
      </c>
      <c r="O134" t="b">
        <v>0</v>
      </c>
      <c r="P134" t="b">
        <v>0</v>
      </c>
      <c r="Q134" t="s">
        <v>1914</v>
      </c>
      <c r="R134" t="s">
        <v>639</v>
      </c>
      <c r="U134" s="20">
        <v>0</v>
      </c>
      <c r="V134">
        <v>4</v>
      </c>
      <c r="W134">
        <v>0</v>
      </c>
      <c r="AC134" s="20">
        <v>0</v>
      </c>
      <c r="AD134" s="20"/>
      <c r="AE134" s="20"/>
      <c r="AF134">
        <v>18.184000000000001</v>
      </c>
      <c r="AG134">
        <v>13.009</v>
      </c>
      <c r="AH134">
        <v>13.112</v>
      </c>
      <c r="AI134">
        <v>0</v>
      </c>
      <c r="AM134">
        <v>8</v>
      </c>
      <c r="AN134" s="44">
        <f t="shared" si="9"/>
        <v>0</v>
      </c>
      <c r="AO134" s="46">
        <v>0</v>
      </c>
      <c r="AP134" s="44">
        <v>2626.6697286954709</v>
      </c>
      <c r="AQ134" s="44">
        <v>0</v>
      </c>
      <c r="AR134" s="41"/>
      <c r="AS134" s="40"/>
      <c r="AT134" s="41">
        <v>1.2182726914773829E-2</v>
      </c>
      <c r="AU134" s="41"/>
      <c r="AV134" s="23">
        <v>1.857142857142857</v>
      </c>
      <c r="AW134" s="23">
        <v>2.285714285714286</v>
      </c>
      <c r="AX134" s="23">
        <v>0.42857142857142849</v>
      </c>
      <c r="AY134" s="23">
        <v>0</v>
      </c>
      <c r="AZ134" s="23">
        <v>0.40625000000000011</v>
      </c>
      <c r="BA134" s="23">
        <v>0.5</v>
      </c>
      <c r="BB134" s="23">
        <v>9.375E-2</v>
      </c>
      <c r="BC134" s="23">
        <v>0</v>
      </c>
      <c r="BD134" s="20">
        <v>0.82</v>
      </c>
      <c r="BE134" s="20">
        <v>3.44</v>
      </c>
      <c r="BF134" s="20">
        <v>2.62</v>
      </c>
      <c r="BG134" s="20">
        <v>2.4449999999999998</v>
      </c>
      <c r="BH134">
        <v>2.4449999999999998</v>
      </c>
      <c r="BI134">
        <v>5.5913393042857136</v>
      </c>
      <c r="BJ134" s="64"/>
      <c r="BK134" s="64"/>
      <c r="BL134" s="64"/>
      <c r="BO134">
        <v>6.0913634573869172E-3</v>
      </c>
      <c r="BQ134">
        <v>1.2182726914773829E-2</v>
      </c>
      <c r="BR134">
        <v>6.0913634573869172E-3</v>
      </c>
      <c r="BS134">
        <v>0</v>
      </c>
      <c r="BT134" s="68" t="s">
        <v>1264</v>
      </c>
      <c r="BU134" s="68">
        <v>1223</v>
      </c>
      <c r="BV134" s="68">
        <v>0.5</v>
      </c>
      <c r="BX134" s="68" t="s">
        <v>464</v>
      </c>
      <c r="BY134" s="68" t="s">
        <v>464</v>
      </c>
      <c r="BZ134" s="68">
        <v>0</v>
      </c>
      <c r="CA134" s="68">
        <v>4.16</v>
      </c>
      <c r="CB134" s="68">
        <v>0.6</v>
      </c>
      <c r="CC134" s="68">
        <v>0</v>
      </c>
      <c r="CD134" s="68" t="s">
        <v>464</v>
      </c>
      <c r="CE134" s="68" t="s">
        <v>464</v>
      </c>
      <c r="CF134" s="68" t="s">
        <v>1266</v>
      </c>
      <c r="CG134" s="68">
        <v>450</v>
      </c>
      <c r="CI134" s="68" t="s">
        <v>1287</v>
      </c>
      <c r="CK134" s="70">
        <v>69.2</v>
      </c>
    </row>
    <row r="135" spans="1:90" x14ac:dyDescent="0.3">
      <c r="A135" t="s">
        <v>74</v>
      </c>
      <c r="B135" t="s">
        <v>318</v>
      </c>
      <c r="C135" t="s">
        <v>3995</v>
      </c>
      <c r="D135" s="12"/>
      <c r="E135">
        <v>3.52</v>
      </c>
      <c r="F135" t="s">
        <v>77</v>
      </c>
      <c r="G135" s="74" t="s">
        <v>561</v>
      </c>
      <c r="H135" s="1" t="s">
        <v>639</v>
      </c>
      <c r="J135" s="97" t="s">
        <v>1779</v>
      </c>
      <c r="M135" t="b">
        <v>1</v>
      </c>
      <c r="N135" t="b">
        <v>0</v>
      </c>
      <c r="O135" t="b">
        <v>0</v>
      </c>
      <c r="P135" t="b">
        <v>0</v>
      </c>
      <c r="Q135" t="s">
        <v>1915</v>
      </c>
      <c r="R135" t="s">
        <v>639</v>
      </c>
      <c r="U135" s="20">
        <v>0</v>
      </c>
      <c r="V135">
        <v>4</v>
      </c>
      <c r="W135">
        <v>0</v>
      </c>
      <c r="AC135" s="20">
        <v>0</v>
      </c>
      <c r="AD135" s="20"/>
      <c r="AE135" s="20"/>
      <c r="AF135">
        <v>10.103899999999999</v>
      </c>
      <c r="AG135">
        <v>13.944800000000001</v>
      </c>
      <c r="AH135">
        <v>16.4237</v>
      </c>
      <c r="AI135">
        <v>0</v>
      </c>
      <c r="AM135">
        <v>8</v>
      </c>
      <c r="AN135" s="44">
        <f t="shared" si="9"/>
        <v>0</v>
      </c>
      <c r="AO135" s="46">
        <v>0</v>
      </c>
      <c r="AP135" s="44">
        <v>2303.3090882103638</v>
      </c>
      <c r="AQ135" s="44">
        <v>0</v>
      </c>
      <c r="AR135" s="41"/>
      <c r="AS135" s="40"/>
      <c r="AT135" s="41">
        <v>1.3893055067508771E-2</v>
      </c>
      <c r="AU135" s="41"/>
      <c r="AV135" s="23">
        <v>1.857142857142857</v>
      </c>
      <c r="AW135" s="23">
        <v>2.285714285714286</v>
      </c>
      <c r="AX135" s="23">
        <v>0.42857142857142849</v>
      </c>
      <c r="AY135" s="23">
        <v>0</v>
      </c>
      <c r="AZ135" s="23">
        <v>0.40625000000000011</v>
      </c>
      <c r="BA135" s="23">
        <v>0.5</v>
      </c>
      <c r="BB135" s="23">
        <v>9.375E-2</v>
      </c>
      <c r="BC135" s="23">
        <v>0</v>
      </c>
      <c r="BD135" s="20">
        <v>0.82</v>
      </c>
      <c r="BE135" s="20">
        <v>3.44</v>
      </c>
      <c r="BF135" s="20">
        <v>2.62</v>
      </c>
      <c r="BG135" s="20">
        <v>2.4390000000000001</v>
      </c>
      <c r="BH135">
        <v>2.4390000000000001</v>
      </c>
      <c r="BI135">
        <v>5.5936785899999997</v>
      </c>
      <c r="BJ135" s="64"/>
      <c r="BK135" s="64"/>
      <c r="BL135" s="64"/>
      <c r="BO135">
        <v>6.9465275337543854E-3</v>
      </c>
      <c r="BQ135">
        <v>1.3893055067508771E-2</v>
      </c>
      <c r="BR135">
        <v>6.9465275337543854E-3</v>
      </c>
      <c r="BS135">
        <v>0</v>
      </c>
      <c r="BT135" s="68" t="s">
        <v>1264</v>
      </c>
      <c r="BU135" s="68">
        <v>1223</v>
      </c>
      <c r="BV135" s="68">
        <v>0.5</v>
      </c>
      <c r="BX135" s="68" t="s">
        <v>464</v>
      </c>
      <c r="BY135" s="68" t="s">
        <v>464</v>
      </c>
      <c r="BZ135" s="68">
        <v>0</v>
      </c>
      <c r="CA135" s="68">
        <v>3.52</v>
      </c>
      <c r="CB135" s="68">
        <v>0.6</v>
      </c>
      <c r="CC135" s="68">
        <v>0</v>
      </c>
      <c r="CD135" s="68" t="s">
        <v>464</v>
      </c>
      <c r="CE135" s="68" t="s">
        <v>464</v>
      </c>
      <c r="CF135" s="68" t="s">
        <v>1266</v>
      </c>
      <c r="CG135" s="68">
        <v>450</v>
      </c>
      <c r="CI135" s="68" t="s">
        <v>1287</v>
      </c>
      <c r="CK135" s="70">
        <v>34</v>
      </c>
    </row>
    <row r="136" spans="1:90" x14ac:dyDescent="0.3">
      <c r="A136" t="s">
        <v>73</v>
      </c>
      <c r="B136" t="s">
        <v>318</v>
      </c>
      <c r="C136" t="s">
        <v>3996</v>
      </c>
      <c r="D136" s="12"/>
      <c r="E136">
        <v>3.43</v>
      </c>
      <c r="F136" t="s">
        <v>77</v>
      </c>
      <c r="G136" s="74" t="s">
        <v>561</v>
      </c>
      <c r="H136" s="1" t="s">
        <v>639</v>
      </c>
      <c r="J136" t="s">
        <v>1738</v>
      </c>
      <c r="K136" t="s">
        <v>1738</v>
      </c>
      <c r="M136" t="b">
        <v>1</v>
      </c>
      <c r="N136" t="b">
        <v>1</v>
      </c>
      <c r="O136" t="b">
        <v>0</v>
      </c>
      <c r="P136" t="b">
        <v>0</v>
      </c>
      <c r="Q136" t="s">
        <v>1916</v>
      </c>
      <c r="R136" t="s">
        <v>1965</v>
      </c>
      <c r="U136" s="20">
        <v>0</v>
      </c>
      <c r="V136">
        <v>2</v>
      </c>
      <c r="W136">
        <v>0</v>
      </c>
      <c r="AC136" s="20">
        <v>0</v>
      </c>
      <c r="AD136" s="20"/>
      <c r="AE136" s="20"/>
      <c r="AF136">
        <v>5.4507000000000003</v>
      </c>
      <c r="AG136">
        <v>9.7352000000000007</v>
      </c>
      <c r="AH136">
        <v>31.373799999999999</v>
      </c>
      <c r="AI136">
        <v>0</v>
      </c>
      <c r="AM136">
        <v>8</v>
      </c>
      <c r="AN136" s="44">
        <f t="shared" si="9"/>
        <v>0</v>
      </c>
      <c r="AO136" s="46">
        <v>0</v>
      </c>
      <c r="AP136" s="44">
        <v>1647.0185271674609</v>
      </c>
      <c r="AQ136" s="44">
        <v>0</v>
      </c>
      <c r="AR136" s="41"/>
      <c r="AS136" s="40"/>
      <c r="AT136" s="41">
        <v>9.714523386398553E-3</v>
      </c>
      <c r="AU136" s="41"/>
      <c r="AV136" s="23">
        <v>1.857142857142857</v>
      </c>
      <c r="AW136" s="23">
        <v>2.285714285714286</v>
      </c>
      <c r="AX136" s="23">
        <v>0.42857142857142849</v>
      </c>
      <c r="AY136" s="23">
        <v>0</v>
      </c>
      <c r="AZ136" s="23">
        <v>0.40625000000000011</v>
      </c>
      <c r="BA136" s="23">
        <v>0.5</v>
      </c>
      <c r="BB136" s="23">
        <v>9.375E-2</v>
      </c>
      <c r="BC136" s="23">
        <v>0</v>
      </c>
      <c r="BD136" s="20">
        <v>0.82</v>
      </c>
      <c r="BE136" s="20">
        <v>3.44</v>
      </c>
      <c r="BF136" s="20">
        <v>2.62</v>
      </c>
      <c r="BG136" s="20">
        <v>2.4300000000000002</v>
      </c>
      <c r="BH136">
        <v>2.4300000000000002</v>
      </c>
      <c r="BI136">
        <v>5.5971875185714284</v>
      </c>
      <c r="BJ136" s="64"/>
      <c r="BK136" s="64"/>
      <c r="BL136" s="64"/>
      <c r="BO136">
        <v>4.8572616931992756E-3</v>
      </c>
      <c r="BQ136">
        <v>9.714523386398553E-3</v>
      </c>
      <c r="BR136">
        <v>4.8572616931992756E-3</v>
      </c>
      <c r="BS136">
        <v>0</v>
      </c>
      <c r="BT136" s="68" t="s">
        <v>1264</v>
      </c>
      <c r="BU136" s="68">
        <v>1223</v>
      </c>
      <c r="BV136" s="68">
        <v>0.5</v>
      </c>
      <c r="BX136" s="68" t="s">
        <v>464</v>
      </c>
      <c r="BY136" s="68" t="s">
        <v>464</v>
      </c>
      <c r="BZ136" s="68">
        <v>0</v>
      </c>
      <c r="CA136" s="68">
        <v>3.43</v>
      </c>
      <c r="CB136" s="68">
        <v>0.6</v>
      </c>
      <c r="CC136" s="68">
        <v>0</v>
      </c>
      <c r="CD136" s="68" t="s">
        <v>464</v>
      </c>
      <c r="CE136" s="68" t="s">
        <v>464</v>
      </c>
      <c r="CF136" s="68" t="s">
        <v>1266</v>
      </c>
      <c r="CG136" s="68">
        <v>450</v>
      </c>
      <c r="CI136" s="68" t="s">
        <v>1287</v>
      </c>
      <c r="CK136" s="70">
        <v>12.5</v>
      </c>
    </row>
    <row r="137" spans="1:90" x14ac:dyDescent="0.3">
      <c r="A137" t="s">
        <v>71</v>
      </c>
      <c r="B137" t="s">
        <v>318</v>
      </c>
      <c r="C137" t="s">
        <v>3991</v>
      </c>
      <c r="D137" s="12"/>
      <c r="E137">
        <v>3.59</v>
      </c>
      <c r="F137" t="s">
        <v>77</v>
      </c>
      <c r="G137" s="8" t="s">
        <v>561</v>
      </c>
      <c r="H137" t="s">
        <v>639</v>
      </c>
      <c r="M137" t="b">
        <v>1</v>
      </c>
      <c r="N137" t="b">
        <v>1</v>
      </c>
      <c r="O137" t="b">
        <v>0</v>
      </c>
      <c r="P137" t="b">
        <v>0</v>
      </c>
      <c r="Q137" t="s">
        <v>561</v>
      </c>
      <c r="R137" t="s">
        <v>639</v>
      </c>
      <c r="U137" s="20">
        <v>2</v>
      </c>
      <c r="V137">
        <v>2</v>
      </c>
      <c r="W137">
        <v>0</v>
      </c>
      <c r="AC137" s="20">
        <v>3.8703880000000002</v>
      </c>
      <c r="AD137" s="20">
        <v>3.8703880000000002</v>
      </c>
      <c r="AE137" s="20">
        <v>13.604850000000001</v>
      </c>
      <c r="AF137">
        <v>3.8415499999999998</v>
      </c>
      <c r="AG137">
        <v>3.8415499999999998</v>
      </c>
      <c r="AH137">
        <v>13.4695</v>
      </c>
      <c r="AI137">
        <v>0</v>
      </c>
      <c r="AM137">
        <v>8</v>
      </c>
      <c r="AN137" s="44">
        <f t="shared" ref="AN137:AN142" si="14">X137*Y137*Z137</f>
        <v>0</v>
      </c>
      <c r="AO137" s="46">
        <v>203.79933701026059</v>
      </c>
      <c r="AP137" s="44">
        <v>198.77623248847371</v>
      </c>
      <c r="AQ137" s="44">
        <v>0</v>
      </c>
      <c r="AR137" s="41"/>
      <c r="AS137" s="40">
        <v>7.8508596910668346E-2</v>
      </c>
      <c r="AT137" s="41">
        <v>8.0492520658513728E-2</v>
      </c>
      <c r="AU137" s="41"/>
      <c r="AV137" s="23">
        <v>1.857142857142857</v>
      </c>
      <c r="AW137" s="23">
        <v>2.285714285714286</v>
      </c>
      <c r="AX137" s="23">
        <v>0.42857142857142849</v>
      </c>
      <c r="AY137" s="23">
        <v>0</v>
      </c>
      <c r="AZ137" s="23">
        <v>0.40625000000000011</v>
      </c>
      <c r="BA137" s="23">
        <v>0.5</v>
      </c>
      <c r="BB137" s="23">
        <v>9.375E-2</v>
      </c>
      <c r="BC137" s="23">
        <v>0</v>
      </c>
      <c r="BD137" s="20">
        <v>0.82</v>
      </c>
      <c r="BE137" s="20">
        <v>3.44</v>
      </c>
      <c r="BF137" s="20">
        <v>2.62</v>
      </c>
      <c r="BG137" s="20">
        <v>2.46</v>
      </c>
      <c r="BH137">
        <v>2.46</v>
      </c>
      <c r="BI137">
        <v>5.5854910899999997</v>
      </c>
      <c r="BJ137" s="64">
        <v>0.55645098073491572</v>
      </c>
      <c r="BK137" s="64">
        <v>0.57051257855519</v>
      </c>
      <c r="BL137" s="64"/>
      <c r="BN137">
        <v>3.9254298455334173E-2</v>
      </c>
      <c r="BO137">
        <v>4.0246260329256871E-2</v>
      </c>
      <c r="BQ137">
        <v>7.950055878459103E-2</v>
      </c>
      <c r="BR137">
        <v>3.9750279392295522E-2</v>
      </c>
      <c r="BS137">
        <v>0.56348177964505286</v>
      </c>
      <c r="BT137" s="68" t="s">
        <v>1264</v>
      </c>
      <c r="BU137" s="68">
        <v>1223</v>
      </c>
      <c r="BV137" s="68">
        <v>0.5</v>
      </c>
      <c r="BX137" s="68" t="s">
        <v>1275</v>
      </c>
      <c r="BY137" s="68" t="s">
        <v>56</v>
      </c>
      <c r="BZ137" s="68">
        <v>2</v>
      </c>
      <c r="CA137" s="68">
        <v>3.59</v>
      </c>
      <c r="CB137" s="68">
        <v>0.6</v>
      </c>
      <c r="CC137" s="68">
        <v>0</v>
      </c>
      <c r="CD137" s="68" t="s">
        <v>464</v>
      </c>
      <c r="CE137" s="68" t="s">
        <v>464</v>
      </c>
      <c r="CF137" s="68" t="s">
        <v>1266</v>
      </c>
      <c r="CG137" s="68">
        <v>450</v>
      </c>
      <c r="CI137" s="68" t="s">
        <v>1287</v>
      </c>
      <c r="CK137" s="70">
        <v>36</v>
      </c>
    </row>
    <row r="138" spans="1:90" x14ac:dyDescent="0.3">
      <c r="A138" t="s">
        <v>72</v>
      </c>
      <c r="B138" t="s">
        <v>318</v>
      </c>
      <c r="C138" t="s">
        <v>3992</v>
      </c>
      <c r="D138" s="12"/>
      <c r="E138">
        <v>3.74</v>
      </c>
      <c r="F138" t="s">
        <v>77</v>
      </c>
      <c r="G138" s="74" t="s">
        <v>561</v>
      </c>
      <c r="H138" s="1" t="s">
        <v>639</v>
      </c>
      <c r="J138" s="97" t="s">
        <v>1776</v>
      </c>
      <c r="M138" t="b">
        <v>1</v>
      </c>
      <c r="N138" t="b">
        <v>1</v>
      </c>
      <c r="O138" t="b">
        <v>0</v>
      </c>
      <c r="P138" t="b">
        <v>0</v>
      </c>
      <c r="Q138" t="s">
        <v>1917</v>
      </c>
      <c r="R138" t="s">
        <v>639</v>
      </c>
      <c r="U138" s="20">
        <v>0</v>
      </c>
      <c r="V138">
        <v>2</v>
      </c>
      <c r="W138">
        <v>0</v>
      </c>
      <c r="AC138" s="20">
        <v>0</v>
      </c>
      <c r="AD138" s="20"/>
      <c r="AE138" s="20"/>
      <c r="AF138">
        <v>3.8415499999999998</v>
      </c>
      <c r="AG138">
        <v>3.8415499999999998</v>
      </c>
      <c r="AH138">
        <v>13.4695</v>
      </c>
      <c r="AI138">
        <v>0</v>
      </c>
      <c r="AM138">
        <v>8</v>
      </c>
      <c r="AN138" s="44">
        <f t="shared" si="14"/>
        <v>0</v>
      </c>
      <c r="AO138" s="46">
        <v>0</v>
      </c>
      <c r="AP138" s="44">
        <v>198.77623248847371</v>
      </c>
      <c r="AQ138" s="44">
        <v>0</v>
      </c>
      <c r="AR138" s="41"/>
      <c r="AS138" s="40"/>
      <c r="AT138" s="41">
        <v>8.0492520658513728E-2</v>
      </c>
      <c r="AU138" s="41"/>
      <c r="AV138" s="23">
        <v>1.857142857142857</v>
      </c>
      <c r="AW138" s="23">
        <v>2.285714285714286</v>
      </c>
      <c r="AX138" s="23">
        <v>0.42857142857142849</v>
      </c>
      <c r="AY138" s="23">
        <v>0</v>
      </c>
      <c r="AZ138" s="23">
        <v>0.40625000000000011</v>
      </c>
      <c r="BA138" s="23">
        <v>0.5</v>
      </c>
      <c r="BB138" s="23">
        <v>9.375E-2</v>
      </c>
      <c r="BC138" s="23">
        <v>0</v>
      </c>
      <c r="BD138" s="20">
        <v>0.82</v>
      </c>
      <c r="BE138" s="20">
        <v>3.44</v>
      </c>
      <c r="BF138" s="20">
        <v>2.62</v>
      </c>
      <c r="BG138" s="20">
        <v>2.4569999999999999</v>
      </c>
      <c r="BH138">
        <v>2.4569999999999999</v>
      </c>
      <c r="BI138">
        <v>5.5866607328571423</v>
      </c>
      <c r="BJ138" s="64">
        <v>0.55645098073491572</v>
      </c>
      <c r="BK138" s="64">
        <v>0.57051257855519</v>
      </c>
      <c r="BL138" s="64"/>
      <c r="BO138">
        <v>4.0246260329256871E-2</v>
      </c>
      <c r="BQ138">
        <v>8.0492520658513728E-2</v>
      </c>
      <c r="BR138">
        <v>4.0246260329256871E-2</v>
      </c>
      <c r="BS138">
        <v>0.56348177964505286</v>
      </c>
      <c r="BT138" s="68" t="s">
        <v>1264</v>
      </c>
      <c r="BU138" s="68">
        <v>1223</v>
      </c>
      <c r="BV138" s="68">
        <v>0.5</v>
      </c>
      <c r="BX138" s="68" t="s">
        <v>1275</v>
      </c>
      <c r="BY138" s="68" t="s">
        <v>56</v>
      </c>
      <c r="BZ138" s="68">
        <v>2</v>
      </c>
      <c r="CA138" s="68">
        <v>3.74</v>
      </c>
      <c r="CB138" s="68">
        <v>0.6</v>
      </c>
      <c r="CC138" s="68">
        <v>0</v>
      </c>
      <c r="CD138" s="68" t="s">
        <v>464</v>
      </c>
      <c r="CE138" s="68" t="s">
        <v>464</v>
      </c>
      <c r="CF138" s="68" t="s">
        <v>1266</v>
      </c>
      <c r="CG138" s="68">
        <v>450</v>
      </c>
      <c r="CI138" s="68" t="s">
        <v>1287</v>
      </c>
      <c r="CK138" s="70">
        <v>65.400000000000006</v>
      </c>
    </row>
    <row r="139" spans="1:90" x14ac:dyDescent="0.3">
      <c r="A139" t="s">
        <v>76</v>
      </c>
      <c r="B139" t="s">
        <v>318</v>
      </c>
      <c r="C139" t="s">
        <v>3993</v>
      </c>
      <c r="D139" s="12"/>
      <c r="E139">
        <v>3.82</v>
      </c>
      <c r="F139" t="s">
        <v>77</v>
      </c>
      <c r="G139" s="74" t="s">
        <v>561</v>
      </c>
      <c r="H139" s="1" t="s">
        <v>639</v>
      </c>
      <c r="J139" s="97" t="s">
        <v>1777</v>
      </c>
      <c r="M139" t="b">
        <v>1</v>
      </c>
      <c r="N139" t="b">
        <v>0</v>
      </c>
      <c r="O139" t="b">
        <v>0</v>
      </c>
      <c r="P139" t="b">
        <v>0</v>
      </c>
      <c r="Q139" t="s">
        <v>1918</v>
      </c>
      <c r="R139" t="s">
        <v>639</v>
      </c>
      <c r="U139" s="20">
        <v>0</v>
      </c>
      <c r="V139">
        <v>1</v>
      </c>
      <c r="W139">
        <v>0</v>
      </c>
      <c r="AC139" s="20">
        <v>0</v>
      </c>
      <c r="AD139" s="20"/>
      <c r="AE139" s="20"/>
      <c r="AF139">
        <v>6.7352999999999987</v>
      </c>
      <c r="AG139">
        <v>8.0756999999999994</v>
      </c>
      <c r="AH139">
        <v>15.016999999999999</v>
      </c>
      <c r="AI139">
        <v>0</v>
      </c>
      <c r="AM139">
        <v>8</v>
      </c>
      <c r="AN139" s="44">
        <f t="shared" si="14"/>
        <v>0</v>
      </c>
      <c r="AO139" s="46">
        <v>0</v>
      </c>
      <c r="AP139" s="44">
        <v>801.31327174450405</v>
      </c>
      <c r="AQ139" s="44">
        <v>0</v>
      </c>
      <c r="AR139" s="41"/>
      <c r="AS139" s="40"/>
      <c r="AT139" s="41">
        <v>9.9836110071951645E-3</v>
      </c>
      <c r="AU139" s="41"/>
      <c r="AV139" s="23">
        <v>1.857142857142857</v>
      </c>
      <c r="AW139" s="23">
        <v>2.285714285714286</v>
      </c>
      <c r="AX139" s="23">
        <v>0.42857142857142849</v>
      </c>
      <c r="AY139" s="23">
        <v>0</v>
      </c>
      <c r="AZ139" s="23">
        <v>0.40625000000000011</v>
      </c>
      <c r="BA139" s="23">
        <v>0.5</v>
      </c>
      <c r="BB139" s="23">
        <v>9.375E-2</v>
      </c>
      <c r="BC139" s="23">
        <v>0</v>
      </c>
      <c r="BD139" s="20">
        <v>0.82</v>
      </c>
      <c r="BE139" s="20">
        <v>3.44</v>
      </c>
      <c r="BF139" s="20">
        <v>2.62</v>
      </c>
      <c r="BG139" s="20">
        <v>2.4510000000000001</v>
      </c>
      <c r="BH139">
        <v>2.4510000000000001</v>
      </c>
      <c r="BI139">
        <v>5.5890000185714284</v>
      </c>
      <c r="BJ139" s="64"/>
      <c r="BK139" s="64">
        <v>0.26693366029414328</v>
      </c>
      <c r="BL139" s="64"/>
      <c r="BO139">
        <v>4.9918055035975822E-3</v>
      </c>
      <c r="BQ139">
        <v>9.9836110071951645E-3</v>
      </c>
      <c r="BR139">
        <v>4.9918055035975822E-3</v>
      </c>
      <c r="BS139">
        <v>0.26693366029414328</v>
      </c>
      <c r="BT139" s="68" t="s">
        <v>1264</v>
      </c>
      <c r="BU139" s="68">
        <v>1223</v>
      </c>
      <c r="BV139" s="68">
        <v>0.5</v>
      </c>
      <c r="BX139" s="68" t="s">
        <v>1275</v>
      </c>
      <c r="BY139" s="68" t="s">
        <v>56</v>
      </c>
      <c r="BZ139" s="68">
        <v>2</v>
      </c>
      <c r="CA139" s="68">
        <v>3.82</v>
      </c>
      <c r="CB139" s="68">
        <v>0.6</v>
      </c>
      <c r="CC139" s="68">
        <v>0</v>
      </c>
      <c r="CD139" s="68" t="s">
        <v>464</v>
      </c>
      <c r="CE139" s="68" t="s">
        <v>464</v>
      </c>
      <c r="CF139" s="68" t="s">
        <v>1266</v>
      </c>
      <c r="CG139" s="68">
        <v>450</v>
      </c>
      <c r="CI139" s="68" t="s">
        <v>1287</v>
      </c>
      <c r="CK139" s="70">
        <v>84.2</v>
      </c>
    </row>
    <row r="140" spans="1:90" x14ac:dyDescent="0.3">
      <c r="A140" t="s">
        <v>75</v>
      </c>
      <c r="B140" t="s">
        <v>318</v>
      </c>
      <c r="C140" t="s">
        <v>3994</v>
      </c>
      <c r="D140" s="12"/>
      <c r="E140">
        <v>4.16</v>
      </c>
      <c r="F140" t="s">
        <v>77</v>
      </c>
      <c r="G140" s="74" t="s">
        <v>561</v>
      </c>
      <c r="H140" s="1" t="s">
        <v>639</v>
      </c>
      <c r="J140" s="97" t="s">
        <v>1778</v>
      </c>
      <c r="M140" t="b">
        <v>1</v>
      </c>
      <c r="N140" t="b">
        <v>0</v>
      </c>
      <c r="O140" t="b">
        <v>0</v>
      </c>
      <c r="P140" t="b">
        <v>0</v>
      </c>
      <c r="Q140" t="s">
        <v>1919</v>
      </c>
      <c r="R140" t="s">
        <v>639</v>
      </c>
      <c r="U140" s="20">
        <v>0</v>
      </c>
      <c r="V140">
        <v>4</v>
      </c>
      <c r="W140">
        <v>0</v>
      </c>
      <c r="AC140" s="20">
        <v>0</v>
      </c>
      <c r="AD140" s="20"/>
      <c r="AE140" s="20"/>
      <c r="AF140">
        <v>18.184000000000001</v>
      </c>
      <c r="AG140">
        <v>13.009</v>
      </c>
      <c r="AH140">
        <v>13.112</v>
      </c>
      <c r="AI140">
        <v>0</v>
      </c>
      <c r="AM140">
        <v>8</v>
      </c>
      <c r="AN140" s="44">
        <f t="shared" si="14"/>
        <v>0</v>
      </c>
      <c r="AO140" s="46">
        <v>0</v>
      </c>
      <c r="AP140" s="44">
        <v>2626.6697286954709</v>
      </c>
      <c r="AQ140" s="44">
        <v>0</v>
      </c>
      <c r="AR140" s="41"/>
      <c r="AS140" s="40"/>
      <c r="AT140" s="41">
        <v>1.2182726914773829E-2</v>
      </c>
      <c r="AU140" s="41"/>
      <c r="AV140" s="23">
        <v>1.857142857142857</v>
      </c>
      <c r="AW140" s="23">
        <v>2.285714285714286</v>
      </c>
      <c r="AX140" s="23">
        <v>0.42857142857142849</v>
      </c>
      <c r="AY140" s="23">
        <v>0</v>
      </c>
      <c r="AZ140" s="23">
        <v>0.40625000000000011</v>
      </c>
      <c r="BA140" s="23">
        <v>0.5</v>
      </c>
      <c r="BB140" s="23">
        <v>9.375E-2</v>
      </c>
      <c r="BC140" s="23">
        <v>0</v>
      </c>
      <c r="BD140" s="20">
        <v>0.82</v>
      </c>
      <c r="BE140" s="20">
        <v>3.44</v>
      </c>
      <c r="BF140" s="20">
        <v>2.62</v>
      </c>
      <c r="BG140" s="20">
        <v>2.4449999999999998</v>
      </c>
      <c r="BH140">
        <v>2.4449999999999998</v>
      </c>
      <c r="BI140">
        <v>5.5913393042857136</v>
      </c>
      <c r="BJ140" s="64"/>
      <c r="BK140" s="64"/>
      <c r="BL140" s="64"/>
      <c r="BO140">
        <v>6.0913634573869172E-3</v>
      </c>
      <c r="BQ140">
        <v>1.2182726914773829E-2</v>
      </c>
      <c r="BR140">
        <v>6.0913634573869172E-3</v>
      </c>
      <c r="BS140">
        <v>0</v>
      </c>
      <c r="BT140" s="68" t="s">
        <v>1264</v>
      </c>
      <c r="BU140" s="68">
        <v>1223</v>
      </c>
      <c r="BV140" s="68">
        <v>0.5</v>
      </c>
      <c r="BX140" s="68" t="s">
        <v>1275</v>
      </c>
      <c r="BY140" s="68" t="s">
        <v>56</v>
      </c>
      <c r="BZ140" s="68">
        <v>2</v>
      </c>
      <c r="CA140" s="68">
        <v>4.16</v>
      </c>
      <c r="CB140" s="68">
        <v>0.6</v>
      </c>
      <c r="CC140" s="68">
        <v>0</v>
      </c>
      <c r="CD140" s="68" t="s">
        <v>464</v>
      </c>
      <c r="CE140" s="68" t="s">
        <v>464</v>
      </c>
      <c r="CF140" s="68" t="s">
        <v>1266</v>
      </c>
      <c r="CG140" s="68">
        <v>450</v>
      </c>
      <c r="CI140" s="68" t="s">
        <v>1287</v>
      </c>
      <c r="CK140" s="70">
        <v>69.2</v>
      </c>
    </row>
    <row r="141" spans="1:90" x14ac:dyDescent="0.3">
      <c r="A141" t="s">
        <v>74</v>
      </c>
      <c r="B141" t="s">
        <v>318</v>
      </c>
      <c r="C141" t="s">
        <v>3995</v>
      </c>
      <c r="D141" s="12"/>
      <c r="E141">
        <v>3.52</v>
      </c>
      <c r="F141" t="s">
        <v>77</v>
      </c>
      <c r="G141" s="74" t="s">
        <v>561</v>
      </c>
      <c r="H141" s="1" t="s">
        <v>639</v>
      </c>
      <c r="J141" s="97" t="s">
        <v>1779</v>
      </c>
      <c r="M141" t="b">
        <v>1</v>
      </c>
      <c r="N141" t="b">
        <v>0</v>
      </c>
      <c r="O141" t="b">
        <v>0</v>
      </c>
      <c r="P141" t="b">
        <v>0</v>
      </c>
      <c r="Q141" t="s">
        <v>1920</v>
      </c>
      <c r="R141" t="s">
        <v>639</v>
      </c>
      <c r="U141" s="20">
        <v>0</v>
      </c>
      <c r="V141">
        <v>4</v>
      </c>
      <c r="W141">
        <v>0</v>
      </c>
      <c r="AC141" s="20">
        <v>0</v>
      </c>
      <c r="AD141" s="20"/>
      <c r="AE141" s="20"/>
      <c r="AF141">
        <v>10.103899999999999</v>
      </c>
      <c r="AG141">
        <v>13.944800000000001</v>
      </c>
      <c r="AH141">
        <v>16.4237</v>
      </c>
      <c r="AI141">
        <v>0</v>
      </c>
      <c r="AM141">
        <v>8</v>
      </c>
      <c r="AN141" s="44">
        <f t="shared" si="14"/>
        <v>0</v>
      </c>
      <c r="AO141" s="46">
        <v>0</v>
      </c>
      <c r="AP141" s="44">
        <v>2303.3090882103638</v>
      </c>
      <c r="AQ141" s="44">
        <v>0</v>
      </c>
      <c r="AR141" s="41"/>
      <c r="AS141" s="40"/>
      <c r="AT141" s="41">
        <v>1.3893055067508771E-2</v>
      </c>
      <c r="AU141" s="41"/>
      <c r="AV141" s="23">
        <v>1.857142857142857</v>
      </c>
      <c r="AW141" s="23">
        <v>2.285714285714286</v>
      </c>
      <c r="AX141" s="23">
        <v>0.42857142857142849</v>
      </c>
      <c r="AY141" s="23">
        <v>0</v>
      </c>
      <c r="AZ141" s="23">
        <v>0.40625000000000011</v>
      </c>
      <c r="BA141" s="23">
        <v>0.5</v>
      </c>
      <c r="BB141" s="23">
        <v>9.375E-2</v>
      </c>
      <c r="BC141" s="23">
        <v>0</v>
      </c>
      <c r="BD141" s="20">
        <v>0.82</v>
      </c>
      <c r="BE141" s="20">
        <v>3.44</v>
      </c>
      <c r="BF141" s="20">
        <v>2.62</v>
      </c>
      <c r="BG141" s="20">
        <v>2.4390000000000001</v>
      </c>
      <c r="BH141">
        <v>2.4390000000000001</v>
      </c>
      <c r="BI141">
        <v>5.5936785899999997</v>
      </c>
      <c r="BJ141" s="64"/>
      <c r="BK141" s="64"/>
      <c r="BL141" s="64"/>
      <c r="BO141">
        <v>6.9465275337543854E-3</v>
      </c>
      <c r="BQ141">
        <v>1.3893055067508771E-2</v>
      </c>
      <c r="BR141">
        <v>6.9465275337543854E-3</v>
      </c>
      <c r="BS141">
        <v>0</v>
      </c>
      <c r="BT141" s="68" t="s">
        <v>1264</v>
      </c>
      <c r="BU141" s="68">
        <v>1223</v>
      </c>
      <c r="BV141" s="68">
        <v>0.5</v>
      </c>
      <c r="BX141" s="68" t="s">
        <v>1275</v>
      </c>
      <c r="BY141" s="68" t="s">
        <v>56</v>
      </c>
      <c r="BZ141" s="68">
        <v>2</v>
      </c>
      <c r="CA141" s="68">
        <v>3.52</v>
      </c>
      <c r="CB141" s="68">
        <v>0.6</v>
      </c>
      <c r="CC141" s="68">
        <v>0</v>
      </c>
      <c r="CD141" s="68" t="s">
        <v>464</v>
      </c>
      <c r="CE141" s="68" t="s">
        <v>464</v>
      </c>
      <c r="CF141" s="68" t="s">
        <v>1266</v>
      </c>
      <c r="CG141" s="68">
        <v>450</v>
      </c>
      <c r="CI141" s="68" t="s">
        <v>1287</v>
      </c>
      <c r="CK141" s="70">
        <v>34</v>
      </c>
    </row>
    <row r="142" spans="1:90" x14ac:dyDescent="0.3">
      <c r="A142" t="s">
        <v>73</v>
      </c>
      <c r="B142" t="s">
        <v>318</v>
      </c>
      <c r="C142" t="s">
        <v>3996</v>
      </c>
      <c r="D142" s="12"/>
      <c r="E142">
        <v>3.43</v>
      </c>
      <c r="F142" t="s">
        <v>77</v>
      </c>
      <c r="G142" s="74" t="s">
        <v>561</v>
      </c>
      <c r="H142" s="1" t="s">
        <v>639</v>
      </c>
      <c r="J142" t="s">
        <v>1738</v>
      </c>
      <c r="K142" t="s">
        <v>1738</v>
      </c>
      <c r="M142" t="b">
        <v>1</v>
      </c>
      <c r="N142" t="b">
        <v>1</v>
      </c>
      <c r="O142" t="b">
        <v>0</v>
      </c>
      <c r="P142" t="b">
        <v>0</v>
      </c>
      <c r="Q142" t="s">
        <v>1921</v>
      </c>
      <c r="R142" t="s">
        <v>1967</v>
      </c>
      <c r="U142" s="20">
        <v>0</v>
      </c>
      <c r="V142">
        <v>2</v>
      </c>
      <c r="W142">
        <v>0</v>
      </c>
      <c r="AC142" s="20">
        <v>0</v>
      </c>
      <c r="AD142" s="20"/>
      <c r="AE142" s="20"/>
      <c r="AF142">
        <v>5.4507000000000003</v>
      </c>
      <c r="AG142">
        <v>9.7352000000000007</v>
      </c>
      <c r="AH142">
        <v>31.373799999999999</v>
      </c>
      <c r="AI142">
        <v>0</v>
      </c>
      <c r="AM142">
        <v>8</v>
      </c>
      <c r="AN142" s="44">
        <f t="shared" si="14"/>
        <v>0</v>
      </c>
      <c r="AO142" s="46">
        <v>0</v>
      </c>
      <c r="AP142" s="44">
        <v>1647.0185271674609</v>
      </c>
      <c r="AQ142" s="44">
        <v>0</v>
      </c>
      <c r="AR142" s="41"/>
      <c r="AS142" s="40"/>
      <c r="AT142" s="41">
        <v>9.714523386398553E-3</v>
      </c>
      <c r="AU142" s="41"/>
      <c r="AV142" s="23">
        <v>1.857142857142857</v>
      </c>
      <c r="AW142" s="23">
        <v>2.285714285714286</v>
      </c>
      <c r="AX142" s="23">
        <v>0.42857142857142849</v>
      </c>
      <c r="AY142" s="23">
        <v>0</v>
      </c>
      <c r="AZ142" s="23">
        <v>0.40625000000000011</v>
      </c>
      <c r="BA142" s="23">
        <v>0.5</v>
      </c>
      <c r="BB142" s="23">
        <v>9.375E-2</v>
      </c>
      <c r="BC142" s="23">
        <v>0</v>
      </c>
      <c r="BD142" s="20">
        <v>0.82</v>
      </c>
      <c r="BE142" s="20">
        <v>3.44</v>
      </c>
      <c r="BF142" s="20">
        <v>2.62</v>
      </c>
      <c r="BG142" s="20">
        <v>2.4300000000000002</v>
      </c>
      <c r="BH142">
        <v>2.4300000000000002</v>
      </c>
      <c r="BI142">
        <v>5.5971875185714284</v>
      </c>
      <c r="BJ142" s="64"/>
      <c r="BK142" s="64"/>
      <c r="BL142" s="64"/>
      <c r="BO142">
        <v>4.8572616931992756E-3</v>
      </c>
      <c r="BQ142">
        <v>9.714523386398553E-3</v>
      </c>
      <c r="BR142">
        <v>4.8572616931992756E-3</v>
      </c>
      <c r="BS142">
        <v>0</v>
      </c>
      <c r="BT142" s="68" t="s">
        <v>1264</v>
      </c>
      <c r="BU142" s="68">
        <v>1223</v>
      </c>
      <c r="BV142" s="68">
        <v>0.5</v>
      </c>
      <c r="BX142" s="68" t="s">
        <v>1275</v>
      </c>
      <c r="BY142" s="68" t="s">
        <v>56</v>
      </c>
      <c r="BZ142" s="68">
        <v>2</v>
      </c>
      <c r="CA142" s="68">
        <v>3.43</v>
      </c>
      <c r="CB142" s="68">
        <v>0.6</v>
      </c>
      <c r="CC142" s="68">
        <v>0</v>
      </c>
      <c r="CD142" s="68" t="s">
        <v>464</v>
      </c>
      <c r="CE142" s="68" t="s">
        <v>464</v>
      </c>
      <c r="CF142" s="68" t="s">
        <v>1266</v>
      </c>
      <c r="CG142" s="68">
        <v>450</v>
      </c>
      <c r="CI142" s="68" t="s">
        <v>1287</v>
      </c>
      <c r="CK142" s="70">
        <v>12.5</v>
      </c>
    </row>
    <row r="143" spans="1:90" x14ac:dyDescent="0.3">
      <c r="A143" t="s">
        <v>44</v>
      </c>
      <c r="B143" t="s">
        <v>2776</v>
      </c>
      <c r="C143" t="s">
        <v>3997</v>
      </c>
      <c r="D143" s="12"/>
      <c r="E143">
        <v>3.78</v>
      </c>
      <c r="F143" t="s">
        <v>80</v>
      </c>
      <c r="G143" s="102" t="s">
        <v>549</v>
      </c>
      <c r="H143">
        <v>-1</v>
      </c>
      <c r="I143" t="s">
        <v>2515</v>
      </c>
      <c r="M143" t="b">
        <v>1</v>
      </c>
      <c r="N143" t="b">
        <v>0</v>
      </c>
      <c r="O143" t="b">
        <v>1</v>
      </c>
      <c r="P143" t="b">
        <v>0</v>
      </c>
      <c r="Q143" t="s">
        <v>549</v>
      </c>
      <c r="R143">
        <v>-1</v>
      </c>
      <c r="S143" t="s">
        <v>2515</v>
      </c>
      <c r="T143">
        <v>2</v>
      </c>
      <c r="U143" s="20">
        <v>1</v>
      </c>
      <c r="V143">
        <v>0</v>
      </c>
      <c r="W143">
        <v>0</v>
      </c>
      <c r="X143">
        <v>3.859</v>
      </c>
      <c r="Y143">
        <v>3.859</v>
      </c>
      <c r="Z143">
        <v>29.047999999999998</v>
      </c>
      <c r="AA143" t="s">
        <v>440</v>
      </c>
      <c r="AB143">
        <v>14.523999999999999</v>
      </c>
      <c r="AC143" s="20">
        <v>15.28115725</v>
      </c>
      <c r="AD143" s="20">
        <v>15.28115725</v>
      </c>
      <c r="AE143" s="20">
        <v>15.28115725</v>
      </c>
      <c r="AF143">
        <v>0</v>
      </c>
      <c r="AI143">
        <v>0</v>
      </c>
      <c r="AL143">
        <v>3</v>
      </c>
      <c r="AM143">
        <v>20</v>
      </c>
      <c r="AN143" s="44">
        <f t="shared" si="9"/>
        <v>432.57935928799998</v>
      </c>
      <c r="AO143" s="46">
        <v>229.90248606119221</v>
      </c>
      <c r="AP143" s="44">
        <v>0</v>
      </c>
      <c r="AQ143" s="44">
        <v>0</v>
      </c>
      <c r="AR143" s="41"/>
      <c r="AS143" s="40">
        <v>8.6993404650164072E-2</v>
      </c>
      <c r="AT143" s="41"/>
      <c r="AU143" s="41"/>
      <c r="AV143" s="23">
        <v>1.882352941176471</v>
      </c>
      <c r="AW143" s="23">
        <v>2.3529411764705879</v>
      </c>
      <c r="AX143" s="23">
        <v>0.47058823529411759</v>
      </c>
      <c r="AY143" s="23">
        <v>0</v>
      </c>
      <c r="AZ143" s="23">
        <v>0.4</v>
      </c>
      <c r="BA143" s="23">
        <v>0.5</v>
      </c>
      <c r="BB143" s="23">
        <v>9.9999999999999992E-2</v>
      </c>
      <c r="BC143" s="23">
        <v>0</v>
      </c>
      <c r="BD143" s="20">
        <v>0.82</v>
      </c>
      <c r="BE143" s="20">
        <v>3.44</v>
      </c>
      <c r="BF143" s="20">
        <v>2.62</v>
      </c>
      <c r="BG143" s="20">
        <v>2.5211764705882351</v>
      </c>
      <c r="BH143">
        <v>2.521176470588236</v>
      </c>
      <c r="BI143">
        <v>5.6898745917647062</v>
      </c>
      <c r="BJ143" s="64">
        <v>0.57369840599679445</v>
      </c>
      <c r="BK143" s="64"/>
      <c r="BL143" s="64"/>
      <c r="BN143">
        <v>4.3496702325082043E-2</v>
      </c>
      <c r="BQ143">
        <v>8.6993404650164072E-2</v>
      </c>
      <c r="BR143">
        <v>4.3496702325082043E-2</v>
      </c>
      <c r="BS143">
        <v>0.57369840599679445</v>
      </c>
      <c r="BT143" s="68" t="s">
        <v>1264</v>
      </c>
      <c r="BU143" s="68">
        <f t="shared" ref="BU143:BU158" si="15">273+1050</f>
        <v>1323</v>
      </c>
      <c r="BV143" s="68">
        <v>48</v>
      </c>
      <c r="BX143" s="68" t="s">
        <v>464</v>
      </c>
      <c r="BY143" s="68" t="s">
        <v>464</v>
      </c>
      <c r="BZ143" s="68">
        <v>0</v>
      </c>
      <c r="CB143" s="68">
        <v>2</v>
      </c>
      <c r="CC143" s="68">
        <v>0</v>
      </c>
      <c r="CD143" s="68" t="s">
        <v>464</v>
      </c>
      <c r="CE143" s="68" t="s">
        <v>464</v>
      </c>
      <c r="CF143" s="68" t="s">
        <v>1266</v>
      </c>
      <c r="CG143" s="68">
        <v>1000</v>
      </c>
      <c r="CH143" s="68">
        <v>300</v>
      </c>
      <c r="CI143" s="68" t="s">
        <v>1310</v>
      </c>
      <c r="CJ143" s="68">
        <v>298</v>
      </c>
      <c r="CK143" s="70">
        <v>4.37</v>
      </c>
    </row>
    <row r="144" spans="1:90" x14ac:dyDescent="0.3">
      <c r="A144" t="s">
        <v>79</v>
      </c>
      <c r="B144" t="s">
        <v>2776</v>
      </c>
      <c r="C144" t="s">
        <v>3998</v>
      </c>
      <c r="D144" s="12"/>
      <c r="E144">
        <v>3.2</v>
      </c>
      <c r="F144" t="s">
        <v>80</v>
      </c>
      <c r="G144" s="25" t="s">
        <v>549</v>
      </c>
      <c r="H144">
        <v>-1</v>
      </c>
      <c r="I144" s="1" t="s">
        <v>2515</v>
      </c>
      <c r="J144" s="97" t="s">
        <v>1780</v>
      </c>
      <c r="K144" s="1"/>
      <c r="L144" s="97" t="s">
        <v>1780</v>
      </c>
      <c r="M144" t="b">
        <v>1</v>
      </c>
      <c r="N144" t="b">
        <v>0</v>
      </c>
      <c r="O144" t="b">
        <v>1</v>
      </c>
      <c r="P144" t="b">
        <v>0</v>
      </c>
      <c r="Q144" t="s">
        <v>1922</v>
      </c>
      <c r="R144">
        <v>-1</v>
      </c>
      <c r="S144" t="s">
        <v>1929</v>
      </c>
      <c r="T144">
        <v>2</v>
      </c>
      <c r="U144" s="20">
        <v>0</v>
      </c>
      <c r="V144">
        <v>0</v>
      </c>
      <c r="W144">
        <v>0</v>
      </c>
      <c r="X144">
        <v>3.8650000000000002</v>
      </c>
      <c r="Y144">
        <v>3.8650000000000002</v>
      </c>
      <c r="Z144">
        <v>29.241</v>
      </c>
      <c r="AB144">
        <v>14.6205</v>
      </c>
      <c r="AC144" s="20">
        <v>0</v>
      </c>
      <c r="AD144" s="20"/>
      <c r="AE144" s="20"/>
      <c r="AF144">
        <v>0</v>
      </c>
      <c r="AI144">
        <v>0</v>
      </c>
      <c r="AL144">
        <v>3</v>
      </c>
      <c r="AM144">
        <v>20</v>
      </c>
      <c r="AN144" s="44">
        <f t="shared" si="9"/>
        <v>436.80863722500004</v>
      </c>
      <c r="AO144" s="46">
        <v>0</v>
      </c>
      <c r="AP144" s="44">
        <v>0</v>
      </c>
      <c r="AQ144" s="44">
        <v>0</v>
      </c>
      <c r="AR144" s="41">
        <f>T144*AM144/AN144</f>
        <v>9.1573280817238076E-2</v>
      </c>
      <c r="AS144" s="40"/>
      <c r="AT144" s="41"/>
      <c r="AU144" s="41"/>
      <c r="AV144" s="23">
        <v>1.882352941176471</v>
      </c>
      <c r="AW144" s="23">
        <v>2.3529411764705879</v>
      </c>
      <c r="AX144" s="23">
        <v>0.49411764705882361</v>
      </c>
      <c r="AY144" s="23">
        <v>0</v>
      </c>
      <c r="AZ144" s="23">
        <v>0.39800995024875629</v>
      </c>
      <c r="BA144" s="23">
        <v>0.4975124378109454</v>
      </c>
      <c r="BB144" s="23">
        <v>0.1044776119402985</v>
      </c>
      <c r="BC144" s="23">
        <v>0</v>
      </c>
      <c r="BD144" s="20">
        <v>0.82</v>
      </c>
      <c r="BE144" s="20">
        <v>3.44</v>
      </c>
      <c r="BF144" s="20">
        <v>2.62</v>
      </c>
      <c r="BG144" s="20">
        <v>2.5228823529411768</v>
      </c>
      <c r="BH144">
        <v>2.5228823529411768</v>
      </c>
      <c r="BI144">
        <v>5.6932629430588237</v>
      </c>
      <c r="BJ144" s="64"/>
      <c r="BK144" s="64"/>
      <c r="BL144" s="64"/>
      <c r="BM144">
        <v>4.5786640408619038E-2</v>
      </c>
      <c r="BQ144">
        <v>9.1573280817238076E-2</v>
      </c>
      <c r="BR144">
        <v>4.5786640408619038E-2</v>
      </c>
      <c r="BS144">
        <v>0</v>
      </c>
      <c r="BT144" s="68" t="s">
        <v>1264</v>
      </c>
      <c r="BU144" s="68">
        <f t="shared" si="15"/>
        <v>1323</v>
      </c>
      <c r="BV144" s="68">
        <v>48</v>
      </c>
      <c r="BX144" s="68" t="s">
        <v>464</v>
      </c>
      <c r="BY144" s="68" t="s">
        <v>464</v>
      </c>
      <c r="BZ144" s="68">
        <v>0</v>
      </c>
      <c r="CB144" s="68">
        <v>2</v>
      </c>
      <c r="CC144" s="68">
        <v>0</v>
      </c>
      <c r="CD144" s="68" t="s">
        <v>464</v>
      </c>
      <c r="CE144" s="68" t="s">
        <v>464</v>
      </c>
      <c r="CF144" s="68" t="s">
        <v>1266</v>
      </c>
      <c r="CG144" s="68">
        <v>1000</v>
      </c>
      <c r="CH144" s="68">
        <v>300</v>
      </c>
      <c r="CI144" s="68" t="s">
        <v>1310</v>
      </c>
      <c r="CJ144" s="68">
        <v>298</v>
      </c>
      <c r="CK144" s="70">
        <v>6.27</v>
      </c>
    </row>
    <row r="145" spans="1:89" x14ac:dyDescent="0.3">
      <c r="A145" t="s">
        <v>81</v>
      </c>
      <c r="B145" t="s">
        <v>2776</v>
      </c>
      <c r="C145" t="s">
        <v>3999</v>
      </c>
      <c r="D145" s="12"/>
      <c r="E145">
        <v>2.93</v>
      </c>
      <c r="F145" t="s">
        <v>80</v>
      </c>
      <c r="G145" s="25" t="s">
        <v>549</v>
      </c>
      <c r="H145">
        <v>-1</v>
      </c>
      <c r="I145" s="1" t="s">
        <v>2515</v>
      </c>
      <c r="J145" s="97" t="s">
        <v>1781</v>
      </c>
      <c r="K145" s="1"/>
      <c r="L145" s="97" t="s">
        <v>1781</v>
      </c>
      <c r="M145" t="b">
        <v>1</v>
      </c>
      <c r="N145" t="b">
        <v>0</v>
      </c>
      <c r="O145" t="b">
        <v>1</v>
      </c>
      <c r="P145" t="b">
        <v>0</v>
      </c>
      <c r="Q145" t="s">
        <v>1923</v>
      </c>
      <c r="R145">
        <v>-1</v>
      </c>
      <c r="S145" t="s">
        <v>1930</v>
      </c>
      <c r="T145">
        <v>2</v>
      </c>
      <c r="U145" s="20">
        <v>0</v>
      </c>
      <c r="V145">
        <v>0</v>
      </c>
      <c r="W145">
        <v>0</v>
      </c>
      <c r="X145">
        <v>3.8660000000000001</v>
      </c>
      <c r="Y145">
        <v>3.8660000000000001</v>
      </c>
      <c r="Z145">
        <v>29.145</v>
      </c>
      <c r="AB145">
        <v>14.5725</v>
      </c>
      <c r="AC145" s="20">
        <v>0</v>
      </c>
      <c r="AD145" s="20"/>
      <c r="AE145" s="20"/>
      <c r="AF145">
        <v>0</v>
      </c>
      <c r="AI145">
        <v>0</v>
      </c>
      <c r="AL145">
        <v>3</v>
      </c>
      <c r="AM145">
        <v>20</v>
      </c>
      <c r="AN145" s="44">
        <f t="shared" si="9"/>
        <v>435.59988762</v>
      </c>
      <c r="AO145" s="46">
        <v>0</v>
      </c>
      <c r="AP145" s="44">
        <v>0</v>
      </c>
      <c r="AQ145" s="44">
        <v>0</v>
      </c>
      <c r="AR145" s="41">
        <f t="shared" ref="AR145:AR150" si="16">T145*AM145/AN145</f>
        <v>9.1827388245091582E-2</v>
      </c>
      <c r="AS145" s="40"/>
      <c r="AT145" s="41"/>
      <c r="AU145" s="41"/>
      <c r="AV145" s="23">
        <v>1.882352941176471</v>
      </c>
      <c r="AW145" s="23">
        <v>2.3529411764705879</v>
      </c>
      <c r="AX145" s="23">
        <v>0.51764705882352946</v>
      </c>
      <c r="AY145" s="23">
        <v>0</v>
      </c>
      <c r="AZ145" s="23">
        <v>0.39603960396039611</v>
      </c>
      <c r="BA145" s="23">
        <v>0.49504950495049499</v>
      </c>
      <c r="BB145" s="23">
        <v>0.1089108910891089</v>
      </c>
      <c r="BC145" s="23">
        <v>0</v>
      </c>
      <c r="BD145" s="20">
        <v>0.82</v>
      </c>
      <c r="BE145" s="20">
        <v>3.44</v>
      </c>
      <c r="BF145" s="20">
        <v>2.62</v>
      </c>
      <c r="BG145" s="20">
        <v>2.5245882352941171</v>
      </c>
      <c r="BH145">
        <v>2.524588235294118</v>
      </c>
      <c r="BI145">
        <v>5.6966512943529413</v>
      </c>
      <c r="BJ145" s="64"/>
      <c r="BK145" s="64"/>
      <c r="BL145" s="64"/>
      <c r="BM145">
        <v>4.5913694122545791E-2</v>
      </c>
      <c r="BQ145">
        <v>9.1827388245091582E-2</v>
      </c>
      <c r="BR145">
        <v>4.5913694122545791E-2</v>
      </c>
      <c r="BS145">
        <v>0</v>
      </c>
      <c r="BT145" s="68" t="s">
        <v>1264</v>
      </c>
      <c r="BU145" s="68">
        <f t="shared" si="15"/>
        <v>1323</v>
      </c>
      <c r="BV145" s="68">
        <v>48</v>
      </c>
      <c r="BX145" s="68" t="s">
        <v>464</v>
      </c>
      <c r="BY145" s="68" t="s">
        <v>464</v>
      </c>
      <c r="BZ145" s="68">
        <v>0</v>
      </c>
      <c r="CB145" s="68">
        <v>2</v>
      </c>
      <c r="CC145" s="68">
        <v>0</v>
      </c>
      <c r="CD145" s="68" t="s">
        <v>464</v>
      </c>
      <c r="CE145" s="68" t="s">
        <v>464</v>
      </c>
      <c r="CF145" s="68" t="s">
        <v>1266</v>
      </c>
      <c r="CG145" s="68">
        <v>1000</v>
      </c>
      <c r="CH145" s="68">
        <v>300</v>
      </c>
      <c r="CI145" s="68" t="s">
        <v>1310</v>
      </c>
      <c r="CJ145" s="68">
        <v>298</v>
      </c>
      <c r="CK145" s="70">
        <v>22.5</v>
      </c>
    </row>
    <row r="146" spans="1:89" x14ac:dyDescent="0.3">
      <c r="A146" t="s">
        <v>82</v>
      </c>
      <c r="B146" t="s">
        <v>2776</v>
      </c>
      <c r="C146" t="s">
        <v>4000</v>
      </c>
      <c r="D146" s="12"/>
      <c r="E146">
        <v>2.69</v>
      </c>
      <c r="F146" t="s">
        <v>80</v>
      </c>
      <c r="G146" s="25" t="s">
        <v>549</v>
      </c>
      <c r="H146">
        <v>-1</v>
      </c>
      <c r="I146" s="1" t="s">
        <v>2515</v>
      </c>
      <c r="J146" s="97" t="s">
        <v>1782</v>
      </c>
      <c r="K146" s="1"/>
      <c r="L146" s="97" t="s">
        <v>1782</v>
      </c>
      <c r="M146" t="b">
        <v>1</v>
      </c>
      <c r="N146" t="b">
        <v>0</v>
      </c>
      <c r="O146" t="b">
        <v>1</v>
      </c>
      <c r="P146" t="b">
        <v>0</v>
      </c>
      <c r="Q146" t="s">
        <v>1924</v>
      </c>
      <c r="R146">
        <v>-1</v>
      </c>
      <c r="S146" t="s">
        <v>1931</v>
      </c>
      <c r="T146">
        <v>2</v>
      </c>
      <c r="U146" s="20">
        <v>0</v>
      </c>
      <c r="V146">
        <v>0</v>
      </c>
      <c r="W146">
        <v>0</v>
      </c>
      <c r="X146">
        <v>3.871</v>
      </c>
      <c r="Y146">
        <v>3.871</v>
      </c>
      <c r="Z146">
        <v>29.241</v>
      </c>
      <c r="AB146">
        <v>14.6205</v>
      </c>
      <c r="AC146" s="20">
        <v>0</v>
      </c>
      <c r="AD146" s="20"/>
      <c r="AE146" s="20"/>
      <c r="AF146">
        <v>0</v>
      </c>
      <c r="AI146">
        <v>0</v>
      </c>
      <c r="AL146">
        <v>3</v>
      </c>
      <c r="AM146">
        <v>20</v>
      </c>
      <c r="AN146" s="44">
        <f t="shared" si="9"/>
        <v>438.16588748099997</v>
      </c>
      <c r="AO146" s="46">
        <v>0</v>
      </c>
      <c r="AP146" s="44">
        <v>0</v>
      </c>
      <c r="AQ146" s="44">
        <v>0</v>
      </c>
      <c r="AR146" s="41">
        <f t="shared" si="16"/>
        <v>9.1289626013468489E-2</v>
      </c>
      <c r="AS146" s="40"/>
      <c r="AT146" s="41"/>
      <c r="AU146" s="41"/>
      <c r="AV146" s="23">
        <v>1.882352941176471</v>
      </c>
      <c r="AW146" s="23">
        <v>2.3529411764705879</v>
      </c>
      <c r="AX146" s="23">
        <v>0.54117647058823526</v>
      </c>
      <c r="AY146" s="23">
        <v>0</v>
      </c>
      <c r="AZ146" s="23">
        <v>0.39408866995073888</v>
      </c>
      <c r="BA146" s="23">
        <v>0.49261083743842371</v>
      </c>
      <c r="BB146" s="23">
        <v>0.1133004926108374</v>
      </c>
      <c r="BC146" s="23">
        <v>0</v>
      </c>
      <c r="BD146" s="20">
        <v>0.82</v>
      </c>
      <c r="BE146" s="20">
        <v>3.44</v>
      </c>
      <c r="BF146" s="20">
        <v>2.62</v>
      </c>
      <c r="BG146" s="20">
        <v>2.5262941176470588</v>
      </c>
      <c r="BH146">
        <v>2.5262941176470588</v>
      </c>
      <c r="BI146">
        <v>5.7000396456470588</v>
      </c>
      <c r="BJ146" s="64"/>
      <c r="BK146" s="64"/>
      <c r="BL146" s="64"/>
      <c r="BM146">
        <v>4.5644813006734238E-2</v>
      </c>
      <c r="BQ146">
        <v>9.1289626013468489E-2</v>
      </c>
      <c r="BR146">
        <v>4.5644813006734238E-2</v>
      </c>
      <c r="BS146">
        <v>0</v>
      </c>
      <c r="BT146" s="68" t="s">
        <v>1264</v>
      </c>
      <c r="BU146" s="68">
        <f t="shared" si="15"/>
        <v>1323</v>
      </c>
      <c r="BV146" s="68">
        <v>48</v>
      </c>
      <c r="BX146" s="68" t="s">
        <v>464</v>
      </c>
      <c r="BY146" s="68" t="s">
        <v>464</v>
      </c>
      <c r="BZ146" s="68">
        <v>0</v>
      </c>
      <c r="CB146" s="68">
        <v>2</v>
      </c>
      <c r="CC146" s="68">
        <v>0</v>
      </c>
      <c r="CD146" s="68" t="s">
        <v>464</v>
      </c>
      <c r="CE146" s="68" t="s">
        <v>464</v>
      </c>
      <c r="CF146" s="68" t="s">
        <v>1266</v>
      </c>
      <c r="CG146" s="68">
        <v>1000</v>
      </c>
      <c r="CH146" s="68">
        <v>300</v>
      </c>
      <c r="CI146" s="68" t="s">
        <v>1310</v>
      </c>
      <c r="CJ146" s="68">
        <v>298</v>
      </c>
      <c r="CK146" s="70">
        <v>8.75</v>
      </c>
    </row>
    <row r="147" spans="1:89" x14ac:dyDescent="0.3">
      <c r="A147" t="s">
        <v>83</v>
      </c>
      <c r="B147" t="s">
        <v>2776</v>
      </c>
      <c r="C147" t="s">
        <v>4001</v>
      </c>
      <c r="D147" s="12"/>
      <c r="E147">
        <v>2.4300000000000002</v>
      </c>
      <c r="F147" t="s">
        <v>80</v>
      </c>
      <c r="G147" s="25" t="s">
        <v>549</v>
      </c>
      <c r="H147">
        <v>-1</v>
      </c>
      <c r="I147" s="1" t="s">
        <v>2515</v>
      </c>
      <c r="J147" s="97" t="s">
        <v>1783</v>
      </c>
      <c r="K147" s="1"/>
      <c r="L147" s="97" t="s">
        <v>1783</v>
      </c>
      <c r="M147" t="b">
        <v>1</v>
      </c>
      <c r="N147" t="b">
        <v>0</v>
      </c>
      <c r="O147" t="b">
        <v>1</v>
      </c>
      <c r="P147" t="b">
        <v>0</v>
      </c>
      <c r="Q147" t="s">
        <v>1925</v>
      </c>
      <c r="R147">
        <v>-1</v>
      </c>
      <c r="S147" t="s">
        <v>1932</v>
      </c>
      <c r="T147">
        <v>2</v>
      </c>
      <c r="U147" s="20">
        <v>0</v>
      </c>
      <c r="V147">
        <v>0</v>
      </c>
      <c r="W147">
        <v>0</v>
      </c>
      <c r="X147">
        <v>3.8740000000000001</v>
      </c>
      <c r="Y147">
        <v>3.8740000000000001</v>
      </c>
      <c r="Z147">
        <v>32.945999999999998</v>
      </c>
      <c r="AB147">
        <v>16.472999999999999</v>
      </c>
      <c r="AC147" s="20">
        <v>0</v>
      </c>
      <c r="AD147" s="20"/>
      <c r="AE147" s="20"/>
      <c r="AF147">
        <v>0</v>
      </c>
      <c r="AI147">
        <v>0</v>
      </c>
      <c r="AL147">
        <v>3</v>
      </c>
      <c r="AM147">
        <v>20</v>
      </c>
      <c r="AN147" s="44">
        <f t="shared" si="9"/>
        <v>494.44948269600002</v>
      </c>
      <c r="AO147" s="46">
        <v>0</v>
      </c>
      <c r="AP147" s="44">
        <v>0</v>
      </c>
      <c r="AQ147" s="44">
        <v>0</v>
      </c>
      <c r="AR147" s="41">
        <f t="shared" si="16"/>
        <v>8.0898052075813381E-2</v>
      </c>
      <c r="AS147" s="40"/>
      <c r="AT147" s="41"/>
      <c r="AU147" s="41"/>
      <c r="AV147" s="23">
        <v>1.882352941176471</v>
      </c>
      <c r="AW147" s="23">
        <v>2.3529411764705879</v>
      </c>
      <c r="AX147" s="23">
        <v>0.56470588235294128</v>
      </c>
      <c r="AY147" s="23">
        <v>0</v>
      </c>
      <c r="AZ147" s="23">
        <v>0.39215686274509798</v>
      </c>
      <c r="BA147" s="23">
        <v>0.49019607843137247</v>
      </c>
      <c r="BB147" s="23">
        <v>0.1176470588235294</v>
      </c>
      <c r="BC147" s="23">
        <v>0</v>
      </c>
      <c r="BD147" s="20">
        <v>0.82</v>
      </c>
      <c r="BE147" s="20">
        <v>3.44</v>
      </c>
      <c r="BF147" s="20">
        <v>2.62</v>
      </c>
      <c r="BG147" s="20">
        <v>2.528</v>
      </c>
      <c r="BH147">
        <v>2.528</v>
      </c>
      <c r="BI147">
        <v>5.7034279969411772</v>
      </c>
      <c r="BJ147" s="64"/>
      <c r="BK147" s="64"/>
      <c r="BL147" s="64"/>
      <c r="BM147">
        <v>4.0449026037906691E-2</v>
      </c>
      <c r="BQ147">
        <v>8.0898052075813381E-2</v>
      </c>
      <c r="BR147">
        <v>4.0449026037906691E-2</v>
      </c>
      <c r="BS147">
        <v>0</v>
      </c>
      <c r="BT147" s="68" t="s">
        <v>1264</v>
      </c>
      <c r="BU147" s="68">
        <f t="shared" si="15"/>
        <v>1323</v>
      </c>
      <c r="BV147" s="68">
        <v>48</v>
      </c>
      <c r="BX147" s="68" t="s">
        <v>464</v>
      </c>
      <c r="BY147" s="68" t="s">
        <v>464</v>
      </c>
      <c r="BZ147" s="68">
        <v>0</v>
      </c>
      <c r="CB147" s="68">
        <v>2</v>
      </c>
      <c r="CC147" s="68">
        <v>0</v>
      </c>
      <c r="CD147" s="68" t="s">
        <v>464</v>
      </c>
      <c r="CE147" s="68" t="s">
        <v>464</v>
      </c>
      <c r="CF147" s="68" t="s">
        <v>1266</v>
      </c>
      <c r="CG147" s="68">
        <v>1000</v>
      </c>
      <c r="CH147" s="68">
        <v>300</v>
      </c>
      <c r="CI147" s="68" t="s">
        <v>1310</v>
      </c>
      <c r="CJ147" s="68">
        <v>298</v>
      </c>
      <c r="CK147" s="70">
        <v>1.25</v>
      </c>
    </row>
    <row r="148" spans="1:89" x14ac:dyDescent="0.3">
      <c r="A148" s="4" t="s">
        <v>84</v>
      </c>
      <c r="B148" t="s">
        <v>2776</v>
      </c>
      <c r="C148" t="s">
        <v>4002</v>
      </c>
      <c r="D148" s="12"/>
      <c r="E148">
        <v>2.41</v>
      </c>
      <c r="F148" t="s">
        <v>80</v>
      </c>
      <c r="G148" s="25" t="s">
        <v>549</v>
      </c>
      <c r="H148">
        <v>-1</v>
      </c>
      <c r="I148" s="1" t="s">
        <v>2515</v>
      </c>
      <c r="J148" s="97" t="s">
        <v>1784</v>
      </c>
      <c r="K148" s="1"/>
      <c r="L148" s="97" t="s">
        <v>1784</v>
      </c>
      <c r="M148" t="b">
        <v>1</v>
      </c>
      <c r="N148" t="b">
        <v>0</v>
      </c>
      <c r="O148" t="b">
        <v>1</v>
      </c>
      <c r="P148" t="b">
        <v>0</v>
      </c>
      <c r="Q148" t="s">
        <v>1926</v>
      </c>
      <c r="R148">
        <v>-1</v>
      </c>
      <c r="S148" t="s">
        <v>1933</v>
      </c>
      <c r="T148">
        <v>2</v>
      </c>
      <c r="U148" s="20">
        <v>0</v>
      </c>
      <c r="V148">
        <v>0</v>
      </c>
      <c r="W148">
        <v>0</v>
      </c>
      <c r="X148">
        <v>3.8759999999999999</v>
      </c>
      <c r="Y148">
        <v>3.8759999999999999</v>
      </c>
      <c r="Z148">
        <f>AVERAGE(Z144:Z147)</f>
        <v>30.143249999999998</v>
      </c>
      <c r="AB148">
        <v>12.54</v>
      </c>
      <c r="AC148" s="20">
        <v>0</v>
      </c>
      <c r="AD148" s="20"/>
      <c r="AE148" s="20"/>
      <c r="AF148">
        <v>0</v>
      </c>
      <c r="AI148">
        <v>0</v>
      </c>
      <c r="AL148">
        <v>3</v>
      </c>
      <c r="AM148">
        <v>20</v>
      </c>
      <c r="AN148" s="44">
        <f t="shared" si="9"/>
        <v>452.85337861199991</v>
      </c>
      <c r="AO148" s="46">
        <v>0</v>
      </c>
      <c r="AP148" s="44">
        <v>0</v>
      </c>
      <c r="AQ148" s="44">
        <v>0</v>
      </c>
      <c r="AR148" s="41">
        <f t="shared" si="16"/>
        <v>8.8328809917683285E-2</v>
      </c>
      <c r="AS148" s="40"/>
      <c r="AT148" s="41"/>
      <c r="AU148" s="41"/>
      <c r="AV148" s="23">
        <v>1.882352941176471</v>
      </c>
      <c r="AW148" s="23">
        <v>2.3529411764705879</v>
      </c>
      <c r="AX148" s="23">
        <v>0.58823529411764708</v>
      </c>
      <c r="AY148" s="23">
        <v>0</v>
      </c>
      <c r="AZ148" s="23">
        <v>0.3902439024390244</v>
      </c>
      <c r="BA148" s="23">
        <v>0.48780487804878048</v>
      </c>
      <c r="BB148" s="23">
        <v>0.12195121951219511</v>
      </c>
      <c r="BC148" s="23">
        <v>0</v>
      </c>
      <c r="BD148" s="20">
        <v>0.82</v>
      </c>
      <c r="BE148" s="20">
        <v>3.44</v>
      </c>
      <c r="BF148" s="20">
        <v>2.62</v>
      </c>
      <c r="BG148" s="20">
        <v>2.5297058823529408</v>
      </c>
      <c r="BH148">
        <v>2.5297058823529408</v>
      </c>
      <c r="BI148">
        <v>5.7068163482352947</v>
      </c>
      <c r="BJ148" s="64"/>
      <c r="BK148" s="64"/>
      <c r="BL148" s="64"/>
      <c r="BM148">
        <v>4.4164404958841642E-2</v>
      </c>
      <c r="BQ148">
        <v>8.8328809917683285E-2</v>
      </c>
      <c r="BR148">
        <v>4.4164404958841642E-2</v>
      </c>
      <c r="BS148">
        <v>0</v>
      </c>
      <c r="BT148" s="68" t="s">
        <v>1264</v>
      </c>
      <c r="BU148" s="68">
        <f t="shared" si="15"/>
        <v>1323</v>
      </c>
      <c r="BV148" s="68">
        <v>48</v>
      </c>
      <c r="BX148" s="68" t="s">
        <v>464</v>
      </c>
      <c r="BY148" s="68" t="s">
        <v>464</v>
      </c>
      <c r="BZ148" s="68">
        <v>0</v>
      </c>
      <c r="CB148" s="68">
        <v>2</v>
      </c>
      <c r="CC148" s="68">
        <v>0</v>
      </c>
      <c r="CD148" s="68" t="s">
        <v>464</v>
      </c>
      <c r="CE148" s="68" t="s">
        <v>464</v>
      </c>
      <c r="CF148" s="68" t="s">
        <v>1266</v>
      </c>
      <c r="CG148" s="68">
        <v>1000</v>
      </c>
      <c r="CH148" s="68">
        <v>300</v>
      </c>
      <c r="CI148" s="68" t="s">
        <v>1310</v>
      </c>
      <c r="CJ148" s="68">
        <v>298</v>
      </c>
      <c r="CK148" s="70">
        <v>0</v>
      </c>
    </row>
    <row r="149" spans="1:89" x14ac:dyDescent="0.3">
      <c r="A149" t="s">
        <v>85</v>
      </c>
      <c r="B149" t="s">
        <v>2776</v>
      </c>
      <c r="C149" t="s">
        <v>4003</v>
      </c>
      <c r="D149" s="12"/>
      <c r="E149">
        <v>3.06</v>
      </c>
      <c r="F149" t="s">
        <v>80</v>
      </c>
      <c r="G149" s="25" t="s">
        <v>549</v>
      </c>
      <c r="H149">
        <v>-1</v>
      </c>
      <c r="I149" s="1" t="s">
        <v>2515</v>
      </c>
      <c r="J149" s="97" t="s">
        <v>1785</v>
      </c>
      <c r="K149" s="1"/>
      <c r="L149" s="97" t="s">
        <v>1785</v>
      </c>
      <c r="M149" t="b">
        <v>1</v>
      </c>
      <c r="N149" t="b">
        <v>0</v>
      </c>
      <c r="O149" t="b">
        <v>1</v>
      </c>
      <c r="P149" t="b">
        <v>0</v>
      </c>
      <c r="Q149" t="s">
        <v>1927</v>
      </c>
      <c r="R149">
        <v>-1</v>
      </c>
      <c r="S149" t="s">
        <v>1936</v>
      </c>
      <c r="T149">
        <v>2</v>
      </c>
      <c r="U149" s="20">
        <v>0</v>
      </c>
      <c r="V149">
        <v>0</v>
      </c>
      <c r="W149">
        <v>0</v>
      </c>
      <c r="X149">
        <v>3.8660000000000001</v>
      </c>
      <c r="Y149">
        <v>3.8660000000000001</v>
      </c>
      <c r="Z149">
        <v>29.114000000000001</v>
      </c>
      <c r="AB149">
        <v>14.557</v>
      </c>
      <c r="AC149" s="20">
        <v>0</v>
      </c>
      <c r="AD149" s="20"/>
      <c r="AE149" s="20"/>
      <c r="AF149">
        <v>0</v>
      </c>
      <c r="AI149">
        <v>0</v>
      </c>
      <c r="AL149">
        <v>3</v>
      </c>
      <c r="AM149">
        <v>20</v>
      </c>
      <c r="AN149" s="44">
        <f t="shared" si="9"/>
        <v>435.13656298400002</v>
      </c>
      <c r="AO149" s="46">
        <v>0</v>
      </c>
      <c r="AP149" s="44">
        <v>0</v>
      </c>
      <c r="AQ149" s="44">
        <v>0</v>
      </c>
      <c r="AR149" s="41">
        <f t="shared" si="16"/>
        <v>9.1925164196029197E-2</v>
      </c>
      <c r="AS149" s="40"/>
      <c r="AT149" s="41"/>
      <c r="AU149" s="41"/>
      <c r="AV149" s="23">
        <v>1.882352941176471</v>
      </c>
      <c r="AW149" s="23">
        <v>2.3529411764705879</v>
      </c>
      <c r="AX149" s="23">
        <v>0.49411764705882361</v>
      </c>
      <c r="AY149" s="23">
        <v>0.1647058823529412</v>
      </c>
      <c r="AZ149" s="23">
        <v>0.38461538461538458</v>
      </c>
      <c r="BA149" s="23">
        <v>0.48076923076923073</v>
      </c>
      <c r="BB149" s="23">
        <v>0.10096153846153851</v>
      </c>
      <c r="BC149" s="23">
        <v>3.3653846153846159E-2</v>
      </c>
      <c r="BD149" s="20">
        <v>0.82</v>
      </c>
      <c r="BE149" s="20">
        <v>3.44</v>
      </c>
      <c r="BF149" s="20">
        <v>2.62</v>
      </c>
      <c r="BG149" s="20">
        <v>2.530823529411764</v>
      </c>
      <c r="BH149">
        <v>2.5308235294117649</v>
      </c>
      <c r="BI149">
        <v>5.7003253741176483</v>
      </c>
      <c r="BJ149" s="64"/>
      <c r="BK149" s="64"/>
      <c r="BL149" s="64"/>
      <c r="BM149">
        <v>4.5962582098014598E-2</v>
      </c>
      <c r="BQ149">
        <v>9.1925164196029197E-2</v>
      </c>
      <c r="BR149">
        <v>4.5962582098014598E-2</v>
      </c>
      <c r="BS149">
        <v>0</v>
      </c>
      <c r="BT149" s="68" t="s">
        <v>1264</v>
      </c>
      <c r="BU149" s="68">
        <f t="shared" si="15"/>
        <v>1323</v>
      </c>
      <c r="BV149" s="68">
        <v>48</v>
      </c>
      <c r="BX149" s="68" t="s">
        <v>464</v>
      </c>
      <c r="BY149" s="68" t="s">
        <v>464</v>
      </c>
      <c r="BZ149" s="68">
        <v>0</v>
      </c>
      <c r="CB149" s="68">
        <v>2</v>
      </c>
      <c r="CC149" s="68">
        <v>0</v>
      </c>
      <c r="CD149" s="68" t="s">
        <v>464</v>
      </c>
      <c r="CE149" s="68" t="s">
        <v>464</v>
      </c>
      <c r="CF149" s="68" t="s">
        <v>1266</v>
      </c>
      <c r="CG149" s="68">
        <v>1000</v>
      </c>
      <c r="CH149" s="68">
        <v>300</v>
      </c>
      <c r="CI149" s="68" t="s">
        <v>1310</v>
      </c>
      <c r="CJ149" s="68">
        <v>298</v>
      </c>
      <c r="CK149" s="70">
        <v>10</v>
      </c>
    </row>
    <row r="150" spans="1:89" x14ac:dyDescent="0.3">
      <c r="A150" t="s">
        <v>86</v>
      </c>
      <c r="B150" t="s">
        <v>2776</v>
      </c>
      <c r="C150" t="s">
        <v>4004</v>
      </c>
      <c r="D150" s="12"/>
      <c r="E150">
        <v>2.12</v>
      </c>
      <c r="F150" t="s">
        <v>80</v>
      </c>
      <c r="G150" s="25" t="s">
        <v>549</v>
      </c>
      <c r="H150">
        <v>-1</v>
      </c>
      <c r="I150" s="1" t="s">
        <v>2515</v>
      </c>
      <c r="J150" s="97" t="s">
        <v>1786</v>
      </c>
      <c r="K150" s="1"/>
      <c r="L150" s="97" t="s">
        <v>1786</v>
      </c>
      <c r="M150" t="b">
        <v>1</v>
      </c>
      <c r="N150" t="b">
        <v>0</v>
      </c>
      <c r="O150" t="b">
        <v>1</v>
      </c>
      <c r="P150" t="b">
        <v>0</v>
      </c>
      <c r="Q150" t="s">
        <v>1928</v>
      </c>
      <c r="R150">
        <v>-1</v>
      </c>
      <c r="S150" t="s">
        <v>1941</v>
      </c>
      <c r="T150">
        <v>2</v>
      </c>
      <c r="U150" s="20">
        <v>0</v>
      </c>
      <c r="V150">
        <v>0</v>
      </c>
      <c r="W150">
        <v>0</v>
      </c>
      <c r="X150">
        <v>3.8570000000000002</v>
      </c>
      <c r="Y150">
        <v>3.8570000000000002</v>
      </c>
      <c r="Z150">
        <v>29.533999999999999</v>
      </c>
      <c r="AB150">
        <v>14.766999999999999</v>
      </c>
      <c r="AC150" s="20">
        <v>0</v>
      </c>
      <c r="AD150" s="20"/>
      <c r="AE150" s="20"/>
      <c r="AF150">
        <v>0</v>
      </c>
      <c r="AI150">
        <v>0</v>
      </c>
      <c r="AL150">
        <v>3</v>
      </c>
      <c r="AM150">
        <v>20</v>
      </c>
      <c r="AN150" s="44">
        <f t="shared" si="9"/>
        <v>439.36104476600002</v>
      </c>
      <c r="AO150" s="46">
        <v>0</v>
      </c>
      <c r="AP150" s="44">
        <v>0</v>
      </c>
      <c r="AQ150" s="44">
        <v>0</v>
      </c>
      <c r="AR150" s="41">
        <f t="shared" si="16"/>
        <v>9.1041298441248156E-2</v>
      </c>
      <c r="AS150" s="40"/>
      <c r="AT150" s="41"/>
      <c r="AU150" s="41"/>
      <c r="AV150" s="23">
        <v>1.882352941176471</v>
      </c>
      <c r="AW150" s="23">
        <v>2.3529411764705879</v>
      </c>
      <c r="AX150" s="23">
        <v>0.54117647058823526</v>
      </c>
      <c r="AY150" s="23">
        <v>0</v>
      </c>
      <c r="AZ150" s="23">
        <v>0.39408866995073888</v>
      </c>
      <c r="BA150" s="23">
        <v>0.49261083743842371</v>
      </c>
      <c r="BB150" s="23">
        <v>0.1133004926108374</v>
      </c>
      <c r="BC150" s="23">
        <v>0</v>
      </c>
      <c r="BD150" s="20">
        <v>0.82</v>
      </c>
      <c r="BE150" s="20">
        <v>3.44</v>
      </c>
      <c r="BF150" s="20">
        <v>2.62</v>
      </c>
      <c r="BG150" s="20">
        <v>2.525529411764706</v>
      </c>
      <c r="BH150">
        <v>2.525529411764706</v>
      </c>
      <c r="BI150">
        <v>5.7010120870588246</v>
      </c>
      <c r="BJ150" s="64"/>
      <c r="BK150" s="64"/>
      <c r="BL150" s="64"/>
      <c r="BM150">
        <v>4.5520649220624078E-2</v>
      </c>
      <c r="BQ150">
        <v>9.1041298441248156E-2</v>
      </c>
      <c r="BR150">
        <v>4.5520649220624078E-2</v>
      </c>
      <c r="BS150">
        <v>0</v>
      </c>
      <c r="BT150" s="68" t="s">
        <v>1264</v>
      </c>
      <c r="BU150" s="68">
        <f t="shared" si="15"/>
        <v>1323</v>
      </c>
      <c r="BV150" s="68">
        <v>48</v>
      </c>
      <c r="BX150" s="68" t="s">
        <v>464</v>
      </c>
      <c r="BY150" s="68" t="s">
        <v>464</v>
      </c>
      <c r="BZ150" s="68">
        <v>0</v>
      </c>
      <c r="CB150" s="68">
        <v>2</v>
      </c>
      <c r="CC150" s="68">
        <v>0</v>
      </c>
      <c r="CD150" s="68" t="s">
        <v>464</v>
      </c>
      <c r="CE150" s="68" t="s">
        <v>464</v>
      </c>
      <c r="CF150" s="68" t="s">
        <v>1266</v>
      </c>
      <c r="CG150" s="68">
        <v>1000</v>
      </c>
      <c r="CH150" s="68">
        <v>300</v>
      </c>
      <c r="CI150" s="68" t="s">
        <v>1310</v>
      </c>
      <c r="CJ150" s="68">
        <v>298</v>
      </c>
      <c r="CK150" s="70">
        <v>2</v>
      </c>
    </row>
    <row r="151" spans="1:89" x14ac:dyDescent="0.3">
      <c r="A151" t="s">
        <v>44</v>
      </c>
      <c r="B151" t="s">
        <v>2776</v>
      </c>
      <c r="C151" t="s">
        <v>3997</v>
      </c>
      <c r="D151" s="12"/>
      <c r="E151">
        <v>3.78</v>
      </c>
      <c r="F151" t="s">
        <v>80</v>
      </c>
      <c r="G151" s="8" t="s">
        <v>549</v>
      </c>
      <c r="H151">
        <v>-1</v>
      </c>
      <c r="I151" t="s">
        <v>2515</v>
      </c>
      <c r="M151" t="b">
        <v>1</v>
      </c>
      <c r="N151" t="b">
        <v>0</v>
      </c>
      <c r="O151" t="b">
        <v>1</v>
      </c>
      <c r="P151" t="b">
        <v>0</v>
      </c>
      <c r="Q151" t="s">
        <v>549</v>
      </c>
      <c r="R151">
        <v>-1</v>
      </c>
      <c r="S151" t="s">
        <v>2515</v>
      </c>
      <c r="T151">
        <v>2</v>
      </c>
      <c r="U151" s="20">
        <v>1</v>
      </c>
      <c r="V151">
        <v>0</v>
      </c>
      <c r="W151">
        <v>0</v>
      </c>
      <c r="X151">
        <v>3.859</v>
      </c>
      <c r="Y151">
        <v>3.859</v>
      </c>
      <c r="Z151">
        <v>29.047999999999998</v>
      </c>
      <c r="AA151" t="s">
        <v>440</v>
      </c>
      <c r="AB151">
        <v>14.523999999999999</v>
      </c>
      <c r="AC151" s="20">
        <v>15.28115725</v>
      </c>
      <c r="AD151" s="20">
        <v>15.28115725</v>
      </c>
      <c r="AE151" s="20">
        <v>15.28115725</v>
      </c>
      <c r="AF151">
        <v>0</v>
      </c>
      <c r="AI151">
        <v>0</v>
      </c>
      <c r="AL151">
        <v>3</v>
      </c>
      <c r="AM151">
        <v>20</v>
      </c>
      <c r="AN151" s="44">
        <f t="shared" ref="AN151:AN158" si="17">X151*Y151*Z151</f>
        <v>432.57935928799998</v>
      </c>
      <c r="AO151" s="46">
        <v>229.90248606119221</v>
      </c>
      <c r="AP151" s="44">
        <v>0</v>
      </c>
      <c r="AQ151" s="44">
        <v>0</v>
      </c>
      <c r="AR151" s="41"/>
      <c r="AS151" s="40">
        <v>8.6993404650164072E-2</v>
      </c>
      <c r="AT151" s="41"/>
      <c r="AU151" s="41"/>
      <c r="AV151" s="23">
        <v>1.882352941176471</v>
      </c>
      <c r="AW151" s="23">
        <v>2.3529411764705879</v>
      </c>
      <c r="AX151" s="23">
        <v>0.47058823529411759</v>
      </c>
      <c r="AY151" s="23">
        <v>0</v>
      </c>
      <c r="AZ151" s="23">
        <v>0.4</v>
      </c>
      <c r="BA151" s="23">
        <v>0.5</v>
      </c>
      <c r="BB151" s="23">
        <v>9.9999999999999992E-2</v>
      </c>
      <c r="BC151" s="23">
        <v>0</v>
      </c>
      <c r="BD151" s="20">
        <v>0.82</v>
      </c>
      <c r="BE151" s="20">
        <v>3.44</v>
      </c>
      <c r="BF151" s="20">
        <v>2.62</v>
      </c>
      <c r="BG151" s="20">
        <v>2.5211764705882351</v>
      </c>
      <c r="BH151">
        <v>2.521176470588236</v>
      </c>
      <c r="BI151">
        <v>5.6898745917647062</v>
      </c>
      <c r="BJ151" s="64">
        <v>0.57369840599679445</v>
      </c>
      <c r="BK151" s="64"/>
      <c r="BL151" s="64"/>
      <c r="BN151">
        <v>4.3496702325082043E-2</v>
      </c>
      <c r="BQ151">
        <v>8.6993404650164072E-2</v>
      </c>
      <c r="BR151">
        <v>4.3496702325082043E-2</v>
      </c>
      <c r="BS151">
        <v>0.57369840599679445</v>
      </c>
      <c r="BT151" s="68" t="s">
        <v>1264</v>
      </c>
      <c r="BU151" s="68">
        <f t="shared" si="15"/>
        <v>1323</v>
      </c>
      <c r="BV151" s="68">
        <v>48</v>
      </c>
      <c r="BX151" s="68" t="s">
        <v>464</v>
      </c>
      <c r="BY151" s="68" t="s">
        <v>464</v>
      </c>
      <c r="BZ151" s="68">
        <v>0</v>
      </c>
      <c r="CB151" s="68">
        <v>2</v>
      </c>
      <c r="CC151" s="68">
        <v>0</v>
      </c>
      <c r="CD151" s="68" t="s">
        <v>464</v>
      </c>
      <c r="CE151" s="68" t="s">
        <v>464</v>
      </c>
      <c r="CF151" s="68" t="s">
        <v>1271</v>
      </c>
      <c r="CG151" s="68">
        <v>500</v>
      </c>
      <c r="CH151" s="68">
        <v>300</v>
      </c>
      <c r="CI151" s="68" t="s">
        <v>1310</v>
      </c>
      <c r="CJ151" s="68">
        <v>298</v>
      </c>
      <c r="CK151" s="70">
        <v>0</v>
      </c>
    </row>
    <row r="152" spans="1:89" x14ac:dyDescent="0.3">
      <c r="A152" t="s">
        <v>79</v>
      </c>
      <c r="B152" t="s">
        <v>2776</v>
      </c>
      <c r="C152" t="s">
        <v>3998</v>
      </c>
      <c r="D152" s="12"/>
      <c r="E152">
        <v>3.2</v>
      </c>
      <c r="F152" t="s">
        <v>80</v>
      </c>
      <c r="G152" s="25" t="s">
        <v>549</v>
      </c>
      <c r="H152">
        <v>-1</v>
      </c>
      <c r="I152" s="1" t="s">
        <v>2515</v>
      </c>
      <c r="J152" s="97" t="s">
        <v>1780</v>
      </c>
      <c r="K152" s="1"/>
      <c r="L152" s="97" t="s">
        <v>1780</v>
      </c>
      <c r="M152" t="b">
        <v>1</v>
      </c>
      <c r="N152" t="b">
        <v>0</v>
      </c>
      <c r="O152" t="b">
        <v>1</v>
      </c>
      <c r="P152" t="b">
        <v>0</v>
      </c>
      <c r="Q152" t="s">
        <v>1934</v>
      </c>
      <c r="R152">
        <v>-1</v>
      </c>
      <c r="S152" t="s">
        <v>1950</v>
      </c>
      <c r="T152">
        <v>2</v>
      </c>
      <c r="U152" s="20">
        <v>0</v>
      </c>
      <c r="V152">
        <v>0</v>
      </c>
      <c r="W152">
        <v>0</v>
      </c>
      <c r="X152">
        <v>3.8650000000000002</v>
      </c>
      <c r="Y152">
        <v>3.8650000000000002</v>
      </c>
      <c r="Z152">
        <v>29.241</v>
      </c>
      <c r="AB152">
        <v>14.6205</v>
      </c>
      <c r="AC152" s="20">
        <v>0</v>
      </c>
      <c r="AD152" s="20"/>
      <c r="AE152" s="20"/>
      <c r="AF152">
        <v>0</v>
      </c>
      <c r="AI152">
        <v>0</v>
      </c>
      <c r="AL152">
        <v>3</v>
      </c>
      <c r="AM152">
        <v>20</v>
      </c>
      <c r="AN152" s="44">
        <f t="shared" si="17"/>
        <v>436.80863722500004</v>
      </c>
      <c r="AO152" s="46">
        <v>0</v>
      </c>
      <c r="AP152" s="44">
        <v>0</v>
      </c>
      <c r="AQ152" s="44">
        <v>0</v>
      </c>
      <c r="AR152" s="41">
        <f>T152*AM152/AN152</f>
        <v>9.1573280817238076E-2</v>
      </c>
      <c r="AS152" s="40"/>
      <c r="AT152" s="41"/>
      <c r="AU152" s="41"/>
      <c r="AV152" s="23">
        <v>1.882352941176471</v>
      </c>
      <c r="AW152" s="23">
        <v>2.3529411764705879</v>
      </c>
      <c r="AX152" s="23">
        <v>0.49411764705882361</v>
      </c>
      <c r="AY152" s="23">
        <v>0</v>
      </c>
      <c r="AZ152" s="23">
        <v>0.39800995024875629</v>
      </c>
      <c r="BA152" s="23">
        <v>0.4975124378109454</v>
      </c>
      <c r="BB152" s="23">
        <v>0.1044776119402985</v>
      </c>
      <c r="BC152" s="23">
        <v>0</v>
      </c>
      <c r="BD152" s="20">
        <v>0.82</v>
      </c>
      <c r="BE152" s="20">
        <v>3.44</v>
      </c>
      <c r="BF152" s="20">
        <v>2.62</v>
      </c>
      <c r="BG152" s="20">
        <v>2.5228823529411768</v>
      </c>
      <c r="BH152">
        <v>2.5228823529411768</v>
      </c>
      <c r="BI152">
        <v>5.6932629430588237</v>
      </c>
      <c r="BJ152" s="64"/>
      <c r="BK152" s="64"/>
      <c r="BL152" s="64"/>
      <c r="BM152">
        <v>4.5786640408619038E-2</v>
      </c>
      <c r="BQ152">
        <v>9.1573280817238076E-2</v>
      </c>
      <c r="BR152">
        <v>4.5786640408619038E-2</v>
      </c>
      <c r="BS152">
        <v>0</v>
      </c>
      <c r="BT152" s="68" t="s">
        <v>1264</v>
      </c>
      <c r="BU152" s="68">
        <f t="shared" si="15"/>
        <v>1323</v>
      </c>
      <c r="BV152" s="68">
        <v>48</v>
      </c>
      <c r="BX152" s="68" t="s">
        <v>464</v>
      </c>
      <c r="BY152" s="68" t="s">
        <v>464</v>
      </c>
      <c r="BZ152" s="68">
        <v>0</v>
      </c>
      <c r="CB152" s="68">
        <v>2</v>
      </c>
      <c r="CC152" s="68">
        <v>0</v>
      </c>
      <c r="CD152" s="68" t="s">
        <v>464</v>
      </c>
      <c r="CE152" s="68" t="s">
        <v>464</v>
      </c>
      <c r="CF152" s="68" t="s">
        <v>1271</v>
      </c>
      <c r="CG152" s="68">
        <v>500</v>
      </c>
      <c r="CH152" s="68">
        <v>300</v>
      </c>
      <c r="CI152" s="68" t="s">
        <v>1310</v>
      </c>
      <c r="CJ152" s="68">
        <v>298</v>
      </c>
      <c r="CK152" s="70">
        <v>0</v>
      </c>
    </row>
    <row r="153" spans="1:89" x14ac:dyDescent="0.3">
      <c r="A153" t="s">
        <v>81</v>
      </c>
      <c r="B153" t="s">
        <v>2776</v>
      </c>
      <c r="C153" t="s">
        <v>3999</v>
      </c>
      <c r="D153" s="12"/>
      <c r="E153">
        <v>2.93</v>
      </c>
      <c r="F153" t="s">
        <v>80</v>
      </c>
      <c r="G153" s="25" t="s">
        <v>549</v>
      </c>
      <c r="H153">
        <v>-1</v>
      </c>
      <c r="I153" s="1" t="s">
        <v>2515</v>
      </c>
      <c r="J153" s="97" t="s">
        <v>1781</v>
      </c>
      <c r="K153" s="1"/>
      <c r="L153" s="97" t="s">
        <v>1781</v>
      </c>
      <c r="M153" t="b">
        <v>1</v>
      </c>
      <c r="N153" t="b">
        <v>0</v>
      </c>
      <c r="O153" t="b">
        <v>1</v>
      </c>
      <c r="P153" t="b">
        <v>0</v>
      </c>
      <c r="Q153" t="s">
        <v>1935</v>
      </c>
      <c r="R153">
        <v>-1</v>
      </c>
      <c r="S153" t="s">
        <v>2062</v>
      </c>
      <c r="T153">
        <v>2</v>
      </c>
      <c r="U153" s="20">
        <v>0</v>
      </c>
      <c r="V153">
        <v>0</v>
      </c>
      <c r="W153">
        <v>0</v>
      </c>
      <c r="X153">
        <v>3.8660000000000001</v>
      </c>
      <c r="Y153">
        <v>3.8660000000000001</v>
      </c>
      <c r="Z153">
        <v>29.145</v>
      </c>
      <c r="AB153">
        <v>14.5725</v>
      </c>
      <c r="AC153" s="20">
        <v>0</v>
      </c>
      <c r="AD153" s="20"/>
      <c r="AE153" s="20"/>
      <c r="AF153">
        <v>0</v>
      </c>
      <c r="AI153">
        <v>0</v>
      </c>
      <c r="AL153">
        <v>3</v>
      </c>
      <c r="AM153">
        <v>20</v>
      </c>
      <c r="AN153" s="44">
        <f t="shared" si="17"/>
        <v>435.59988762</v>
      </c>
      <c r="AO153" s="46">
        <v>0</v>
      </c>
      <c r="AP153" s="44">
        <v>0</v>
      </c>
      <c r="AQ153" s="44">
        <v>0</v>
      </c>
      <c r="AR153" s="41">
        <f t="shared" ref="AR153:AR158" si="18">T153*AM153/AN153</f>
        <v>9.1827388245091582E-2</v>
      </c>
      <c r="AS153" s="40"/>
      <c r="AT153" s="41"/>
      <c r="AU153" s="41"/>
      <c r="AV153" s="23">
        <v>1.882352941176471</v>
      </c>
      <c r="AW153" s="23">
        <v>2.3529411764705879</v>
      </c>
      <c r="AX153" s="23">
        <v>0.51764705882352946</v>
      </c>
      <c r="AY153" s="23">
        <v>0</v>
      </c>
      <c r="AZ153" s="23">
        <v>0.39603960396039611</v>
      </c>
      <c r="BA153" s="23">
        <v>0.49504950495049499</v>
      </c>
      <c r="BB153" s="23">
        <v>0.1089108910891089</v>
      </c>
      <c r="BC153" s="23">
        <v>0</v>
      </c>
      <c r="BD153" s="20">
        <v>0.82</v>
      </c>
      <c r="BE153" s="20">
        <v>3.44</v>
      </c>
      <c r="BF153" s="20">
        <v>2.62</v>
      </c>
      <c r="BG153" s="20">
        <v>2.5245882352941171</v>
      </c>
      <c r="BH153">
        <v>2.524588235294118</v>
      </c>
      <c r="BI153">
        <v>5.6966512943529413</v>
      </c>
      <c r="BJ153" s="64"/>
      <c r="BK153" s="64"/>
      <c r="BL153" s="64"/>
      <c r="BM153">
        <v>4.5913694122545791E-2</v>
      </c>
      <c r="BQ153">
        <v>9.1827388245091582E-2</v>
      </c>
      <c r="BR153">
        <v>4.5913694122545791E-2</v>
      </c>
      <c r="BS153">
        <v>0</v>
      </c>
      <c r="BT153" s="68" t="s">
        <v>1264</v>
      </c>
      <c r="BU153" s="68">
        <f t="shared" si="15"/>
        <v>1323</v>
      </c>
      <c r="BV153" s="68">
        <v>48</v>
      </c>
      <c r="BX153" s="68" t="s">
        <v>464</v>
      </c>
      <c r="BY153" s="68" t="s">
        <v>464</v>
      </c>
      <c r="BZ153" s="68">
        <v>0</v>
      </c>
      <c r="CB153" s="68">
        <v>2</v>
      </c>
      <c r="CC153" s="68">
        <v>0</v>
      </c>
      <c r="CD153" s="68" t="s">
        <v>464</v>
      </c>
      <c r="CE153" s="68" t="s">
        <v>464</v>
      </c>
      <c r="CF153" s="68" t="s">
        <v>1271</v>
      </c>
      <c r="CG153" s="68">
        <v>500</v>
      </c>
      <c r="CH153" s="68">
        <v>300</v>
      </c>
      <c r="CI153" s="68" t="s">
        <v>1310</v>
      </c>
      <c r="CJ153" s="68">
        <v>298</v>
      </c>
      <c r="CK153" s="70">
        <v>0.26250000000000001</v>
      </c>
    </row>
    <row r="154" spans="1:89" x14ac:dyDescent="0.3">
      <c r="A154" t="s">
        <v>82</v>
      </c>
      <c r="B154" t="s">
        <v>2776</v>
      </c>
      <c r="C154" t="s">
        <v>4000</v>
      </c>
      <c r="D154" s="12"/>
      <c r="E154">
        <v>2.69</v>
      </c>
      <c r="F154" t="s">
        <v>80</v>
      </c>
      <c r="G154" s="25" t="s">
        <v>549</v>
      </c>
      <c r="H154">
        <v>-1</v>
      </c>
      <c r="I154" s="1" t="s">
        <v>2515</v>
      </c>
      <c r="J154" s="97" t="s">
        <v>1782</v>
      </c>
      <c r="K154" s="1"/>
      <c r="L154" s="97" t="s">
        <v>1782</v>
      </c>
      <c r="M154" t="b">
        <v>1</v>
      </c>
      <c r="N154" t="b">
        <v>0</v>
      </c>
      <c r="O154" t="b">
        <v>1</v>
      </c>
      <c r="P154" t="b">
        <v>0</v>
      </c>
      <c r="Q154" t="s">
        <v>1937</v>
      </c>
      <c r="R154">
        <v>-1</v>
      </c>
      <c r="S154" t="s">
        <v>2065</v>
      </c>
      <c r="T154">
        <v>2</v>
      </c>
      <c r="U154" s="20">
        <v>0</v>
      </c>
      <c r="V154">
        <v>0</v>
      </c>
      <c r="W154">
        <v>0</v>
      </c>
      <c r="X154">
        <v>3.871</v>
      </c>
      <c r="Y154">
        <v>3.871</v>
      </c>
      <c r="Z154">
        <v>29.241</v>
      </c>
      <c r="AB154">
        <v>14.6205</v>
      </c>
      <c r="AC154" s="20">
        <v>0</v>
      </c>
      <c r="AD154" s="20"/>
      <c r="AE154" s="20"/>
      <c r="AF154">
        <v>0</v>
      </c>
      <c r="AI154">
        <v>0</v>
      </c>
      <c r="AL154">
        <v>3</v>
      </c>
      <c r="AM154">
        <v>20</v>
      </c>
      <c r="AN154" s="44">
        <f t="shared" si="17"/>
        <v>438.16588748099997</v>
      </c>
      <c r="AO154" s="46">
        <v>0</v>
      </c>
      <c r="AP154" s="44">
        <v>0</v>
      </c>
      <c r="AQ154" s="44">
        <v>0</v>
      </c>
      <c r="AR154" s="41">
        <f t="shared" si="18"/>
        <v>9.1289626013468489E-2</v>
      </c>
      <c r="AS154" s="40"/>
      <c r="AT154" s="41"/>
      <c r="AU154" s="41"/>
      <c r="AV154" s="23">
        <v>1.882352941176471</v>
      </c>
      <c r="AW154" s="23">
        <v>2.3529411764705879</v>
      </c>
      <c r="AX154" s="23">
        <v>0.54117647058823526</v>
      </c>
      <c r="AY154" s="23">
        <v>0</v>
      </c>
      <c r="AZ154" s="23">
        <v>0.39408866995073888</v>
      </c>
      <c r="BA154" s="23">
        <v>0.49261083743842371</v>
      </c>
      <c r="BB154" s="23">
        <v>0.1133004926108374</v>
      </c>
      <c r="BC154" s="23">
        <v>0</v>
      </c>
      <c r="BD154" s="20">
        <v>0.82</v>
      </c>
      <c r="BE154" s="20">
        <v>3.44</v>
      </c>
      <c r="BF154" s="20">
        <v>2.62</v>
      </c>
      <c r="BG154" s="20">
        <v>2.5262941176470588</v>
      </c>
      <c r="BH154">
        <v>2.5262941176470588</v>
      </c>
      <c r="BI154">
        <v>5.7000396456470588</v>
      </c>
      <c r="BJ154" s="64"/>
      <c r="BK154" s="64"/>
      <c r="BL154" s="64"/>
      <c r="BM154">
        <v>4.5644813006734238E-2</v>
      </c>
      <c r="BQ154">
        <v>9.1289626013468489E-2</v>
      </c>
      <c r="BR154">
        <v>4.5644813006734238E-2</v>
      </c>
      <c r="BS154">
        <v>0</v>
      </c>
      <c r="BT154" s="68" t="s">
        <v>1264</v>
      </c>
      <c r="BU154" s="68">
        <f t="shared" si="15"/>
        <v>1323</v>
      </c>
      <c r="BV154" s="68">
        <v>48</v>
      </c>
      <c r="BX154" s="68" t="s">
        <v>464</v>
      </c>
      <c r="BY154" s="68" t="s">
        <v>464</v>
      </c>
      <c r="BZ154" s="68">
        <v>0</v>
      </c>
      <c r="CB154" s="68">
        <v>2</v>
      </c>
      <c r="CC154" s="68">
        <v>0</v>
      </c>
      <c r="CD154" s="68" t="s">
        <v>464</v>
      </c>
      <c r="CE154" s="68" t="s">
        <v>464</v>
      </c>
      <c r="CF154" s="68" t="s">
        <v>1271</v>
      </c>
      <c r="CG154" s="68">
        <v>500</v>
      </c>
      <c r="CH154" s="68">
        <v>300</v>
      </c>
      <c r="CI154" s="68" t="s">
        <v>1310</v>
      </c>
      <c r="CJ154" s="68">
        <v>298</v>
      </c>
      <c r="CK154" s="70">
        <v>9.375E-2</v>
      </c>
    </row>
    <row r="155" spans="1:89" x14ac:dyDescent="0.3">
      <c r="A155" t="s">
        <v>83</v>
      </c>
      <c r="B155" t="s">
        <v>2776</v>
      </c>
      <c r="C155" t="s">
        <v>4001</v>
      </c>
      <c r="D155" s="12"/>
      <c r="E155">
        <v>2.4300000000000002</v>
      </c>
      <c r="F155" t="s">
        <v>80</v>
      </c>
      <c r="G155" s="25" t="s">
        <v>549</v>
      </c>
      <c r="H155">
        <v>-1</v>
      </c>
      <c r="I155" s="1" t="s">
        <v>2515</v>
      </c>
      <c r="J155" s="97" t="s">
        <v>1783</v>
      </c>
      <c r="K155" s="1"/>
      <c r="L155" s="97" t="s">
        <v>1783</v>
      </c>
      <c r="M155" t="b">
        <v>1</v>
      </c>
      <c r="N155" t="b">
        <v>0</v>
      </c>
      <c r="O155" t="b">
        <v>1</v>
      </c>
      <c r="P155" t="b">
        <v>0</v>
      </c>
      <c r="Q155" t="s">
        <v>1938</v>
      </c>
      <c r="R155">
        <v>-1</v>
      </c>
      <c r="S155" t="s">
        <v>2068</v>
      </c>
      <c r="T155">
        <v>2</v>
      </c>
      <c r="U155" s="20">
        <v>0</v>
      </c>
      <c r="V155">
        <v>0</v>
      </c>
      <c r="W155">
        <v>0</v>
      </c>
      <c r="X155">
        <v>3.8740000000000001</v>
      </c>
      <c r="Y155">
        <v>3.8740000000000001</v>
      </c>
      <c r="Z155">
        <v>32.945999999999998</v>
      </c>
      <c r="AB155">
        <v>16.472999999999999</v>
      </c>
      <c r="AC155" s="20">
        <v>0</v>
      </c>
      <c r="AD155" s="20"/>
      <c r="AE155" s="20"/>
      <c r="AF155">
        <v>0</v>
      </c>
      <c r="AI155">
        <v>0</v>
      </c>
      <c r="AL155">
        <v>3</v>
      </c>
      <c r="AM155">
        <v>20</v>
      </c>
      <c r="AN155" s="44">
        <f t="shared" si="17"/>
        <v>494.44948269600002</v>
      </c>
      <c r="AO155" s="46">
        <v>0</v>
      </c>
      <c r="AP155" s="44">
        <v>0</v>
      </c>
      <c r="AQ155" s="44">
        <v>0</v>
      </c>
      <c r="AR155" s="41">
        <f t="shared" si="18"/>
        <v>8.0898052075813381E-2</v>
      </c>
      <c r="AS155" s="40"/>
      <c r="AT155" s="41"/>
      <c r="AU155" s="41"/>
      <c r="AV155" s="23">
        <v>1.882352941176471</v>
      </c>
      <c r="AW155" s="23">
        <v>2.3529411764705879</v>
      </c>
      <c r="AX155" s="23">
        <v>0.56470588235294128</v>
      </c>
      <c r="AY155" s="23">
        <v>0</v>
      </c>
      <c r="AZ155" s="23">
        <v>0.39215686274509798</v>
      </c>
      <c r="BA155" s="23">
        <v>0.49019607843137247</v>
      </c>
      <c r="BB155" s="23">
        <v>0.1176470588235294</v>
      </c>
      <c r="BC155" s="23">
        <v>0</v>
      </c>
      <c r="BD155" s="20">
        <v>0.82</v>
      </c>
      <c r="BE155" s="20">
        <v>3.44</v>
      </c>
      <c r="BF155" s="20">
        <v>2.62</v>
      </c>
      <c r="BG155" s="20">
        <v>2.528</v>
      </c>
      <c r="BH155">
        <v>2.528</v>
      </c>
      <c r="BI155">
        <v>5.7034279969411772</v>
      </c>
      <c r="BJ155" s="64"/>
      <c r="BK155" s="64"/>
      <c r="BL155" s="64"/>
      <c r="BM155">
        <v>4.0449026037906691E-2</v>
      </c>
      <c r="BQ155">
        <v>8.0898052075813381E-2</v>
      </c>
      <c r="BR155">
        <v>4.0449026037906691E-2</v>
      </c>
      <c r="BS155">
        <v>0</v>
      </c>
      <c r="BT155" s="68" t="s">
        <v>1264</v>
      </c>
      <c r="BU155" s="68">
        <f t="shared" si="15"/>
        <v>1323</v>
      </c>
      <c r="BV155" s="68">
        <v>48</v>
      </c>
      <c r="BX155" s="68" t="s">
        <v>464</v>
      </c>
      <c r="BY155" s="68" t="s">
        <v>464</v>
      </c>
      <c r="BZ155" s="68">
        <v>0</v>
      </c>
      <c r="CB155" s="68">
        <v>2</v>
      </c>
      <c r="CC155" s="68">
        <v>0</v>
      </c>
      <c r="CD155" s="68" t="s">
        <v>464</v>
      </c>
      <c r="CE155" s="68" t="s">
        <v>464</v>
      </c>
      <c r="CF155" s="68" t="s">
        <v>1271</v>
      </c>
      <c r="CG155" s="68">
        <v>500</v>
      </c>
      <c r="CH155" s="68">
        <v>300</v>
      </c>
      <c r="CI155" s="68" t="s">
        <v>1310</v>
      </c>
      <c r="CJ155" s="68">
        <v>298</v>
      </c>
      <c r="CK155" s="70">
        <v>0</v>
      </c>
    </row>
    <row r="156" spans="1:89" x14ac:dyDescent="0.3">
      <c r="A156" s="4" t="s">
        <v>84</v>
      </c>
      <c r="B156" t="s">
        <v>2776</v>
      </c>
      <c r="C156" t="s">
        <v>4002</v>
      </c>
      <c r="D156" s="12"/>
      <c r="E156">
        <v>2.41</v>
      </c>
      <c r="F156" t="s">
        <v>80</v>
      </c>
      <c r="G156" s="25" t="s">
        <v>549</v>
      </c>
      <c r="H156">
        <v>-1</v>
      </c>
      <c r="I156" s="1" t="s">
        <v>2515</v>
      </c>
      <c r="J156" s="97" t="s">
        <v>1784</v>
      </c>
      <c r="K156" s="1"/>
      <c r="L156" s="97" t="s">
        <v>1784</v>
      </c>
      <c r="M156" t="b">
        <v>1</v>
      </c>
      <c r="N156" t="b">
        <v>0</v>
      </c>
      <c r="O156" t="b">
        <v>1</v>
      </c>
      <c r="P156" t="b">
        <v>0</v>
      </c>
      <c r="Q156" t="s">
        <v>1939</v>
      </c>
      <c r="R156">
        <v>-1</v>
      </c>
      <c r="S156" t="s">
        <v>2071</v>
      </c>
      <c r="T156">
        <v>2</v>
      </c>
      <c r="U156" s="20">
        <v>0</v>
      </c>
      <c r="V156">
        <v>0</v>
      </c>
      <c r="W156">
        <v>0</v>
      </c>
      <c r="X156">
        <v>3.8759999999999999</v>
      </c>
      <c r="Y156">
        <v>3.8759999999999999</v>
      </c>
      <c r="Z156">
        <f>AVERAGE(Z152:Z155)</f>
        <v>30.143249999999998</v>
      </c>
      <c r="AB156">
        <v>11.968749999999998</v>
      </c>
      <c r="AC156" s="20">
        <v>0</v>
      </c>
      <c r="AD156" s="20"/>
      <c r="AE156" s="20"/>
      <c r="AF156">
        <v>0</v>
      </c>
      <c r="AI156">
        <v>0</v>
      </c>
      <c r="AL156">
        <v>3</v>
      </c>
      <c r="AM156">
        <v>20</v>
      </c>
      <c r="AN156" s="44">
        <f t="shared" si="17"/>
        <v>452.85337861199991</v>
      </c>
      <c r="AO156" s="46">
        <v>0</v>
      </c>
      <c r="AP156" s="44">
        <v>0</v>
      </c>
      <c r="AQ156" s="44">
        <v>0</v>
      </c>
      <c r="AR156" s="41">
        <f t="shared" si="18"/>
        <v>8.8328809917683285E-2</v>
      </c>
      <c r="AS156" s="40"/>
      <c r="AT156" s="41"/>
      <c r="AU156" s="41"/>
      <c r="AV156" s="23">
        <v>1.882352941176471</v>
      </c>
      <c r="AW156" s="23">
        <v>2.3529411764705879</v>
      </c>
      <c r="AX156" s="23">
        <v>0.58823529411764708</v>
      </c>
      <c r="AY156" s="23">
        <v>0</v>
      </c>
      <c r="AZ156" s="23">
        <v>0.3902439024390244</v>
      </c>
      <c r="BA156" s="23">
        <v>0.48780487804878048</v>
      </c>
      <c r="BB156" s="23">
        <v>0.12195121951219511</v>
      </c>
      <c r="BC156" s="23">
        <v>0</v>
      </c>
      <c r="BD156" s="20">
        <v>0.82</v>
      </c>
      <c r="BE156" s="20">
        <v>3.44</v>
      </c>
      <c r="BF156" s="20">
        <v>2.62</v>
      </c>
      <c r="BG156" s="20">
        <v>2.5297058823529408</v>
      </c>
      <c r="BH156">
        <v>2.5297058823529408</v>
      </c>
      <c r="BI156">
        <v>5.7068163482352947</v>
      </c>
      <c r="BJ156" s="64"/>
      <c r="BK156" s="64"/>
      <c r="BL156" s="64"/>
      <c r="BM156">
        <v>4.4164404958841642E-2</v>
      </c>
      <c r="BQ156">
        <v>8.8328809917683285E-2</v>
      </c>
      <c r="BR156">
        <v>4.4164404958841642E-2</v>
      </c>
      <c r="BS156">
        <v>0</v>
      </c>
      <c r="BT156" s="68" t="s">
        <v>1264</v>
      </c>
      <c r="BU156" s="68">
        <f t="shared" si="15"/>
        <v>1323</v>
      </c>
      <c r="BV156" s="68">
        <v>48</v>
      </c>
      <c r="BX156" s="68" t="s">
        <v>464</v>
      </c>
      <c r="BY156" s="68" t="s">
        <v>464</v>
      </c>
      <c r="BZ156" s="68">
        <v>0</v>
      </c>
      <c r="CB156" s="68">
        <v>2</v>
      </c>
      <c r="CC156" s="68">
        <v>0</v>
      </c>
      <c r="CD156" s="68" t="s">
        <v>464</v>
      </c>
      <c r="CE156" s="68" t="s">
        <v>464</v>
      </c>
      <c r="CF156" s="68" t="s">
        <v>1271</v>
      </c>
      <c r="CG156" s="68">
        <v>500</v>
      </c>
      <c r="CH156" s="68">
        <v>300</v>
      </c>
      <c r="CI156" s="68" t="s">
        <v>1310</v>
      </c>
      <c r="CJ156" s="68">
        <v>298</v>
      </c>
      <c r="CK156" s="70">
        <v>0</v>
      </c>
    </row>
    <row r="157" spans="1:89" x14ac:dyDescent="0.3">
      <c r="A157" t="s">
        <v>85</v>
      </c>
      <c r="B157" t="s">
        <v>2776</v>
      </c>
      <c r="C157" t="s">
        <v>4003</v>
      </c>
      <c r="D157" s="12"/>
      <c r="E157">
        <v>3.06</v>
      </c>
      <c r="F157" t="s">
        <v>80</v>
      </c>
      <c r="G157" s="25" t="s">
        <v>549</v>
      </c>
      <c r="H157">
        <v>-1</v>
      </c>
      <c r="I157" s="1" t="s">
        <v>2515</v>
      </c>
      <c r="J157" s="97" t="s">
        <v>1785</v>
      </c>
      <c r="K157" s="1"/>
      <c r="L157" s="97" t="s">
        <v>1785</v>
      </c>
      <c r="M157" t="b">
        <v>1</v>
      </c>
      <c r="N157" t="b">
        <v>0</v>
      </c>
      <c r="O157" t="b">
        <v>1</v>
      </c>
      <c r="P157" t="b">
        <v>0</v>
      </c>
      <c r="Q157" t="s">
        <v>1940</v>
      </c>
      <c r="R157">
        <v>-1</v>
      </c>
      <c r="S157" t="s">
        <v>2074</v>
      </c>
      <c r="T157">
        <v>2</v>
      </c>
      <c r="U157" s="20">
        <v>0</v>
      </c>
      <c r="V157">
        <v>0</v>
      </c>
      <c r="W157">
        <v>0</v>
      </c>
      <c r="X157">
        <v>3.8660000000000001</v>
      </c>
      <c r="Y157">
        <v>3.8660000000000001</v>
      </c>
      <c r="Z157">
        <v>29.114000000000001</v>
      </c>
      <c r="AB157">
        <v>14.557</v>
      </c>
      <c r="AC157" s="20">
        <v>0</v>
      </c>
      <c r="AD157" s="20"/>
      <c r="AE157" s="20"/>
      <c r="AF157">
        <v>0</v>
      </c>
      <c r="AI157">
        <v>0</v>
      </c>
      <c r="AL157">
        <v>3</v>
      </c>
      <c r="AM157">
        <v>20</v>
      </c>
      <c r="AN157" s="44">
        <f t="shared" si="17"/>
        <v>435.13656298400002</v>
      </c>
      <c r="AO157" s="46">
        <v>0</v>
      </c>
      <c r="AP157" s="44">
        <v>0</v>
      </c>
      <c r="AQ157" s="44">
        <v>0</v>
      </c>
      <c r="AR157" s="41">
        <f t="shared" si="18"/>
        <v>9.1925164196029197E-2</v>
      </c>
      <c r="AS157" s="40"/>
      <c r="AT157" s="41"/>
      <c r="AU157" s="41"/>
      <c r="AV157" s="23">
        <v>1.882352941176471</v>
      </c>
      <c r="AW157" s="23">
        <v>2.3529411764705879</v>
      </c>
      <c r="AX157" s="23">
        <v>0.49411764705882361</v>
      </c>
      <c r="AY157" s="23">
        <v>0.1647058823529412</v>
      </c>
      <c r="AZ157" s="23">
        <v>0.38461538461538458</v>
      </c>
      <c r="BA157" s="23">
        <v>0.48076923076923073</v>
      </c>
      <c r="BB157" s="23">
        <v>0.10096153846153851</v>
      </c>
      <c r="BC157" s="23">
        <v>3.3653846153846159E-2</v>
      </c>
      <c r="BD157" s="20">
        <v>0.82</v>
      </c>
      <c r="BE157" s="20">
        <v>3.44</v>
      </c>
      <c r="BF157" s="20">
        <v>2.62</v>
      </c>
      <c r="BG157" s="20">
        <v>2.530823529411764</v>
      </c>
      <c r="BH157">
        <v>2.5308235294117649</v>
      </c>
      <c r="BI157">
        <v>5.7003253741176483</v>
      </c>
      <c r="BJ157" s="64"/>
      <c r="BK157" s="64"/>
      <c r="BL157" s="64"/>
      <c r="BM157">
        <v>4.5962582098014598E-2</v>
      </c>
      <c r="BQ157">
        <v>9.1925164196029197E-2</v>
      </c>
      <c r="BR157">
        <v>4.5962582098014598E-2</v>
      </c>
      <c r="BS157">
        <v>0</v>
      </c>
      <c r="BT157" s="68" t="s">
        <v>1264</v>
      </c>
      <c r="BU157" s="68">
        <f t="shared" si="15"/>
        <v>1323</v>
      </c>
      <c r="BV157" s="68">
        <v>48</v>
      </c>
      <c r="BX157" s="68" t="s">
        <v>464</v>
      </c>
      <c r="BY157" s="68" t="s">
        <v>464</v>
      </c>
      <c r="BZ157" s="68">
        <v>0</v>
      </c>
      <c r="CB157" s="68">
        <v>2</v>
      </c>
      <c r="CC157" s="68">
        <v>0</v>
      </c>
      <c r="CD157" s="68" t="s">
        <v>464</v>
      </c>
      <c r="CE157" s="68" t="s">
        <v>464</v>
      </c>
      <c r="CF157" s="68" t="s">
        <v>1271</v>
      </c>
      <c r="CG157" s="68">
        <v>500</v>
      </c>
      <c r="CH157" s="68">
        <v>300</v>
      </c>
      <c r="CI157" s="68" t="s">
        <v>1310</v>
      </c>
      <c r="CJ157" s="68">
        <v>298</v>
      </c>
      <c r="CK157" s="70">
        <v>6.25E-2</v>
      </c>
    </row>
    <row r="158" spans="1:89" x14ac:dyDescent="0.3">
      <c r="A158" t="s">
        <v>86</v>
      </c>
      <c r="B158" t="s">
        <v>2776</v>
      </c>
      <c r="C158" t="s">
        <v>4004</v>
      </c>
      <c r="D158" s="12"/>
      <c r="E158">
        <v>2.12</v>
      </c>
      <c r="F158" t="s">
        <v>80</v>
      </c>
      <c r="G158" s="25" t="s">
        <v>549</v>
      </c>
      <c r="H158">
        <v>-1</v>
      </c>
      <c r="I158" s="1" t="s">
        <v>2515</v>
      </c>
      <c r="J158" s="97" t="s">
        <v>1786</v>
      </c>
      <c r="K158" s="1"/>
      <c r="L158" s="97" t="s">
        <v>1786</v>
      </c>
      <c r="M158" t="b">
        <v>1</v>
      </c>
      <c r="N158" t="b">
        <v>0</v>
      </c>
      <c r="O158" t="b">
        <v>1</v>
      </c>
      <c r="P158" t="b">
        <v>0</v>
      </c>
      <c r="Q158" t="s">
        <v>1942</v>
      </c>
      <c r="R158">
        <v>-1</v>
      </c>
      <c r="S158" t="s">
        <v>2077</v>
      </c>
      <c r="T158">
        <v>2</v>
      </c>
      <c r="U158" s="20">
        <v>0</v>
      </c>
      <c r="V158">
        <v>0</v>
      </c>
      <c r="W158">
        <v>0</v>
      </c>
      <c r="X158">
        <v>3.8570000000000002</v>
      </c>
      <c r="Y158">
        <v>3.8570000000000002</v>
      </c>
      <c r="Z158">
        <v>29.533999999999999</v>
      </c>
      <c r="AB158">
        <v>14.766999999999999</v>
      </c>
      <c r="AC158" s="20">
        <v>0</v>
      </c>
      <c r="AD158" s="20"/>
      <c r="AE158" s="20"/>
      <c r="AF158">
        <v>0</v>
      </c>
      <c r="AI158">
        <v>0</v>
      </c>
      <c r="AL158">
        <v>3</v>
      </c>
      <c r="AM158">
        <v>20</v>
      </c>
      <c r="AN158" s="44">
        <f t="shared" si="17"/>
        <v>439.36104476600002</v>
      </c>
      <c r="AO158" s="46">
        <v>0</v>
      </c>
      <c r="AP158" s="44">
        <v>0</v>
      </c>
      <c r="AQ158" s="44">
        <v>0</v>
      </c>
      <c r="AR158" s="41">
        <f t="shared" si="18"/>
        <v>9.1041298441248156E-2</v>
      </c>
      <c r="AS158" s="40"/>
      <c r="AT158" s="41"/>
      <c r="AU158" s="41"/>
      <c r="AV158" s="23">
        <v>1.882352941176471</v>
      </c>
      <c r="AW158" s="23">
        <v>2.3529411764705879</v>
      </c>
      <c r="AX158" s="23">
        <v>0.54117647058823526</v>
      </c>
      <c r="AY158" s="23">
        <v>0</v>
      </c>
      <c r="AZ158" s="23">
        <v>0.39408866995073888</v>
      </c>
      <c r="BA158" s="23">
        <v>0.49261083743842371</v>
      </c>
      <c r="BB158" s="23">
        <v>0.1133004926108374</v>
      </c>
      <c r="BC158" s="23">
        <v>0</v>
      </c>
      <c r="BD158" s="20">
        <v>0.82</v>
      </c>
      <c r="BE158" s="20">
        <v>3.44</v>
      </c>
      <c r="BF158" s="20">
        <v>2.62</v>
      </c>
      <c r="BG158" s="20">
        <v>2.525529411764706</v>
      </c>
      <c r="BH158">
        <v>2.525529411764706</v>
      </c>
      <c r="BI158">
        <v>5.7010120870588246</v>
      </c>
      <c r="BJ158" s="64"/>
      <c r="BK158" s="64"/>
      <c r="BL158" s="64"/>
      <c r="BM158">
        <v>4.5520649220624078E-2</v>
      </c>
      <c r="BQ158">
        <v>9.1041298441248156E-2</v>
      </c>
      <c r="BR158">
        <v>4.5520649220624078E-2</v>
      </c>
      <c r="BS158">
        <v>0</v>
      </c>
      <c r="BT158" s="68" t="s">
        <v>1264</v>
      </c>
      <c r="BU158" s="68">
        <f t="shared" si="15"/>
        <v>1323</v>
      </c>
      <c r="BV158" s="68">
        <v>48</v>
      </c>
      <c r="BX158" s="68" t="s">
        <v>464</v>
      </c>
      <c r="BY158" s="68" t="s">
        <v>464</v>
      </c>
      <c r="BZ158" s="68">
        <v>0</v>
      </c>
      <c r="CB158" s="68">
        <v>2</v>
      </c>
      <c r="CC158" s="68">
        <v>0</v>
      </c>
      <c r="CD158" s="68" t="s">
        <v>464</v>
      </c>
      <c r="CE158" s="68" t="s">
        <v>464</v>
      </c>
      <c r="CF158" s="68" t="s">
        <v>1271</v>
      </c>
      <c r="CG158" s="68">
        <v>500</v>
      </c>
      <c r="CH158" s="68">
        <v>300</v>
      </c>
      <c r="CI158" s="68" t="s">
        <v>1310</v>
      </c>
      <c r="CJ158" s="68">
        <v>298</v>
      </c>
      <c r="CK158" s="70">
        <v>1.2500000000000001E-2</v>
      </c>
    </row>
    <row r="159" spans="1:89" x14ac:dyDescent="0.3">
      <c r="A159" t="s">
        <v>87</v>
      </c>
      <c r="C159" t="s">
        <v>4005</v>
      </c>
      <c r="D159" s="12"/>
      <c r="E159">
        <v>3.9</v>
      </c>
      <c r="F159" t="s">
        <v>89</v>
      </c>
      <c r="G159" s="8" t="s">
        <v>564</v>
      </c>
      <c r="H159">
        <v>-1</v>
      </c>
      <c r="I159" t="s">
        <v>1162</v>
      </c>
      <c r="M159" t="b">
        <v>1</v>
      </c>
      <c r="N159" t="b">
        <v>0</v>
      </c>
      <c r="O159" t="b">
        <v>0</v>
      </c>
      <c r="P159" t="b">
        <v>0</v>
      </c>
      <c r="Q159" t="s">
        <v>564</v>
      </c>
      <c r="R159">
        <v>-1</v>
      </c>
      <c r="S159" t="s">
        <v>1162</v>
      </c>
      <c r="T159">
        <v>1</v>
      </c>
      <c r="U159" s="20">
        <v>0</v>
      </c>
      <c r="V159">
        <v>0</v>
      </c>
      <c r="W159">
        <v>2</v>
      </c>
      <c r="X159">
        <v>3.9037999999999999</v>
      </c>
      <c r="Y159">
        <v>3.9037999999999999</v>
      </c>
      <c r="Z159">
        <v>9.7742000000000004</v>
      </c>
      <c r="AA159" t="s">
        <v>439</v>
      </c>
      <c r="AB159">
        <v>9.7742000000000004</v>
      </c>
      <c r="AC159" s="20">
        <v>0</v>
      </c>
      <c r="AD159" s="20"/>
      <c r="AE159" s="20"/>
      <c r="AF159">
        <v>0</v>
      </c>
      <c r="AI159">
        <v>3.93</v>
      </c>
      <c r="AJ159">
        <v>3.93</v>
      </c>
      <c r="AK159">
        <v>18.515000000000001</v>
      </c>
      <c r="AL159">
        <v>3</v>
      </c>
      <c r="AM159">
        <v>14</v>
      </c>
      <c r="AN159" s="44">
        <f t="shared" si="9"/>
        <v>148.95543042744799</v>
      </c>
      <c r="AO159" s="46">
        <v>0</v>
      </c>
      <c r="AP159" s="44">
        <v>0</v>
      </c>
      <c r="AQ159" s="44">
        <v>285.96232350000002</v>
      </c>
      <c r="AR159" s="41"/>
      <c r="AS159" s="40"/>
      <c r="AT159" s="41"/>
      <c r="AU159" s="41">
        <v>9.7914996833490184E-2</v>
      </c>
      <c r="AV159" s="23">
        <v>1.833333333333333</v>
      </c>
      <c r="AW159" s="23">
        <v>2.333333333333333</v>
      </c>
      <c r="AX159" s="23">
        <v>0.5</v>
      </c>
      <c r="AY159" s="23">
        <v>2.333333333333333</v>
      </c>
      <c r="AZ159" s="23">
        <v>0.26190476190476192</v>
      </c>
      <c r="BA159" s="23">
        <v>0.33333333333333343</v>
      </c>
      <c r="BB159" s="23">
        <v>7.1428571428571425E-2</v>
      </c>
      <c r="BC159" s="23">
        <v>0.33333333333333343</v>
      </c>
      <c r="BD159" s="20">
        <v>0.95</v>
      </c>
      <c r="BE159" s="20">
        <v>3.44</v>
      </c>
      <c r="BF159" s="20">
        <v>2.4900000000000002</v>
      </c>
      <c r="BG159" s="20">
        <v>2.7024999999999988</v>
      </c>
      <c r="BH159">
        <v>2.7025000000000001</v>
      </c>
      <c r="BI159">
        <v>6.4896876145585001</v>
      </c>
      <c r="BJ159" s="64"/>
      <c r="BK159" s="64"/>
      <c r="BL159" s="64">
        <v>0.392702013826212</v>
      </c>
      <c r="BP159">
        <v>4.8957498416745092E-2</v>
      </c>
      <c r="BQ159">
        <v>9.7914996833490184E-2</v>
      </c>
      <c r="BR159">
        <v>4.8957498416745092E-2</v>
      </c>
      <c r="BS159">
        <v>0.392702013826212</v>
      </c>
      <c r="BT159" s="68" t="s">
        <v>1264</v>
      </c>
      <c r="BU159" s="68">
        <v>1173</v>
      </c>
      <c r="BV159" s="68">
        <v>24</v>
      </c>
      <c r="BX159" s="68" t="s">
        <v>464</v>
      </c>
      <c r="BY159" s="68" t="s">
        <v>464</v>
      </c>
      <c r="BZ159" s="68">
        <v>0</v>
      </c>
      <c r="CA159" s="68">
        <v>4</v>
      </c>
      <c r="CB159" s="68">
        <v>2.5</v>
      </c>
      <c r="CC159" s="68">
        <v>0</v>
      </c>
      <c r="CD159" s="68" t="s">
        <v>464</v>
      </c>
      <c r="CE159" s="68" t="s">
        <v>464</v>
      </c>
      <c r="CF159" s="68" t="s">
        <v>1266</v>
      </c>
      <c r="CG159" s="68">
        <v>400</v>
      </c>
      <c r="CI159" s="68" t="s">
        <v>1287</v>
      </c>
      <c r="CK159" s="70">
        <f>2*385</f>
        <v>770</v>
      </c>
    </row>
    <row r="160" spans="1:89" x14ac:dyDescent="0.3">
      <c r="A160" t="s">
        <v>88</v>
      </c>
      <c r="C160" t="s">
        <v>4006</v>
      </c>
      <c r="D160" s="12"/>
      <c r="E160">
        <v>3.9</v>
      </c>
      <c r="F160" t="s">
        <v>89</v>
      </c>
      <c r="G160" s="8" t="s">
        <v>562</v>
      </c>
      <c r="H160" t="s">
        <v>640</v>
      </c>
      <c r="M160" t="b">
        <v>1</v>
      </c>
      <c r="N160" t="b">
        <v>1</v>
      </c>
      <c r="O160" t="b">
        <v>0</v>
      </c>
      <c r="P160" t="b">
        <v>0</v>
      </c>
      <c r="Q160" t="s">
        <v>562</v>
      </c>
      <c r="R160" t="s">
        <v>640</v>
      </c>
      <c r="T160" s="1">
        <v>2</v>
      </c>
      <c r="U160" s="20">
        <v>1</v>
      </c>
      <c r="V160">
        <v>2</v>
      </c>
      <c r="W160">
        <v>0</v>
      </c>
      <c r="X160" s="1">
        <v>3.847</v>
      </c>
      <c r="Y160" s="1">
        <v>3.847</v>
      </c>
      <c r="Z160" s="1">
        <v>18.109400000000001</v>
      </c>
      <c r="AA160" s="1" t="s">
        <v>440</v>
      </c>
      <c r="AB160" s="1">
        <v>9.0547000000000004</v>
      </c>
      <c r="AC160" s="20">
        <v>3.9407006600000001</v>
      </c>
      <c r="AD160" s="20">
        <v>3.94070016</v>
      </c>
      <c r="AE160" s="20">
        <v>9.4498532300000004</v>
      </c>
      <c r="AF160">
        <v>3.9499</v>
      </c>
      <c r="AG160">
        <v>3.9499</v>
      </c>
      <c r="AH160">
        <v>18.2</v>
      </c>
      <c r="AI160">
        <v>0</v>
      </c>
      <c r="AL160">
        <v>3</v>
      </c>
      <c r="AM160">
        <v>14</v>
      </c>
      <c r="AN160" s="44">
        <f t="shared" si="9"/>
        <v>268.00841734459999</v>
      </c>
      <c r="AO160" s="46">
        <v>140.22301532111419</v>
      </c>
      <c r="AP160" s="44">
        <v>283.95112218200001</v>
      </c>
      <c r="AQ160" s="44">
        <v>0</v>
      </c>
      <c r="AR160" s="41"/>
      <c r="AS160" s="40">
        <v>9.984095669273442E-2</v>
      </c>
      <c r="AT160" s="41">
        <v>9.8608520314468942E-2</v>
      </c>
      <c r="AU160" s="41"/>
      <c r="AV160" s="23">
        <v>1.833333333333333</v>
      </c>
      <c r="AW160" s="23">
        <v>2.333333333333333</v>
      </c>
      <c r="AX160" s="23">
        <v>0.5</v>
      </c>
      <c r="AY160" s="23">
        <v>2.333333333333333</v>
      </c>
      <c r="AZ160" s="23">
        <v>0.26190476190476192</v>
      </c>
      <c r="BA160" s="23">
        <v>0.33333333333333343</v>
      </c>
      <c r="BB160" s="23">
        <v>7.1428571428571425E-2</v>
      </c>
      <c r="BC160" s="23">
        <v>0.33333333333333343</v>
      </c>
      <c r="BD160" s="20">
        <v>0.95</v>
      </c>
      <c r="BE160" s="20">
        <v>3.44</v>
      </c>
      <c r="BF160" s="20">
        <v>2.4900000000000002</v>
      </c>
      <c r="BG160" s="20">
        <v>2.499166666666667</v>
      </c>
      <c r="BH160">
        <v>2.499166666666667</v>
      </c>
      <c r="BI160">
        <v>5.7944152492500001</v>
      </c>
      <c r="BJ160" s="64">
        <v>0.55890272128424257</v>
      </c>
      <c r="BK160" s="64">
        <v>0.55200362828233795</v>
      </c>
      <c r="BL160" s="64"/>
      <c r="BN160">
        <v>4.9920478346367217E-2</v>
      </c>
      <c r="BO160">
        <v>4.9304260157234471E-2</v>
      </c>
      <c r="BQ160">
        <v>9.9224738503601681E-2</v>
      </c>
      <c r="BR160">
        <v>4.9612369251800847E-2</v>
      </c>
      <c r="BS160">
        <v>0.55545317478329026</v>
      </c>
      <c r="BT160" s="68" t="s">
        <v>1264</v>
      </c>
      <c r="BU160" s="68">
        <v>1523</v>
      </c>
      <c r="BV160" s="68">
        <v>24</v>
      </c>
      <c r="BX160" s="68" t="s">
        <v>464</v>
      </c>
      <c r="BY160" s="68" t="s">
        <v>464</v>
      </c>
      <c r="BZ160" s="68">
        <v>0</v>
      </c>
      <c r="CA160" s="68">
        <v>0.2</v>
      </c>
      <c r="CB160" s="68">
        <v>2.5</v>
      </c>
      <c r="CC160" s="68">
        <v>0</v>
      </c>
      <c r="CD160" s="68" t="s">
        <v>464</v>
      </c>
      <c r="CE160" s="68" t="s">
        <v>464</v>
      </c>
      <c r="CF160" s="68" t="s">
        <v>1266</v>
      </c>
      <c r="CG160" s="68">
        <v>400</v>
      </c>
      <c r="CI160" s="68" t="s">
        <v>1287</v>
      </c>
      <c r="CK160" s="70">
        <f>14.9*2</f>
        <v>29.8</v>
      </c>
    </row>
    <row r="161" spans="1:89" x14ac:dyDescent="0.3">
      <c r="A161" t="s">
        <v>856</v>
      </c>
      <c r="C161" t="s">
        <v>4007</v>
      </c>
      <c r="D161" s="12"/>
      <c r="E161">
        <v>3.9</v>
      </c>
      <c r="F161" t="s">
        <v>89</v>
      </c>
      <c r="G161" s="98" t="s">
        <v>1312</v>
      </c>
      <c r="H161">
        <v>-1</v>
      </c>
      <c r="M161" t="b">
        <v>1</v>
      </c>
      <c r="N161" t="b">
        <v>0</v>
      </c>
      <c r="O161" t="b">
        <v>0</v>
      </c>
      <c r="P161" t="b">
        <v>0</v>
      </c>
      <c r="Q161" t="s">
        <v>1312</v>
      </c>
      <c r="R161">
        <v>-1</v>
      </c>
      <c r="T161">
        <v>1</v>
      </c>
      <c r="U161" s="20">
        <v>0</v>
      </c>
      <c r="V161">
        <v>0</v>
      </c>
      <c r="W161">
        <v>0</v>
      </c>
      <c r="X161">
        <v>3.9973999999999998</v>
      </c>
      <c r="Y161">
        <v>3.9973999999999998</v>
      </c>
      <c r="Z161">
        <v>12.132999999999999</v>
      </c>
      <c r="AA161" t="s">
        <v>439</v>
      </c>
      <c r="AB161">
        <v>12.132999999999999</v>
      </c>
      <c r="AC161" s="20">
        <v>0</v>
      </c>
      <c r="AD161" s="20"/>
      <c r="AE161" s="20"/>
      <c r="AF161">
        <v>0</v>
      </c>
      <c r="AI161">
        <v>0</v>
      </c>
      <c r="AL161">
        <v>3</v>
      </c>
      <c r="AM161">
        <v>14</v>
      </c>
      <c r="AN161" s="44">
        <f t="shared" si="9"/>
        <v>193.87571561907995</v>
      </c>
      <c r="AO161" s="46">
        <v>0</v>
      </c>
      <c r="AP161" s="44">
        <v>0</v>
      </c>
      <c r="AQ161" s="44">
        <v>0</v>
      </c>
      <c r="AR161" s="41">
        <f t="shared" ref="AR161:AR168" si="19">T161*AM161/AN161</f>
        <v>7.2211209925366296E-2</v>
      </c>
      <c r="AS161" s="40"/>
      <c r="AT161" s="41"/>
      <c r="AU161" s="41"/>
      <c r="AV161" s="23">
        <v>1.833333333333333</v>
      </c>
      <c r="AW161" s="23">
        <v>2.333333333333333</v>
      </c>
      <c r="AX161" s="23">
        <v>0.5</v>
      </c>
      <c r="AY161" s="23">
        <v>2.333333333333333</v>
      </c>
      <c r="AZ161" s="23">
        <v>0.26190476190476192</v>
      </c>
      <c r="BA161" s="23">
        <v>0.33333333333333343</v>
      </c>
      <c r="BB161" s="23">
        <v>7.1428571428571425E-2</v>
      </c>
      <c r="BC161" s="23">
        <v>0.33333333333333343</v>
      </c>
      <c r="BD161" s="20">
        <v>0.82</v>
      </c>
      <c r="BE161" s="20">
        <v>3.44</v>
      </c>
      <c r="BF161" s="20">
        <v>2.62</v>
      </c>
      <c r="BG161" s="20">
        <v>2.4725000000000001</v>
      </c>
      <c r="BH161">
        <v>2.4725000000000001</v>
      </c>
      <c r="BI161">
        <v>5.697111802916667</v>
      </c>
      <c r="BJ161" s="64"/>
      <c r="BK161" s="64"/>
      <c r="BL161" s="64"/>
      <c r="BM161">
        <v>3.6105604962683148E-2</v>
      </c>
      <c r="BQ161">
        <v>7.2211209925366296E-2</v>
      </c>
      <c r="BR161">
        <v>3.6105604962683148E-2</v>
      </c>
      <c r="BS161">
        <v>0</v>
      </c>
      <c r="BT161" s="68" t="s">
        <v>1264</v>
      </c>
      <c r="BU161" s="68">
        <v>1173</v>
      </c>
      <c r="BV161" s="68">
        <v>24</v>
      </c>
      <c r="BX161" s="68" t="s">
        <v>464</v>
      </c>
      <c r="BY161" s="68" t="s">
        <v>464</v>
      </c>
      <c r="BZ161" s="68">
        <v>0</v>
      </c>
      <c r="CA161" s="68">
        <v>1.1000000000000001</v>
      </c>
      <c r="CB161" s="68">
        <v>2.5</v>
      </c>
      <c r="CC161" s="68">
        <v>0</v>
      </c>
      <c r="CD161" s="68" t="s">
        <v>464</v>
      </c>
      <c r="CE161" s="68" t="s">
        <v>464</v>
      </c>
      <c r="CF161" s="68" t="s">
        <v>1266</v>
      </c>
      <c r="CG161" s="68">
        <v>400</v>
      </c>
      <c r="CI161" s="68" t="s">
        <v>1287</v>
      </c>
      <c r="CK161" s="70">
        <f>374*2</f>
        <v>748</v>
      </c>
    </row>
    <row r="162" spans="1:89" x14ac:dyDescent="0.3">
      <c r="A162" t="s">
        <v>857</v>
      </c>
      <c r="C162" t="s">
        <v>4008</v>
      </c>
      <c r="D162" s="12"/>
      <c r="E162">
        <v>3.9</v>
      </c>
      <c r="F162" t="s">
        <v>89</v>
      </c>
      <c r="G162" s="101" t="s">
        <v>1312</v>
      </c>
      <c r="H162">
        <v>-1</v>
      </c>
      <c r="J162" t="s">
        <v>1769</v>
      </c>
      <c r="M162" t="b">
        <v>1</v>
      </c>
      <c r="N162" t="b">
        <v>0</v>
      </c>
      <c r="O162" t="b">
        <v>0</v>
      </c>
      <c r="P162" t="b">
        <v>0</v>
      </c>
      <c r="Q162" t="s">
        <v>1943</v>
      </c>
      <c r="R162">
        <v>-1</v>
      </c>
      <c r="T162">
        <v>1</v>
      </c>
      <c r="U162" s="20">
        <v>0</v>
      </c>
      <c r="V162">
        <v>0</v>
      </c>
      <c r="W162">
        <v>0</v>
      </c>
      <c r="X162">
        <v>3.9727000000000001</v>
      </c>
      <c r="Y162">
        <v>3.9727000000000001</v>
      </c>
      <c r="Z162">
        <v>12.763199999999999</v>
      </c>
      <c r="AA162" t="s">
        <v>439</v>
      </c>
      <c r="AB162">
        <v>12.763199999999999</v>
      </c>
      <c r="AC162" s="20">
        <v>0</v>
      </c>
      <c r="AD162" s="20"/>
      <c r="AE162" s="20"/>
      <c r="AF162">
        <v>0</v>
      </c>
      <c r="AI162">
        <v>0</v>
      </c>
      <c r="AL162">
        <v>3</v>
      </c>
      <c r="AM162">
        <v>14</v>
      </c>
      <c r="AN162" s="44">
        <f t="shared" si="9"/>
        <v>201.43322940532801</v>
      </c>
      <c r="AO162" s="46">
        <v>0</v>
      </c>
      <c r="AP162" s="44">
        <v>0</v>
      </c>
      <c r="AQ162" s="44">
        <v>0</v>
      </c>
      <c r="AR162" s="41">
        <f t="shared" si="19"/>
        <v>6.9501938887297082E-2</v>
      </c>
      <c r="AS162" s="40"/>
      <c r="AT162" s="41"/>
      <c r="AU162" s="41"/>
      <c r="AV162" s="23">
        <v>1.833333333333333</v>
      </c>
      <c r="AW162" s="23">
        <v>2.333333333333333</v>
      </c>
      <c r="AX162" s="23">
        <v>0.5</v>
      </c>
      <c r="AY162" s="23">
        <v>2.333333333333333</v>
      </c>
      <c r="AZ162" s="23">
        <v>0.26190476190476192</v>
      </c>
      <c r="BA162" s="23">
        <v>0.33333333333333343</v>
      </c>
      <c r="BB162" s="23">
        <v>7.1428571428571425E-2</v>
      </c>
      <c r="BC162" s="23">
        <v>0.33333333333333343</v>
      </c>
      <c r="BD162" s="20">
        <v>0.82</v>
      </c>
      <c r="BE162" s="20">
        <v>3.44</v>
      </c>
      <c r="BF162" s="20">
        <v>2.62</v>
      </c>
      <c r="BG162" s="20">
        <v>2.4725000000000001</v>
      </c>
      <c r="BH162">
        <v>2.4725000000000001</v>
      </c>
      <c r="BI162">
        <v>5.6821885904166667</v>
      </c>
      <c r="BJ162" s="64"/>
      <c r="BK162" s="64"/>
      <c r="BL162" s="64"/>
      <c r="BM162">
        <v>3.4750969443648541E-2</v>
      </c>
      <c r="BQ162">
        <v>6.9501938887297082E-2</v>
      </c>
      <c r="BR162">
        <v>3.4750969443648541E-2</v>
      </c>
      <c r="BS162">
        <v>0</v>
      </c>
      <c r="BT162" s="68" t="s">
        <v>1264</v>
      </c>
      <c r="BU162" s="68">
        <v>1173</v>
      </c>
      <c r="BV162" s="68">
        <v>24</v>
      </c>
      <c r="BX162" s="68" t="s">
        <v>464</v>
      </c>
      <c r="BY162" s="68" t="s">
        <v>464</v>
      </c>
      <c r="BZ162" s="68">
        <v>0</v>
      </c>
      <c r="CA162" s="68">
        <v>1.6</v>
      </c>
      <c r="CB162" s="68">
        <v>2.5</v>
      </c>
      <c r="CC162" s="68">
        <v>0</v>
      </c>
      <c r="CD162" s="68" t="s">
        <v>464</v>
      </c>
      <c r="CE162" s="68" t="s">
        <v>464</v>
      </c>
      <c r="CF162" s="68" t="s">
        <v>1266</v>
      </c>
      <c r="CG162" s="68">
        <v>400</v>
      </c>
      <c r="CI162" s="68" t="s">
        <v>1287</v>
      </c>
      <c r="CK162" s="70">
        <f>88*2</f>
        <v>176</v>
      </c>
    </row>
    <row r="163" spans="1:89" x14ac:dyDescent="0.3">
      <c r="A163" t="s">
        <v>27</v>
      </c>
      <c r="C163" t="s">
        <v>3977</v>
      </c>
      <c r="D163" s="12"/>
      <c r="E163">
        <v>3.6</v>
      </c>
      <c r="F163" t="s">
        <v>89</v>
      </c>
      <c r="G163" s="8" t="s">
        <v>563</v>
      </c>
      <c r="H163" t="s">
        <v>641</v>
      </c>
      <c r="M163" t="b">
        <v>1</v>
      </c>
      <c r="N163" t="b">
        <v>1</v>
      </c>
      <c r="O163" t="b">
        <v>0</v>
      </c>
      <c r="P163" t="b">
        <v>0</v>
      </c>
      <c r="Q163" t="s">
        <v>563</v>
      </c>
      <c r="R163" t="s">
        <v>641</v>
      </c>
      <c r="U163" s="20">
        <v>1</v>
      </c>
      <c r="V163">
        <v>1</v>
      </c>
      <c r="W163">
        <v>0</v>
      </c>
      <c r="AC163" s="20">
        <v>3.9948813699999999</v>
      </c>
      <c r="AD163" s="20">
        <v>3.9948813699999999</v>
      </c>
      <c r="AE163" s="20">
        <v>3.9948813699999999</v>
      </c>
      <c r="AF163">
        <v>3.9883000000000002</v>
      </c>
      <c r="AG163">
        <v>3.9883000000000002</v>
      </c>
      <c r="AH163">
        <v>3.9883000000000002</v>
      </c>
      <c r="AI163">
        <v>0</v>
      </c>
      <c r="AM163">
        <v>6</v>
      </c>
      <c r="AN163" s="44">
        <f t="shared" si="9"/>
        <v>0</v>
      </c>
      <c r="AO163" s="46">
        <v>63.754620030366901</v>
      </c>
      <c r="AP163" s="44">
        <v>63.440041078387011</v>
      </c>
      <c r="AQ163" s="44">
        <v>0</v>
      </c>
      <c r="AR163" s="41"/>
      <c r="AS163" s="40">
        <v>9.4110826747020773E-2</v>
      </c>
      <c r="AT163" s="41">
        <v>9.4577492353549286E-2</v>
      </c>
      <c r="AU163" s="41"/>
      <c r="AV163" s="23">
        <v>1.8</v>
      </c>
      <c r="AW163" s="23">
        <v>2.4</v>
      </c>
      <c r="AX163" s="23">
        <v>0.6</v>
      </c>
      <c r="AY163" s="23">
        <v>2.8</v>
      </c>
      <c r="AZ163" s="23">
        <v>0.23684210526315791</v>
      </c>
      <c r="BA163" s="23">
        <v>0.31578947368421051</v>
      </c>
      <c r="BB163" s="23">
        <v>7.8947368421052627E-2</v>
      </c>
      <c r="BC163" s="23">
        <v>0.36842105263157893</v>
      </c>
      <c r="BD163" s="20">
        <v>0.82</v>
      </c>
      <c r="BE163" s="20">
        <v>3.44</v>
      </c>
      <c r="BF163" s="20">
        <v>2.62</v>
      </c>
      <c r="BG163" s="20">
        <v>2.528</v>
      </c>
      <c r="BH163">
        <v>2.528</v>
      </c>
      <c r="BI163">
        <v>5.7952294759999994</v>
      </c>
      <c r="BJ163" s="64">
        <v>0.65619545508850963</v>
      </c>
      <c r="BK163" s="64">
        <v>0.65944931928920669</v>
      </c>
      <c r="BL163" s="64"/>
      <c r="BN163">
        <v>4.7055413373510387E-2</v>
      </c>
      <c r="BO163">
        <v>4.7288746176774643E-2</v>
      </c>
      <c r="BQ163">
        <v>9.4344159550285023E-2</v>
      </c>
      <c r="BR163">
        <v>4.7172079775142511E-2</v>
      </c>
      <c r="BS163">
        <v>0.65782238718885822</v>
      </c>
      <c r="BT163" s="68" t="s">
        <v>1264</v>
      </c>
      <c r="BU163" s="68">
        <v>1173</v>
      </c>
      <c r="BV163" s="68">
        <v>24</v>
      </c>
      <c r="BX163" s="68" t="s">
        <v>464</v>
      </c>
      <c r="BY163" s="68" t="s">
        <v>464</v>
      </c>
      <c r="BZ163" s="68">
        <v>0</v>
      </c>
      <c r="CA163" s="68">
        <v>1.5</v>
      </c>
      <c r="CB163" s="68">
        <v>2.5</v>
      </c>
      <c r="CC163" s="68">
        <v>0</v>
      </c>
      <c r="CD163" s="68" t="s">
        <v>464</v>
      </c>
      <c r="CE163" s="68" t="s">
        <v>464</v>
      </c>
      <c r="CF163" s="68" t="s">
        <v>1266</v>
      </c>
      <c r="CG163" s="68">
        <v>400</v>
      </c>
      <c r="CI163" s="68" t="s">
        <v>1287</v>
      </c>
      <c r="CK163" s="70">
        <f>24.7*2</f>
        <v>49.4</v>
      </c>
    </row>
    <row r="164" spans="1:89" x14ac:dyDescent="0.3">
      <c r="A164" t="s">
        <v>87</v>
      </c>
      <c r="C164" t="s">
        <v>4005</v>
      </c>
      <c r="D164" s="12"/>
      <c r="E164">
        <v>3.9</v>
      </c>
      <c r="F164" t="s">
        <v>89</v>
      </c>
      <c r="G164" s="8" t="s">
        <v>564</v>
      </c>
      <c r="H164">
        <v>-1</v>
      </c>
      <c r="I164" t="s">
        <v>1162</v>
      </c>
      <c r="M164" t="b">
        <v>1</v>
      </c>
      <c r="N164" t="b">
        <v>0</v>
      </c>
      <c r="O164" t="b">
        <v>0</v>
      </c>
      <c r="P164" t="b">
        <v>0</v>
      </c>
      <c r="Q164" t="s">
        <v>564</v>
      </c>
      <c r="R164">
        <v>-1</v>
      </c>
      <c r="S164" t="s">
        <v>1162</v>
      </c>
      <c r="T164">
        <v>1</v>
      </c>
      <c r="U164" s="20">
        <v>0</v>
      </c>
      <c r="V164">
        <v>0</v>
      </c>
      <c r="W164">
        <v>2</v>
      </c>
      <c r="X164">
        <v>3.9037999999999999</v>
      </c>
      <c r="Y164">
        <v>3.9037999999999999</v>
      </c>
      <c r="Z164">
        <v>9.7742000000000004</v>
      </c>
      <c r="AA164" t="s">
        <v>439</v>
      </c>
      <c r="AB164">
        <v>9.7742000000000004</v>
      </c>
      <c r="AC164" s="20">
        <v>0</v>
      </c>
      <c r="AD164" s="20"/>
      <c r="AE164" s="20"/>
      <c r="AF164">
        <v>0</v>
      </c>
      <c r="AI164">
        <v>3.93</v>
      </c>
      <c r="AJ164">
        <v>3.93</v>
      </c>
      <c r="AK164">
        <v>18.515000000000001</v>
      </c>
      <c r="AL164">
        <v>3</v>
      </c>
      <c r="AM164">
        <v>14</v>
      </c>
      <c r="AN164" s="44">
        <f t="shared" ref="AN164:AN166" si="20">X164*Y164*Z164</f>
        <v>148.95543042744799</v>
      </c>
      <c r="AO164" s="46">
        <v>0</v>
      </c>
      <c r="AP164" s="44">
        <v>0</v>
      </c>
      <c r="AQ164" s="44">
        <v>285.96232350000002</v>
      </c>
      <c r="AR164" s="41"/>
      <c r="AS164" s="40"/>
      <c r="AT164" s="41"/>
      <c r="AU164" s="41">
        <v>9.7914996833490184E-2</v>
      </c>
      <c r="AV164" s="23">
        <v>1.833333333333333</v>
      </c>
      <c r="AW164" s="23">
        <v>2.333333333333333</v>
      </c>
      <c r="AX164" s="23">
        <v>0.5</v>
      </c>
      <c r="AY164" s="23">
        <v>2.333333333333333</v>
      </c>
      <c r="AZ164" s="23">
        <v>0.26190476190476192</v>
      </c>
      <c r="BA164" s="23">
        <v>0.33333333333333343</v>
      </c>
      <c r="BB164" s="23">
        <v>7.1428571428571425E-2</v>
      </c>
      <c r="BC164" s="23">
        <v>0.33333333333333343</v>
      </c>
      <c r="BD164" s="20">
        <v>0.95</v>
      </c>
      <c r="BE164" s="20">
        <v>3.44</v>
      </c>
      <c r="BF164" s="20">
        <v>2.4900000000000002</v>
      </c>
      <c r="BG164" s="20">
        <v>2.7024999999999988</v>
      </c>
      <c r="BH164">
        <v>2.7025000000000001</v>
      </c>
      <c r="BI164">
        <v>6.4896876145585001</v>
      </c>
      <c r="BJ164" s="64"/>
      <c r="BK164" s="64"/>
      <c r="BL164" s="64">
        <v>0.392702013826212</v>
      </c>
      <c r="BP164">
        <v>4.8957498416745092E-2</v>
      </c>
      <c r="BQ164">
        <v>9.7914996833490184E-2</v>
      </c>
      <c r="BR164">
        <v>4.8957498416745092E-2</v>
      </c>
      <c r="BS164">
        <v>0.392702013826212</v>
      </c>
      <c r="BT164" s="68" t="s">
        <v>1264</v>
      </c>
      <c r="BU164" s="68">
        <v>1173</v>
      </c>
      <c r="BV164" s="68">
        <v>24</v>
      </c>
      <c r="BX164" s="68" t="s">
        <v>464</v>
      </c>
      <c r="BY164" s="68" t="s">
        <v>464</v>
      </c>
      <c r="BZ164" s="68">
        <v>0</v>
      </c>
      <c r="CA164" s="68">
        <v>4</v>
      </c>
      <c r="CB164" s="68">
        <v>2.5</v>
      </c>
      <c r="CC164" s="68">
        <v>0</v>
      </c>
      <c r="CD164" s="68" t="s">
        <v>1311</v>
      </c>
      <c r="CE164" s="68" t="s">
        <v>464</v>
      </c>
      <c r="CF164" s="68" t="s">
        <v>1266</v>
      </c>
      <c r="CG164" s="68">
        <v>400</v>
      </c>
      <c r="CI164" s="68" t="s">
        <v>1287</v>
      </c>
      <c r="CK164" s="70">
        <f>1490*2</f>
        <v>2980</v>
      </c>
    </row>
    <row r="165" spans="1:89" x14ac:dyDescent="0.3">
      <c r="A165" t="s">
        <v>856</v>
      </c>
      <c r="C165" t="s">
        <v>4007</v>
      </c>
      <c r="D165" s="12"/>
      <c r="E165">
        <v>3.9</v>
      </c>
      <c r="F165" t="s">
        <v>89</v>
      </c>
      <c r="G165" s="98" t="s">
        <v>1312</v>
      </c>
      <c r="H165">
        <v>-1</v>
      </c>
      <c r="M165" t="b">
        <v>1</v>
      </c>
      <c r="N165" t="b">
        <v>0</v>
      </c>
      <c r="O165" t="b">
        <v>0</v>
      </c>
      <c r="P165" t="b">
        <v>0</v>
      </c>
      <c r="Q165" t="s">
        <v>1312</v>
      </c>
      <c r="R165">
        <v>-1</v>
      </c>
      <c r="T165">
        <v>1</v>
      </c>
      <c r="U165" s="20">
        <v>0</v>
      </c>
      <c r="V165">
        <v>0</v>
      </c>
      <c r="W165">
        <v>0</v>
      </c>
      <c r="X165">
        <v>3.9973999999999998</v>
      </c>
      <c r="Y165">
        <v>3.9973999999999998</v>
      </c>
      <c r="Z165">
        <v>12.132999999999999</v>
      </c>
      <c r="AA165" t="s">
        <v>439</v>
      </c>
      <c r="AB165">
        <v>12.132999999999999</v>
      </c>
      <c r="AC165" s="20">
        <v>0</v>
      </c>
      <c r="AD165" s="20"/>
      <c r="AE165" s="20"/>
      <c r="AF165">
        <v>0</v>
      </c>
      <c r="AI165">
        <v>0</v>
      </c>
      <c r="AL165">
        <v>3</v>
      </c>
      <c r="AM165">
        <v>14</v>
      </c>
      <c r="AN165" s="44">
        <f t="shared" si="20"/>
        <v>193.87571561907995</v>
      </c>
      <c r="AO165" s="46">
        <v>0</v>
      </c>
      <c r="AP165" s="44">
        <v>0</v>
      </c>
      <c r="AQ165" s="44">
        <v>0</v>
      </c>
      <c r="AR165" s="41">
        <f t="shared" ref="AR165" si="21">T165*AM165/AN165</f>
        <v>7.2211209925366296E-2</v>
      </c>
      <c r="AS165" s="40"/>
      <c r="AT165" s="41"/>
      <c r="AU165" s="41"/>
      <c r="AV165" s="23">
        <v>1.833333333333333</v>
      </c>
      <c r="AW165" s="23">
        <v>2.333333333333333</v>
      </c>
      <c r="AX165" s="23">
        <v>0.5</v>
      </c>
      <c r="AY165" s="23">
        <v>2.333333333333333</v>
      </c>
      <c r="AZ165" s="23">
        <v>0.26190476190476192</v>
      </c>
      <c r="BA165" s="23">
        <v>0.33333333333333343</v>
      </c>
      <c r="BB165" s="23">
        <v>7.1428571428571425E-2</v>
      </c>
      <c r="BC165" s="23">
        <v>0.33333333333333343</v>
      </c>
      <c r="BD165" s="20">
        <v>0.82</v>
      </c>
      <c r="BE165" s="20">
        <v>3.44</v>
      </c>
      <c r="BF165" s="20">
        <v>2.62</v>
      </c>
      <c r="BG165" s="20">
        <v>2.4725000000000001</v>
      </c>
      <c r="BH165">
        <v>2.4725000000000001</v>
      </c>
      <c r="BI165">
        <v>5.697111802916667</v>
      </c>
      <c r="BJ165" s="64"/>
      <c r="BK165" s="64"/>
      <c r="BL165" s="64"/>
      <c r="BM165">
        <v>3.6105604962683148E-2</v>
      </c>
      <c r="BQ165">
        <v>7.2211209925366296E-2</v>
      </c>
      <c r="BR165">
        <v>3.6105604962683148E-2</v>
      </c>
      <c r="BS165">
        <v>0</v>
      </c>
      <c r="BT165" s="68" t="s">
        <v>1264</v>
      </c>
      <c r="BU165" s="68">
        <v>1173</v>
      </c>
      <c r="BV165" s="68">
        <v>24</v>
      </c>
      <c r="BX165" s="68" t="s">
        <v>464</v>
      </c>
      <c r="BY165" s="68" t="s">
        <v>464</v>
      </c>
      <c r="BZ165" s="68">
        <v>0</v>
      </c>
      <c r="CA165" s="68">
        <v>1.1000000000000001</v>
      </c>
      <c r="CB165" s="68">
        <v>2.5</v>
      </c>
      <c r="CC165" s="68">
        <v>0</v>
      </c>
      <c r="CD165" s="68" t="s">
        <v>1311</v>
      </c>
      <c r="CE165" s="68" t="s">
        <v>464</v>
      </c>
      <c r="CF165" s="68" t="s">
        <v>1266</v>
      </c>
      <c r="CG165" s="68">
        <v>400</v>
      </c>
      <c r="CI165" s="68" t="s">
        <v>1287</v>
      </c>
      <c r="CK165" s="70">
        <f>375*2</f>
        <v>750</v>
      </c>
    </row>
    <row r="166" spans="1:89" x14ac:dyDescent="0.3">
      <c r="A166" t="s">
        <v>27</v>
      </c>
      <c r="C166" t="s">
        <v>3977</v>
      </c>
      <c r="D166" s="12"/>
      <c r="E166">
        <v>3.6</v>
      </c>
      <c r="F166" t="s">
        <v>89</v>
      </c>
      <c r="G166" s="8" t="s">
        <v>563</v>
      </c>
      <c r="H166" t="s">
        <v>641</v>
      </c>
      <c r="M166" t="b">
        <v>1</v>
      </c>
      <c r="N166" t="b">
        <v>1</v>
      </c>
      <c r="O166" t="b">
        <v>0</v>
      </c>
      <c r="P166" t="b">
        <v>0</v>
      </c>
      <c r="Q166" t="s">
        <v>563</v>
      </c>
      <c r="R166" t="s">
        <v>641</v>
      </c>
      <c r="U166" s="20">
        <v>1</v>
      </c>
      <c r="V166">
        <v>1</v>
      </c>
      <c r="W166">
        <v>0</v>
      </c>
      <c r="AC166" s="20">
        <v>3.9948813699999999</v>
      </c>
      <c r="AD166" s="20">
        <v>3.9948813699999999</v>
      </c>
      <c r="AE166" s="20">
        <v>3.9948813699999999</v>
      </c>
      <c r="AF166">
        <v>3.9883000000000002</v>
      </c>
      <c r="AG166">
        <v>3.9883000000000002</v>
      </c>
      <c r="AH166">
        <v>3.9883000000000002</v>
      </c>
      <c r="AI166">
        <v>0</v>
      </c>
      <c r="AM166">
        <v>6</v>
      </c>
      <c r="AN166" s="44">
        <f t="shared" si="20"/>
        <v>0</v>
      </c>
      <c r="AO166" s="46">
        <v>63.754620030366901</v>
      </c>
      <c r="AP166" s="44">
        <v>63.440041078387011</v>
      </c>
      <c r="AQ166" s="44">
        <v>0</v>
      </c>
      <c r="AR166" s="41"/>
      <c r="AS166" s="40">
        <v>9.4110826747020773E-2</v>
      </c>
      <c r="AT166" s="41">
        <v>9.4577492353549286E-2</v>
      </c>
      <c r="AU166" s="41"/>
      <c r="AV166" s="23">
        <v>1.8</v>
      </c>
      <c r="AW166" s="23">
        <v>2.4</v>
      </c>
      <c r="AX166" s="23">
        <v>0.6</v>
      </c>
      <c r="AY166" s="23">
        <v>2.8</v>
      </c>
      <c r="AZ166" s="23">
        <v>0.23684210526315791</v>
      </c>
      <c r="BA166" s="23">
        <v>0.31578947368421051</v>
      </c>
      <c r="BB166" s="23">
        <v>7.8947368421052627E-2</v>
      </c>
      <c r="BC166" s="23">
        <v>0.36842105263157893</v>
      </c>
      <c r="BD166" s="20">
        <v>0.82</v>
      </c>
      <c r="BE166" s="20">
        <v>3.44</v>
      </c>
      <c r="BF166" s="20">
        <v>2.62</v>
      </c>
      <c r="BG166" s="20">
        <v>2.528</v>
      </c>
      <c r="BH166">
        <v>2.528</v>
      </c>
      <c r="BI166">
        <v>5.7952294759999994</v>
      </c>
      <c r="BJ166" s="64">
        <v>0.65619545508850963</v>
      </c>
      <c r="BK166" s="64">
        <v>0.65944931928920669</v>
      </c>
      <c r="BL166" s="64"/>
      <c r="BN166">
        <v>4.7055413373510387E-2</v>
      </c>
      <c r="BO166">
        <v>4.7288746176774643E-2</v>
      </c>
      <c r="BQ166">
        <v>9.4344159550285023E-2</v>
      </c>
      <c r="BR166">
        <v>4.7172079775142511E-2</v>
      </c>
      <c r="BS166">
        <v>0.65782238718885822</v>
      </c>
      <c r="BT166" s="68" t="s">
        <v>1264</v>
      </c>
      <c r="BU166" s="68">
        <v>1173</v>
      </c>
      <c r="BV166" s="68">
        <v>24</v>
      </c>
      <c r="BX166" s="68" t="s">
        <v>464</v>
      </c>
      <c r="BY166" s="68" t="s">
        <v>464</v>
      </c>
      <c r="BZ166" s="68">
        <v>0</v>
      </c>
      <c r="CA166" s="68">
        <v>1.5</v>
      </c>
      <c r="CB166" s="68">
        <v>2.5</v>
      </c>
      <c r="CC166" s="68">
        <v>0</v>
      </c>
      <c r="CD166" s="68" t="s">
        <v>1311</v>
      </c>
      <c r="CE166" s="68" t="s">
        <v>464</v>
      </c>
      <c r="CF166" s="68" t="s">
        <v>1266</v>
      </c>
      <c r="CG166" s="68">
        <v>400</v>
      </c>
      <c r="CI166" s="68" t="s">
        <v>1287</v>
      </c>
      <c r="CK166" s="70">
        <f>270*2</f>
        <v>540</v>
      </c>
    </row>
    <row r="167" spans="1:89" x14ac:dyDescent="0.3">
      <c r="A167" t="s">
        <v>864</v>
      </c>
      <c r="C167" t="s">
        <v>4009</v>
      </c>
      <c r="D167" s="12"/>
      <c r="E167">
        <v>4</v>
      </c>
      <c r="F167" t="s">
        <v>91</v>
      </c>
      <c r="G167" s="8">
        <v>-1</v>
      </c>
      <c r="H167">
        <v>-1</v>
      </c>
      <c r="I167" t="s">
        <v>1212</v>
      </c>
      <c r="M167" t="b">
        <v>0</v>
      </c>
      <c r="N167" t="b">
        <v>0</v>
      </c>
      <c r="O167" t="b">
        <v>1</v>
      </c>
      <c r="P167" t="b">
        <v>0</v>
      </c>
      <c r="Q167">
        <v>-1</v>
      </c>
      <c r="R167">
        <v>-1</v>
      </c>
      <c r="S167" t="s">
        <v>1212</v>
      </c>
      <c r="T167">
        <v>0.66666666699999999</v>
      </c>
      <c r="U167" s="20">
        <v>0</v>
      </c>
      <c r="V167">
        <v>0</v>
      </c>
      <c r="W167">
        <f>2/3</f>
        <v>0.66666666666666663</v>
      </c>
      <c r="X167">
        <v>3.9607999999999999</v>
      </c>
      <c r="Y167">
        <v>3.9607999999999999</v>
      </c>
      <c r="Z167">
        <v>21.8126</v>
      </c>
      <c r="AA167" t="s">
        <v>440</v>
      </c>
      <c r="AB167">
        <v>10.9063</v>
      </c>
      <c r="AC167" s="20">
        <v>0</v>
      </c>
      <c r="AD167" s="20"/>
      <c r="AE167" s="20"/>
      <c r="AF167">
        <v>0</v>
      </c>
      <c r="AI167">
        <v>0</v>
      </c>
      <c r="AM167">
        <v>42</v>
      </c>
      <c r="AN167" s="44">
        <f t="shared" si="9"/>
        <v>342.19468675366397</v>
      </c>
      <c r="AO167" s="46">
        <v>0</v>
      </c>
      <c r="AP167" s="44">
        <v>0</v>
      </c>
      <c r="AQ167" s="44">
        <v>347.6</v>
      </c>
      <c r="AR167" s="41">
        <f t="shared" si="19"/>
        <v>8.1824765543938416E-2</v>
      </c>
      <c r="AS167" s="40"/>
      <c r="AT167" s="41"/>
      <c r="AU167" s="41">
        <f>W167*AM167/AQ167</f>
        <v>8.0552359033371684E-2</v>
      </c>
      <c r="AV167" s="23">
        <v>1.828571428571429</v>
      </c>
      <c r="AW167" s="23">
        <v>2.4</v>
      </c>
      <c r="AX167" s="23">
        <v>0.5714285714285714</v>
      </c>
      <c r="AY167" s="23">
        <v>2.4</v>
      </c>
      <c r="AZ167" s="23">
        <v>0.25396825396825401</v>
      </c>
      <c r="BA167" s="23">
        <v>0.33333333333333331</v>
      </c>
      <c r="BB167" s="23">
        <v>7.9365079365079361E-2</v>
      </c>
      <c r="BC167" s="23">
        <v>0.33333333333333331</v>
      </c>
      <c r="BD167" s="20">
        <v>0.82</v>
      </c>
      <c r="BE167" s="20">
        <v>3.44</v>
      </c>
      <c r="BF167" s="20">
        <v>2.62</v>
      </c>
      <c r="BG167" s="20">
        <v>2.524571428571428</v>
      </c>
      <c r="BH167">
        <v>2.524571428571428</v>
      </c>
      <c r="BI167">
        <v>5.7888591694285711</v>
      </c>
      <c r="BJ167" s="64"/>
      <c r="BK167" s="64"/>
      <c r="BL167" s="64"/>
      <c r="BM167">
        <v>4.0912382771969208E-2</v>
      </c>
      <c r="BP167">
        <v>4.0276179516685842E-2</v>
      </c>
      <c r="BQ167">
        <v>8.118856228865505E-2</v>
      </c>
      <c r="BR167">
        <v>4.0594281144327532E-2</v>
      </c>
      <c r="BS167">
        <v>0</v>
      </c>
      <c r="BT167" s="68" t="s">
        <v>1264</v>
      </c>
      <c r="BU167" s="68">
        <v>1498</v>
      </c>
      <c r="BV167" s="68">
        <f>15</f>
        <v>15</v>
      </c>
      <c r="BX167" s="68" t="s">
        <v>464</v>
      </c>
      <c r="BY167" s="68" t="s">
        <v>464</v>
      </c>
      <c r="BZ167" s="68">
        <v>0</v>
      </c>
      <c r="CA167" s="68">
        <v>3.7</v>
      </c>
      <c r="CB167" s="68">
        <v>2.5</v>
      </c>
      <c r="CC167" s="68">
        <v>0</v>
      </c>
      <c r="CD167" s="68" t="s">
        <v>464</v>
      </c>
      <c r="CE167" s="68" t="s">
        <v>464</v>
      </c>
      <c r="CF167" s="68" t="s">
        <v>1266</v>
      </c>
      <c r="CG167" s="68">
        <v>400</v>
      </c>
      <c r="CK167" s="70">
        <f>146*2</f>
        <v>292</v>
      </c>
    </row>
    <row r="168" spans="1:89" x14ac:dyDescent="0.3">
      <c r="A168" t="s">
        <v>865</v>
      </c>
      <c r="C168" t="s">
        <v>4010</v>
      </c>
      <c r="D168" s="12"/>
      <c r="E168">
        <v>4</v>
      </c>
      <c r="F168" t="s">
        <v>91</v>
      </c>
      <c r="G168" s="8">
        <v>-1</v>
      </c>
      <c r="H168">
        <v>-1</v>
      </c>
      <c r="I168" s="1" t="s">
        <v>1212</v>
      </c>
      <c r="L168" t="s">
        <v>1726</v>
      </c>
      <c r="M168" t="b">
        <v>0</v>
      </c>
      <c r="N168" t="b">
        <v>0</v>
      </c>
      <c r="O168" t="b">
        <v>1</v>
      </c>
      <c r="P168" t="b">
        <v>0</v>
      </c>
      <c r="Q168">
        <v>-1</v>
      </c>
      <c r="R168">
        <v>-1</v>
      </c>
      <c r="S168" t="s">
        <v>2080</v>
      </c>
      <c r="T168">
        <f>0.666666667/2</f>
        <v>0.3333333335</v>
      </c>
      <c r="U168" s="20">
        <v>0</v>
      </c>
      <c r="V168">
        <v>0</v>
      </c>
      <c r="W168">
        <v>2</v>
      </c>
      <c r="X168">
        <v>3.9483999999999999</v>
      </c>
      <c r="Y168">
        <v>3.9483999999999999</v>
      </c>
      <c r="Z168">
        <v>9.7742000000000004</v>
      </c>
      <c r="AA168" t="s">
        <v>439</v>
      </c>
      <c r="AB168">
        <f>Z168</f>
        <v>9.7742000000000004</v>
      </c>
      <c r="AC168" s="20">
        <v>0</v>
      </c>
      <c r="AD168" s="20"/>
      <c r="AE168" s="20"/>
      <c r="AF168">
        <v>0</v>
      </c>
      <c r="AI168">
        <v>0</v>
      </c>
      <c r="AM168">
        <v>42</v>
      </c>
      <c r="AN168" s="44">
        <f t="shared" si="9"/>
        <v>152.378434633952</v>
      </c>
      <c r="AO168" s="46">
        <v>0</v>
      </c>
      <c r="AP168" s="44">
        <v>0</v>
      </c>
      <c r="AQ168" s="44">
        <v>0</v>
      </c>
      <c r="AR168" s="41">
        <f t="shared" si="19"/>
        <v>9.1876518095432708E-2</v>
      </c>
      <c r="AS168" s="40"/>
      <c r="AT168" s="41"/>
      <c r="AU168" s="41"/>
      <c r="AV168" s="23">
        <v>1.828571428571429</v>
      </c>
      <c r="AW168" s="23">
        <v>2.4</v>
      </c>
      <c r="AX168" s="23">
        <v>0.5714285714285714</v>
      </c>
      <c r="AY168" s="23">
        <v>2.4</v>
      </c>
      <c r="AZ168" s="23">
        <v>0.25396825396825401</v>
      </c>
      <c r="BA168" s="23">
        <v>0.33333333333333331</v>
      </c>
      <c r="BB168" s="23">
        <v>7.9365079365079361E-2</v>
      </c>
      <c r="BC168" s="23">
        <v>0.33333333333333331</v>
      </c>
      <c r="BD168" s="20">
        <v>1.1000000000000001</v>
      </c>
      <c r="BE168" s="20">
        <v>3.44</v>
      </c>
      <c r="BF168" s="20">
        <v>2.34</v>
      </c>
      <c r="BG168" s="20">
        <v>2.7611428571428571</v>
      </c>
      <c r="BH168">
        <v>2.7611428571428571</v>
      </c>
      <c r="BI168">
        <v>6.6040800042601706</v>
      </c>
      <c r="BJ168" s="64"/>
      <c r="BK168" s="64"/>
      <c r="BL168" s="64"/>
      <c r="BM168">
        <v>4.5938259047716347E-2</v>
      </c>
      <c r="BP168" t="s">
        <v>459</v>
      </c>
      <c r="BQ168">
        <v>9.1876518095432708E-2</v>
      </c>
      <c r="BR168" t="s">
        <v>459</v>
      </c>
      <c r="BS168">
        <v>0</v>
      </c>
      <c r="BT168" s="68" t="s">
        <v>1264</v>
      </c>
      <c r="BU168" s="68">
        <v>1498</v>
      </c>
      <c r="BV168" s="68">
        <f>15</f>
        <v>15</v>
      </c>
      <c r="BX168" s="68" t="s">
        <v>464</v>
      </c>
      <c r="BY168" s="68" t="s">
        <v>464</v>
      </c>
      <c r="BZ168" s="68">
        <v>0</v>
      </c>
      <c r="CA168" s="68">
        <v>7.8</v>
      </c>
      <c r="CB168" s="68">
        <v>2.5</v>
      </c>
      <c r="CC168" s="68">
        <v>0</v>
      </c>
      <c r="CD168" s="68" t="s">
        <v>464</v>
      </c>
      <c r="CE168" s="68" t="s">
        <v>464</v>
      </c>
      <c r="CF168" s="68" t="s">
        <v>1266</v>
      </c>
      <c r="CG168" s="68">
        <v>400</v>
      </c>
      <c r="CK168" s="70">
        <f>158*2</f>
        <v>316</v>
      </c>
    </row>
    <row r="169" spans="1:89" x14ac:dyDescent="0.3">
      <c r="A169" t="s">
        <v>858</v>
      </c>
      <c r="C169" t="s">
        <v>4011</v>
      </c>
      <c r="D169" s="12"/>
      <c r="E169">
        <v>4</v>
      </c>
      <c r="F169" t="s">
        <v>91</v>
      </c>
      <c r="G169" s="8" t="s">
        <v>860</v>
      </c>
      <c r="H169">
        <v>1540895</v>
      </c>
      <c r="M169" t="b">
        <v>1</v>
      </c>
      <c r="N169" t="b">
        <v>1</v>
      </c>
      <c r="O169" t="b">
        <v>0</v>
      </c>
      <c r="P169" t="b">
        <v>0</v>
      </c>
      <c r="Q169" t="s">
        <v>860</v>
      </c>
      <c r="R169">
        <v>1540895</v>
      </c>
      <c r="U169" s="20">
        <v>0</v>
      </c>
      <c r="V169">
        <v>4</v>
      </c>
      <c r="W169">
        <v>0</v>
      </c>
      <c r="AC169" s="20">
        <v>0</v>
      </c>
      <c r="AD169" s="20"/>
      <c r="AE169" s="20"/>
      <c r="AF169">
        <v>6.5429000000000004</v>
      </c>
      <c r="AG169">
        <v>7.6490999999999998</v>
      </c>
      <c r="AH169">
        <v>12.583</v>
      </c>
      <c r="AI169">
        <v>0</v>
      </c>
      <c r="AM169">
        <v>18</v>
      </c>
      <c r="AN169" s="44">
        <f t="shared" si="9"/>
        <v>0</v>
      </c>
      <c r="AO169" s="46">
        <v>0</v>
      </c>
      <c r="AP169" s="44">
        <v>629.74513047537005</v>
      </c>
      <c r="AQ169" s="44">
        <v>0</v>
      </c>
      <c r="AR169" s="41"/>
      <c r="AS169" s="40"/>
      <c r="AT169" s="41">
        <v>0.1143319678322086</v>
      </c>
      <c r="AU169" s="41"/>
      <c r="AV169" s="23">
        <v>2</v>
      </c>
      <c r="AW169" s="23">
        <v>2.7692307692307692</v>
      </c>
      <c r="AX169" s="23">
        <v>0.76923076923076927</v>
      </c>
      <c r="AY169" s="23">
        <v>3.2307692307692308</v>
      </c>
      <c r="AZ169" s="23">
        <v>0.22807017543859651</v>
      </c>
      <c r="BA169" s="23">
        <v>0.31578947368421051</v>
      </c>
      <c r="BB169" s="23">
        <v>8.771929824561403E-2</v>
      </c>
      <c r="BC169" s="23">
        <v>0.36842105263157893</v>
      </c>
      <c r="BD169" s="20">
        <v>1.1000000000000001</v>
      </c>
      <c r="BE169" s="20">
        <v>3.44</v>
      </c>
      <c r="BF169" s="20">
        <v>2.34</v>
      </c>
      <c r="BG169" s="20">
        <v>2.8123076923076931</v>
      </c>
      <c r="BH169">
        <v>2.8123076923076931</v>
      </c>
      <c r="BI169">
        <v>6.3640369961538461</v>
      </c>
      <c r="BJ169" s="64"/>
      <c r="BK169" s="64">
        <v>0.55971264878746807</v>
      </c>
      <c r="BL169" s="64"/>
      <c r="BO169">
        <v>5.7165983916104293E-2</v>
      </c>
      <c r="BQ169">
        <v>0.1143319678322086</v>
      </c>
      <c r="BR169">
        <v>5.7165983916104293E-2</v>
      </c>
      <c r="BS169">
        <v>0.55971264878746807</v>
      </c>
      <c r="BT169" s="68" t="s">
        <v>1264</v>
      </c>
      <c r="BU169" s="68">
        <v>1498</v>
      </c>
      <c r="BV169" s="68">
        <f>15</f>
        <v>15</v>
      </c>
      <c r="BX169" s="68" t="s">
        <v>464</v>
      </c>
      <c r="BY169" s="68" t="s">
        <v>464</v>
      </c>
      <c r="BZ169" s="68">
        <v>0</v>
      </c>
      <c r="CA169" s="68">
        <v>3.3</v>
      </c>
      <c r="CB169" s="68">
        <v>2.5</v>
      </c>
      <c r="CC169" s="68">
        <v>0</v>
      </c>
      <c r="CD169" s="68" t="s">
        <v>464</v>
      </c>
      <c r="CE169" s="68" t="s">
        <v>464</v>
      </c>
      <c r="CF169" s="68" t="s">
        <v>1266</v>
      </c>
      <c r="CG169" s="68">
        <v>400</v>
      </c>
      <c r="CK169" s="70">
        <f>35*2</f>
        <v>70</v>
      </c>
    </row>
    <row r="170" spans="1:89" x14ac:dyDescent="0.3">
      <c r="A170" t="s">
        <v>87</v>
      </c>
      <c r="C170" t="s">
        <v>4005</v>
      </c>
      <c r="D170" s="12"/>
      <c r="E170">
        <v>3.9</v>
      </c>
      <c r="F170" t="s">
        <v>91</v>
      </c>
      <c r="G170" s="8" t="s">
        <v>564</v>
      </c>
      <c r="H170">
        <v>-1</v>
      </c>
      <c r="M170" t="b">
        <v>1</v>
      </c>
      <c r="N170" t="b">
        <v>0</v>
      </c>
      <c r="O170" t="b">
        <v>0</v>
      </c>
      <c r="P170" t="b">
        <v>0</v>
      </c>
      <c r="Q170" t="s">
        <v>564</v>
      </c>
      <c r="R170">
        <v>-1</v>
      </c>
      <c r="T170" s="1">
        <v>1</v>
      </c>
      <c r="U170" s="20">
        <v>1</v>
      </c>
      <c r="V170">
        <v>0</v>
      </c>
      <c r="W170">
        <v>0</v>
      </c>
      <c r="X170" s="1">
        <v>3.9037999999999999</v>
      </c>
      <c r="Y170" s="1">
        <v>3.9037999999999999</v>
      </c>
      <c r="Z170" s="1">
        <v>9.7742000000000004</v>
      </c>
      <c r="AB170" s="1">
        <v>9.7742000000000004</v>
      </c>
      <c r="AC170" s="20">
        <v>9.9051542599999998</v>
      </c>
      <c r="AD170" s="20">
        <v>9.9051542599999998</v>
      </c>
      <c r="AE170" s="20">
        <v>9.9051542599999998</v>
      </c>
      <c r="AF170">
        <v>0</v>
      </c>
      <c r="AI170">
        <v>0</v>
      </c>
      <c r="AM170">
        <v>14</v>
      </c>
      <c r="AN170" s="44">
        <f t="shared" si="9"/>
        <v>148.95543042744799</v>
      </c>
      <c r="AO170" s="46">
        <v>150.75696951344321</v>
      </c>
      <c r="AP170" s="44">
        <v>0</v>
      </c>
      <c r="AQ170" s="44">
        <v>0</v>
      </c>
      <c r="AR170" s="41"/>
      <c r="AS170" s="40">
        <v>9.2864695046497372E-2</v>
      </c>
      <c r="AT170" s="41"/>
      <c r="AU170" s="41"/>
      <c r="AV170" s="23">
        <v>1.833333333333333</v>
      </c>
      <c r="AW170" s="23">
        <v>2.333333333333333</v>
      </c>
      <c r="AX170" s="23">
        <v>0.5</v>
      </c>
      <c r="AY170" s="23">
        <v>2.333333333333333</v>
      </c>
      <c r="AZ170" s="23">
        <v>0.26190476190476192</v>
      </c>
      <c r="BA170" s="23">
        <v>0.33333333333333343</v>
      </c>
      <c r="BB170" s="23">
        <v>7.1428571428571425E-2</v>
      </c>
      <c r="BC170" s="23">
        <v>0.33333333333333343</v>
      </c>
      <c r="BD170" s="20">
        <v>0.95</v>
      </c>
      <c r="BE170" s="20">
        <v>3.44</v>
      </c>
      <c r="BF170" s="20">
        <v>2.4900000000000002</v>
      </c>
      <c r="BG170" s="20">
        <v>2.7024999999999988</v>
      </c>
      <c r="BH170">
        <v>2.7025000000000001</v>
      </c>
      <c r="BI170">
        <v>6.4896876145585001</v>
      </c>
      <c r="BJ170" s="64">
        <v>0.47933948900870132</v>
      </c>
      <c r="BK170" s="64"/>
      <c r="BL170" s="64"/>
      <c r="BN170">
        <v>4.6432347523248672E-2</v>
      </c>
      <c r="BQ170">
        <v>9.2864695046497372E-2</v>
      </c>
      <c r="BR170">
        <v>4.6432347523248672E-2</v>
      </c>
      <c r="BS170">
        <v>0.47933948900870132</v>
      </c>
      <c r="BT170" s="68" t="s">
        <v>1264</v>
      </c>
      <c r="BU170" s="68">
        <v>1498</v>
      </c>
      <c r="BV170" s="68">
        <f>15</f>
        <v>15</v>
      </c>
      <c r="BX170" s="68" t="s">
        <v>464</v>
      </c>
      <c r="BY170" s="68" t="s">
        <v>464</v>
      </c>
      <c r="BZ170" s="68">
        <v>0</v>
      </c>
      <c r="CA170" s="68">
        <v>4</v>
      </c>
      <c r="CB170" s="68">
        <v>2.5</v>
      </c>
      <c r="CC170" s="68">
        <v>0</v>
      </c>
      <c r="CD170" s="68" t="s">
        <v>464</v>
      </c>
      <c r="CE170" s="68" t="s">
        <v>464</v>
      </c>
      <c r="CF170" s="68" t="s">
        <v>1266</v>
      </c>
      <c r="CG170" s="68">
        <v>400</v>
      </c>
      <c r="CK170" s="70">
        <f>385*2</f>
        <v>770</v>
      </c>
    </row>
    <row r="171" spans="1:89" x14ac:dyDescent="0.3">
      <c r="A171" t="s">
        <v>27</v>
      </c>
      <c r="C171" t="s">
        <v>3977</v>
      </c>
      <c r="D171" s="12"/>
      <c r="E171">
        <v>3.6</v>
      </c>
      <c r="F171" t="s">
        <v>91</v>
      </c>
      <c r="G171" s="8" t="s">
        <v>563</v>
      </c>
      <c r="H171" t="s">
        <v>641</v>
      </c>
      <c r="M171" t="b">
        <v>1</v>
      </c>
      <c r="N171" t="b">
        <v>1</v>
      </c>
      <c r="O171" t="b">
        <v>0</v>
      </c>
      <c r="P171" t="b">
        <v>0</v>
      </c>
      <c r="Q171" t="s">
        <v>563</v>
      </c>
      <c r="R171" t="s">
        <v>641</v>
      </c>
      <c r="U171" s="20"/>
      <c r="AC171" s="20"/>
      <c r="AD171" s="20"/>
      <c r="AE171" s="20"/>
      <c r="AN171" s="44"/>
      <c r="AO171" s="46"/>
      <c r="AP171" s="44"/>
      <c r="AQ171" s="44"/>
      <c r="AR171" s="41"/>
      <c r="AS171" s="40"/>
      <c r="AT171" s="41"/>
      <c r="AU171" s="41"/>
      <c r="AV171" s="23"/>
      <c r="AW171" s="23"/>
      <c r="AX171" s="23"/>
      <c r="AY171" s="23"/>
      <c r="AZ171" s="23"/>
      <c r="BA171" s="23"/>
      <c r="BB171" s="23"/>
      <c r="BC171" s="23"/>
      <c r="BD171" s="20"/>
      <c r="BE171" s="20"/>
      <c r="BF171" s="20"/>
      <c r="BG171" s="20"/>
      <c r="BJ171" s="64"/>
      <c r="BK171" s="64"/>
      <c r="BL171" s="64"/>
      <c r="BT171" s="68" t="s">
        <v>1264</v>
      </c>
      <c r="BU171" s="68">
        <v>1498</v>
      </c>
      <c r="BV171" s="68">
        <f>15</f>
        <v>15</v>
      </c>
      <c r="BX171" s="68" t="s">
        <v>464</v>
      </c>
      <c r="BY171" s="68" t="s">
        <v>464</v>
      </c>
      <c r="BZ171" s="68">
        <v>0</v>
      </c>
      <c r="CA171" s="68">
        <v>4</v>
      </c>
      <c r="CB171" s="68">
        <v>2.5</v>
      </c>
      <c r="CC171" s="68">
        <v>0</v>
      </c>
      <c r="CD171" s="68" t="s">
        <v>464</v>
      </c>
      <c r="CE171" s="68" t="s">
        <v>464</v>
      </c>
      <c r="CF171" s="68" t="s">
        <v>1266</v>
      </c>
      <c r="CG171" s="68">
        <v>400</v>
      </c>
      <c r="CK171" s="70">
        <f>25*2</f>
        <v>50</v>
      </c>
    </row>
    <row r="172" spans="1:89" x14ac:dyDescent="0.3">
      <c r="A172" t="s">
        <v>864</v>
      </c>
      <c r="C172" t="s">
        <v>4009</v>
      </c>
      <c r="D172" s="12"/>
      <c r="E172">
        <v>4</v>
      </c>
      <c r="F172" t="s">
        <v>91</v>
      </c>
      <c r="G172" s="8">
        <v>-1</v>
      </c>
      <c r="H172">
        <v>-1</v>
      </c>
      <c r="I172" t="s">
        <v>1212</v>
      </c>
      <c r="M172" t="b">
        <v>0</v>
      </c>
      <c r="N172" t="b">
        <v>0</v>
      </c>
      <c r="O172" t="b">
        <v>1</v>
      </c>
      <c r="P172" t="b">
        <v>0</v>
      </c>
      <c r="Q172">
        <v>-1</v>
      </c>
      <c r="R172">
        <v>-1</v>
      </c>
      <c r="S172" t="s">
        <v>1212</v>
      </c>
      <c r="T172">
        <v>0.66666666699999999</v>
      </c>
      <c r="U172" s="20">
        <v>0</v>
      </c>
      <c r="V172">
        <v>0</v>
      </c>
      <c r="W172">
        <f>2/3</f>
        <v>0.66666666666666663</v>
      </c>
      <c r="X172">
        <v>3.9607999999999999</v>
      </c>
      <c r="Y172">
        <v>3.9607999999999999</v>
      </c>
      <c r="Z172">
        <v>21.8126</v>
      </c>
      <c r="AA172" t="s">
        <v>440</v>
      </c>
      <c r="AB172">
        <v>10.9063</v>
      </c>
      <c r="AC172" s="20">
        <v>0</v>
      </c>
      <c r="AD172" s="20"/>
      <c r="AE172" s="20"/>
      <c r="AF172">
        <v>0</v>
      </c>
      <c r="AI172">
        <v>0</v>
      </c>
      <c r="AM172">
        <v>42</v>
      </c>
      <c r="AN172" s="44">
        <f t="shared" ref="AN172:AN175" si="22">X172*Y172*Z172</f>
        <v>342.19468675366397</v>
      </c>
      <c r="AO172" s="46">
        <v>0</v>
      </c>
      <c r="AP172" s="44">
        <v>0</v>
      </c>
      <c r="AQ172" s="44">
        <v>347.6</v>
      </c>
      <c r="AR172" s="41">
        <f t="shared" ref="AR172:AR173" si="23">T172*AM172/AN172</f>
        <v>8.1824765543938416E-2</v>
      </c>
      <c r="AS172" s="40"/>
      <c r="AT172" s="41"/>
      <c r="AU172" s="41">
        <f>W172*AM172/AQ172</f>
        <v>8.0552359033371684E-2</v>
      </c>
      <c r="AV172" s="23">
        <v>1.828571428571429</v>
      </c>
      <c r="AW172" s="23">
        <v>2.4</v>
      </c>
      <c r="AX172" s="23">
        <v>0.5714285714285714</v>
      </c>
      <c r="AY172" s="23">
        <v>2.4</v>
      </c>
      <c r="AZ172" s="23">
        <v>0.25396825396825401</v>
      </c>
      <c r="BA172" s="23">
        <v>0.33333333333333331</v>
      </c>
      <c r="BB172" s="23">
        <v>7.9365079365079361E-2</v>
      </c>
      <c r="BC172" s="23">
        <v>0.33333333333333331</v>
      </c>
      <c r="BD172" s="20">
        <v>0.82</v>
      </c>
      <c r="BE172" s="20">
        <v>3.44</v>
      </c>
      <c r="BF172" s="20">
        <v>2.62</v>
      </c>
      <c r="BG172" s="20">
        <v>2.524571428571428</v>
      </c>
      <c r="BH172">
        <v>2.524571428571428</v>
      </c>
      <c r="BI172">
        <v>5.7888591694285711</v>
      </c>
      <c r="BJ172" s="64"/>
      <c r="BK172" s="64"/>
      <c r="BL172" s="64"/>
      <c r="BM172">
        <v>4.0912382771969208E-2</v>
      </c>
      <c r="BP172">
        <v>4.0276179516685842E-2</v>
      </c>
      <c r="BQ172">
        <v>8.118856228865505E-2</v>
      </c>
      <c r="BR172">
        <v>4.0594281144327532E-2</v>
      </c>
      <c r="BS172">
        <v>0</v>
      </c>
      <c r="BT172" s="68" t="s">
        <v>1264</v>
      </c>
      <c r="BU172" s="68">
        <v>1498</v>
      </c>
      <c r="BV172" s="68">
        <f>15</f>
        <v>15</v>
      </c>
      <c r="BX172" s="68" t="s">
        <v>464</v>
      </c>
      <c r="BY172" s="68" t="s">
        <v>464</v>
      </c>
      <c r="BZ172" s="68">
        <v>0</v>
      </c>
      <c r="CA172" s="68">
        <v>3.7</v>
      </c>
      <c r="CB172" s="68">
        <v>2.5</v>
      </c>
      <c r="CC172" s="68">
        <v>0</v>
      </c>
      <c r="CD172" s="68" t="s">
        <v>1311</v>
      </c>
      <c r="CE172" s="68" t="s">
        <v>464</v>
      </c>
      <c r="CF172" s="68" t="s">
        <v>1266</v>
      </c>
      <c r="CG172" s="68">
        <v>400</v>
      </c>
      <c r="CK172" s="70">
        <f>918*10</f>
        <v>9180</v>
      </c>
    </row>
    <row r="173" spans="1:89" x14ac:dyDescent="0.3">
      <c r="A173" t="s">
        <v>865</v>
      </c>
      <c r="C173" t="s">
        <v>4010</v>
      </c>
      <c r="D173" s="12"/>
      <c r="E173">
        <v>4</v>
      </c>
      <c r="F173" t="s">
        <v>91</v>
      </c>
      <c r="G173" s="8">
        <v>-1</v>
      </c>
      <c r="H173">
        <v>-1</v>
      </c>
      <c r="I173" s="1" t="s">
        <v>1212</v>
      </c>
      <c r="L173" t="s">
        <v>1726</v>
      </c>
      <c r="M173" t="b">
        <v>0</v>
      </c>
      <c r="N173" t="b">
        <v>0</v>
      </c>
      <c r="O173" t="b">
        <v>1</v>
      </c>
      <c r="P173" t="b">
        <v>0</v>
      </c>
      <c r="Q173">
        <v>-1</v>
      </c>
      <c r="R173">
        <v>-1</v>
      </c>
      <c r="S173" t="s">
        <v>2083</v>
      </c>
      <c r="T173">
        <f>0.666666667/2</f>
        <v>0.3333333335</v>
      </c>
      <c r="U173" s="20">
        <v>0</v>
      </c>
      <c r="V173">
        <v>0</v>
      </c>
      <c r="W173">
        <v>2</v>
      </c>
      <c r="X173">
        <v>3.9483999999999999</v>
      </c>
      <c r="Y173">
        <v>3.9483999999999999</v>
      </c>
      <c r="Z173">
        <v>9.7742000000000004</v>
      </c>
      <c r="AA173" t="s">
        <v>439</v>
      </c>
      <c r="AB173">
        <f>Z173</f>
        <v>9.7742000000000004</v>
      </c>
      <c r="AC173" s="20">
        <v>0</v>
      </c>
      <c r="AD173" s="20"/>
      <c r="AE173" s="20"/>
      <c r="AF173">
        <v>0</v>
      </c>
      <c r="AI173">
        <v>0</v>
      </c>
      <c r="AM173">
        <v>42</v>
      </c>
      <c r="AN173" s="44">
        <f t="shared" si="22"/>
        <v>152.378434633952</v>
      </c>
      <c r="AO173" s="46">
        <v>0</v>
      </c>
      <c r="AP173" s="44">
        <v>0</v>
      </c>
      <c r="AQ173" s="44">
        <v>0</v>
      </c>
      <c r="AR173" s="41">
        <f t="shared" si="23"/>
        <v>9.1876518095432708E-2</v>
      </c>
      <c r="AS173" s="40"/>
      <c r="AT173" s="41"/>
      <c r="AU173" s="41"/>
      <c r="AV173" s="23">
        <v>1.828571428571429</v>
      </c>
      <c r="AW173" s="23">
        <v>2.4</v>
      </c>
      <c r="AX173" s="23">
        <v>0.5714285714285714</v>
      </c>
      <c r="AY173" s="23">
        <v>2.4</v>
      </c>
      <c r="AZ173" s="23">
        <v>0.25396825396825401</v>
      </c>
      <c r="BA173" s="23">
        <v>0.33333333333333331</v>
      </c>
      <c r="BB173" s="23">
        <v>7.9365079365079361E-2</v>
      </c>
      <c r="BC173" s="23">
        <v>0.33333333333333331</v>
      </c>
      <c r="BD173" s="20">
        <v>1.1000000000000001</v>
      </c>
      <c r="BE173" s="20">
        <v>3.44</v>
      </c>
      <c r="BF173" s="20">
        <v>2.34</v>
      </c>
      <c r="BG173" s="20">
        <v>2.7611428571428571</v>
      </c>
      <c r="BH173">
        <v>2.7611428571428571</v>
      </c>
      <c r="BI173">
        <v>6.6040800042601706</v>
      </c>
      <c r="BJ173" s="64"/>
      <c r="BK173" s="64"/>
      <c r="BL173" s="64"/>
      <c r="BM173">
        <v>4.5938259047716347E-2</v>
      </c>
      <c r="BP173" t="s">
        <v>459</v>
      </c>
      <c r="BQ173">
        <v>9.1876518095432708E-2</v>
      </c>
      <c r="BR173" t="s">
        <v>459</v>
      </c>
      <c r="BS173">
        <v>0</v>
      </c>
      <c r="BT173" s="68" t="s">
        <v>1264</v>
      </c>
      <c r="BU173" s="68">
        <v>1498</v>
      </c>
      <c r="BV173" s="68">
        <f>15</f>
        <v>15</v>
      </c>
      <c r="BX173" s="68" t="s">
        <v>464</v>
      </c>
      <c r="BY173" s="68" t="s">
        <v>464</v>
      </c>
      <c r="BZ173" s="68">
        <v>0</v>
      </c>
      <c r="CA173" s="68">
        <v>7.8</v>
      </c>
      <c r="CB173" s="68">
        <v>2.5</v>
      </c>
      <c r="CC173" s="68">
        <v>0</v>
      </c>
      <c r="CD173" s="68" t="s">
        <v>1311</v>
      </c>
      <c r="CE173" s="68" t="s">
        <v>464</v>
      </c>
      <c r="CF173" s="68" t="s">
        <v>1266</v>
      </c>
      <c r="CG173" s="68">
        <v>400</v>
      </c>
      <c r="CK173" s="70">
        <f>2654*10</f>
        <v>26540</v>
      </c>
    </row>
    <row r="174" spans="1:89" x14ac:dyDescent="0.3">
      <c r="A174" t="s">
        <v>858</v>
      </c>
      <c r="C174" t="s">
        <v>4011</v>
      </c>
      <c r="D174" s="12"/>
      <c r="E174">
        <v>4</v>
      </c>
      <c r="F174" t="s">
        <v>91</v>
      </c>
      <c r="G174" s="8" t="s">
        <v>860</v>
      </c>
      <c r="H174">
        <v>1540895</v>
      </c>
      <c r="M174" t="b">
        <v>1</v>
      </c>
      <c r="N174" t="b">
        <v>1</v>
      </c>
      <c r="O174" t="b">
        <v>0</v>
      </c>
      <c r="P174" t="b">
        <v>0</v>
      </c>
      <c r="Q174" t="s">
        <v>860</v>
      </c>
      <c r="R174">
        <v>1540895</v>
      </c>
      <c r="U174" s="20">
        <v>0</v>
      </c>
      <c r="V174">
        <v>4</v>
      </c>
      <c r="W174">
        <v>0</v>
      </c>
      <c r="AC174" s="20">
        <v>0</v>
      </c>
      <c r="AD174" s="20"/>
      <c r="AE174" s="20"/>
      <c r="AF174">
        <v>6.5429000000000004</v>
      </c>
      <c r="AG174">
        <v>7.6490999999999998</v>
      </c>
      <c r="AH174">
        <v>12.583</v>
      </c>
      <c r="AI174">
        <v>0</v>
      </c>
      <c r="AM174">
        <v>18</v>
      </c>
      <c r="AN174" s="44">
        <f t="shared" si="22"/>
        <v>0</v>
      </c>
      <c r="AO174" s="46">
        <v>0</v>
      </c>
      <c r="AP174" s="44">
        <v>629.74513047537005</v>
      </c>
      <c r="AQ174" s="44">
        <v>0</v>
      </c>
      <c r="AR174" s="41"/>
      <c r="AS174" s="40"/>
      <c r="AT174" s="41">
        <v>0.1143319678322086</v>
      </c>
      <c r="AU174" s="41"/>
      <c r="AV174" s="23">
        <v>2</v>
      </c>
      <c r="AW174" s="23">
        <v>2.7692307692307692</v>
      </c>
      <c r="AX174" s="23">
        <v>0.76923076923076927</v>
      </c>
      <c r="AY174" s="23">
        <v>3.2307692307692308</v>
      </c>
      <c r="AZ174" s="23">
        <v>0.22807017543859651</v>
      </c>
      <c r="BA174" s="23">
        <v>0.31578947368421051</v>
      </c>
      <c r="BB174" s="23">
        <v>8.771929824561403E-2</v>
      </c>
      <c r="BC174" s="23">
        <v>0.36842105263157893</v>
      </c>
      <c r="BD174" s="20">
        <v>1.1000000000000001</v>
      </c>
      <c r="BE174" s="20">
        <v>3.44</v>
      </c>
      <c r="BF174" s="20">
        <v>2.34</v>
      </c>
      <c r="BG174" s="20">
        <v>2.8123076923076931</v>
      </c>
      <c r="BH174">
        <v>2.8123076923076931</v>
      </c>
      <c r="BI174">
        <v>6.3640369961538461</v>
      </c>
      <c r="BJ174" s="64"/>
      <c r="BK174" s="64">
        <v>0.55971264878746807</v>
      </c>
      <c r="BL174" s="64"/>
      <c r="BO174">
        <v>5.7165983916104293E-2</v>
      </c>
      <c r="BQ174">
        <v>0.1143319678322086</v>
      </c>
      <c r="BR174">
        <v>5.7165983916104293E-2</v>
      </c>
      <c r="BS174">
        <v>0.55971264878746807</v>
      </c>
      <c r="BT174" s="68" t="s">
        <v>1264</v>
      </c>
      <c r="BU174" s="68">
        <v>1498</v>
      </c>
      <c r="BV174" s="68">
        <f>15</f>
        <v>15</v>
      </c>
      <c r="BX174" s="68" t="s">
        <v>464</v>
      </c>
      <c r="BY174" s="68" t="s">
        <v>464</v>
      </c>
      <c r="BZ174" s="68">
        <v>0</v>
      </c>
      <c r="CA174" s="68">
        <v>3.3</v>
      </c>
      <c r="CB174" s="68">
        <v>2.5</v>
      </c>
      <c r="CC174" s="68">
        <v>0</v>
      </c>
      <c r="CD174" s="68" t="s">
        <v>1311</v>
      </c>
      <c r="CE174" s="68" t="s">
        <v>464</v>
      </c>
      <c r="CF174" s="68" t="s">
        <v>1266</v>
      </c>
      <c r="CG174" s="68">
        <v>400</v>
      </c>
      <c r="CK174" s="70">
        <f>4240</f>
        <v>4240</v>
      </c>
    </row>
    <row r="175" spans="1:89" x14ac:dyDescent="0.3">
      <c r="A175" t="s">
        <v>87</v>
      </c>
      <c r="C175" t="s">
        <v>4005</v>
      </c>
      <c r="D175" s="12"/>
      <c r="E175">
        <v>3.9</v>
      </c>
      <c r="F175" t="s">
        <v>91</v>
      </c>
      <c r="G175" s="8" t="s">
        <v>564</v>
      </c>
      <c r="H175">
        <v>-1</v>
      </c>
      <c r="M175" t="b">
        <v>1</v>
      </c>
      <c r="N175" t="b">
        <v>0</v>
      </c>
      <c r="O175" t="b">
        <v>0</v>
      </c>
      <c r="P175" t="b">
        <v>0</v>
      </c>
      <c r="Q175" t="s">
        <v>564</v>
      </c>
      <c r="R175">
        <v>-1</v>
      </c>
      <c r="T175" s="1">
        <v>1</v>
      </c>
      <c r="U175" s="20">
        <v>1</v>
      </c>
      <c r="V175">
        <v>0</v>
      </c>
      <c r="W175">
        <v>0</v>
      </c>
      <c r="X175" s="1">
        <v>3.9037999999999999</v>
      </c>
      <c r="Y175" s="1">
        <v>3.9037999999999999</v>
      </c>
      <c r="Z175" s="1">
        <v>9.7742000000000004</v>
      </c>
      <c r="AB175" s="1">
        <v>9.7742000000000004</v>
      </c>
      <c r="AC175" s="20">
        <v>9.9051542599999998</v>
      </c>
      <c r="AD175" s="20">
        <v>9.9051542599999998</v>
      </c>
      <c r="AE175" s="20">
        <v>9.9051542599999998</v>
      </c>
      <c r="AF175">
        <v>0</v>
      </c>
      <c r="AI175">
        <v>0</v>
      </c>
      <c r="AM175">
        <v>14</v>
      </c>
      <c r="AN175" s="44">
        <f t="shared" si="22"/>
        <v>148.95543042744799</v>
      </c>
      <c r="AO175" s="46">
        <v>150.75696951344321</v>
      </c>
      <c r="AP175" s="44">
        <v>0</v>
      </c>
      <c r="AQ175" s="44">
        <v>0</v>
      </c>
      <c r="AR175" s="41"/>
      <c r="AS175" s="40">
        <v>9.2864695046497372E-2</v>
      </c>
      <c r="AT175" s="41"/>
      <c r="AU175" s="41"/>
      <c r="AV175" s="23">
        <v>1.833333333333333</v>
      </c>
      <c r="AW175" s="23">
        <v>2.333333333333333</v>
      </c>
      <c r="AX175" s="23">
        <v>0.5</v>
      </c>
      <c r="AY175" s="23">
        <v>2.333333333333333</v>
      </c>
      <c r="AZ175" s="23">
        <v>0.26190476190476192</v>
      </c>
      <c r="BA175" s="23">
        <v>0.33333333333333343</v>
      </c>
      <c r="BB175" s="23">
        <v>7.1428571428571425E-2</v>
      </c>
      <c r="BC175" s="23">
        <v>0.33333333333333343</v>
      </c>
      <c r="BD175" s="20">
        <v>0.95</v>
      </c>
      <c r="BE175" s="20">
        <v>3.44</v>
      </c>
      <c r="BF175" s="20">
        <v>2.4900000000000002</v>
      </c>
      <c r="BG175" s="20">
        <v>2.7024999999999988</v>
      </c>
      <c r="BH175">
        <v>2.7025000000000001</v>
      </c>
      <c r="BI175">
        <v>6.4896876145585001</v>
      </c>
      <c r="BJ175" s="64">
        <v>0.47933948900870132</v>
      </c>
      <c r="BK175" s="64"/>
      <c r="BL175" s="64"/>
      <c r="BN175">
        <v>4.6432347523248672E-2</v>
      </c>
      <c r="BQ175">
        <v>9.2864695046497372E-2</v>
      </c>
      <c r="BR175">
        <v>4.6432347523248672E-2</v>
      </c>
      <c r="BS175">
        <v>0.47933948900870132</v>
      </c>
      <c r="BT175" s="68" t="s">
        <v>1264</v>
      </c>
      <c r="BU175" s="68">
        <v>1498</v>
      </c>
      <c r="BV175" s="68">
        <f>15</f>
        <v>15</v>
      </c>
      <c r="BX175" s="68" t="s">
        <v>464</v>
      </c>
      <c r="BY175" s="68" t="s">
        <v>464</v>
      </c>
      <c r="BZ175" s="68">
        <v>0</v>
      </c>
      <c r="CA175" s="68">
        <v>4</v>
      </c>
      <c r="CB175" s="68">
        <v>2.5</v>
      </c>
      <c r="CC175" s="68">
        <v>0</v>
      </c>
      <c r="CD175" s="68" t="s">
        <v>1311</v>
      </c>
      <c r="CE175" s="68" t="s">
        <v>464</v>
      </c>
      <c r="CF175" s="68" t="s">
        <v>1266</v>
      </c>
      <c r="CG175" s="68">
        <v>400</v>
      </c>
      <c r="CK175" s="70">
        <f>14900</f>
        <v>14900</v>
      </c>
    </row>
    <row r="176" spans="1:89" x14ac:dyDescent="0.3">
      <c r="A176" t="s">
        <v>27</v>
      </c>
      <c r="C176" t="s">
        <v>3977</v>
      </c>
      <c r="D176" s="12"/>
      <c r="E176">
        <v>3.6</v>
      </c>
      <c r="F176" t="s">
        <v>91</v>
      </c>
      <c r="G176" s="8" t="s">
        <v>563</v>
      </c>
      <c r="H176" t="s">
        <v>641</v>
      </c>
      <c r="M176" t="b">
        <v>1</v>
      </c>
      <c r="N176" t="b">
        <v>1</v>
      </c>
      <c r="O176" t="b">
        <v>0</v>
      </c>
      <c r="P176" t="b">
        <v>0</v>
      </c>
      <c r="Q176" t="s">
        <v>563</v>
      </c>
      <c r="R176" t="s">
        <v>641</v>
      </c>
      <c r="U176" s="20"/>
      <c r="AC176" s="20"/>
      <c r="AD176" s="20"/>
      <c r="AE176" s="20"/>
      <c r="AN176" s="44"/>
      <c r="AO176" s="46"/>
      <c r="AP176" s="44"/>
      <c r="AQ176" s="44"/>
      <c r="AR176" s="41"/>
      <c r="AS176" s="40"/>
      <c r="AT176" s="41"/>
      <c r="AU176" s="41"/>
      <c r="AV176" s="23"/>
      <c r="AW176" s="23"/>
      <c r="AX176" s="23"/>
      <c r="AY176" s="23"/>
      <c r="AZ176" s="23"/>
      <c r="BA176" s="23"/>
      <c r="BB176" s="23"/>
      <c r="BC176" s="23"/>
      <c r="BD176" s="20"/>
      <c r="BE176" s="20"/>
      <c r="BF176" s="20"/>
      <c r="BG176" s="20"/>
      <c r="BJ176" s="64"/>
      <c r="BK176" s="64"/>
      <c r="BL176" s="64"/>
      <c r="BT176" s="68" t="s">
        <v>1264</v>
      </c>
      <c r="BU176" s="68">
        <v>1498</v>
      </c>
      <c r="BV176" s="68">
        <f>15</f>
        <v>15</v>
      </c>
      <c r="BX176" s="68" t="s">
        <v>464</v>
      </c>
      <c r="BY176" s="68" t="s">
        <v>464</v>
      </c>
      <c r="BZ176" s="68">
        <v>0</v>
      </c>
      <c r="CA176" s="68">
        <v>4</v>
      </c>
      <c r="CB176" s="68">
        <v>2.5</v>
      </c>
      <c r="CC176" s="68">
        <v>0</v>
      </c>
      <c r="CD176" s="68" t="s">
        <v>1311</v>
      </c>
      <c r="CE176" s="68" t="s">
        <v>464</v>
      </c>
      <c r="CF176" s="68" t="s">
        <v>1266</v>
      </c>
      <c r="CG176" s="68">
        <v>400</v>
      </c>
      <c r="CK176" s="70">
        <f>2700</f>
        <v>2700</v>
      </c>
    </row>
    <row r="177" spans="1:89" x14ac:dyDescent="0.3">
      <c r="A177" t="s">
        <v>865</v>
      </c>
      <c r="C177" t="s">
        <v>4010</v>
      </c>
      <c r="D177" s="12"/>
      <c r="E177" s="58">
        <v>4</v>
      </c>
      <c r="F177" t="s">
        <v>91</v>
      </c>
      <c r="G177" s="8"/>
      <c r="I177" s="1" t="s">
        <v>1212</v>
      </c>
      <c r="L177" t="s">
        <v>1726</v>
      </c>
      <c r="M177" t="b">
        <v>0</v>
      </c>
      <c r="N177" t="b">
        <v>0</v>
      </c>
      <c r="O177" t="b">
        <v>1</v>
      </c>
      <c r="P177" t="b">
        <v>0</v>
      </c>
      <c r="S177" t="s">
        <v>2086</v>
      </c>
      <c r="U177" s="20"/>
      <c r="AC177" s="20"/>
      <c r="AD177" s="20"/>
      <c r="AE177" s="20"/>
      <c r="AN177" s="44"/>
      <c r="AO177" s="46"/>
      <c r="AP177" s="44"/>
      <c r="AQ177" s="44"/>
      <c r="AR177" s="41"/>
      <c r="AS177" s="40"/>
      <c r="AT177" s="41"/>
      <c r="AU177" s="41"/>
      <c r="AV177" s="23"/>
      <c r="AW177" s="23"/>
      <c r="AX177" s="23"/>
      <c r="AY177" s="23"/>
      <c r="AZ177" s="23"/>
      <c r="BA177" s="23"/>
      <c r="BB177" s="23"/>
      <c r="BC177" s="23"/>
      <c r="BD177" s="20"/>
      <c r="BE177" s="20"/>
      <c r="BF177" s="20"/>
      <c r="BG177" s="20"/>
      <c r="BJ177" s="64"/>
      <c r="BK177" s="64"/>
      <c r="BL177" s="64"/>
      <c r="BT177" s="68" t="s">
        <v>1264</v>
      </c>
      <c r="BU177" s="68">
        <v>1498</v>
      </c>
      <c r="BV177" s="68">
        <f>15</f>
        <v>15</v>
      </c>
      <c r="BX177" s="68" t="s">
        <v>1275</v>
      </c>
      <c r="BY177" s="68" t="s">
        <v>56</v>
      </c>
      <c r="BZ177" s="68">
        <v>2</v>
      </c>
      <c r="CA177" s="68">
        <v>16.7</v>
      </c>
      <c r="CB177" s="68">
        <v>2.5</v>
      </c>
      <c r="CC177" s="68">
        <v>0</v>
      </c>
      <c r="CD177" s="68" t="s">
        <v>1311</v>
      </c>
      <c r="CE177" s="68" t="s">
        <v>464</v>
      </c>
      <c r="CF177" s="68" t="s">
        <v>1266</v>
      </c>
      <c r="CG177" s="68">
        <v>400</v>
      </c>
      <c r="CK177" s="70">
        <f>940*2</f>
        <v>1880</v>
      </c>
    </row>
    <row r="178" spans="1:89" x14ac:dyDescent="0.3">
      <c r="A178" t="s">
        <v>87</v>
      </c>
      <c r="C178" t="s">
        <v>4005</v>
      </c>
      <c r="D178" s="12"/>
      <c r="E178" s="58">
        <v>3.9</v>
      </c>
      <c r="F178" t="s">
        <v>91</v>
      </c>
      <c r="G178" s="8" t="s">
        <v>564</v>
      </c>
      <c r="M178" t="b">
        <v>1</v>
      </c>
      <c r="N178" t="b">
        <v>0</v>
      </c>
      <c r="O178" t="b">
        <v>0</v>
      </c>
      <c r="P178" t="b">
        <v>0</v>
      </c>
      <c r="Q178" t="s">
        <v>564</v>
      </c>
      <c r="T178" s="1">
        <v>1</v>
      </c>
      <c r="U178" s="20"/>
      <c r="X178" s="1">
        <v>3.9037999999999999</v>
      </c>
      <c r="Y178" s="1">
        <v>3.9037999999999999</v>
      </c>
      <c r="Z178" s="1">
        <v>9.7742000000000004</v>
      </c>
      <c r="AB178" s="1">
        <v>9.7742000000000004</v>
      </c>
      <c r="AC178" s="20"/>
      <c r="AD178" s="20"/>
      <c r="AE178" s="20"/>
      <c r="AN178" s="44"/>
      <c r="AO178" s="46"/>
      <c r="AP178" s="44"/>
      <c r="AQ178" s="44"/>
      <c r="AR178" s="41"/>
      <c r="AS178" s="40"/>
      <c r="AT178" s="41"/>
      <c r="AU178" s="41"/>
      <c r="AV178" s="23"/>
      <c r="AW178" s="23"/>
      <c r="AX178" s="23"/>
      <c r="AY178" s="23"/>
      <c r="AZ178" s="23"/>
      <c r="BA178" s="23"/>
      <c r="BB178" s="23"/>
      <c r="BC178" s="23"/>
      <c r="BD178" s="20"/>
      <c r="BE178" s="20"/>
      <c r="BF178" s="20"/>
      <c r="BG178" s="20"/>
      <c r="BJ178" s="64"/>
      <c r="BK178" s="64"/>
      <c r="BL178" s="64"/>
      <c r="BT178" s="68" t="s">
        <v>1264</v>
      </c>
      <c r="BU178" s="68">
        <v>1498</v>
      </c>
      <c r="BV178" s="68">
        <f>15</f>
        <v>15</v>
      </c>
      <c r="BX178" s="68" t="s">
        <v>1275</v>
      </c>
      <c r="BY178" s="68" t="s">
        <v>56</v>
      </c>
      <c r="BZ178" s="68">
        <v>0.5</v>
      </c>
      <c r="CA178" s="68">
        <v>4.7</v>
      </c>
      <c r="CB178" s="68">
        <v>2.5</v>
      </c>
      <c r="CC178" s="68">
        <v>0</v>
      </c>
      <c r="CD178" s="68" t="s">
        <v>1311</v>
      </c>
      <c r="CE178" s="68" t="s">
        <v>464</v>
      </c>
      <c r="CF178" s="68" t="s">
        <v>1266</v>
      </c>
      <c r="CG178" s="68">
        <v>400</v>
      </c>
      <c r="CK178" s="70">
        <f>240*2</f>
        <v>480</v>
      </c>
    </row>
    <row r="179" spans="1:89" x14ac:dyDescent="0.3">
      <c r="A179" t="s">
        <v>92</v>
      </c>
      <c r="C179" t="s">
        <v>4012</v>
      </c>
      <c r="D179" s="12"/>
      <c r="E179">
        <v>4.0999999999999996</v>
      </c>
      <c r="F179" t="s">
        <v>93</v>
      </c>
      <c r="G179" s="8">
        <v>-1</v>
      </c>
      <c r="H179">
        <v>-1</v>
      </c>
      <c r="I179" s="1" t="s">
        <v>1840</v>
      </c>
      <c r="J179" s="1"/>
      <c r="K179" s="1"/>
      <c r="L179" s="1"/>
      <c r="M179" t="b">
        <v>0</v>
      </c>
      <c r="N179" t="b">
        <v>0</v>
      </c>
      <c r="O179" t="b">
        <v>1</v>
      </c>
      <c r="P179" t="b">
        <v>0</v>
      </c>
      <c r="Q179">
        <v>-1</v>
      </c>
      <c r="R179">
        <v>-1</v>
      </c>
      <c r="S179" t="s">
        <v>1840</v>
      </c>
      <c r="T179">
        <v>1</v>
      </c>
      <c r="U179" s="20">
        <v>0</v>
      </c>
      <c r="V179">
        <v>0</v>
      </c>
      <c r="W179">
        <v>0</v>
      </c>
      <c r="X179">
        <v>3.9499</v>
      </c>
      <c r="Y179">
        <v>3.9499</v>
      </c>
      <c r="Z179">
        <v>17.030999999999999</v>
      </c>
      <c r="AA179" t="s">
        <v>439</v>
      </c>
      <c r="AB179">
        <v>17.030999999999999</v>
      </c>
      <c r="AC179" s="20">
        <v>0</v>
      </c>
      <c r="AD179" s="20"/>
      <c r="AE179" s="20"/>
      <c r="AF179">
        <v>0</v>
      </c>
      <c r="AI179">
        <v>0</v>
      </c>
      <c r="AM179">
        <v>20</v>
      </c>
      <c r="AN179" s="44">
        <f t="shared" ref="AN179" si="24">X179*Y179*Z179</f>
        <v>265.71272318030998</v>
      </c>
      <c r="AO179" s="46">
        <v>0</v>
      </c>
      <c r="AP179" s="44">
        <v>0</v>
      </c>
      <c r="AQ179" s="44">
        <v>0</v>
      </c>
      <c r="AR179" s="41"/>
      <c r="AS179" s="40"/>
      <c r="AT179" s="41"/>
      <c r="AU179" s="41"/>
      <c r="AV179" s="23">
        <v>1.8787878787878789</v>
      </c>
      <c r="AW179" s="23">
        <v>2.4242424242424239</v>
      </c>
      <c r="AX179" s="23">
        <v>0.54545454545454541</v>
      </c>
      <c r="AY179" s="23">
        <v>2.545454545454545</v>
      </c>
      <c r="AZ179" s="23">
        <v>0.25409836065573771</v>
      </c>
      <c r="BA179" s="23">
        <v>0.32786885245901642</v>
      </c>
      <c r="BB179" s="23">
        <v>7.3770491803278687E-2</v>
      </c>
      <c r="BC179" s="23">
        <v>0.34426229508196721</v>
      </c>
      <c r="BD179" s="20">
        <v>0.82</v>
      </c>
      <c r="BE179" s="20">
        <v>3.44</v>
      </c>
      <c r="BF179" s="20">
        <v>2.62</v>
      </c>
      <c r="BG179" s="20">
        <v>2.543333333333333</v>
      </c>
      <c r="BH179">
        <v>2.5433333333333339</v>
      </c>
      <c r="BI179">
        <v>5.8398279362121217</v>
      </c>
      <c r="BJ179" s="64"/>
      <c r="BK179" s="64"/>
      <c r="BL179" s="64"/>
      <c r="BQ179">
        <v>0</v>
      </c>
      <c r="BR179">
        <v>0</v>
      </c>
      <c r="BS179">
        <v>0</v>
      </c>
      <c r="BT179" s="68" t="s">
        <v>1264</v>
      </c>
      <c r="BU179" s="68">
        <v>1473</v>
      </c>
      <c r="BV179" s="68">
        <v>10</v>
      </c>
      <c r="BX179" s="68" t="s">
        <v>1268</v>
      </c>
      <c r="BY179" s="68" t="s">
        <v>863</v>
      </c>
      <c r="BZ179" s="68">
        <v>0.5</v>
      </c>
      <c r="CB179" s="68">
        <v>1.35</v>
      </c>
      <c r="CC179" s="68">
        <v>13.5</v>
      </c>
      <c r="CD179" s="68" t="s">
        <v>464</v>
      </c>
      <c r="CE179" s="68" t="s">
        <v>464</v>
      </c>
      <c r="CF179" s="68" t="s">
        <v>1266</v>
      </c>
      <c r="CG179" s="68">
        <v>400</v>
      </c>
      <c r="CH179" s="73">
        <v>252.5</v>
      </c>
      <c r="CI179" s="73" t="s">
        <v>1310</v>
      </c>
      <c r="CK179" s="70">
        <f>1500*2</f>
        <v>3000</v>
      </c>
    </row>
    <row r="180" spans="1:89" x14ac:dyDescent="0.3">
      <c r="A180" t="s">
        <v>92</v>
      </c>
      <c r="C180" t="s">
        <v>4012</v>
      </c>
      <c r="D180" s="12"/>
      <c r="E180">
        <v>4.0999999999999996</v>
      </c>
      <c r="F180" t="s">
        <v>93</v>
      </c>
      <c r="G180" s="8">
        <v>-1</v>
      </c>
      <c r="H180">
        <v>-1</v>
      </c>
      <c r="I180" s="1" t="s">
        <v>1840</v>
      </c>
      <c r="J180" s="1"/>
      <c r="K180" s="1"/>
      <c r="L180" s="1"/>
      <c r="M180" t="b">
        <v>0</v>
      </c>
      <c r="N180" t="b">
        <v>0</v>
      </c>
      <c r="O180" t="b">
        <v>1</v>
      </c>
      <c r="P180" t="b">
        <v>0</v>
      </c>
      <c r="Q180">
        <v>-1</v>
      </c>
      <c r="R180">
        <v>-1</v>
      </c>
      <c r="S180" t="s">
        <v>1840</v>
      </c>
      <c r="T180">
        <v>1</v>
      </c>
      <c r="U180" s="20">
        <v>0</v>
      </c>
      <c r="V180">
        <v>0</v>
      </c>
      <c r="W180">
        <v>0</v>
      </c>
      <c r="X180">
        <v>3.9499</v>
      </c>
      <c r="Y180">
        <v>3.9499</v>
      </c>
      <c r="Z180">
        <v>17.030999999999999</v>
      </c>
      <c r="AA180" t="s">
        <v>439</v>
      </c>
      <c r="AB180">
        <v>17.030999999999999</v>
      </c>
      <c r="AC180" s="20">
        <v>0</v>
      </c>
      <c r="AD180" s="20"/>
      <c r="AE180" s="20"/>
      <c r="AF180">
        <v>0</v>
      </c>
      <c r="AI180">
        <v>0</v>
      </c>
      <c r="AM180">
        <v>20</v>
      </c>
      <c r="AN180" s="44">
        <f t="shared" si="9"/>
        <v>265.71272318030998</v>
      </c>
      <c r="AO180" s="46">
        <v>0</v>
      </c>
      <c r="AP180" s="44">
        <v>0</v>
      </c>
      <c r="AQ180" s="44">
        <v>0</v>
      </c>
      <c r="AR180" s="41"/>
      <c r="AS180" s="40"/>
      <c r="AT180" s="41"/>
      <c r="AU180" s="41"/>
      <c r="AV180" s="23">
        <v>1.8787878787878789</v>
      </c>
      <c r="AW180" s="23">
        <v>2.4242424242424239</v>
      </c>
      <c r="AX180" s="23">
        <v>0.54545454545454541</v>
      </c>
      <c r="AY180" s="23">
        <v>2.545454545454545</v>
      </c>
      <c r="AZ180" s="23">
        <v>0.25409836065573771</v>
      </c>
      <c r="BA180" s="23">
        <v>0.32786885245901642</v>
      </c>
      <c r="BB180" s="23">
        <v>7.3770491803278687E-2</v>
      </c>
      <c r="BC180" s="23">
        <v>0.34426229508196721</v>
      </c>
      <c r="BD180" s="20">
        <v>0.82</v>
      </c>
      <c r="BE180" s="20">
        <v>3.44</v>
      </c>
      <c r="BF180" s="20">
        <v>2.62</v>
      </c>
      <c r="BG180" s="20">
        <v>2.543333333333333</v>
      </c>
      <c r="BH180">
        <v>2.5433333333333339</v>
      </c>
      <c r="BI180">
        <v>5.8398279362121217</v>
      </c>
      <c r="BJ180" s="64"/>
      <c r="BK180" s="64"/>
      <c r="BL180" s="64"/>
      <c r="BQ180">
        <v>0</v>
      </c>
      <c r="BR180">
        <v>0</v>
      </c>
      <c r="BS180">
        <v>0</v>
      </c>
      <c r="BT180" s="68" t="s">
        <v>1264</v>
      </c>
      <c r="BU180" s="68">
        <v>1473</v>
      </c>
      <c r="BV180" s="68">
        <v>10</v>
      </c>
      <c r="BX180" s="68" t="s">
        <v>1275</v>
      </c>
      <c r="BY180" s="68" t="s">
        <v>1313</v>
      </c>
      <c r="BZ180" s="68">
        <v>0.5</v>
      </c>
      <c r="CB180" s="68">
        <v>1.35</v>
      </c>
      <c r="CC180" s="68">
        <v>13.5</v>
      </c>
      <c r="CD180" s="68" t="s">
        <v>464</v>
      </c>
      <c r="CE180" s="68" t="s">
        <v>464</v>
      </c>
      <c r="CF180" s="68" t="s">
        <v>1266</v>
      </c>
      <c r="CG180" s="68">
        <v>400</v>
      </c>
      <c r="CH180" s="73">
        <v>252.5</v>
      </c>
      <c r="CI180" s="73" t="s">
        <v>1310</v>
      </c>
      <c r="CK180" s="70">
        <v>133</v>
      </c>
    </row>
    <row r="181" spans="1:89" x14ac:dyDescent="0.3">
      <c r="A181" t="s">
        <v>34</v>
      </c>
      <c r="C181" t="s">
        <v>3958</v>
      </c>
      <c r="D181" s="12"/>
      <c r="E181">
        <v>3.2</v>
      </c>
      <c r="F181" t="s">
        <v>94</v>
      </c>
      <c r="G181" s="8" t="s">
        <v>542</v>
      </c>
      <c r="H181" t="s">
        <v>623</v>
      </c>
      <c r="M181" t="b">
        <v>1</v>
      </c>
      <c r="N181" t="b">
        <v>1</v>
      </c>
      <c r="O181" t="b">
        <v>0</v>
      </c>
      <c r="P181" t="b">
        <v>0</v>
      </c>
      <c r="Q181" t="s">
        <v>542</v>
      </c>
      <c r="R181" t="s">
        <v>623</v>
      </c>
      <c r="U181" s="20">
        <v>1</v>
      </c>
      <c r="V181">
        <v>2</v>
      </c>
      <c r="W181">
        <v>0</v>
      </c>
      <c r="AB181" s="1">
        <v>0</v>
      </c>
      <c r="AC181" s="20">
        <v>3.9086759899999999</v>
      </c>
      <c r="AD181" s="20">
        <v>3.908676100000001</v>
      </c>
      <c r="AE181" s="20">
        <v>10.552604730000001</v>
      </c>
      <c r="AF181">
        <v>3.899</v>
      </c>
      <c r="AG181">
        <v>3.899</v>
      </c>
      <c r="AH181">
        <v>20.399989999999999</v>
      </c>
      <c r="AI181">
        <v>0</v>
      </c>
      <c r="AM181">
        <v>14</v>
      </c>
      <c r="AN181" s="44">
        <f t="shared" si="9"/>
        <v>0</v>
      </c>
      <c r="AO181" s="46">
        <v>155.59136328639269</v>
      </c>
      <c r="AP181" s="44">
        <v>310.12474837798999</v>
      </c>
      <c r="AQ181" s="44">
        <v>0</v>
      </c>
      <c r="AR181" s="41"/>
      <c r="AS181" s="40">
        <v>8.9979287437893268E-2</v>
      </c>
      <c r="AT181" s="41">
        <v>9.0286248183820222E-2</v>
      </c>
      <c r="AU181" s="41"/>
      <c r="AV181" s="23">
        <v>2</v>
      </c>
      <c r="AW181" s="23">
        <v>2.333333333333333</v>
      </c>
      <c r="AX181" s="23">
        <v>0.33333333333333331</v>
      </c>
      <c r="AY181" s="23">
        <v>0</v>
      </c>
      <c r="AZ181" s="23">
        <v>0.42857142857142849</v>
      </c>
      <c r="BA181" s="23">
        <v>0.5</v>
      </c>
      <c r="BB181" s="23">
        <v>7.1428571428571425E-2</v>
      </c>
      <c r="BC181" s="23">
        <v>0</v>
      </c>
      <c r="BD181" s="20">
        <v>0.95</v>
      </c>
      <c r="BE181" s="20">
        <v>3.44</v>
      </c>
      <c r="BF181" s="20">
        <v>2.4900000000000002</v>
      </c>
      <c r="BG181" s="20">
        <v>2.500833333333333</v>
      </c>
      <c r="BH181">
        <v>2.500833333333333</v>
      </c>
      <c r="BI181">
        <v>5.6917605187500007</v>
      </c>
      <c r="BJ181" s="64">
        <v>0.58499657192886345</v>
      </c>
      <c r="BK181" s="64">
        <v>0.58699226437317098</v>
      </c>
      <c r="BL181" s="64"/>
      <c r="BN181">
        <v>4.4989643718946627E-2</v>
      </c>
      <c r="BO181">
        <v>4.5143124091910111E-2</v>
      </c>
      <c r="BQ181">
        <v>9.0132767810856745E-2</v>
      </c>
      <c r="BR181">
        <v>4.5066383905428373E-2</v>
      </c>
      <c r="BS181">
        <v>0.58599441815101727</v>
      </c>
      <c r="BT181" s="68" t="s">
        <v>1264</v>
      </c>
      <c r="BU181" s="68">
        <v>1373</v>
      </c>
      <c r="BV181" s="68">
        <v>30</v>
      </c>
      <c r="BX181" s="68" t="s">
        <v>1275</v>
      </c>
      <c r="BY181" s="68" t="s">
        <v>56</v>
      </c>
      <c r="BZ181" s="68">
        <v>1</v>
      </c>
      <c r="CA181" s="68">
        <v>3.49</v>
      </c>
      <c r="CB181" s="68">
        <v>2.11</v>
      </c>
      <c r="CC181" s="68">
        <v>0</v>
      </c>
      <c r="CD181" s="68" t="s">
        <v>464</v>
      </c>
      <c r="CE181" s="68" t="s">
        <v>464</v>
      </c>
      <c r="CF181" s="68" t="s">
        <v>1266</v>
      </c>
      <c r="CG181" s="68">
        <v>400</v>
      </c>
      <c r="CK181" s="70">
        <v>60</v>
      </c>
    </row>
    <row r="182" spans="1:89" x14ac:dyDescent="0.3">
      <c r="A182" t="s">
        <v>34</v>
      </c>
      <c r="C182" t="s">
        <v>3958</v>
      </c>
      <c r="D182" s="12"/>
      <c r="E182">
        <v>3.2</v>
      </c>
      <c r="F182" t="s">
        <v>94</v>
      </c>
      <c r="G182" s="8" t="s">
        <v>542</v>
      </c>
      <c r="H182" t="s">
        <v>623</v>
      </c>
      <c r="M182" t="b">
        <v>1</v>
      </c>
      <c r="N182" t="b">
        <v>1</v>
      </c>
      <c r="O182" t="b">
        <v>0</v>
      </c>
      <c r="P182" t="b">
        <v>0</v>
      </c>
      <c r="Q182" t="s">
        <v>542</v>
      </c>
      <c r="R182" t="s">
        <v>623</v>
      </c>
      <c r="U182" s="20">
        <v>1</v>
      </c>
      <c r="V182">
        <v>2</v>
      </c>
      <c r="W182">
        <v>0</v>
      </c>
      <c r="AB182" s="1">
        <v>0</v>
      </c>
      <c r="AC182" s="20">
        <v>3.9086759899999999</v>
      </c>
      <c r="AD182" s="20">
        <v>3.908676100000001</v>
      </c>
      <c r="AE182" s="20">
        <v>10.552604730000001</v>
      </c>
      <c r="AF182">
        <v>3.899</v>
      </c>
      <c r="AG182">
        <v>3.899</v>
      </c>
      <c r="AH182">
        <v>20.399989999999999</v>
      </c>
      <c r="AI182">
        <v>0</v>
      </c>
      <c r="AM182">
        <v>14</v>
      </c>
      <c r="AN182" s="44">
        <f t="shared" ref="AN182:AN183" si="25">X182*Y182*Z182</f>
        <v>0</v>
      </c>
      <c r="AO182" s="46">
        <v>155.59136328639269</v>
      </c>
      <c r="AP182" s="44">
        <v>310.12474837798999</v>
      </c>
      <c r="AQ182" s="44">
        <v>0</v>
      </c>
      <c r="AR182" s="41"/>
      <c r="AS182" s="40">
        <v>8.9979287437893268E-2</v>
      </c>
      <c r="AT182" s="41">
        <v>9.0286248183820222E-2</v>
      </c>
      <c r="AU182" s="41"/>
      <c r="AV182" s="23">
        <v>2</v>
      </c>
      <c r="AW182" s="23">
        <v>2.333333333333333</v>
      </c>
      <c r="AX182" s="23">
        <v>0.33333333333333331</v>
      </c>
      <c r="AY182" s="23">
        <v>0</v>
      </c>
      <c r="AZ182" s="23">
        <v>0.42857142857142849</v>
      </c>
      <c r="BA182" s="23">
        <v>0.5</v>
      </c>
      <c r="BB182" s="23">
        <v>7.1428571428571425E-2</v>
      </c>
      <c r="BC182" s="23">
        <v>0</v>
      </c>
      <c r="BD182" s="20">
        <v>0.95</v>
      </c>
      <c r="BE182" s="20">
        <v>3.44</v>
      </c>
      <c r="BF182" s="20">
        <v>2.4900000000000002</v>
      </c>
      <c r="BG182" s="20">
        <v>2.500833333333333</v>
      </c>
      <c r="BH182">
        <v>2.500833333333333</v>
      </c>
      <c r="BI182">
        <v>5.6917605187500007</v>
      </c>
      <c r="BJ182" s="64">
        <v>0.58499657192886345</v>
      </c>
      <c r="BK182" s="64">
        <v>0.58699226437317098</v>
      </c>
      <c r="BL182" s="64"/>
      <c r="BN182">
        <v>4.4989643718946627E-2</v>
      </c>
      <c r="BO182">
        <v>4.5143124091910111E-2</v>
      </c>
      <c r="BQ182">
        <v>9.0132767810856745E-2</v>
      </c>
      <c r="BR182">
        <v>4.5066383905428373E-2</v>
      </c>
      <c r="BS182">
        <v>0.58599441815101727</v>
      </c>
      <c r="BT182" s="68" t="s">
        <v>1305</v>
      </c>
      <c r="BU182" s="68">
        <f>973</f>
        <v>973</v>
      </c>
      <c r="BV182" s="68">
        <v>2</v>
      </c>
      <c r="BX182" s="68" t="s">
        <v>1275</v>
      </c>
      <c r="BY182" s="68" t="s">
        <v>56</v>
      </c>
      <c r="BZ182" s="68">
        <v>1</v>
      </c>
      <c r="CA182" s="68">
        <v>8.1449999999999996</v>
      </c>
      <c r="CB182" s="68">
        <v>2.11</v>
      </c>
      <c r="CC182" s="68">
        <v>0</v>
      </c>
      <c r="CD182" s="68" t="s">
        <v>464</v>
      </c>
      <c r="CE182" s="68" t="s">
        <v>464</v>
      </c>
      <c r="CF182" s="68" t="s">
        <v>1266</v>
      </c>
      <c r="CG182" s="68">
        <v>400</v>
      </c>
      <c r="CK182" s="70">
        <v>80</v>
      </c>
    </row>
    <row r="183" spans="1:89" x14ac:dyDescent="0.3">
      <c r="A183" t="s">
        <v>34</v>
      </c>
      <c r="C183" t="s">
        <v>3958</v>
      </c>
      <c r="D183" s="12"/>
      <c r="E183">
        <v>3.2</v>
      </c>
      <c r="F183" t="s">
        <v>94</v>
      </c>
      <c r="G183" s="8" t="s">
        <v>542</v>
      </c>
      <c r="H183" t="s">
        <v>623</v>
      </c>
      <c r="M183" t="b">
        <v>1</v>
      </c>
      <c r="N183" t="b">
        <v>1</v>
      </c>
      <c r="O183" t="b">
        <v>0</v>
      </c>
      <c r="P183" t="b">
        <v>0</v>
      </c>
      <c r="Q183" t="s">
        <v>542</v>
      </c>
      <c r="R183" t="s">
        <v>623</v>
      </c>
      <c r="U183" s="20">
        <v>1</v>
      </c>
      <c r="V183">
        <v>2</v>
      </c>
      <c r="W183">
        <v>0</v>
      </c>
      <c r="AB183" s="1">
        <v>0</v>
      </c>
      <c r="AC183" s="20">
        <v>3.9086759899999999</v>
      </c>
      <c r="AD183" s="20">
        <v>3.908676100000001</v>
      </c>
      <c r="AE183" s="20">
        <v>10.552604730000001</v>
      </c>
      <c r="AF183">
        <v>3.899</v>
      </c>
      <c r="AG183">
        <v>3.899</v>
      </c>
      <c r="AH183">
        <v>20.399989999999999</v>
      </c>
      <c r="AI183">
        <v>0</v>
      </c>
      <c r="AM183">
        <v>14</v>
      </c>
      <c r="AN183" s="44">
        <f t="shared" si="25"/>
        <v>0</v>
      </c>
      <c r="AO183" s="46">
        <v>155.59136328639269</v>
      </c>
      <c r="AP183" s="44">
        <v>310.12474837798999</v>
      </c>
      <c r="AQ183" s="44">
        <v>0</v>
      </c>
      <c r="AR183" s="41"/>
      <c r="AS183" s="40">
        <v>8.9979287437893268E-2</v>
      </c>
      <c r="AT183" s="41">
        <v>9.0286248183820222E-2</v>
      </c>
      <c r="AU183" s="41"/>
      <c r="AV183" s="23">
        <v>2</v>
      </c>
      <c r="AW183" s="23">
        <v>2.333333333333333</v>
      </c>
      <c r="AX183" s="23">
        <v>0.33333333333333331</v>
      </c>
      <c r="AY183" s="23">
        <v>0</v>
      </c>
      <c r="AZ183" s="23">
        <v>0.42857142857142849</v>
      </c>
      <c r="BA183" s="23">
        <v>0.5</v>
      </c>
      <c r="BB183" s="23">
        <v>7.1428571428571425E-2</v>
      </c>
      <c r="BC183" s="23">
        <v>0</v>
      </c>
      <c r="BD183" s="20">
        <v>0.95</v>
      </c>
      <c r="BE183" s="20">
        <v>3.44</v>
      </c>
      <c r="BF183" s="20">
        <v>2.4900000000000002</v>
      </c>
      <c r="BG183" s="20">
        <v>2.500833333333333</v>
      </c>
      <c r="BH183">
        <v>2.500833333333333</v>
      </c>
      <c r="BI183">
        <v>5.6917605187500007</v>
      </c>
      <c r="BJ183" s="64">
        <v>0.58499657192886345</v>
      </c>
      <c r="BK183" s="64">
        <v>0.58699226437317098</v>
      </c>
      <c r="BL183" s="64"/>
      <c r="BN183">
        <v>4.4989643718946627E-2</v>
      </c>
      <c r="BO183">
        <v>4.5143124091910111E-2</v>
      </c>
      <c r="BQ183">
        <v>9.0132767810856745E-2</v>
      </c>
      <c r="BR183">
        <v>4.5066383905428373E-2</v>
      </c>
      <c r="BS183">
        <v>0.58599441815101727</v>
      </c>
      <c r="BT183" s="68" t="s">
        <v>1264</v>
      </c>
      <c r="BU183" s="68">
        <v>1373</v>
      </c>
      <c r="BV183" s="68">
        <v>30</v>
      </c>
      <c r="BX183" s="68" t="s">
        <v>1275</v>
      </c>
      <c r="BY183" s="68" t="s">
        <v>56</v>
      </c>
      <c r="BZ183" s="68">
        <v>3</v>
      </c>
      <c r="CA183" s="68">
        <v>3.49</v>
      </c>
      <c r="CB183" s="68">
        <v>2.11</v>
      </c>
      <c r="CC183" s="68">
        <v>0</v>
      </c>
      <c r="CD183" s="68" t="s">
        <v>464</v>
      </c>
      <c r="CE183" s="68" t="s">
        <v>464</v>
      </c>
      <c r="CF183" s="68" t="s">
        <v>1266</v>
      </c>
      <c r="CG183" s="68">
        <v>400</v>
      </c>
      <c r="CK183" s="70">
        <v>75</v>
      </c>
    </row>
    <row r="184" spans="1:89" x14ac:dyDescent="0.3">
      <c r="A184" t="s">
        <v>34</v>
      </c>
      <c r="C184" t="s">
        <v>3958</v>
      </c>
      <c r="D184" s="12"/>
      <c r="E184">
        <v>3.2</v>
      </c>
      <c r="F184" t="s">
        <v>94</v>
      </c>
      <c r="G184" s="8" t="s">
        <v>542</v>
      </c>
      <c r="H184" t="s">
        <v>623</v>
      </c>
      <c r="M184" t="b">
        <v>1</v>
      </c>
      <c r="N184" t="b">
        <v>1</v>
      </c>
      <c r="O184" t="b">
        <v>0</v>
      </c>
      <c r="P184" t="b">
        <v>0</v>
      </c>
      <c r="Q184" t="s">
        <v>542</v>
      </c>
      <c r="R184" t="s">
        <v>623</v>
      </c>
      <c r="U184" s="20">
        <v>1</v>
      </c>
      <c r="V184">
        <v>2</v>
      </c>
      <c r="W184">
        <v>0</v>
      </c>
      <c r="AB184" s="1">
        <v>0</v>
      </c>
      <c r="AC184" s="20">
        <v>3.9086759899999999</v>
      </c>
      <c r="AD184" s="20">
        <v>3.908676100000001</v>
      </c>
      <c r="AE184" s="20">
        <v>10.552604730000001</v>
      </c>
      <c r="AF184">
        <v>3.899</v>
      </c>
      <c r="AG184">
        <v>3.899</v>
      </c>
      <c r="AH184">
        <v>20.399989999999999</v>
      </c>
      <c r="AI184">
        <v>0</v>
      </c>
      <c r="AM184">
        <v>14</v>
      </c>
      <c r="AN184" s="44">
        <f t="shared" ref="AN184:AN185" si="26">X184*Y184*Z184</f>
        <v>0</v>
      </c>
      <c r="AO184" s="46">
        <v>155.59136328639269</v>
      </c>
      <c r="AP184" s="44">
        <v>310.12474837798999</v>
      </c>
      <c r="AQ184" s="44">
        <v>0</v>
      </c>
      <c r="AR184" s="41"/>
      <c r="AS184" s="40">
        <v>8.9979287437893268E-2</v>
      </c>
      <c r="AT184" s="41">
        <v>9.0286248183820222E-2</v>
      </c>
      <c r="AU184" s="41"/>
      <c r="AV184" s="23">
        <v>2</v>
      </c>
      <c r="AW184" s="23">
        <v>2.333333333333333</v>
      </c>
      <c r="AX184" s="23">
        <v>0.33333333333333331</v>
      </c>
      <c r="AY184" s="23">
        <v>0</v>
      </c>
      <c r="AZ184" s="23">
        <v>0.42857142857142849</v>
      </c>
      <c r="BA184" s="23">
        <v>0.5</v>
      </c>
      <c r="BB184" s="23">
        <v>7.1428571428571425E-2</v>
      </c>
      <c r="BC184" s="23">
        <v>0</v>
      </c>
      <c r="BD184" s="20">
        <v>0.95</v>
      </c>
      <c r="BE184" s="20">
        <v>3.44</v>
      </c>
      <c r="BF184" s="20">
        <v>2.4900000000000002</v>
      </c>
      <c r="BG184" s="20">
        <v>2.500833333333333</v>
      </c>
      <c r="BH184">
        <v>2.500833333333333</v>
      </c>
      <c r="BI184">
        <v>5.6917605187500007</v>
      </c>
      <c r="BJ184" s="64">
        <v>0.58499657192886345</v>
      </c>
      <c r="BK184" s="64">
        <v>0.58699226437317098</v>
      </c>
      <c r="BL184" s="64"/>
      <c r="BN184">
        <v>4.4989643718946627E-2</v>
      </c>
      <c r="BO184">
        <v>4.5143124091910111E-2</v>
      </c>
      <c r="BQ184">
        <v>9.0132767810856745E-2</v>
      </c>
      <c r="BR184">
        <v>4.5066383905428373E-2</v>
      </c>
      <c r="BS184">
        <v>0.58599441815101727</v>
      </c>
      <c r="BT184" s="68" t="s">
        <v>1305</v>
      </c>
      <c r="BU184" s="68">
        <f>973</f>
        <v>973</v>
      </c>
      <c r="BV184" s="68">
        <v>2</v>
      </c>
      <c r="BX184" s="68" t="s">
        <v>1275</v>
      </c>
      <c r="BY184" s="68" t="s">
        <v>56</v>
      </c>
      <c r="BZ184" s="68">
        <v>3</v>
      </c>
      <c r="CA184" s="68">
        <v>8.1449999999999996</v>
      </c>
      <c r="CB184" s="68">
        <v>2.11</v>
      </c>
      <c r="CC184" s="68">
        <v>0</v>
      </c>
      <c r="CD184" s="68" t="s">
        <v>464</v>
      </c>
      <c r="CE184" s="68" t="s">
        <v>464</v>
      </c>
      <c r="CF184" s="68" t="s">
        <v>1266</v>
      </c>
      <c r="CG184" s="68">
        <v>400</v>
      </c>
      <c r="CK184" s="70">
        <v>145</v>
      </c>
    </row>
    <row r="185" spans="1:89" x14ac:dyDescent="0.3">
      <c r="A185" t="s">
        <v>34</v>
      </c>
      <c r="C185" t="s">
        <v>3958</v>
      </c>
      <c r="D185" s="12"/>
      <c r="E185">
        <v>3.2</v>
      </c>
      <c r="F185" t="s">
        <v>94</v>
      </c>
      <c r="G185" s="8" t="s">
        <v>542</v>
      </c>
      <c r="H185" t="s">
        <v>623</v>
      </c>
      <c r="M185" t="b">
        <v>1</v>
      </c>
      <c r="N185" t="b">
        <v>1</v>
      </c>
      <c r="O185" t="b">
        <v>0</v>
      </c>
      <c r="P185" t="b">
        <v>0</v>
      </c>
      <c r="Q185" t="s">
        <v>542</v>
      </c>
      <c r="R185" t="s">
        <v>623</v>
      </c>
      <c r="U185" s="20">
        <v>1</v>
      </c>
      <c r="V185">
        <v>2</v>
      </c>
      <c r="W185">
        <v>0</v>
      </c>
      <c r="AB185" s="1">
        <v>0</v>
      </c>
      <c r="AC185" s="20">
        <v>3.9086759899999999</v>
      </c>
      <c r="AD185" s="20">
        <v>3.908676100000001</v>
      </c>
      <c r="AE185" s="20">
        <v>10.552604730000001</v>
      </c>
      <c r="AF185">
        <v>3.899</v>
      </c>
      <c r="AG185">
        <v>3.899</v>
      </c>
      <c r="AH185">
        <v>20.399989999999999</v>
      </c>
      <c r="AI185">
        <v>0</v>
      </c>
      <c r="AM185">
        <v>14</v>
      </c>
      <c r="AN185" s="44">
        <f t="shared" si="26"/>
        <v>0</v>
      </c>
      <c r="AO185" s="46">
        <v>155.59136328639269</v>
      </c>
      <c r="AP185" s="44">
        <v>310.12474837798999</v>
      </c>
      <c r="AQ185" s="44">
        <v>0</v>
      </c>
      <c r="AR185" s="41"/>
      <c r="AS185" s="40">
        <v>8.9979287437893268E-2</v>
      </c>
      <c r="AT185" s="41">
        <v>9.0286248183820222E-2</v>
      </c>
      <c r="AU185" s="41"/>
      <c r="AV185" s="23">
        <v>2</v>
      </c>
      <c r="AW185" s="23">
        <v>2.333333333333333</v>
      </c>
      <c r="AX185" s="23">
        <v>0.33333333333333331</v>
      </c>
      <c r="AY185" s="23">
        <v>0</v>
      </c>
      <c r="AZ185" s="23">
        <v>0.42857142857142849</v>
      </c>
      <c r="BA185" s="23">
        <v>0.5</v>
      </c>
      <c r="BB185" s="23">
        <v>7.1428571428571425E-2</v>
      </c>
      <c r="BC185" s="23">
        <v>0</v>
      </c>
      <c r="BD185" s="20">
        <v>0.95</v>
      </c>
      <c r="BE185" s="20">
        <v>3.44</v>
      </c>
      <c r="BF185" s="20">
        <v>2.4900000000000002</v>
      </c>
      <c r="BG185" s="20">
        <v>2.500833333333333</v>
      </c>
      <c r="BH185">
        <v>2.500833333333333</v>
      </c>
      <c r="BI185">
        <v>5.6917605187500007</v>
      </c>
      <c r="BJ185" s="64">
        <v>0.58499657192886345</v>
      </c>
      <c r="BK185" s="64">
        <v>0.58699226437317098</v>
      </c>
      <c r="BL185" s="64"/>
      <c r="BN185">
        <v>4.4989643718946627E-2</v>
      </c>
      <c r="BO185">
        <v>4.5143124091910111E-2</v>
      </c>
      <c r="BQ185">
        <v>9.0132767810856745E-2</v>
      </c>
      <c r="BR185">
        <v>4.5066383905428373E-2</v>
      </c>
      <c r="BS185">
        <v>0.58599441815101727</v>
      </c>
      <c r="BT185" s="68" t="s">
        <v>1264</v>
      </c>
      <c r="BU185" s="68">
        <v>1373</v>
      </c>
      <c r="BV185" s="68">
        <v>30</v>
      </c>
      <c r="BX185" s="68" t="s">
        <v>1275</v>
      </c>
      <c r="BY185" s="68" t="s">
        <v>56</v>
      </c>
      <c r="BZ185" s="68">
        <v>5</v>
      </c>
      <c r="CA185" s="68">
        <v>3.49</v>
      </c>
      <c r="CB185" s="68">
        <v>2.11</v>
      </c>
      <c r="CC185" s="68">
        <v>0</v>
      </c>
      <c r="CD185" s="68" t="s">
        <v>464</v>
      </c>
      <c r="CE185" s="68" t="s">
        <v>464</v>
      </c>
      <c r="CF185" s="68" t="s">
        <v>1266</v>
      </c>
      <c r="CG185" s="68">
        <v>400</v>
      </c>
      <c r="CK185" s="70">
        <v>86</v>
      </c>
    </row>
    <row r="186" spans="1:89" x14ac:dyDescent="0.3">
      <c r="A186" t="s">
        <v>34</v>
      </c>
      <c r="C186" t="s">
        <v>3958</v>
      </c>
      <c r="D186" s="12"/>
      <c r="E186">
        <v>3.2</v>
      </c>
      <c r="F186" t="s">
        <v>94</v>
      </c>
      <c r="G186" s="8" t="s">
        <v>542</v>
      </c>
      <c r="H186" t="s">
        <v>623</v>
      </c>
      <c r="M186" t="b">
        <v>1</v>
      </c>
      <c r="N186" t="b">
        <v>1</v>
      </c>
      <c r="O186" t="b">
        <v>0</v>
      </c>
      <c r="P186" t="b">
        <v>0</v>
      </c>
      <c r="Q186" t="s">
        <v>542</v>
      </c>
      <c r="R186" t="s">
        <v>623</v>
      </c>
      <c r="U186" s="20">
        <v>1</v>
      </c>
      <c r="V186">
        <v>2</v>
      </c>
      <c r="W186">
        <v>0</v>
      </c>
      <c r="AB186" s="1">
        <v>0</v>
      </c>
      <c r="AC186" s="20">
        <v>3.9086759899999999</v>
      </c>
      <c r="AD186" s="20">
        <v>3.908676100000001</v>
      </c>
      <c r="AE186" s="20">
        <v>10.552604730000001</v>
      </c>
      <c r="AF186">
        <v>3.899</v>
      </c>
      <c r="AG186">
        <v>3.899</v>
      </c>
      <c r="AH186">
        <v>20.399989999999999</v>
      </c>
      <c r="AI186">
        <v>0</v>
      </c>
      <c r="AM186">
        <v>14</v>
      </c>
      <c r="AN186" s="44">
        <f t="shared" ref="AN186:AN187" si="27">X186*Y186*Z186</f>
        <v>0</v>
      </c>
      <c r="AO186" s="46">
        <v>155.59136328639269</v>
      </c>
      <c r="AP186" s="44">
        <v>310.12474837798999</v>
      </c>
      <c r="AQ186" s="44">
        <v>0</v>
      </c>
      <c r="AR186" s="41"/>
      <c r="AS186" s="40">
        <v>8.9979287437893268E-2</v>
      </c>
      <c r="AT186" s="41">
        <v>9.0286248183820222E-2</v>
      </c>
      <c r="AU186" s="41"/>
      <c r="AV186" s="23">
        <v>2</v>
      </c>
      <c r="AW186" s="23">
        <v>2.333333333333333</v>
      </c>
      <c r="AX186" s="23">
        <v>0.33333333333333331</v>
      </c>
      <c r="AY186" s="23">
        <v>0</v>
      </c>
      <c r="AZ186" s="23">
        <v>0.42857142857142849</v>
      </c>
      <c r="BA186" s="23">
        <v>0.5</v>
      </c>
      <c r="BB186" s="23">
        <v>7.1428571428571425E-2</v>
      </c>
      <c r="BC186" s="23">
        <v>0</v>
      </c>
      <c r="BD186" s="20">
        <v>0.95</v>
      </c>
      <c r="BE186" s="20">
        <v>3.44</v>
      </c>
      <c r="BF186" s="20">
        <v>2.4900000000000002</v>
      </c>
      <c r="BG186" s="20">
        <v>2.500833333333333</v>
      </c>
      <c r="BH186">
        <v>2.500833333333333</v>
      </c>
      <c r="BI186">
        <v>5.6917605187500007</v>
      </c>
      <c r="BJ186" s="64">
        <v>0.58499657192886345</v>
      </c>
      <c r="BK186" s="64">
        <v>0.58699226437317098</v>
      </c>
      <c r="BL186" s="64"/>
      <c r="BN186">
        <v>4.4989643718946627E-2</v>
      </c>
      <c r="BO186">
        <v>4.5143124091910111E-2</v>
      </c>
      <c r="BQ186">
        <v>9.0132767810856745E-2</v>
      </c>
      <c r="BR186">
        <v>4.5066383905428373E-2</v>
      </c>
      <c r="BS186">
        <v>0.58599441815101727</v>
      </c>
      <c r="BT186" s="68" t="s">
        <v>1305</v>
      </c>
      <c r="BU186" s="68">
        <f>973</f>
        <v>973</v>
      </c>
      <c r="BV186" s="68">
        <v>2</v>
      </c>
      <c r="BX186" s="68" t="s">
        <v>1275</v>
      </c>
      <c r="BY186" s="68" t="s">
        <v>56</v>
      </c>
      <c r="BZ186" s="68">
        <v>5</v>
      </c>
      <c r="CA186" s="68">
        <v>8.1449999999999996</v>
      </c>
      <c r="CB186" s="68">
        <v>2.11</v>
      </c>
      <c r="CC186" s="68">
        <v>0</v>
      </c>
      <c r="CD186" s="68" t="s">
        <v>464</v>
      </c>
      <c r="CE186" s="68" t="s">
        <v>464</v>
      </c>
      <c r="CF186" s="68" t="s">
        <v>1266</v>
      </c>
      <c r="CG186" s="68">
        <v>400</v>
      </c>
      <c r="CK186" s="70">
        <v>65</v>
      </c>
    </row>
    <row r="187" spans="1:89" x14ac:dyDescent="0.3">
      <c r="A187" t="s">
        <v>34</v>
      </c>
      <c r="C187" t="s">
        <v>3958</v>
      </c>
      <c r="D187" s="12"/>
      <c r="E187">
        <v>3.2</v>
      </c>
      <c r="F187" t="s">
        <v>94</v>
      </c>
      <c r="G187" s="8" t="s">
        <v>542</v>
      </c>
      <c r="H187" t="s">
        <v>623</v>
      </c>
      <c r="M187" t="b">
        <v>1</v>
      </c>
      <c r="N187" t="b">
        <v>1</v>
      </c>
      <c r="O187" t="b">
        <v>0</v>
      </c>
      <c r="P187" t="b">
        <v>0</v>
      </c>
      <c r="Q187" t="s">
        <v>542</v>
      </c>
      <c r="R187" t="s">
        <v>623</v>
      </c>
      <c r="U187" s="20">
        <v>1</v>
      </c>
      <c r="V187">
        <v>2</v>
      </c>
      <c r="W187">
        <v>0</v>
      </c>
      <c r="AB187" s="1">
        <v>0</v>
      </c>
      <c r="AC187" s="20">
        <v>3.9086759899999999</v>
      </c>
      <c r="AD187" s="20">
        <v>3.908676100000001</v>
      </c>
      <c r="AE187" s="20">
        <v>10.552604730000001</v>
      </c>
      <c r="AF187">
        <v>3.899</v>
      </c>
      <c r="AG187">
        <v>3.899</v>
      </c>
      <c r="AH187">
        <v>20.399989999999999</v>
      </c>
      <c r="AI187">
        <v>0</v>
      </c>
      <c r="AM187">
        <v>14</v>
      </c>
      <c r="AN187" s="44">
        <f t="shared" si="27"/>
        <v>0</v>
      </c>
      <c r="AO187" s="46">
        <v>155.59136328639269</v>
      </c>
      <c r="AP187" s="44">
        <v>310.12474837798999</v>
      </c>
      <c r="AQ187" s="44">
        <v>0</v>
      </c>
      <c r="AR187" s="41"/>
      <c r="AS187" s="40">
        <v>8.9979287437893268E-2</v>
      </c>
      <c r="AT187" s="41">
        <v>9.0286248183820222E-2</v>
      </c>
      <c r="AU187" s="41"/>
      <c r="AV187" s="23">
        <v>2</v>
      </c>
      <c r="AW187" s="23">
        <v>2.333333333333333</v>
      </c>
      <c r="AX187" s="23">
        <v>0.33333333333333331</v>
      </c>
      <c r="AY187" s="23">
        <v>0</v>
      </c>
      <c r="AZ187" s="23">
        <v>0.42857142857142849</v>
      </c>
      <c r="BA187" s="23">
        <v>0.5</v>
      </c>
      <c r="BB187" s="23">
        <v>7.1428571428571425E-2</v>
      </c>
      <c r="BC187" s="23">
        <v>0</v>
      </c>
      <c r="BD187" s="20">
        <v>0.95</v>
      </c>
      <c r="BE187" s="20">
        <v>3.44</v>
      </c>
      <c r="BF187" s="20">
        <v>2.4900000000000002</v>
      </c>
      <c r="BG187" s="20">
        <v>2.500833333333333</v>
      </c>
      <c r="BH187">
        <v>2.500833333333333</v>
      </c>
      <c r="BI187">
        <v>5.6917605187500007</v>
      </c>
      <c r="BJ187" s="64">
        <v>0.58499657192886345</v>
      </c>
      <c r="BK187" s="64">
        <v>0.58699226437317098</v>
      </c>
      <c r="BL187" s="64"/>
      <c r="BN187">
        <v>4.4989643718946627E-2</v>
      </c>
      <c r="BO187">
        <v>4.5143124091910111E-2</v>
      </c>
      <c r="BQ187">
        <v>9.0132767810856745E-2</v>
      </c>
      <c r="BR187">
        <v>4.5066383905428373E-2</v>
      </c>
      <c r="BS187">
        <v>0.58599441815101727</v>
      </c>
      <c r="BT187" s="68" t="s">
        <v>1264</v>
      </c>
      <c r="BU187" s="68">
        <v>1373</v>
      </c>
      <c r="BV187" s="68">
        <v>30</v>
      </c>
      <c r="BX187" s="68" t="s">
        <v>1275</v>
      </c>
      <c r="BY187" s="68" t="s">
        <v>56</v>
      </c>
      <c r="BZ187" s="68">
        <v>7</v>
      </c>
      <c r="CA187" s="68">
        <v>3.49</v>
      </c>
      <c r="CB187" s="68">
        <v>2.11</v>
      </c>
      <c r="CC187" s="68">
        <v>0</v>
      </c>
      <c r="CD187" s="68" t="s">
        <v>464</v>
      </c>
      <c r="CE187" s="68" t="s">
        <v>464</v>
      </c>
      <c r="CF187" s="68" t="s">
        <v>1266</v>
      </c>
      <c r="CG187" s="68">
        <v>400</v>
      </c>
      <c r="CK187" s="70">
        <v>50</v>
      </c>
    </row>
    <row r="188" spans="1:89" x14ac:dyDescent="0.3">
      <c r="A188" t="s">
        <v>34</v>
      </c>
      <c r="C188" t="s">
        <v>3958</v>
      </c>
      <c r="D188" s="12"/>
      <c r="E188">
        <v>3.2</v>
      </c>
      <c r="F188" t="s">
        <v>94</v>
      </c>
      <c r="G188" s="8" t="s">
        <v>542</v>
      </c>
      <c r="H188" t="s">
        <v>623</v>
      </c>
      <c r="M188" t="b">
        <v>1</v>
      </c>
      <c r="N188" t="b">
        <v>1</v>
      </c>
      <c r="O188" t="b">
        <v>0</v>
      </c>
      <c r="P188" t="b">
        <v>0</v>
      </c>
      <c r="Q188" t="s">
        <v>542</v>
      </c>
      <c r="R188" t="s">
        <v>623</v>
      </c>
      <c r="U188" s="20">
        <v>1</v>
      </c>
      <c r="V188">
        <v>2</v>
      </c>
      <c r="W188">
        <v>0</v>
      </c>
      <c r="AB188" s="1">
        <v>0</v>
      </c>
      <c r="AC188" s="20">
        <v>3.9086759899999999</v>
      </c>
      <c r="AD188" s="20">
        <v>3.908676100000001</v>
      </c>
      <c r="AE188" s="20">
        <v>10.552604730000001</v>
      </c>
      <c r="AF188">
        <v>3.899</v>
      </c>
      <c r="AG188">
        <v>3.899</v>
      </c>
      <c r="AH188">
        <v>20.399989999999999</v>
      </c>
      <c r="AI188">
        <v>0</v>
      </c>
      <c r="AM188">
        <v>14</v>
      </c>
      <c r="AN188" s="44">
        <f t="shared" ref="AN188" si="28">X188*Y188*Z188</f>
        <v>0</v>
      </c>
      <c r="AO188" s="46">
        <v>155.59136328639269</v>
      </c>
      <c r="AP188" s="44">
        <v>310.12474837798999</v>
      </c>
      <c r="AQ188" s="44">
        <v>0</v>
      </c>
      <c r="AR188" s="41"/>
      <c r="AS188" s="40">
        <v>8.9979287437893268E-2</v>
      </c>
      <c r="AT188" s="41">
        <v>9.0286248183820222E-2</v>
      </c>
      <c r="AU188" s="41"/>
      <c r="AV188" s="23">
        <v>2</v>
      </c>
      <c r="AW188" s="23">
        <v>2.333333333333333</v>
      </c>
      <c r="AX188" s="23">
        <v>0.33333333333333331</v>
      </c>
      <c r="AY188" s="23">
        <v>0</v>
      </c>
      <c r="AZ188" s="23">
        <v>0.42857142857142849</v>
      </c>
      <c r="BA188" s="23">
        <v>0.5</v>
      </c>
      <c r="BB188" s="23">
        <v>7.1428571428571425E-2</v>
      </c>
      <c r="BC188" s="23">
        <v>0</v>
      </c>
      <c r="BD188" s="20">
        <v>0.95</v>
      </c>
      <c r="BE188" s="20">
        <v>3.44</v>
      </c>
      <c r="BF188" s="20">
        <v>2.4900000000000002</v>
      </c>
      <c r="BG188" s="20">
        <v>2.500833333333333</v>
      </c>
      <c r="BH188">
        <v>2.500833333333333</v>
      </c>
      <c r="BI188">
        <v>5.6917605187500007</v>
      </c>
      <c r="BJ188" s="64">
        <v>0.58499657192886345</v>
      </c>
      <c r="BK188" s="64">
        <v>0.58699226437317098</v>
      </c>
      <c r="BL188" s="64"/>
      <c r="BN188">
        <v>4.4989643718946627E-2</v>
      </c>
      <c r="BO188">
        <v>4.5143124091910111E-2</v>
      </c>
      <c r="BQ188">
        <v>9.0132767810856745E-2</v>
      </c>
      <c r="BR188">
        <v>4.5066383905428373E-2</v>
      </c>
      <c r="BS188">
        <v>0.58599441815101727</v>
      </c>
      <c r="BT188" s="68" t="s">
        <v>1305</v>
      </c>
      <c r="BU188" s="68">
        <f>973</f>
        <v>973</v>
      </c>
      <c r="BV188" s="68">
        <v>2</v>
      </c>
      <c r="BX188" s="68" t="s">
        <v>1275</v>
      </c>
      <c r="BY188" s="68" t="s">
        <v>56</v>
      </c>
      <c r="BZ188" s="68">
        <v>7</v>
      </c>
      <c r="CA188" s="68">
        <v>8.1449999999999996</v>
      </c>
      <c r="CB188" s="68">
        <v>2.11</v>
      </c>
      <c r="CC188" s="68">
        <v>0</v>
      </c>
      <c r="CD188" s="68" t="s">
        <v>464</v>
      </c>
      <c r="CE188" s="68" t="s">
        <v>464</v>
      </c>
      <c r="CF188" s="68" t="s">
        <v>1266</v>
      </c>
      <c r="CG188" s="68">
        <v>400</v>
      </c>
      <c r="CK188" s="70">
        <v>10</v>
      </c>
    </row>
    <row r="189" spans="1:89" x14ac:dyDescent="0.3">
      <c r="A189" t="s">
        <v>95</v>
      </c>
      <c r="C189" t="s">
        <v>4013</v>
      </c>
      <c r="D189" s="12"/>
      <c r="E189">
        <v>3.3</v>
      </c>
      <c r="F189" t="s">
        <v>96</v>
      </c>
      <c r="G189" s="8">
        <v>-1</v>
      </c>
      <c r="H189" t="s">
        <v>642</v>
      </c>
      <c r="M189" t="b">
        <v>0</v>
      </c>
      <c r="N189" t="b">
        <v>1</v>
      </c>
      <c r="O189" t="b">
        <v>0</v>
      </c>
      <c r="P189" t="b">
        <v>0</v>
      </c>
      <c r="Q189">
        <v>-1</v>
      </c>
      <c r="R189" t="s">
        <v>642</v>
      </c>
      <c r="T189">
        <v>2</v>
      </c>
      <c r="U189" s="20">
        <v>0</v>
      </c>
      <c r="V189">
        <v>1</v>
      </c>
      <c r="W189">
        <v>0</v>
      </c>
      <c r="X189">
        <v>3.8917999999999999</v>
      </c>
      <c r="Y189">
        <v>3.8820000000000001</v>
      </c>
      <c r="Z189">
        <v>36.127000000000002</v>
      </c>
      <c r="AA189" s="1" t="s">
        <v>484</v>
      </c>
      <c r="AB189" s="1">
        <v>18.063500000000001</v>
      </c>
      <c r="AC189" s="20">
        <v>0</v>
      </c>
      <c r="AD189" s="20"/>
      <c r="AE189" s="20"/>
      <c r="AF189">
        <v>3.8715999999999999</v>
      </c>
      <c r="AG189">
        <v>3.8715999999999999</v>
      </c>
      <c r="AH189">
        <v>36.936999999999998</v>
      </c>
      <c r="AI189">
        <v>0</v>
      </c>
      <c r="AL189">
        <v>4</v>
      </c>
      <c r="AM189">
        <v>26</v>
      </c>
      <c r="AN189" s="44">
        <f t="shared" si="9"/>
        <v>545.80554548520001</v>
      </c>
      <c r="AO189" s="46">
        <v>0</v>
      </c>
      <c r="AP189" s="44">
        <v>553.65927766671996</v>
      </c>
      <c r="AQ189" s="44">
        <v>0</v>
      </c>
      <c r="AR189" s="41"/>
      <c r="AS189" s="40"/>
      <c r="AT189" s="41">
        <v>4.696028956576237E-2</v>
      </c>
      <c r="AU189" s="41"/>
      <c r="AV189" s="23">
        <v>1.714285714285714</v>
      </c>
      <c r="AW189" s="23">
        <v>2.4761904761904758</v>
      </c>
      <c r="AX189" s="23">
        <v>0.76190476190476186</v>
      </c>
      <c r="AY189" s="23">
        <v>0</v>
      </c>
      <c r="AZ189" s="23">
        <v>0.34615384615384609</v>
      </c>
      <c r="BA189" s="23">
        <v>0.5</v>
      </c>
      <c r="BB189" s="23">
        <v>0.1538461538461538</v>
      </c>
      <c r="BC189" s="23">
        <v>0</v>
      </c>
      <c r="BD189" s="20">
        <v>0.93</v>
      </c>
      <c r="BE189" s="20">
        <v>3.44</v>
      </c>
      <c r="BF189" s="20">
        <v>2.5099999999999998</v>
      </c>
      <c r="BG189" s="20">
        <v>2.618095238095238</v>
      </c>
      <c r="BH189">
        <v>2.618095238095238</v>
      </c>
      <c r="BI189">
        <v>5.9615126490476191</v>
      </c>
      <c r="BJ189" s="64"/>
      <c r="BK189" s="64"/>
      <c r="BL189" s="64"/>
      <c r="BO189">
        <v>2.3480144782881181E-2</v>
      </c>
      <c r="BQ189">
        <v>4.696028956576237E-2</v>
      </c>
      <c r="BR189">
        <v>2.3480144782881181E-2</v>
      </c>
      <c r="BS189">
        <v>0</v>
      </c>
      <c r="BT189" s="68" t="s">
        <v>1264</v>
      </c>
      <c r="BU189" s="68">
        <v>1373</v>
      </c>
      <c r="BV189" s="68">
        <v>10</v>
      </c>
      <c r="BX189" s="68" t="s">
        <v>1268</v>
      </c>
      <c r="BY189" s="68" t="s">
        <v>863</v>
      </c>
      <c r="BZ189" s="68">
        <v>1</v>
      </c>
      <c r="CA189" s="68">
        <v>4.5999999999999996</v>
      </c>
      <c r="CB189" s="68">
        <v>2</v>
      </c>
      <c r="CC189" s="68">
        <v>20</v>
      </c>
      <c r="CD189" s="68" t="s">
        <v>464</v>
      </c>
      <c r="CE189" s="68" t="s">
        <v>464</v>
      </c>
      <c r="CF189" s="68" t="s">
        <v>1271</v>
      </c>
      <c r="CG189" s="68">
        <v>1000</v>
      </c>
      <c r="CH189" s="68">
        <v>300</v>
      </c>
      <c r="CK189" s="70">
        <v>1355</v>
      </c>
    </row>
    <row r="190" spans="1:89" x14ac:dyDescent="0.3">
      <c r="A190" t="s">
        <v>95</v>
      </c>
      <c r="C190" t="s">
        <v>4013</v>
      </c>
      <c r="D190" s="12"/>
      <c r="E190">
        <v>3.3</v>
      </c>
      <c r="F190" t="s">
        <v>96</v>
      </c>
      <c r="G190" s="8">
        <v>-1</v>
      </c>
      <c r="H190" t="s">
        <v>642</v>
      </c>
      <c r="M190" t="b">
        <v>0</v>
      </c>
      <c r="N190" t="b">
        <v>1</v>
      </c>
      <c r="O190" t="b">
        <v>0</v>
      </c>
      <c r="P190" t="b">
        <v>0</v>
      </c>
      <c r="Q190">
        <v>-1</v>
      </c>
      <c r="R190" t="s">
        <v>642</v>
      </c>
      <c r="T190">
        <v>2</v>
      </c>
      <c r="U190" s="20">
        <v>0</v>
      </c>
      <c r="V190">
        <v>1</v>
      </c>
      <c r="W190">
        <v>0</v>
      </c>
      <c r="X190">
        <v>3.8917999999999999</v>
      </c>
      <c r="Y190">
        <v>3.8820000000000001</v>
      </c>
      <c r="Z190">
        <v>36.127000000000002</v>
      </c>
      <c r="AA190" s="1" t="s">
        <v>484</v>
      </c>
      <c r="AB190" s="1">
        <v>18.063500000000001</v>
      </c>
      <c r="AC190" s="20">
        <v>0</v>
      </c>
      <c r="AD190" s="20"/>
      <c r="AE190" s="20"/>
      <c r="AF190">
        <v>3.8715999999999999</v>
      </c>
      <c r="AG190">
        <v>3.8715999999999999</v>
      </c>
      <c r="AH190">
        <v>36.936999999999998</v>
      </c>
      <c r="AI190">
        <v>0</v>
      </c>
      <c r="AL190">
        <v>4</v>
      </c>
      <c r="AM190">
        <v>26</v>
      </c>
      <c r="AN190" s="44">
        <f t="shared" ref="AN190:AN191" si="29">X190*Y190*Z190</f>
        <v>545.80554548520001</v>
      </c>
      <c r="AO190" s="46">
        <v>0</v>
      </c>
      <c r="AP190" s="44">
        <v>553.65927766671996</v>
      </c>
      <c r="AQ190" s="44">
        <v>0</v>
      </c>
      <c r="AR190" s="41"/>
      <c r="AS190" s="40"/>
      <c r="AT190" s="41">
        <v>4.696028956576237E-2</v>
      </c>
      <c r="AU190" s="41"/>
      <c r="AV190" s="23">
        <v>1.714285714285714</v>
      </c>
      <c r="AW190" s="23">
        <v>2.4761904761904758</v>
      </c>
      <c r="AX190" s="23">
        <v>0.76190476190476186</v>
      </c>
      <c r="AY190" s="23">
        <v>0</v>
      </c>
      <c r="AZ190" s="23">
        <v>0.34615384615384609</v>
      </c>
      <c r="BA190" s="23">
        <v>0.5</v>
      </c>
      <c r="BB190" s="23">
        <v>0.1538461538461538</v>
      </c>
      <c r="BC190" s="23">
        <v>0</v>
      </c>
      <c r="BD190" s="20">
        <v>0.93</v>
      </c>
      <c r="BE190" s="20">
        <v>3.44</v>
      </c>
      <c r="BF190" s="20">
        <v>2.5099999999999998</v>
      </c>
      <c r="BG190" s="20">
        <v>2.618095238095238</v>
      </c>
      <c r="BH190">
        <v>2.618095238095238</v>
      </c>
      <c r="BI190">
        <v>5.9615126490476191</v>
      </c>
      <c r="BJ190" s="64"/>
      <c r="BK190" s="64"/>
      <c r="BL190" s="64"/>
      <c r="BO190">
        <v>2.3480144782881181E-2</v>
      </c>
      <c r="BQ190">
        <v>4.696028956576237E-2</v>
      </c>
      <c r="BR190">
        <v>2.3480144782881181E-2</v>
      </c>
      <c r="BS190">
        <v>0</v>
      </c>
      <c r="BT190" s="68" t="s">
        <v>1264</v>
      </c>
      <c r="BU190" s="68">
        <v>1373</v>
      </c>
      <c r="BV190" s="68">
        <v>10</v>
      </c>
      <c r="BX190" s="68" t="s">
        <v>1275</v>
      </c>
      <c r="BY190" s="68" t="s">
        <v>863</v>
      </c>
      <c r="BZ190" s="68">
        <v>1</v>
      </c>
      <c r="CA190" s="68">
        <v>4.5999999999999996</v>
      </c>
      <c r="CB190" s="68">
        <v>2</v>
      </c>
      <c r="CC190" s="68">
        <v>20</v>
      </c>
      <c r="CD190" s="68" t="s">
        <v>464</v>
      </c>
      <c r="CE190" s="68" t="s">
        <v>464</v>
      </c>
      <c r="CF190" s="68" t="s">
        <v>1271</v>
      </c>
      <c r="CG190" s="68">
        <v>1000</v>
      </c>
      <c r="CH190" s="68">
        <v>300</v>
      </c>
      <c r="CK190" s="70">
        <v>1099</v>
      </c>
    </row>
    <row r="191" spans="1:89" x14ac:dyDescent="0.3">
      <c r="A191" t="s">
        <v>95</v>
      </c>
      <c r="C191" t="s">
        <v>4013</v>
      </c>
      <c r="D191" s="12"/>
      <c r="E191">
        <v>3.3</v>
      </c>
      <c r="F191" t="s">
        <v>96</v>
      </c>
      <c r="G191" s="8">
        <v>-1</v>
      </c>
      <c r="H191" t="s">
        <v>642</v>
      </c>
      <c r="M191" t="b">
        <v>0</v>
      </c>
      <c r="N191" t="b">
        <v>1</v>
      </c>
      <c r="O191" t="b">
        <v>0</v>
      </c>
      <c r="P191" t="b">
        <v>0</v>
      </c>
      <c r="Q191">
        <v>-1</v>
      </c>
      <c r="R191" t="s">
        <v>642</v>
      </c>
      <c r="T191">
        <v>2</v>
      </c>
      <c r="U191" s="20">
        <v>0</v>
      </c>
      <c r="V191">
        <v>1</v>
      </c>
      <c r="W191">
        <v>0</v>
      </c>
      <c r="X191">
        <v>3.8917999999999999</v>
      </c>
      <c r="Y191">
        <v>3.8820000000000001</v>
      </c>
      <c r="Z191">
        <v>36.127000000000002</v>
      </c>
      <c r="AA191" s="1" t="s">
        <v>484</v>
      </c>
      <c r="AB191" s="1">
        <v>18.063500000000001</v>
      </c>
      <c r="AC191" s="20">
        <v>0</v>
      </c>
      <c r="AD191" s="20"/>
      <c r="AE191" s="20"/>
      <c r="AF191">
        <v>3.8715999999999999</v>
      </c>
      <c r="AG191">
        <v>3.8715999999999999</v>
      </c>
      <c r="AH191">
        <v>36.936999999999998</v>
      </c>
      <c r="AI191">
        <v>0</v>
      </c>
      <c r="AL191">
        <v>4</v>
      </c>
      <c r="AM191">
        <v>26</v>
      </c>
      <c r="AN191" s="44">
        <f t="shared" si="29"/>
        <v>545.80554548520001</v>
      </c>
      <c r="AO191" s="46">
        <v>0</v>
      </c>
      <c r="AP191" s="44">
        <v>553.65927766671996</v>
      </c>
      <c r="AQ191" s="44">
        <v>0</v>
      </c>
      <c r="AR191" s="41"/>
      <c r="AS191" s="40"/>
      <c r="AT191" s="41">
        <v>4.696028956576237E-2</v>
      </c>
      <c r="AU191" s="41"/>
      <c r="AV191" s="23">
        <v>1.714285714285714</v>
      </c>
      <c r="AW191" s="23">
        <v>2.4761904761904758</v>
      </c>
      <c r="AX191" s="23">
        <v>0.76190476190476186</v>
      </c>
      <c r="AY191" s="23">
        <v>0</v>
      </c>
      <c r="AZ191" s="23">
        <v>0.34615384615384609</v>
      </c>
      <c r="BA191" s="23">
        <v>0.5</v>
      </c>
      <c r="BB191" s="23">
        <v>0.1538461538461538</v>
      </c>
      <c r="BC191" s="23">
        <v>0</v>
      </c>
      <c r="BD191" s="20">
        <v>0.93</v>
      </c>
      <c r="BE191" s="20">
        <v>3.44</v>
      </c>
      <c r="BF191" s="20">
        <v>2.5099999999999998</v>
      </c>
      <c r="BG191" s="20">
        <v>2.618095238095238</v>
      </c>
      <c r="BH191">
        <v>2.618095238095238</v>
      </c>
      <c r="BI191">
        <v>5.9615126490476191</v>
      </c>
      <c r="BJ191" s="64"/>
      <c r="BK191" s="64"/>
      <c r="BL191" s="64"/>
      <c r="BO191">
        <v>2.3480144782881181E-2</v>
      </c>
      <c r="BQ191">
        <v>4.696028956576237E-2</v>
      </c>
      <c r="BR191">
        <v>2.3480144782881181E-2</v>
      </c>
      <c r="BS191">
        <v>0</v>
      </c>
      <c r="BT191" s="68" t="s">
        <v>1264</v>
      </c>
      <c r="BU191" s="68">
        <v>1373</v>
      </c>
      <c r="BV191" s="68">
        <v>10</v>
      </c>
      <c r="BX191" s="68" t="s">
        <v>1268</v>
      </c>
      <c r="BY191" s="68" t="s">
        <v>863</v>
      </c>
      <c r="BZ191" s="68">
        <v>1</v>
      </c>
      <c r="CA191" s="68">
        <v>3.9</v>
      </c>
      <c r="CB191" s="68">
        <v>2</v>
      </c>
      <c r="CC191" s="68">
        <v>20</v>
      </c>
      <c r="CD191" s="68" t="s">
        <v>464</v>
      </c>
      <c r="CE191" s="68" t="s">
        <v>464</v>
      </c>
      <c r="CF191" s="68" t="s">
        <v>1271</v>
      </c>
      <c r="CG191" s="68">
        <v>1000</v>
      </c>
      <c r="CH191" s="68">
        <v>300</v>
      </c>
      <c r="CK191" s="70">
        <v>835</v>
      </c>
    </row>
    <row r="192" spans="1:89" x14ac:dyDescent="0.3">
      <c r="A192" t="s">
        <v>95</v>
      </c>
      <c r="C192" t="s">
        <v>4013</v>
      </c>
      <c r="D192" s="12"/>
      <c r="E192">
        <v>3.3</v>
      </c>
      <c r="F192" t="s">
        <v>96</v>
      </c>
      <c r="G192" s="8">
        <v>-1</v>
      </c>
      <c r="H192" t="s">
        <v>642</v>
      </c>
      <c r="M192" t="b">
        <v>0</v>
      </c>
      <c r="N192" t="b">
        <v>1</v>
      </c>
      <c r="O192" t="b">
        <v>0</v>
      </c>
      <c r="P192" t="b">
        <v>0</v>
      </c>
      <c r="Q192">
        <v>-1</v>
      </c>
      <c r="R192" t="s">
        <v>642</v>
      </c>
      <c r="T192">
        <v>2</v>
      </c>
      <c r="U192" s="20">
        <v>0</v>
      </c>
      <c r="V192">
        <v>1</v>
      </c>
      <c r="W192">
        <v>0</v>
      </c>
      <c r="X192">
        <v>3.8917999999999999</v>
      </c>
      <c r="Y192">
        <v>3.8820000000000001</v>
      </c>
      <c r="Z192">
        <v>36.127000000000002</v>
      </c>
      <c r="AA192" s="1" t="s">
        <v>484</v>
      </c>
      <c r="AB192" s="1">
        <v>18.063500000000001</v>
      </c>
      <c r="AC192" s="20">
        <v>0</v>
      </c>
      <c r="AD192" s="20"/>
      <c r="AE192" s="20"/>
      <c r="AF192">
        <v>3.8715999999999999</v>
      </c>
      <c r="AG192">
        <v>3.8715999999999999</v>
      </c>
      <c r="AH192">
        <v>36.936999999999998</v>
      </c>
      <c r="AI192">
        <v>0</v>
      </c>
      <c r="AL192">
        <v>4</v>
      </c>
      <c r="AM192">
        <v>26</v>
      </c>
      <c r="AN192" s="44">
        <f t="shared" ref="AN192:AN193" si="30">X192*Y192*Z192</f>
        <v>545.80554548520001</v>
      </c>
      <c r="AO192" s="46">
        <v>0</v>
      </c>
      <c r="AP192" s="44">
        <v>553.65927766671996</v>
      </c>
      <c r="AQ192" s="44">
        <v>0</v>
      </c>
      <c r="AR192" s="41"/>
      <c r="AS192" s="40"/>
      <c r="AT192" s="41">
        <v>4.696028956576237E-2</v>
      </c>
      <c r="AU192" s="41"/>
      <c r="AV192" s="23">
        <v>1.714285714285714</v>
      </c>
      <c r="AW192" s="23">
        <v>2.4761904761904758</v>
      </c>
      <c r="AX192" s="23">
        <v>0.76190476190476186</v>
      </c>
      <c r="AY192" s="23">
        <v>0</v>
      </c>
      <c r="AZ192" s="23">
        <v>0.34615384615384609</v>
      </c>
      <c r="BA192" s="23">
        <v>0.5</v>
      </c>
      <c r="BB192" s="23">
        <v>0.1538461538461538</v>
      </c>
      <c r="BC192" s="23">
        <v>0</v>
      </c>
      <c r="BD192" s="20">
        <v>0.93</v>
      </c>
      <c r="BE192" s="20">
        <v>3.44</v>
      </c>
      <c r="BF192" s="20">
        <v>2.5099999999999998</v>
      </c>
      <c r="BG192" s="20">
        <v>2.618095238095238</v>
      </c>
      <c r="BH192">
        <v>2.618095238095238</v>
      </c>
      <c r="BI192">
        <v>5.9615126490476191</v>
      </c>
      <c r="BJ192" s="64"/>
      <c r="BK192" s="64"/>
      <c r="BL192" s="64"/>
      <c r="BO192">
        <v>2.3480144782881181E-2</v>
      </c>
      <c r="BQ192">
        <v>4.696028956576237E-2</v>
      </c>
      <c r="BR192">
        <v>2.3480144782881181E-2</v>
      </c>
      <c r="BS192">
        <v>0</v>
      </c>
      <c r="BT192" s="68" t="s">
        <v>1264</v>
      </c>
      <c r="BU192" s="68">
        <v>1373</v>
      </c>
      <c r="BV192" s="68">
        <v>10</v>
      </c>
      <c r="BX192" s="68" t="s">
        <v>1275</v>
      </c>
      <c r="BY192" s="68" t="s">
        <v>863</v>
      </c>
      <c r="BZ192" s="68">
        <v>1</v>
      </c>
      <c r="CA192" s="68">
        <v>3.9</v>
      </c>
      <c r="CB192" s="68">
        <v>2</v>
      </c>
      <c r="CC192" s="68">
        <v>20</v>
      </c>
      <c r="CD192" s="68" t="s">
        <v>464</v>
      </c>
      <c r="CE192" s="68" t="s">
        <v>464</v>
      </c>
      <c r="CF192" s="68" t="s">
        <v>1271</v>
      </c>
      <c r="CG192" s="68">
        <v>1000</v>
      </c>
      <c r="CH192" s="68">
        <v>300</v>
      </c>
      <c r="CK192" s="70">
        <v>539</v>
      </c>
    </row>
    <row r="193" spans="1:89" x14ac:dyDescent="0.3">
      <c r="A193" t="s">
        <v>95</v>
      </c>
      <c r="C193" t="s">
        <v>4013</v>
      </c>
      <c r="D193" s="12"/>
      <c r="E193">
        <v>3.3</v>
      </c>
      <c r="F193" t="s">
        <v>96</v>
      </c>
      <c r="G193" s="8">
        <v>-1</v>
      </c>
      <c r="H193" t="s">
        <v>642</v>
      </c>
      <c r="M193" t="b">
        <v>0</v>
      </c>
      <c r="N193" t="b">
        <v>1</v>
      </c>
      <c r="O193" t="b">
        <v>0</v>
      </c>
      <c r="P193" t="b">
        <v>0</v>
      </c>
      <c r="Q193">
        <v>-1</v>
      </c>
      <c r="R193" t="s">
        <v>642</v>
      </c>
      <c r="T193">
        <v>2</v>
      </c>
      <c r="U193" s="20">
        <v>0</v>
      </c>
      <c r="V193">
        <v>1</v>
      </c>
      <c r="W193">
        <v>0</v>
      </c>
      <c r="X193">
        <v>3.8917999999999999</v>
      </c>
      <c r="Y193">
        <v>3.8820000000000001</v>
      </c>
      <c r="Z193">
        <v>36.127000000000002</v>
      </c>
      <c r="AA193" s="1" t="s">
        <v>484</v>
      </c>
      <c r="AB193" s="1">
        <v>18.063500000000001</v>
      </c>
      <c r="AC193" s="20">
        <v>0</v>
      </c>
      <c r="AD193" s="20"/>
      <c r="AE193" s="20"/>
      <c r="AF193">
        <v>3.8715999999999999</v>
      </c>
      <c r="AG193">
        <v>3.8715999999999999</v>
      </c>
      <c r="AH193">
        <v>36.936999999999998</v>
      </c>
      <c r="AI193">
        <v>0</v>
      </c>
      <c r="AL193">
        <v>4</v>
      </c>
      <c r="AM193">
        <v>26</v>
      </c>
      <c r="AN193" s="44">
        <f t="shared" si="30"/>
        <v>545.80554548520001</v>
      </c>
      <c r="AO193" s="46">
        <v>0</v>
      </c>
      <c r="AP193" s="44">
        <v>553.65927766671996</v>
      </c>
      <c r="AQ193" s="44">
        <v>0</v>
      </c>
      <c r="AR193" s="41"/>
      <c r="AS193" s="40"/>
      <c r="AT193" s="41">
        <v>4.696028956576237E-2</v>
      </c>
      <c r="AU193" s="41"/>
      <c r="AV193" s="23">
        <v>1.714285714285714</v>
      </c>
      <c r="AW193" s="23">
        <v>2.4761904761904758</v>
      </c>
      <c r="AX193" s="23">
        <v>0.76190476190476186</v>
      </c>
      <c r="AY193" s="23">
        <v>0</v>
      </c>
      <c r="AZ193" s="23">
        <v>0.34615384615384609</v>
      </c>
      <c r="BA193" s="23">
        <v>0.5</v>
      </c>
      <c r="BB193" s="23">
        <v>0.1538461538461538</v>
      </c>
      <c r="BC193" s="23">
        <v>0</v>
      </c>
      <c r="BD193" s="20">
        <v>0.93</v>
      </c>
      <c r="BE193" s="20">
        <v>3.44</v>
      </c>
      <c r="BF193" s="20">
        <v>2.5099999999999998</v>
      </c>
      <c r="BG193" s="20">
        <v>2.618095238095238</v>
      </c>
      <c r="BH193">
        <v>2.618095238095238</v>
      </c>
      <c r="BI193">
        <v>5.9615126490476191</v>
      </c>
      <c r="BJ193" s="64"/>
      <c r="BK193" s="64"/>
      <c r="BL193" s="64"/>
      <c r="BO193">
        <v>2.3480144782881181E-2</v>
      </c>
      <c r="BQ193">
        <v>4.696028956576237E-2</v>
      </c>
      <c r="BR193">
        <v>2.3480144782881181E-2</v>
      </c>
      <c r="BS193">
        <v>0</v>
      </c>
      <c r="BT193" s="68" t="s">
        <v>1264</v>
      </c>
      <c r="BU193" s="68">
        <v>1373</v>
      </c>
      <c r="BV193" s="68">
        <v>10</v>
      </c>
      <c r="BX193" s="68" t="s">
        <v>1268</v>
      </c>
      <c r="BY193" s="68" t="s">
        <v>863</v>
      </c>
      <c r="BZ193" s="68">
        <v>1</v>
      </c>
      <c r="CA193" s="68">
        <v>1.6</v>
      </c>
      <c r="CB193" s="68">
        <v>2</v>
      </c>
      <c r="CC193" s="68">
        <v>20</v>
      </c>
      <c r="CD193" s="68" t="s">
        <v>464</v>
      </c>
      <c r="CE193" s="68" t="s">
        <v>464</v>
      </c>
      <c r="CF193" s="68" t="s">
        <v>1271</v>
      </c>
      <c r="CG193" s="68">
        <v>1000</v>
      </c>
      <c r="CH193" s="68">
        <v>300</v>
      </c>
      <c r="CK193" s="70">
        <v>230</v>
      </c>
    </row>
    <row r="194" spans="1:89" x14ac:dyDescent="0.3">
      <c r="A194" t="s">
        <v>95</v>
      </c>
      <c r="C194" t="s">
        <v>4013</v>
      </c>
      <c r="D194" s="12"/>
      <c r="E194">
        <v>3.3</v>
      </c>
      <c r="F194" t="s">
        <v>96</v>
      </c>
      <c r="G194" s="8">
        <v>-1</v>
      </c>
      <c r="H194" t="s">
        <v>642</v>
      </c>
      <c r="M194" t="b">
        <v>0</v>
      </c>
      <c r="N194" t="b">
        <v>1</v>
      </c>
      <c r="O194" t="b">
        <v>0</v>
      </c>
      <c r="P194" t="b">
        <v>0</v>
      </c>
      <c r="Q194">
        <v>-1</v>
      </c>
      <c r="R194" t="s">
        <v>642</v>
      </c>
      <c r="T194">
        <v>2</v>
      </c>
      <c r="U194" s="20">
        <v>0</v>
      </c>
      <c r="V194">
        <v>1</v>
      </c>
      <c r="W194">
        <v>0</v>
      </c>
      <c r="X194">
        <v>3.8917999999999999</v>
      </c>
      <c r="Y194">
        <v>3.8820000000000001</v>
      </c>
      <c r="Z194">
        <v>36.127000000000002</v>
      </c>
      <c r="AA194" s="1" t="s">
        <v>484</v>
      </c>
      <c r="AB194" s="1">
        <v>18.063500000000001</v>
      </c>
      <c r="AC194" s="20">
        <v>0</v>
      </c>
      <c r="AD194" s="20"/>
      <c r="AE194" s="20"/>
      <c r="AF194">
        <v>3.8715999999999999</v>
      </c>
      <c r="AG194">
        <v>3.8715999999999999</v>
      </c>
      <c r="AH194">
        <v>36.936999999999998</v>
      </c>
      <c r="AI194">
        <v>0</v>
      </c>
      <c r="AL194">
        <v>4</v>
      </c>
      <c r="AM194">
        <v>26</v>
      </c>
      <c r="AN194" s="44">
        <f t="shared" ref="AN194:AN195" si="31">X194*Y194*Z194</f>
        <v>545.80554548520001</v>
      </c>
      <c r="AO194" s="46">
        <v>0</v>
      </c>
      <c r="AP194" s="44">
        <v>553.65927766671996</v>
      </c>
      <c r="AQ194" s="44">
        <v>0</v>
      </c>
      <c r="AR194" s="41"/>
      <c r="AS194" s="40"/>
      <c r="AT194" s="41">
        <v>4.696028956576237E-2</v>
      </c>
      <c r="AU194" s="41"/>
      <c r="AV194" s="23">
        <v>1.714285714285714</v>
      </c>
      <c r="AW194" s="23">
        <v>2.4761904761904758</v>
      </c>
      <c r="AX194" s="23">
        <v>0.76190476190476186</v>
      </c>
      <c r="AY194" s="23">
        <v>0</v>
      </c>
      <c r="AZ194" s="23">
        <v>0.34615384615384609</v>
      </c>
      <c r="BA194" s="23">
        <v>0.5</v>
      </c>
      <c r="BB194" s="23">
        <v>0.1538461538461538</v>
      </c>
      <c r="BC194" s="23">
        <v>0</v>
      </c>
      <c r="BD194" s="20">
        <v>0.93</v>
      </c>
      <c r="BE194" s="20">
        <v>3.44</v>
      </c>
      <c r="BF194" s="20">
        <v>2.5099999999999998</v>
      </c>
      <c r="BG194" s="20">
        <v>2.618095238095238</v>
      </c>
      <c r="BH194">
        <v>2.618095238095238</v>
      </c>
      <c r="BI194">
        <v>5.9615126490476191</v>
      </c>
      <c r="BJ194" s="64"/>
      <c r="BK194" s="64"/>
      <c r="BL194" s="64"/>
      <c r="BO194">
        <v>2.3480144782881181E-2</v>
      </c>
      <c r="BQ194">
        <v>4.696028956576237E-2</v>
      </c>
      <c r="BR194">
        <v>2.3480144782881181E-2</v>
      </c>
      <c r="BS194">
        <v>0</v>
      </c>
      <c r="BT194" s="68" t="s">
        <v>1264</v>
      </c>
      <c r="BU194" s="68">
        <v>1373</v>
      </c>
      <c r="BV194" s="68">
        <v>10</v>
      </c>
      <c r="BX194" s="68" t="s">
        <v>1275</v>
      </c>
      <c r="BY194" s="68" t="s">
        <v>863</v>
      </c>
      <c r="BZ194" s="68">
        <v>1</v>
      </c>
      <c r="CA194" s="68">
        <v>1.6</v>
      </c>
      <c r="CB194" s="68">
        <v>2</v>
      </c>
      <c r="CC194" s="68">
        <v>20</v>
      </c>
      <c r="CD194" s="68" t="s">
        <v>464</v>
      </c>
      <c r="CE194" s="68" t="s">
        <v>464</v>
      </c>
      <c r="CF194" s="68" t="s">
        <v>1271</v>
      </c>
      <c r="CG194" s="68">
        <v>1000</v>
      </c>
      <c r="CH194" s="68">
        <v>300</v>
      </c>
      <c r="CK194" s="70">
        <v>204</v>
      </c>
    </row>
    <row r="195" spans="1:89" x14ac:dyDescent="0.3">
      <c r="A195" t="s">
        <v>95</v>
      </c>
      <c r="C195" t="s">
        <v>4013</v>
      </c>
      <c r="D195" s="12"/>
      <c r="E195">
        <v>3.3</v>
      </c>
      <c r="F195" t="s">
        <v>96</v>
      </c>
      <c r="G195" s="8">
        <v>-1</v>
      </c>
      <c r="H195" t="s">
        <v>642</v>
      </c>
      <c r="M195" t="b">
        <v>0</v>
      </c>
      <c r="N195" t="b">
        <v>1</v>
      </c>
      <c r="O195" t="b">
        <v>0</v>
      </c>
      <c r="P195" t="b">
        <v>0</v>
      </c>
      <c r="Q195">
        <v>-1</v>
      </c>
      <c r="R195" t="s">
        <v>642</v>
      </c>
      <c r="T195">
        <v>2</v>
      </c>
      <c r="U195" s="20">
        <v>0</v>
      </c>
      <c r="V195">
        <v>1</v>
      </c>
      <c r="W195">
        <v>0</v>
      </c>
      <c r="X195">
        <v>3.8917999999999999</v>
      </c>
      <c r="Y195">
        <v>3.8820000000000001</v>
      </c>
      <c r="Z195">
        <v>36.127000000000002</v>
      </c>
      <c r="AA195" s="1" t="s">
        <v>484</v>
      </c>
      <c r="AB195" s="1">
        <v>18.063500000000001</v>
      </c>
      <c r="AC195" s="20">
        <v>0</v>
      </c>
      <c r="AD195" s="20"/>
      <c r="AE195" s="20"/>
      <c r="AF195">
        <v>3.8715999999999999</v>
      </c>
      <c r="AG195">
        <v>3.8715999999999999</v>
      </c>
      <c r="AH195">
        <v>36.936999999999998</v>
      </c>
      <c r="AI195">
        <v>0</v>
      </c>
      <c r="AL195">
        <v>4</v>
      </c>
      <c r="AM195">
        <v>26</v>
      </c>
      <c r="AN195" s="44">
        <f t="shared" si="31"/>
        <v>545.80554548520001</v>
      </c>
      <c r="AO195" s="46">
        <v>0</v>
      </c>
      <c r="AP195" s="44">
        <v>553.65927766671996</v>
      </c>
      <c r="AQ195" s="44">
        <v>0</v>
      </c>
      <c r="AR195" s="41"/>
      <c r="AS195" s="40"/>
      <c r="AT195" s="41">
        <v>4.696028956576237E-2</v>
      </c>
      <c r="AU195" s="41"/>
      <c r="AV195" s="23">
        <v>1.714285714285714</v>
      </c>
      <c r="AW195" s="23">
        <v>2.4761904761904758</v>
      </c>
      <c r="AX195" s="23">
        <v>0.76190476190476186</v>
      </c>
      <c r="AY195" s="23">
        <v>0</v>
      </c>
      <c r="AZ195" s="23">
        <v>0.34615384615384609</v>
      </c>
      <c r="BA195" s="23">
        <v>0.5</v>
      </c>
      <c r="BB195" s="23">
        <v>0.1538461538461538</v>
      </c>
      <c r="BC195" s="23">
        <v>0</v>
      </c>
      <c r="BD195" s="20">
        <v>0.93</v>
      </c>
      <c r="BE195" s="20">
        <v>3.44</v>
      </c>
      <c r="BF195" s="20">
        <v>2.5099999999999998</v>
      </c>
      <c r="BG195" s="20">
        <v>2.618095238095238</v>
      </c>
      <c r="BH195">
        <v>2.618095238095238</v>
      </c>
      <c r="BI195">
        <v>5.9615126490476191</v>
      </c>
      <c r="BJ195" s="64"/>
      <c r="BK195" s="64"/>
      <c r="BL195" s="64"/>
      <c r="BO195">
        <v>2.3480144782881181E-2</v>
      </c>
      <c r="BQ195">
        <v>4.696028956576237E-2</v>
      </c>
      <c r="BR195">
        <v>2.3480144782881181E-2</v>
      </c>
      <c r="BS195">
        <v>0</v>
      </c>
      <c r="BT195" s="68" t="s">
        <v>1264</v>
      </c>
      <c r="BU195" s="68">
        <v>1373</v>
      </c>
      <c r="BV195" s="68">
        <v>10</v>
      </c>
      <c r="BX195" s="68" t="s">
        <v>1268</v>
      </c>
      <c r="BY195" s="68" t="s">
        <v>863</v>
      </c>
      <c r="BZ195" s="68">
        <v>1</v>
      </c>
      <c r="CA195" s="68">
        <v>0.36</v>
      </c>
      <c r="CB195" s="68">
        <v>2</v>
      </c>
      <c r="CC195" s="68">
        <v>20</v>
      </c>
      <c r="CD195" s="68" t="s">
        <v>464</v>
      </c>
      <c r="CE195" s="68" t="s">
        <v>464</v>
      </c>
      <c r="CF195" s="68" t="s">
        <v>1271</v>
      </c>
      <c r="CG195" s="68">
        <v>1000</v>
      </c>
      <c r="CH195" s="68">
        <v>300</v>
      </c>
      <c r="CK195" s="70">
        <v>447</v>
      </c>
    </row>
    <row r="196" spans="1:89" x14ac:dyDescent="0.3">
      <c r="A196" t="s">
        <v>95</v>
      </c>
      <c r="C196" t="s">
        <v>4013</v>
      </c>
      <c r="D196" s="12"/>
      <c r="E196">
        <v>3.3</v>
      </c>
      <c r="F196" t="s">
        <v>96</v>
      </c>
      <c r="G196" s="8">
        <v>-1</v>
      </c>
      <c r="H196" t="s">
        <v>642</v>
      </c>
      <c r="M196" t="b">
        <v>0</v>
      </c>
      <c r="N196" t="b">
        <v>1</v>
      </c>
      <c r="O196" t="b">
        <v>0</v>
      </c>
      <c r="P196" t="b">
        <v>0</v>
      </c>
      <c r="Q196">
        <v>-1</v>
      </c>
      <c r="R196" t="s">
        <v>642</v>
      </c>
      <c r="T196">
        <v>2</v>
      </c>
      <c r="U196" s="20">
        <v>0</v>
      </c>
      <c r="V196">
        <v>1</v>
      </c>
      <c r="W196">
        <v>0</v>
      </c>
      <c r="X196">
        <v>3.8917999999999999</v>
      </c>
      <c r="Y196">
        <v>3.8820000000000001</v>
      </c>
      <c r="Z196">
        <v>36.127000000000002</v>
      </c>
      <c r="AA196" s="1" t="s">
        <v>484</v>
      </c>
      <c r="AB196" s="1">
        <v>18.063500000000001</v>
      </c>
      <c r="AC196" s="20">
        <v>0</v>
      </c>
      <c r="AD196" s="20"/>
      <c r="AE196" s="20"/>
      <c r="AF196">
        <v>3.8715999999999999</v>
      </c>
      <c r="AG196">
        <v>3.8715999999999999</v>
      </c>
      <c r="AH196">
        <v>36.936999999999998</v>
      </c>
      <c r="AI196">
        <v>0</v>
      </c>
      <c r="AL196">
        <v>4</v>
      </c>
      <c r="AM196">
        <v>26</v>
      </c>
      <c r="AN196" s="44">
        <f t="shared" ref="AN196" si="32">X196*Y196*Z196</f>
        <v>545.80554548520001</v>
      </c>
      <c r="AO196" s="46">
        <v>0</v>
      </c>
      <c r="AP196" s="44">
        <v>553.65927766671996</v>
      </c>
      <c r="AQ196" s="44">
        <v>0</v>
      </c>
      <c r="AR196" s="41"/>
      <c r="AS196" s="40"/>
      <c r="AT196" s="41">
        <v>4.696028956576237E-2</v>
      </c>
      <c r="AU196" s="41"/>
      <c r="AV196" s="23">
        <v>1.714285714285714</v>
      </c>
      <c r="AW196" s="23">
        <v>2.4761904761904758</v>
      </c>
      <c r="AX196" s="23">
        <v>0.76190476190476186</v>
      </c>
      <c r="AY196" s="23">
        <v>0</v>
      </c>
      <c r="AZ196" s="23">
        <v>0.34615384615384609</v>
      </c>
      <c r="BA196" s="23">
        <v>0.5</v>
      </c>
      <c r="BB196" s="23">
        <v>0.1538461538461538</v>
      </c>
      <c r="BC196" s="23">
        <v>0</v>
      </c>
      <c r="BD196" s="20">
        <v>0.93</v>
      </c>
      <c r="BE196" s="20">
        <v>3.44</v>
      </c>
      <c r="BF196" s="20">
        <v>2.5099999999999998</v>
      </c>
      <c r="BG196" s="20">
        <v>2.618095238095238</v>
      </c>
      <c r="BH196">
        <v>2.618095238095238</v>
      </c>
      <c r="BI196">
        <v>5.9615126490476191</v>
      </c>
      <c r="BJ196" s="64"/>
      <c r="BK196" s="64"/>
      <c r="BL196" s="64"/>
      <c r="BO196">
        <v>2.3480144782881181E-2</v>
      </c>
      <c r="BQ196">
        <v>4.696028956576237E-2</v>
      </c>
      <c r="BR196">
        <v>2.3480144782881181E-2</v>
      </c>
      <c r="BS196">
        <v>0</v>
      </c>
      <c r="BT196" s="68" t="s">
        <v>1264</v>
      </c>
      <c r="BU196" s="68">
        <v>1373</v>
      </c>
      <c r="BV196" s="68">
        <v>10</v>
      </c>
      <c r="BX196" s="68" t="s">
        <v>1275</v>
      </c>
      <c r="BY196" s="68" t="s">
        <v>863</v>
      </c>
      <c r="BZ196" s="68">
        <v>1</v>
      </c>
      <c r="CA196" s="68">
        <v>0.36</v>
      </c>
      <c r="CB196" s="68">
        <v>2</v>
      </c>
      <c r="CC196" s="68">
        <v>20</v>
      </c>
      <c r="CD196" s="68" t="s">
        <v>464</v>
      </c>
      <c r="CE196" s="68" t="s">
        <v>464</v>
      </c>
      <c r="CF196" s="68" t="s">
        <v>1271</v>
      </c>
      <c r="CG196" s="68">
        <v>1000</v>
      </c>
      <c r="CH196" s="68">
        <v>300</v>
      </c>
      <c r="CK196" s="70">
        <v>113</v>
      </c>
    </row>
    <row r="197" spans="1:89" x14ac:dyDescent="0.3">
      <c r="A197" t="s">
        <v>97</v>
      </c>
      <c r="C197" t="s">
        <v>4014</v>
      </c>
      <c r="D197" s="12"/>
      <c r="E197">
        <v>2.0099999999999998</v>
      </c>
      <c r="F197" t="s">
        <v>100</v>
      </c>
      <c r="G197" s="8" t="s">
        <v>565</v>
      </c>
      <c r="H197" t="s">
        <v>643</v>
      </c>
      <c r="M197" t="b">
        <v>1</v>
      </c>
      <c r="N197" t="b">
        <v>1</v>
      </c>
      <c r="O197" t="b">
        <v>0</v>
      </c>
      <c r="P197" t="b">
        <v>0</v>
      </c>
      <c r="Q197" t="s">
        <v>565</v>
      </c>
      <c r="R197" t="s">
        <v>643</v>
      </c>
      <c r="U197" s="20">
        <v>4</v>
      </c>
      <c r="V197">
        <v>2</v>
      </c>
      <c r="W197">
        <v>0</v>
      </c>
      <c r="X197">
        <v>5.63</v>
      </c>
      <c r="Y197">
        <v>5.63</v>
      </c>
      <c r="Z197">
        <v>7.9509999999999996</v>
      </c>
      <c r="AA197" t="s">
        <v>485</v>
      </c>
      <c r="AB197" s="1">
        <v>0</v>
      </c>
      <c r="AC197" s="20">
        <v>5.6671750000000003</v>
      </c>
      <c r="AD197" s="20">
        <v>9.8157737100000002</v>
      </c>
      <c r="AE197" s="20">
        <v>9.8153266899999991</v>
      </c>
      <c r="AF197">
        <v>5.6200999999999999</v>
      </c>
      <c r="AG197">
        <v>5.6342999999999996</v>
      </c>
      <c r="AH197">
        <v>7.9375</v>
      </c>
      <c r="AI197">
        <v>0</v>
      </c>
      <c r="AM197">
        <v>12</v>
      </c>
      <c r="AN197" s="44">
        <f t="shared" si="9"/>
        <v>252.02205189999998</v>
      </c>
      <c r="AO197" s="46">
        <v>515.32350958904738</v>
      </c>
      <c r="AP197" s="44">
        <v>251.3435485224438</v>
      </c>
      <c r="AQ197" s="44">
        <v>0</v>
      </c>
      <c r="AR197" s="41"/>
      <c r="AS197" s="40">
        <v>9.3145371998025736E-2</v>
      </c>
      <c r="AT197" s="41">
        <v>9.5486835214538698E-2</v>
      </c>
      <c r="AU197" s="41"/>
      <c r="AV197" s="23">
        <v>2</v>
      </c>
      <c r="AW197" s="23">
        <v>2.4</v>
      </c>
      <c r="AX197" s="23">
        <v>0.9</v>
      </c>
      <c r="AY197" s="23">
        <v>1.4</v>
      </c>
      <c r="AZ197" s="23">
        <v>0.29850746268656708</v>
      </c>
      <c r="BA197" s="23">
        <v>0.35820895522388058</v>
      </c>
      <c r="BB197" s="23">
        <v>0.1343283582089552</v>
      </c>
      <c r="BC197" s="23">
        <v>0.20895522388059701</v>
      </c>
      <c r="BD197" s="20">
        <v>0.95</v>
      </c>
      <c r="BE197" s="20">
        <v>3.44</v>
      </c>
      <c r="BF197" s="20">
        <v>2.4900000000000002</v>
      </c>
      <c r="BG197" s="20">
        <v>2.5870000000000002</v>
      </c>
      <c r="BH197">
        <v>2.5870000000000002</v>
      </c>
      <c r="BI197">
        <v>5.8948612069999999</v>
      </c>
      <c r="BJ197" s="64">
        <v>0.57095915761344151</v>
      </c>
      <c r="BK197" s="64">
        <v>0.58531177478599872</v>
      </c>
      <c r="BL197" s="64"/>
      <c r="BN197">
        <v>4.6572685999012868E-2</v>
      </c>
      <c r="BO197">
        <v>4.7743417607269342E-2</v>
      </c>
      <c r="BQ197">
        <v>9.4316103606282217E-2</v>
      </c>
      <c r="BR197">
        <v>4.7158051803141102E-2</v>
      </c>
      <c r="BS197">
        <v>0.57813546619972012</v>
      </c>
      <c r="BT197" s="68" t="s">
        <v>1293</v>
      </c>
      <c r="BU197" s="68">
        <v>1273</v>
      </c>
      <c r="BV197" s="68">
        <v>12</v>
      </c>
      <c r="BX197" s="68" t="s">
        <v>1268</v>
      </c>
      <c r="BY197" s="68" t="s">
        <v>863</v>
      </c>
      <c r="BZ197" s="68">
        <v>1</v>
      </c>
      <c r="CA197" s="68">
        <v>5.3</v>
      </c>
      <c r="CB197" s="68">
        <v>1</v>
      </c>
      <c r="CC197" s="68">
        <v>0</v>
      </c>
      <c r="CD197" s="68" t="s">
        <v>1308</v>
      </c>
      <c r="CE197" s="68" t="s">
        <v>464</v>
      </c>
      <c r="CF197" s="68" t="s">
        <v>1266</v>
      </c>
      <c r="CG197" s="68">
        <v>500</v>
      </c>
      <c r="CH197" s="68">
        <v>250</v>
      </c>
      <c r="CJ197" s="68">
        <v>293</v>
      </c>
      <c r="CK197" s="70">
        <v>200</v>
      </c>
    </row>
    <row r="198" spans="1:89" x14ac:dyDescent="0.3">
      <c r="A198" t="s">
        <v>1213</v>
      </c>
      <c r="C198" t="s">
        <v>4015</v>
      </c>
      <c r="D198" s="12"/>
      <c r="E198">
        <v>2.21</v>
      </c>
      <c r="F198" t="s">
        <v>100</v>
      </c>
      <c r="G198" s="8">
        <v>-1</v>
      </c>
      <c r="H198">
        <v>-1</v>
      </c>
      <c r="M198" t="b">
        <v>0</v>
      </c>
      <c r="N198" t="b">
        <v>0</v>
      </c>
      <c r="O198" t="b">
        <v>0</v>
      </c>
      <c r="P198" t="b">
        <v>1</v>
      </c>
      <c r="Q198">
        <v>-1</v>
      </c>
      <c r="R198">
        <v>-1</v>
      </c>
      <c r="T198">
        <v>2</v>
      </c>
      <c r="U198" s="20">
        <v>0</v>
      </c>
      <c r="V198">
        <v>0</v>
      </c>
      <c r="W198">
        <v>0</v>
      </c>
      <c r="X198">
        <v>3.9668000000000001</v>
      </c>
      <c r="Y198">
        <v>3.9668000000000001</v>
      </c>
      <c r="Z198">
        <v>20.597999999999999</v>
      </c>
      <c r="AA198" t="s">
        <v>440</v>
      </c>
      <c r="AC198" s="20">
        <v>0</v>
      </c>
      <c r="AD198" s="20"/>
      <c r="AE198" s="20"/>
      <c r="AF198">
        <v>0</v>
      </c>
      <c r="AI198">
        <v>0</v>
      </c>
      <c r="AM198">
        <v>14</v>
      </c>
      <c r="AN198" s="44">
        <f t="shared" si="9"/>
        <v>324.11987513951999</v>
      </c>
      <c r="AO198" s="46">
        <v>0</v>
      </c>
      <c r="AP198" s="44">
        <v>0</v>
      </c>
      <c r="AQ198" s="44">
        <v>0</v>
      </c>
      <c r="AR198" s="41">
        <f t="shared" ref="AR198:AR199" si="33">T198*AM198/AN198</f>
        <v>8.6387790899731698E-2</v>
      </c>
      <c r="AS198" s="40"/>
      <c r="AT198" s="41"/>
      <c r="AU198" s="41"/>
      <c r="AV198" s="23">
        <v>2</v>
      </c>
      <c r="AW198" s="23">
        <v>2.4615384615384621</v>
      </c>
      <c r="AX198" s="23">
        <v>0.69230769230769229</v>
      </c>
      <c r="AY198" s="23">
        <v>1.0769230769230771</v>
      </c>
      <c r="AZ198" s="23">
        <v>0.32098765432098758</v>
      </c>
      <c r="BA198" s="23">
        <v>0.39506172839506182</v>
      </c>
      <c r="BB198" s="23">
        <v>0.1111111111111111</v>
      </c>
      <c r="BC198" s="23">
        <v>0.1728395061728395</v>
      </c>
      <c r="BD198" s="20">
        <v>0.95</v>
      </c>
      <c r="BE198" s="20">
        <v>3.44</v>
      </c>
      <c r="BF198" s="20">
        <v>2.4900000000000002</v>
      </c>
      <c r="BG198" s="20">
        <v>2.592307692307692</v>
      </c>
      <c r="BH198">
        <v>2.5923076923076929</v>
      </c>
      <c r="BI198">
        <v>5.9154799303846159</v>
      </c>
      <c r="BJ198" s="64"/>
      <c r="BK198" s="64"/>
      <c r="BL198" s="64"/>
      <c r="BM198">
        <v>4.3193895449865849E-2</v>
      </c>
      <c r="BQ198">
        <v>8.6387790899731698E-2</v>
      </c>
      <c r="BR198">
        <v>4.3193895449865849E-2</v>
      </c>
      <c r="BS198">
        <v>0</v>
      </c>
      <c r="BT198" s="68" t="s">
        <v>1293</v>
      </c>
      <c r="BU198" s="68">
        <v>1473</v>
      </c>
      <c r="BV198" s="68">
        <v>12</v>
      </c>
      <c r="BX198" s="68" t="s">
        <v>1268</v>
      </c>
      <c r="BY198" s="68" t="s">
        <v>863</v>
      </c>
      <c r="BZ198" s="68">
        <v>1</v>
      </c>
      <c r="CA198" s="68">
        <v>21.4</v>
      </c>
      <c r="CB198" s="68">
        <v>1</v>
      </c>
      <c r="CC198" s="68">
        <v>0</v>
      </c>
      <c r="CD198" s="68" t="s">
        <v>1308</v>
      </c>
      <c r="CE198" s="68" t="s">
        <v>464</v>
      </c>
      <c r="CF198" s="68" t="s">
        <v>1266</v>
      </c>
      <c r="CG198" s="68">
        <v>500</v>
      </c>
      <c r="CH198" s="68">
        <v>250</v>
      </c>
      <c r="CJ198" s="68">
        <v>293</v>
      </c>
      <c r="CK198" s="70">
        <v>250</v>
      </c>
    </row>
    <row r="199" spans="1:89" x14ac:dyDescent="0.3">
      <c r="A199" t="s">
        <v>1214</v>
      </c>
      <c r="C199" t="s">
        <v>4016</v>
      </c>
      <c r="D199" s="12"/>
      <c r="E199">
        <v>2.27</v>
      </c>
      <c r="F199" t="s">
        <v>100</v>
      </c>
      <c r="G199" s="8">
        <v>-1</v>
      </c>
      <c r="H199">
        <v>-1</v>
      </c>
      <c r="M199" t="b">
        <v>0</v>
      </c>
      <c r="N199" t="b">
        <v>0</v>
      </c>
      <c r="O199" t="b">
        <v>0</v>
      </c>
      <c r="P199" t="b">
        <v>1</v>
      </c>
      <c r="Q199">
        <v>-1</v>
      </c>
      <c r="R199">
        <v>-1</v>
      </c>
      <c r="T199">
        <v>1</v>
      </c>
      <c r="U199" s="20">
        <v>0</v>
      </c>
      <c r="V199">
        <v>0</v>
      </c>
      <c r="W199">
        <v>0</v>
      </c>
      <c r="X199">
        <v>3.9493</v>
      </c>
      <c r="Y199">
        <v>3.9493</v>
      </c>
      <c r="Z199">
        <v>12.727</v>
      </c>
      <c r="AA199" t="s">
        <v>440</v>
      </c>
      <c r="AC199" s="20">
        <v>0</v>
      </c>
      <c r="AD199" s="20"/>
      <c r="AE199" s="20"/>
      <c r="AF199">
        <v>0</v>
      </c>
      <c r="AI199">
        <v>0</v>
      </c>
      <c r="AM199">
        <v>16</v>
      </c>
      <c r="AN199" s="44">
        <f t="shared" si="9"/>
        <v>198.50264342623001</v>
      </c>
      <c r="AO199" s="46">
        <v>0</v>
      </c>
      <c r="AP199" s="44">
        <v>0</v>
      </c>
      <c r="AQ199" s="44">
        <v>0</v>
      </c>
      <c r="AR199" s="41">
        <f t="shared" si="33"/>
        <v>8.0603460608050376E-2</v>
      </c>
      <c r="AS199" s="40"/>
      <c r="AT199" s="41"/>
      <c r="AU199" s="41"/>
      <c r="AV199" s="23">
        <v>2</v>
      </c>
      <c r="AW199" s="23">
        <v>2.4</v>
      </c>
      <c r="AX199" s="23">
        <v>0.6</v>
      </c>
      <c r="AY199" s="23">
        <v>0.93333333333333335</v>
      </c>
      <c r="AZ199" s="23">
        <v>0.33707865168539319</v>
      </c>
      <c r="BA199" s="23">
        <v>0.4044943820224719</v>
      </c>
      <c r="BB199" s="23">
        <v>0.101123595505618</v>
      </c>
      <c r="BC199" s="23">
        <v>0.15730337078651679</v>
      </c>
      <c r="BD199" s="20">
        <v>0.95</v>
      </c>
      <c r="BE199" s="20">
        <v>3.44</v>
      </c>
      <c r="BF199" s="20">
        <v>2.4900000000000002</v>
      </c>
      <c r="BG199" s="20">
        <v>2.539333333333333</v>
      </c>
      <c r="BH199">
        <v>2.539333333333333</v>
      </c>
      <c r="BI199">
        <v>5.8209523980000002</v>
      </c>
      <c r="BJ199" s="64"/>
      <c r="BK199" s="64"/>
      <c r="BL199" s="64"/>
      <c r="BM199">
        <v>4.0301730304025188E-2</v>
      </c>
      <c r="BQ199">
        <v>8.0603460608050376E-2</v>
      </c>
      <c r="BR199">
        <v>4.0301730304025188E-2</v>
      </c>
      <c r="BS199">
        <v>0</v>
      </c>
      <c r="BT199" s="68" t="s">
        <v>1293</v>
      </c>
      <c r="BU199" s="68">
        <v>1673</v>
      </c>
      <c r="BV199" s="68">
        <v>12</v>
      </c>
      <c r="BX199" s="68" t="s">
        <v>1268</v>
      </c>
      <c r="BY199" s="68" t="s">
        <v>863</v>
      </c>
      <c r="BZ199" s="68">
        <v>1</v>
      </c>
      <c r="CA199" s="68">
        <v>4.5999999999999996</v>
      </c>
      <c r="CB199" s="68">
        <v>1</v>
      </c>
      <c r="CC199" s="68">
        <v>0</v>
      </c>
      <c r="CD199" s="68" t="s">
        <v>1308</v>
      </c>
      <c r="CE199" s="68" t="s">
        <v>464</v>
      </c>
      <c r="CF199" s="68" t="s">
        <v>1266</v>
      </c>
      <c r="CG199" s="68">
        <v>500</v>
      </c>
      <c r="CH199" s="68">
        <v>250</v>
      </c>
      <c r="CJ199" s="68">
        <v>293</v>
      </c>
      <c r="CK199" s="70">
        <v>166</v>
      </c>
    </row>
    <row r="200" spans="1:89" x14ac:dyDescent="0.3">
      <c r="A200" t="s">
        <v>916</v>
      </c>
      <c r="C200" t="s">
        <v>4017</v>
      </c>
      <c r="D200" s="12"/>
      <c r="E200">
        <v>3.157</v>
      </c>
      <c r="F200" t="s">
        <v>103</v>
      </c>
      <c r="G200" s="8">
        <v>-1</v>
      </c>
      <c r="H200">
        <v>-1</v>
      </c>
      <c r="I200" t="s">
        <v>1217</v>
      </c>
      <c r="M200" t="b">
        <v>0</v>
      </c>
      <c r="N200" t="b">
        <v>0</v>
      </c>
      <c r="O200" t="b">
        <v>1</v>
      </c>
      <c r="P200" t="b">
        <v>0</v>
      </c>
      <c r="Q200">
        <v>-1</v>
      </c>
      <c r="R200">
        <v>-1</v>
      </c>
      <c r="S200" t="s">
        <v>1217</v>
      </c>
      <c r="T200">
        <v>4</v>
      </c>
      <c r="U200" s="20">
        <v>0</v>
      </c>
      <c r="V200">
        <v>0</v>
      </c>
      <c r="W200">
        <v>2</v>
      </c>
      <c r="X200">
        <v>12.449</v>
      </c>
      <c r="Y200">
        <v>12.449</v>
      </c>
      <c r="Z200" s="4">
        <v>9.1999999999999993</v>
      </c>
      <c r="AA200" t="s">
        <v>486</v>
      </c>
      <c r="AB200">
        <f>Z200</f>
        <v>9.1999999999999993</v>
      </c>
      <c r="AC200" s="20">
        <v>0</v>
      </c>
      <c r="AD200" s="20"/>
      <c r="AE200" s="20"/>
      <c r="AF200">
        <v>0</v>
      </c>
      <c r="AI200">
        <v>0</v>
      </c>
      <c r="AL200" s="20">
        <v>3</v>
      </c>
      <c r="AM200">
        <v>28.67</v>
      </c>
      <c r="AN200" s="44">
        <f>X200*Y200*Z200</f>
        <v>1425.7939291999999</v>
      </c>
      <c r="AO200" s="46">
        <v>0</v>
      </c>
      <c r="AP200" s="44">
        <v>0</v>
      </c>
      <c r="AQ200" s="44">
        <v>603.79999999999995</v>
      </c>
      <c r="AR200" s="41">
        <f>T200*AM200/AN200</f>
        <v>8.0432380620631433E-2</v>
      </c>
      <c r="AS200" s="40"/>
      <c r="AT200" s="41"/>
      <c r="AU200" s="56">
        <f>W200*AM200/AQ200</f>
        <v>9.4965220271613124E-2</v>
      </c>
      <c r="AV200" s="23">
        <v>1.6718155361540179</v>
      </c>
      <c r="AW200" s="23">
        <v>2.567271099171704</v>
      </c>
      <c r="AX200" s="23">
        <v>0.89545556301768525</v>
      </c>
      <c r="AY200" s="23">
        <v>0</v>
      </c>
      <c r="AZ200" s="23">
        <v>0.32560167422392738</v>
      </c>
      <c r="BA200" s="23">
        <v>0.5</v>
      </c>
      <c r="BB200" s="23">
        <v>0.17439832577607259</v>
      </c>
      <c r="BC200" s="23">
        <v>0</v>
      </c>
      <c r="BD200" s="20">
        <v>0.82</v>
      </c>
      <c r="BE200" s="20">
        <v>3.44</v>
      </c>
      <c r="BF200" s="20">
        <v>2.62</v>
      </c>
      <c r="BG200" s="20">
        <v>2.680076113722857</v>
      </c>
      <c r="BH200">
        <v>2.6800761137228561</v>
      </c>
      <c r="BI200">
        <v>6.0370190189344077</v>
      </c>
      <c r="BJ200" s="64"/>
      <c r="BK200" s="64"/>
      <c r="BL200" s="64"/>
      <c r="BM200">
        <v>4.0216190310315723E-2</v>
      </c>
      <c r="BP200">
        <v>4.7482610135806562E-2</v>
      </c>
      <c r="BQ200">
        <v>8.7698800446122271E-2</v>
      </c>
      <c r="BR200">
        <v>4.3849400223061143E-2</v>
      </c>
      <c r="BS200">
        <v>0</v>
      </c>
      <c r="BT200" s="68" t="s">
        <v>1264</v>
      </c>
      <c r="BU200" s="68">
        <v>1873</v>
      </c>
      <c r="BV200" s="68">
        <v>1</v>
      </c>
      <c r="BX200" s="68" t="s">
        <v>464</v>
      </c>
      <c r="BY200" s="68" t="s">
        <v>464</v>
      </c>
      <c r="BZ200" s="68">
        <v>0</v>
      </c>
      <c r="CA200" s="68">
        <v>11.6</v>
      </c>
      <c r="CB200" s="68">
        <v>2</v>
      </c>
      <c r="CC200" s="68">
        <v>10</v>
      </c>
      <c r="CD200" s="68" t="s">
        <v>464</v>
      </c>
      <c r="CE200" s="68" t="s">
        <v>464</v>
      </c>
      <c r="CF200" s="68" t="s">
        <v>1266</v>
      </c>
      <c r="CG200" s="68">
        <v>100</v>
      </c>
      <c r="CH200" s="68">
        <v>290</v>
      </c>
      <c r="CJ200" s="68">
        <v>333</v>
      </c>
      <c r="CK200" s="70">
        <v>0</v>
      </c>
    </row>
    <row r="201" spans="1:89" x14ac:dyDescent="0.3">
      <c r="A201" t="s">
        <v>917</v>
      </c>
      <c r="C201" t="s">
        <v>4018</v>
      </c>
      <c r="D201" s="12"/>
      <c r="E201">
        <v>3.1880000000000002</v>
      </c>
      <c r="F201" t="s">
        <v>103</v>
      </c>
      <c r="G201" s="8">
        <v>-1</v>
      </c>
      <c r="H201">
        <v>-1</v>
      </c>
      <c r="I201" s="1" t="s">
        <v>1217</v>
      </c>
      <c r="J201" s="1"/>
      <c r="K201" s="1"/>
      <c r="L201" s="1" t="s">
        <v>1726</v>
      </c>
      <c r="M201" t="b">
        <v>0</v>
      </c>
      <c r="N201" t="b">
        <v>0</v>
      </c>
      <c r="O201" t="b">
        <v>1</v>
      </c>
      <c r="P201" t="b">
        <v>0</v>
      </c>
      <c r="Q201">
        <v>-1</v>
      </c>
      <c r="R201">
        <v>-1</v>
      </c>
      <c r="S201" t="s">
        <v>2115</v>
      </c>
      <c r="T201">
        <v>4</v>
      </c>
      <c r="U201" s="20">
        <v>0</v>
      </c>
      <c r="V201">
        <v>0</v>
      </c>
      <c r="W201">
        <v>0</v>
      </c>
      <c r="X201">
        <v>8.11</v>
      </c>
      <c r="Y201">
        <v>12.449</v>
      </c>
      <c r="Z201">
        <v>12.449</v>
      </c>
      <c r="AB201">
        <v>12.449</v>
      </c>
      <c r="AC201" s="20">
        <v>0</v>
      </c>
      <c r="AD201" s="20"/>
      <c r="AE201" s="20"/>
      <c r="AF201">
        <v>0</v>
      </c>
      <c r="AI201">
        <v>0</v>
      </c>
      <c r="AL201">
        <v>3</v>
      </c>
      <c r="AM201">
        <v>28.67</v>
      </c>
      <c r="AN201" s="44">
        <f t="shared" si="9"/>
        <v>1256.86834411</v>
      </c>
      <c r="AO201" s="46">
        <v>0</v>
      </c>
      <c r="AP201" s="44">
        <v>0</v>
      </c>
      <c r="AQ201" s="44">
        <v>0</v>
      </c>
      <c r="AR201" s="41">
        <f>T201*AM201/AN201</f>
        <v>9.1242651258916035E-2</v>
      </c>
      <c r="AS201" s="40"/>
      <c r="AT201" s="41"/>
      <c r="AU201" s="41"/>
      <c r="AV201" s="23">
        <v>1.6718155361540179</v>
      </c>
      <c r="AW201" s="23">
        <v>2.567271099171704</v>
      </c>
      <c r="AX201" s="23">
        <v>0.89545556301768525</v>
      </c>
      <c r="AY201" s="23">
        <v>0</v>
      </c>
      <c r="AZ201" s="23">
        <v>0.32560167422392738</v>
      </c>
      <c r="BA201" s="23">
        <v>0.5</v>
      </c>
      <c r="BB201" s="23">
        <v>0.17439832577607259</v>
      </c>
      <c r="BC201" s="23">
        <v>0</v>
      </c>
      <c r="BD201" s="20">
        <v>0.95</v>
      </c>
      <c r="BE201" s="20">
        <v>3.44</v>
      </c>
      <c r="BF201" s="20">
        <v>2.4900000000000002</v>
      </c>
      <c r="BG201" s="20">
        <v>2.8240385045892098</v>
      </c>
      <c r="BH201">
        <v>2.8240385045892089</v>
      </c>
      <c r="BI201">
        <v>6.533110796268315</v>
      </c>
      <c r="BJ201" s="64"/>
      <c r="BK201" s="64"/>
      <c r="BL201" s="64"/>
      <c r="BM201">
        <v>4.5621325629458018E-2</v>
      </c>
      <c r="BQ201">
        <v>9.1242651258916035E-2</v>
      </c>
      <c r="BR201">
        <v>4.5621325629458018E-2</v>
      </c>
      <c r="BS201">
        <v>0</v>
      </c>
      <c r="BT201" s="68" t="s">
        <v>1264</v>
      </c>
      <c r="BU201" s="68">
        <v>1873</v>
      </c>
      <c r="BV201" s="68">
        <v>1</v>
      </c>
      <c r="BX201" s="68" t="s">
        <v>464</v>
      </c>
      <c r="BY201" s="68" t="s">
        <v>464</v>
      </c>
      <c r="BZ201" s="68">
        <v>0</v>
      </c>
      <c r="CA201" s="68">
        <v>11.72</v>
      </c>
      <c r="CB201" s="68">
        <v>2</v>
      </c>
      <c r="CC201" s="68">
        <v>10</v>
      </c>
      <c r="CD201" s="68" t="s">
        <v>464</v>
      </c>
      <c r="CE201" s="68" t="s">
        <v>464</v>
      </c>
      <c r="CF201" s="68" t="s">
        <v>1266</v>
      </c>
      <c r="CG201" s="68">
        <v>100</v>
      </c>
      <c r="CH201" s="68">
        <v>290</v>
      </c>
      <c r="CJ201" s="68">
        <v>333</v>
      </c>
      <c r="CK201" s="70">
        <v>3348</v>
      </c>
    </row>
    <row r="202" spans="1:89" x14ac:dyDescent="0.3">
      <c r="A202" t="s">
        <v>917</v>
      </c>
      <c r="C202" t="s">
        <v>4018</v>
      </c>
      <c r="D202" s="12"/>
      <c r="E202">
        <v>3.2040000000000002</v>
      </c>
      <c r="F202" t="s">
        <v>103</v>
      </c>
      <c r="G202" s="8">
        <v>-1</v>
      </c>
      <c r="H202">
        <v>-1</v>
      </c>
      <c r="I202" s="1" t="s">
        <v>1217</v>
      </c>
      <c r="J202" s="1"/>
      <c r="K202" s="1"/>
      <c r="L202" s="1" t="s">
        <v>1726</v>
      </c>
      <c r="M202" t="b">
        <v>0</v>
      </c>
      <c r="N202" t="b">
        <v>0</v>
      </c>
      <c r="O202" t="b">
        <v>1</v>
      </c>
      <c r="P202" t="b">
        <v>0</v>
      </c>
      <c r="Q202">
        <v>-1</v>
      </c>
      <c r="R202">
        <v>-1</v>
      </c>
      <c r="S202" t="s">
        <v>2116</v>
      </c>
      <c r="T202">
        <v>4</v>
      </c>
      <c r="U202" s="20">
        <v>0</v>
      </c>
      <c r="V202">
        <v>0</v>
      </c>
      <c r="W202">
        <v>0</v>
      </c>
      <c r="X202">
        <v>8.0399999999999991</v>
      </c>
      <c r="Y202">
        <v>12.449</v>
      </c>
      <c r="Z202">
        <v>12.449</v>
      </c>
      <c r="AB202">
        <v>12.449</v>
      </c>
      <c r="AC202" s="20">
        <v>0</v>
      </c>
      <c r="AD202" s="20"/>
      <c r="AE202" s="20"/>
      <c r="AF202">
        <v>0</v>
      </c>
      <c r="AI202">
        <v>0</v>
      </c>
      <c r="AL202">
        <v>3</v>
      </c>
      <c r="AM202">
        <v>28.67</v>
      </c>
      <c r="AN202" s="44">
        <f t="shared" si="9"/>
        <v>1246.0199120399998</v>
      </c>
      <c r="AO202" s="46">
        <v>0</v>
      </c>
      <c r="AP202" s="44">
        <v>0</v>
      </c>
      <c r="AQ202" s="44">
        <v>0</v>
      </c>
      <c r="AR202" s="41">
        <f>T202*AM202/AN202</f>
        <v>9.2037052451468801E-2</v>
      </c>
      <c r="AS202" s="40"/>
      <c r="AT202" s="41"/>
      <c r="AU202" s="41"/>
      <c r="AV202" s="23">
        <v>1.6718155361540179</v>
      </c>
      <c r="AW202" s="23">
        <v>2.567271099171704</v>
      </c>
      <c r="AX202" s="23">
        <v>0.89545556301768525</v>
      </c>
      <c r="AY202" s="23">
        <v>0</v>
      </c>
      <c r="AZ202" s="23">
        <v>0.32560167422392738</v>
      </c>
      <c r="BA202" s="23">
        <v>0.5</v>
      </c>
      <c r="BB202" s="23">
        <v>0.17439832577607259</v>
      </c>
      <c r="BC202" s="23">
        <v>0</v>
      </c>
      <c r="BD202" s="20">
        <v>0.95</v>
      </c>
      <c r="BE202" s="20">
        <v>3.44</v>
      </c>
      <c r="BF202" s="20">
        <v>2.4900000000000002</v>
      </c>
      <c r="BG202" s="20">
        <v>2.8240385045892098</v>
      </c>
      <c r="BH202">
        <v>2.8240385045892089</v>
      </c>
      <c r="BI202">
        <v>6.533110796268315</v>
      </c>
      <c r="BJ202" s="64"/>
      <c r="BK202" s="64"/>
      <c r="BL202" s="64"/>
      <c r="BM202">
        <v>4.60185262257344E-2</v>
      </c>
      <c r="BQ202">
        <v>9.2037052451468801E-2</v>
      </c>
      <c r="BR202">
        <v>4.60185262257344E-2</v>
      </c>
      <c r="BS202">
        <v>0</v>
      </c>
      <c r="BT202" s="68" t="s">
        <v>1264</v>
      </c>
      <c r="BU202" s="68">
        <v>1873</v>
      </c>
      <c r="BV202" s="68">
        <v>1</v>
      </c>
      <c r="BX202" s="68" t="s">
        <v>1275</v>
      </c>
      <c r="BY202" s="68" t="s">
        <v>863</v>
      </c>
      <c r="BZ202" s="68">
        <v>1.1200000000000001</v>
      </c>
      <c r="CA202" s="68">
        <v>11.64</v>
      </c>
      <c r="CB202" s="68">
        <v>2</v>
      </c>
      <c r="CC202" s="68">
        <v>10</v>
      </c>
      <c r="CD202" s="68" t="s">
        <v>464</v>
      </c>
      <c r="CE202" s="68" t="s">
        <v>464</v>
      </c>
      <c r="CF202" s="68" t="s">
        <v>1266</v>
      </c>
      <c r="CG202" s="68">
        <v>100</v>
      </c>
      <c r="CH202" s="68">
        <v>290</v>
      </c>
      <c r="CJ202" s="68">
        <v>333</v>
      </c>
      <c r="CK202" s="70">
        <v>40179</v>
      </c>
    </row>
    <row r="203" spans="1:89" x14ac:dyDescent="0.3">
      <c r="A203" t="s">
        <v>8</v>
      </c>
      <c r="B203" t="s">
        <v>2777</v>
      </c>
      <c r="C203" t="s">
        <v>3926</v>
      </c>
      <c r="D203" s="12"/>
      <c r="E203">
        <v>3</v>
      </c>
      <c r="F203" t="s">
        <v>103</v>
      </c>
      <c r="G203" s="98" t="s">
        <v>530</v>
      </c>
      <c r="H203" t="s">
        <v>612</v>
      </c>
      <c r="M203" t="b">
        <v>1</v>
      </c>
      <c r="N203" t="b">
        <v>1</v>
      </c>
      <c r="O203" t="b">
        <v>0</v>
      </c>
      <c r="P203" t="b">
        <v>0</v>
      </c>
      <c r="Q203" t="s">
        <v>530</v>
      </c>
      <c r="R203" t="s">
        <v>612</v>
      </c>
      <c r="U203" s="20"/>
      <c r="AB203">
        <v>0</v>
      </c>
      <c r="AC203" s="20"/>
      <c r="AD203" s="20"/>
      <c r="AE203" s="20"/>
      <c r="AN203" s="44"/>
      <c r="AO203" s="46"/>
      <c r="AP203" s="44"/>
      <c r="AQ203" s="44"/>
      <c r="AR203" s="41"/>
      <c r="AS203" s="40"/>
      <c r="AT203" s="41"/>
      <c r="AU203" s="41"/>
      <c r="AV203" s="23"/>
      <c r="AW203" s="23"/>
      <c r="AX203" s="23"/>
      <c r="AY203" s="23"/>
      <c r="AZ203" s="23"/>
      <c r="BA203" s="23"/>
      <c r="BB203" s="23"/>
      <c r="BC203" s="23"/>
      <c r="BD203" s="20"/>
      <c r="BE203" s="20"/>
      <c r="BF203" s="20"/>
      <c r="BG203" s="20"/>
      <c r="BJ203" s="64"/>
      <c r="BK203" s="64"/>
      <c r="BL203" s="64"/>
      <c r="BT203" s="68" t="s">
        <v>1290</v>
      </c>
      <c r="BX203" s="68" t="s">
        <v>464</v>
      </c>
      <c r="BY203" s="68" t="s">
        <v>464</v>
      </c>
      <c r="BZ203" s="68">
        <v>0</v>
      </c>
      <c r="CA203" s="68">
        <v>49</v>
      </c>
      <c r="CB203" s="68">
        <v>2</v>
      </c>
      <c r="CC203" s="68">
        <v>10</v>
      </c>
      <c r="CD203" s="68" t="s">
        <v>464</v>
      </c>
      <c r="CE203" s="68" t="s">
        <v>464</v>
      </c>
      <c r="CF203" s="68" t="s">
        <v>1266</v>
      </c>
      <c r="CG203" s="68">
        <v>100</v>
      </c>
      <c r="CH203" s="68">
        <v>290</v>
      </c>
      <c r="CJ203" s="68">
        <v>333</v>
      </c>
      <c r="CK203" s="70">
        <v>1116</v>
      </c>
    </row>
    <row r="204" spans="1:89" x14ac:dyDescent="0.3">
      <c r="A204" t="s">
        <v>8</v>
      </c>
      <c r="B204" t="s">
        <v>2777</v>
      </c>
      <c r="C204" t="s">
        <v>3926</v>
      </c>
      <c r="D204" s="12"/>
      <c r="E204">
        <v>3</v>
      </c>
      <c r="F204" t="s">
        <v>103</v>
      </c>
      <c r="G204" s="98" t="s">
        <v>530</v>
      </c>
      <c r="H204" t="s">
        <v>612</v>
      </c>
      <c r="I204" s="98"/>
      <c r="J204" s="95"/>
      <c r="K204" s="95"/>
      <c r="L204" s="95"/>
      <c r="M204" t="b">
        <v>1</v>
      </c>
      <c r="N204" t="b">
        <v>1</v>
      </c>
      <c r="O204" t="b">
        <v>0</v>
      </c>
      <c r="P204" t="b">
        <v>0</v>
      </c>
      <c r="Q204" t="s">
        <v>530</v>
      </c>
      <c r="R204" t="s">
        <v>612</v>
      </c>
      <c r="U204" s="20"/>
      <c r="AB204">
        <v>0</v>
      </c>
      <c r="AC204" s="20"/>
      <c r="AD204" s="20"/>
      <c r="AE204" s="20"/>
      <c r="AN204" s="44"/>
      <c r="AO204" s="46"/>
      <c r="AP204" s="44"/>
      <c r="AQ204" s="44"/>
      <c r="AR204" s="41"/>
      <c r="AS204" s="40"/>
      <c r="AT204" s="41"/>
      <c r="AU204" s="41"/>
      <c r="AV204" s="23"/>
      <c r="AW204" s="23"/>
      <c r="AX204" s="23"/>
      <c r="AY204" s="23"/>
      <c r="AZ204" s="23"/>
      <c r="BA204" s="23"/>
      <c r="BB204" s="23"/>
      <c r="BC204" s="23"/>
      <c r="BD204" s="20"/>
      <c r="BE204" s="20"/>
      <c r="BF204" s="20"/>
      <c r="BG204" s="20"/>
      <c r="BJ204" s="64"/>
      <c r="BK204" s="64"/>
      <c r="BL204" s="64"/>
      <c r="BT204" s="68" t="s">
        <v>1290</v>
      </c>
      <c r="BX204" s="68" t="s">
        <v>1275</v>
      </c>
      <c r="BY204" s="68" t="s">
        <v>863</v>
      </c>
      <c r="BZ204" s="68">
        <v>1.1200000000000001</v>
      </c>
      <c r="CA204" s="68">
        <v>49</v>
      </c>
      <c r="CB204" s="68">
        <v>2</v>
      </c>
      <c r="CC204" s="68">
        <v>10</v>
      </c>
      <c r="CD204" s="68" t="s">
        <v>464</v>
      </c>
      <c r="CE204" s="68" t="s">
        <v>464</v>
      </c>
      <c r="CF204" s="68" t="s">
        <v>1266</v>
      </c>
      <c r="CG204" s="68">
        <v>100</v>
      </c>
      <c r="CH204" s="68">
        <v>290</v>
      </c>
      <c r="CJ204" s="68">
        <v>333</v>
      </c>
      <c r="CK204" s="70">
        <v>30134</v>
      </c>
    </row>
    <row r="205" spans="1:89" x14ac:dyDescent="0.3">
      <c r="A205" t="s">
        <v>104</v>
      </c>
      <c r="C205" t="s">
        <v>4019</v>
      </c>
      <c r="D205" s="12"/>
      <c r="E205">
        <v>3</v>
      </c>
      <c r="F205" t="s">
        <v>111</v>
      </c>
      <c r="G205" s="8" t="s">
        <v>566</v>
      </c>
      <c r="H205" t="s">
        <v>644</v>
      </c>
      <c r="M205" t="b">
        <v>1</v>
      </c>
      <c r="N205" t="b">
        <v>1</v>
      </c>
      <c r="O205" t="b">
        <v>0</v>
      </c>
      <c r="P205" t="b">
        <v>0</v>
      </c>
      <c r="Q205" t="s">
        <v>566</v>
      </c>
      <c r="R205" t="s">
        <v>644</v>
      </c>
      <c r="U205" s="20">
        <v>4</v>
      </c>
      <c r="V205">
        <v>4</v>
      </c>
      <c r="W205">
        <v>0</v>
      </c>
      <c r="AC205" s="20">
        <v>5.452661</v>
      </c>
      <c r="AD205" s="20">
        <v>5.4531499999999999</v>
      </c>
      <c r="AE205" s="20">
        <v>24.558717999999999</v>
      </c>
      <c r="AF205">
        <v>5.44</v>
      </c>
      <c r="AG205">
        <v>5.4130000000000003</v>
      </c>
      <c r="AH205">
        <v>23.74</v>
      </c>
      <c r="AI205">
        <v>0</v>
      </c>
      <c r="AM205">
        <v>18</v>
      </c>
      <c r="AN205" s="44">
        <f t="shared" si="9"/>
        <v>0</v>
      </c>
      <c r="AO205" s="46">
        <v>730.23330062098216</v>
      </c>
      <c r="AP205" s="44">
        <v>699.06513280000001</v>
      </c>
      <c r="AQ205" s="44">
        <v>0</v>
      </c>
      <c r="AR205" s="41"/>
      <c r="AS205" s="40">
        <v>9.8598625862134762E-2</v>
      </c>
      <c r="AT205" s="41">
        <v>0.1029946948027788</v>
      </c>
      <c r="AU205" s="41"/>
      <c r="AV205" s="23">
        <v>2</v>
      </c>
      <c r="AW205" s="23">
        <v>3.2307692307692308</v>
      </c>
      <c r="AX205" s="23">
        <v>2.1538461538461542</v>
      </c>
      <c r="AY205" s="23">
        <v>4.3076923076923066</v>
      </c>
      <c r="AZ205" s="23">
        <v>0.1710526315789474</v>
      </c>
      <c r="BA205" s="23">
        <v>0.27631578947368418</v>
      </c>
      <c r="BB205" s="23">
        <v>0.18421052631578949</v>
      </c>
      <c r="BC205" s="23">
        <v>0.36842105263157893</v>
      </c>
      <c r="BD205" s="20">
        <v>2.02</v>
      </c>
      <c r="BE205" s="20">
        <v>3.44</v>
      </c>
      <c r="BF205" s="20">
        <v>1.42</v>
      </c>
      <c r="BG205" s="20">
        <v>3.0553846153846149</v>
      </c>
      <c r="BH205">
        <v>3.0553846153846149</v>
      </c>
      <c r="BI205">
        <v>6.5203382676923072</v>
      </c>
      <c r="BJ205" s="64">
        <v>0.50518012153204694</v>
      </c>
      <c r="BK205" s="64">
        <v>0.52770382936549109</v>
      </c>
      <c r="BL205" s="64"/>
      <c r="BN205">
        <v>4.9299312931067381E-2</v>
      </c>
      <c r="BO205">
        <v>5.1497347401389379E-2</v>
      </c>
      <c r="BQ205">
        <v>0.10079666033245679</v>
      </c>
      <c r="BR205">
        <v>5.0398330166228383E-2</v>
      </c>
      <c r="BS205">
        <v>0.51644197544876902</v>
      </c>
      <c r="BT205" s="68" t="s">
        <v>1264</v>
      </c>
      <c r="BU205" s="68">
        <v>1123</v>
      </c>
      <c r="BV205" s="68">
        <v>10</v>
      </c>
      <c r="BX205" s="68" t="s">
        <v>1268</v>
      </c>
      <c r="BY205" s="68" t="s">
        <v>863</v>
      </c>
      <c r="BZ205" s="68">
        <v>1</v>
      </c>
      <c r="CB205" s="68">
        <v>2.7</v>
      </c>
      <c r="CC205" s="68">
        <v>5.4</v>
      </c>
      <c r="CD205" s="68" t="s">
        <v>464</v>
      </c>
      <c r="CE205" s="68" t="s">
        <v>464</v>
      </c>
      <c r="CF205" s="68" t="s">
        <v>1266</v>
      </c>
      <c r="CG205" s="68">
        <v>450</v>
      </c>
      <c r="CH205" s="68">
        <v>300</v>
      </c>
      <c r="CI205" s="68" t="s">
        <v>1310</v>
      </c>
      <c r="CK205" s="70">
        <v>18</v>
      </c>
    </row>
    <row r="206" spans="1:89" x14ac:dyDescent="0.3">
      <c r="A206" t="s">
        <v>69</v>
      </c>
      <c r="C206" t="s">
        <v>4020</v>
      </c>
      <c r="D206" s="12"/>
      <c r="E206">
        <v>2.8</v>
      </c>
      <c r="F206" t="s">
        <v>111</v>
      </c>
      <c r="G206" s="8" t="s">
        <v>560</v>
      </c>
      <c r="H206" t="s">
        <v>638</v>
      </c>
      <c r="M206" t="b">
        <v>1</v>
      </c>
      <c r="N206" t="b">
        <v>1</v>
      </c>
      <c r="O206" t="b">
        <v>0</v>
      </c>
      <c r="P206" t="b">
        <v>0</v>
      </c>
      <c r="Q206" t="s">
        <v>560</v>
      </c>
      <c r="R206" t="s">
        <v>638</v>
      </c>
      <c r="U206" s="20">
        <v>2</v>
      </c>
      <c r="V206">
        <v>4</v>
      </c>
      <c r="W206">
        <v>0</v>
      </c>
      <c r="AC206" s="20">
        <v>8.3195821399999996</v>
      </c>
      <c r="AD206" s="20">
        <v>8.3195821399999996</v>
      </c>
      <c r="AE206" s="20">
        <v>8.2425581700000006</v>
      </c>
      <c r="AF206">
        <v>5.5339970000000003</v>
      </c>
      <c r="AG206">
        <v>5.4998300000000002</v>
      </c>
      <c r="AH206">
        <v>16.550709999999999</v>
      </c>
      <c r="AI206">
        <v>0</v>
      </c>
      <c r="AL206" s="20">
        <v>1</v>
      </c>
      <c r="AM206">
        <v>12</v>
      </c>
      <c r="AN206" s="44">
        <f t="shared" si="9"/>
        <v>0</v>
      </c>
      <c r="AO206" s="46">
        <v>248.80917443900231</v>
      </c>
      <c r="AP206" s="44">
        <v>503.73811661477208</v>
      </c>
      <c r="AQ206" s="44">
        <v>0</v>
      </c>
      <c r="AR206" s="41"/>
      <c r="AS206" s="40">
        <v>9.6459465588893734E-2</v>
      </c>
      <c r="AT206" s="41">
        <v>9.5287607621536111E-2</v>
      </c>
      <c r="AU206" s="41"/>
      <c r="AV206" s="23">
        <v>2</v>
      </c>
      <c r="AW206" s="23">
        <v>3.333333333333333</v>
      </c>
      <c r="AX206" s="23">
        <v>2.666666666666667</v>
      </c>
      <c r="AY206" s="23">
        <v>4.666666666666667</v>
      </c>
      <c r="AZ206" s="23">
        <v>0.15789473684210531</v>
      </c>
      <c r="BA206" s="23">
        <v>0.26315789473684209</v>
      </c>
      <c r="BB206" s="23">
        <v>0.2105263157894737</v>
      </c>
      <c r="BC206" s="23">
        <v>0.36842105263157898</v>
      </c>
      <c r="BD206" s="20">
        <v>2.02</v>
      </c>
      <c r="BE206" s="20">
        <v>3.44</v>
      </c>
      <c r="BF206" s="20">
        <v>1.42</v>
      </c>
      <c r="BG206" s="20">
        <v>3.0044444444444438</v>
      </c>
      <c r="BH206">
        <v>3.0044444444444438</v>
      </c>
      <c r="BI206">
        <v>6.4228342255555546</v>
      </c>
      <c r="BJ206" s="64">
        <v>0.52562348257484404</v>
      </c>
      <c r="BK206" s="64">
        <v>0.51923783589802341</v>
      </c>
      <c r="BL206" s="64"/>
      <c r="BN206">
        <v>4.8229732794446867E-2</v>
      </c>
      <c r="BO206">
        <v>4.7643803810768062E-2</v>
      </c>
      <c r="BQ206">
        <v>9.5873536605214915E-2</v>
      </c>
      <c r="BR206">
        <v>4.7936768302607458E-2</v>
      </c>
      <c r="BS206">
        <v>0.52243065923643373</v>
      </c>
      <c r="BT206" s="68" t="s">
        <v>1264</v>
      </c>
      <c r="BU206" s="68">
        <v>1073</v>
      </c>
      <c r="BV206" s="68">
        <v>24</v>
      </c>
      <c r="BX206" s="68" t="s">
        <v>1268</v>
      </c>
      <c r="BY206" s="68" t="s">
        <v>863</v>
      </c>
      <c r="BZ206" s="68">
        <v>1</v>
      </c>
      <c r="CB206" s="68">
        <v>2.7</v>
      </c>
      <c r="CC206" s="68">
        <v>5.4</v>
      </c>
      <c r="CD206" s="68" t="s">
        <v>464</v>
      </c>
      <c r="CE206" s="68" t="s">
        <v>464</v>
      </c>
      <c r="CF206" s="68" t="s">
        <v>1266</v>
      </c>
      <c r="CG206" s="68">
        <v>450</v>
      </c>
      <c r="CH206" s="68">
        <v>300</v>
      </c>
      <c r="CI206" s="68" t="s">
        <v>1310</v>
      </c>
      <c r="CK206" s="70">
        <v>1.6</v>
      </c>
    </row>
    <row r="207" spans="1:89" x14ac:dyDescent="0.3">
      <c r="A207" t="s">
        <v>105</v>
      </c>
      <c r="C207" t="s">
        <v>4021</v>
      </c>
      <c r="D207" s="12"/>
      <c r="E207">
        <v>2.8</v>
      </c>
      <c r="F207" t="s">
        <v>111</v>
      </c>
      <c r="G207" s="8">
        <v>-1</v>
      </c>
      <c r="H207">
        <v>-1</v>
      </c>
      <c r="M207" t="b">
        <v>0</v>
      </c>
      <c r="N207" t="b">
        <v>0</v>
      </c>
      <c r="O207" t="b">
        <v>0</v>
      </c>
      <c r="P207" t="b">
        <v>1</v>
      </c>
      <c r="Q207">
        <v>-1</v>
      </c>
      <c r="R207">
        <v>-1</v>
      </c>
      <c r="U207" s="20">
        <v>0</v>
      </c>
      <c r="V207">
        <v>0</v>
      </c>
      <c r="W207" s="4">
        <v>2.5</v>
      </c>
      <c r="AC207" s="20">
        <v>0</v>
      </c>
      <c r="AD207" s="20"/>
      <c r="AE207" s="20"/>
      <c r="AF207">
        <v>0</v>
      </c>
      <c r="AI207">
        <v>12.495799999999999</v>
      </c>
      <c r="AJ207">
        <v>12.495799999999999</v>
      </c>
      <c r="AK207">
        <v>11.2464</v>
      </c>
      <c r="AM207">
        <v>54</v>
      </c>
      <c r="AN207" s="44">
        <f t="shared" si="9"/>
        <v>0</v>
      </c>
      <c r="AO207" s="46">
        <v>0</v>
      </c>
      <c r="AP207" s="44">
        <v>0</v>
      </c>
      <c r="AQ207" s="44">
        <v>1756.1</v>
      </c>
      <c r="AR207" s="41"/>
      <c r="AS207" s="40"/>
      <c r="AT207" s="41"/>
      <c r="AU207" s="56">
        <f>W207*AM207/AQ207</f>
        <v>7.6874893229314969E-2</v>
      </c>
      <c r="AV207" s="23">
        <v>2</v>
      </c>
      <c r="AW207" s="23">
        <v>3.4883720930232558</v>
      </c>
      <c r="AX207" s="23">
        <v>3.441860465116279</v>
      </c>
      <c r="AY207" s="23">
        <v>5.2093023255813957</v>
      </c>
      <c r="AZ207" s="23">
        <v>0.1414473684210526</v>
      </c>
      <c r="BA207" s="23">
        <v>0.24671052631578949</v>
      </c>
      <c r="BB207" s="23">
        <v>0.2434210526315789</v>
      </c>
      <c r="BC207" s="23">
        <v>0.36842105263157898</v>
      </c>
      <c r="BD207" s="20">
        <v>2.02</v>
      </c>
      <c r="BE207" s="20">
        <v>3.44</v>
      </c>
      <c r="BF207" s="20">
        <v>1.42</v>
      </c>
      <c r="BG207" s="20">
        <v>2.927441860465116</v>
      </c>
      <c r="BH207">
        <v>2.9274418604651169</v>
      </c>
      <c r="BI207">
        <v>6.2754443944186056</v>
      </c>
      <c r="BJ207" s="64"/>
      <c r="BK207" s="64"/>
      <c r="BL207" s="64">
        <v>0</v>
      </c>
      <c r="BP207">
        <v>3.8437446614657478E-2</v>
      </c>
      <c r="BQ207">
        <v>7.6874893229314969E-2</v>
      </c>
      <c r="BR207">
        <v>3.8437446614657478E-2</v>
      </c>
      <c r="BS207">
        <v>0</v>
      </c>
      <c r="BT207" s="68" t="s">
        <v>1264</v>
      </c>
      <c r="BU207" s="68">
        <v>1073</v>
      </c>
      <c r="BV207" s="68">
        <v>20</v>
      </c>
      <c r="BX207" s="68" t="s">
        <v>1268</v>
      </c>
      <c r="BY207" s="68" t="s">
        <v>863</v>
      </c>
      <c r="BZ207" s="68">
        <v>1</v>
      </c>
      <c r="CB207" s="68">
        <v>2.7</v>
      </c>
      <c r="CC207" s="68">
        <v>5.4</v>
      </c>
      <c r="CD207" s="68" t="s">
        <v>464</v>
      </c>
      <c r="CE207" s="68" t="s">
        <v>464</v>
      </c>
      <c r="CF207" s="68" t="s">
        <v>1266</v>
      </c>
      <c r="CG207" s="68">
        <v>450</v>
      </c>
      <c r="CH207" s="68">
        <v>300</v>
      </c>
      <c r="CI207" s="68" t="s">
        <v>1310</v>
      </c>
      <c r="CK207" s="70">
        <v>0</v>
      </c>
    </row>
    <row r="208" spans="1:89" x14ac:dyDescent="0.3">
      <c r="A208" t="s">
        <v>106</v>
      </c>
      <c r="B208" t="s">
        <v>46</v>
      </c>
      <c r="C208" t="s">
        <v>4022</v>
      </c>
      <c r="D208" s="12"/>
      <c r="E208">
        <v>2.9</v>
      </c>
      <c r="F208" t="s">
        <v>111</v>
      </c>
      <c r="G208" s="8" t="s">
        <v>567</v>
      </c>
      <c r="H208" t="s">
        <v>645</v>
      </c>
      <c r="M208" t="b">
        <v>1</v>
      </c>
      <c r="N208" t="b">
        <v>1</v>
      </c>
      <c r="O208" t="b">
        <v>0</v>
      </c>
      <c r="P208" t="b">
        <v>0</v>
      </c>
      <c r="Q208" t="s">
        <v>567</v>
      </c>
      <c r="R208" t="s">
        <v>645</v>
      </c>
      <c r="U208" s="20">
        <v>2</v>
      </c>
      <c r="V208">
        <v>1</v>
      </c>
      <c r="W208">
        <v>0</v>
      </c>
      <c r="AC208" s="20">
        <v>7.3631707899999999</v>
      </c>
      <c r="AD208" s="20">
        <v>7.363170789999999</v>
      </c>
      <c r="AE208" s="20">
        <v>7.3631707899999999</v>
      </c>
      <c r="AF208">
        <v>10.359069999999999</v>
      </c>
      <c r="AG208">
        <v>10.359069999999999</v>
      </c>
      <c r="AH208">
        <v>10.359069999999999</v>
      </c>
      <c r="AI208">
        <v>0</v>
      </c>
      <c r="AM208">
        <v>14</v>
      </c>
      <c r="AN208" s="44">
        <f t="shared" si="9"/>
        <v>0</v>
      </c>
      <c r="AO208" s="46">
        <v>282.27968527629582</v>
      </c>
      <c r="AP208" s="44">
        <v>1111.635233296287</v>
      </c>
      <c r="AQ208" s="44">
        <v>0</v>
      </c>
      <c r="AR208" s="41"/>
      <c r="AS208" s="40">
        <v>9.9192401934958777E-2</v>
      </c>
      <c r="AT208" s="41">
        <v>1.2594059256727909E-2</v>
      </c>
      <c r="AU208" s="41"/>
      <c r="AV208" s="23">
        <v>2</v>
      </c>
      <c r="AW208" s="23">
        <v>3.0909090909090908</v>
      </c>
      <c r="AX208" s="23">
        <v>2.1818181818181821</v>
      </c>
      <c r="AY208" s="23">
        <v>2.545454545454545</v>
      </c>
      <c r="AZ208" s="23">
        <v>0.20370370370370369</v>
      </c>
      <c r="BA208" s="23">
        <v>0.31481481481481483</v>
      </c>
      <c r="BB208" s="23">
        <v>0.22222222222222221</v>
      </c>
      <c r="BC208" s="23">
        <v>0.25925925925925919</v>
      </c>
      <c r="BD208" s="20">
        <v>1.54</v>
      </c>
      <c r="BE208" s="20">
        <v>3.44</v>
      </c>
      <c r="BF208" s="20">
        <v>1.9</v>
      </c>
      <c r="BG208" s="20">
        <v>2.836363636363636</v>
      </c>
      <c r="BH208">
        <v>2.836363636363636</v>
      </c>
      <c r="BI208">
        <v>6.1735094709090914</v>
      </c>
      <c r="BJ208" s="64">
        <v>0.53518414174009155</v>
      </c>
      <c r="BK208" s="64"/>
      <c r="BL208" s="64"/>
      <c r="BN208">
        <v>4.9596200967479388E-2</v>
      </c>
      <c r="BO208">
        <v>6.2970296283639581E-3</v>
      </c>
      <c r="BQ208">
        <v>5.5893230595843342E-2</v>
      </c>
      <c r="BR208">
        <v>2.7946615297921671E-2</v>
      </c>
      <c r="BS208">
        <v>0.53518414174009155</v>
      </c>
      <c r="BT208" s="68" t="s">
        <v>1264</v>
      </c>
      <c r="BU208" s="68">
        <v>1473</v>
      </c>
      <c r="BV208" s="68">
        <v>10</v>
      </c>
      <c r="BX208" s="68" t="s">
        <v>1268</v>
      </c>
      <c r="BY208" s="68" t="s">
        <v>863</v>
      </c>
      <c r="BZ208" s="68">
        <v>1</v>
      </c>
      <c r="CB208" s="68">
        <v>2.7</v>
      </c>
      <c r="CC208" s="68">
        <v>5.4</v>
      </c>
      <c r="CD208" s="68" t="s">
        <v>464</v>
      </c>
      <c r="CE208" s="68" t="s">
        <v>464</v>
      </c>
      <c r="CF208" s="68" t="s">
        <v>1266</v>
      </c>
      <c r="CG208" s="68">
        <v>450</v>
      </c>
      <c r="CH208" s="68">
        <v>300</v>
      </c>
      <c r="CI208" s="68" t="s">
        <v>1310</v>
      </c>
      <c r="CK208" s="70">
        <v>0</v>
      </c>
    </row>
    <row r="209" spans="1:89" x14ac:dyDescent="0.3">
      <c r="A209" t="s">
        <v>107</v>
      </c>
      <c r="C209" t="s">
        <v>4023</v>
      </c>
      <c r="D209" s="12"/>
      <c r="E209">
        <v>3.1</v>
      </c>
      <c r="F209" t="s">
        <v>111</v>
      </c>
      <c r="G209" s="8" t="s">
        <v>555</v>
      </c>
      <c r="H209" t="s">
        <v>632</v>
      </c>
      <c r="M209" t="b">
        <v>1</v>
      </c>
      <c r="N209" t="b">
        <v>1</v>
      </c>
      <c r="O209" t="b">
        <v>0</v>
      </c>
      <c r="P209" t="b">
        <v>0</v>
      </c>
      <c r="Q209" t="s">
        <v>555</v>
      </c>
      <c r="R209" t="s">
        <v>632</v>
      </c>
      <c r="U209" s="20">
        <v>1</v>
      </c>
      <c r="V209">
        <v>4</v>
      </c>
      <c r="W209">
        <v>0</v>
      </c>
      <c r="AC209" s="20">
        <v>3.86469438</v>
      </c>
      <c r="AD209" s="20">
        <v>3.86469438</v>
      </c>
      <c r="AE209" s="20">
        <v>16.978874730000001</v>
      </c>
      <c r="AF209">
        <v>32.83</v>
      </c>
      <c r="AG209">
        <v>5.4109999999999996</v>
      </c>
      <c r="AH209">
        <v>5.4480000000000004</v>
      </c>
      <c r="AI209">
        <v>0</v>
      </c>
      <c r="AM209">
        <v>24</v>
      </c>
      <c r="AN209" s="44">
        <f t="shared" si="9"/>
        <v>0</v>
      </c>
      <c r="AO209" s="46">
        <v>251.01098912285789</v>
      </c>
      <c r="AP209" s="44">
        <v>967.79977224000004</v>
      </c>
      <c r="AQ209" s="44">
        <v>0</v>
      </c>
      <c r="AR209" s="41"/>
      <c r="AS209" s="40">
        <v>9.5613343797681868E-2</v>
      </c>
      <c r="AT209" s="41">
        <v>9.919407170122109E-2</v>
      </c>
      <c r="AU209" s="41"/>
      <c r="AV209" s="23">
        <v>2</v>
      </c>
      <c r="AW209" s="23">
        <v>3.1578947368421049</v>
      </c>
      <c r="AX209" s="23">
        <v>2.4210526315789469</v>
      </c>
      <c r="AY209" s="23">
        <v>2.947368421052631</v>
      </c>
      <c r="AZ209" s="23">
        <v>0.19</v>
      </c>
      <c r="BA209" s="23">
        <v>0.3</v>
      </c>
      <c r="BB209" s="23">
        <v>0.23</v>
      </c>
      <c r="BC209" s="23">
        <v>0.28000000000000003</v>
      </c>
      <c r="BD209" s="20">
        <v>1.54</v>
      </c>
      <c r="BE209" s="20">
        <v>3.44</v>
      </c>
      <c r="BF209" s="20">
        <v>1.9</v>
      </c>
      <c r="BG209" s="20">
        <v>2.8410526315789468</v>
      </c>
      <c r="BH209">
        <v>2.8410526315789468</v>
      </c>
      <c r="BI209">
        <v>6.1729587136842099</v>
      </c>
      <c r="BJ209" s="64">
        <v>0.52818907539878324</v>
      </c>
      <c r="BK209" s="64">
        <v>0.54796980145127927</v>
      </c>
      <c r="BL209" s="64"/>
      <c r="BN209">
        <v>4.7806671898840941E-2</v>
      </c>
      <c r="BO209">
        <v>4.9597035850610538E-2</v>
      </c>
      <c r="BQ209">
        <v>9.7403707749451479E-2</v>
      </c>
      <c r="BR209">
        <v>4.870185387472574E-2</v>
      </c>
      <c r="BS209">
        <v>0.53807943842503125</v>
      </c>
      <c r="BT209" s="68" t="s">
        <v>1264</v>
      </c>
      <c r="BU209" s="68">
        <v>1373</v>
      </c>
      <c r="BV209" s="68">
        <v>10</v>
      </c>
      <c r="BX209" s="68" t="s">
        <v>1268</v>
      </c>
      <c r="BY209" s="68" t="s">
        <v>863</v>
      </c>
      <c r="BZ209" s="68">
        <v>1</v>
      </c>
      <c r="CB209" s="68">
        <v>2.7</v>
      </c>
      <c r="CC209" s="68">
        <v>5.4</v>
      </c>
      <c r="CD209" s="68" t="s">
        <v>464</v>
      </c>
      <c r="CE209" s="68" t="s">
        <v>464</v>
      </c>
      <c r="CF209" s="68" t="s">
        <v>1266</v>
      </c>
      <c r="CG209" s="68">
        <v>450</v>
      </c>
      <c r="CH209" s="68">
        <v>300</v>
      </c>
      <c r="CI209" s="68" t="s">
        <v>1310</v>
      </c>
      <c r="CK209" s="70">
        <v>0.6</v>
      </c>
    </row>
    <row r="210" spans="1:89" x14ac:dyDescent="0.3">
      <c r="A210" t="s">
        <v>108</v>
      </c>
      <c r="C210" t="s">
        <v>4024</v>
      </c>
      <c r="D210" s="12"/>
      <c r="E210">
        <v>3.1</v>
      </c>
      <c r="F210" t="s">
        <v>111</v>
      </c>
      <c r="G210" s="8" t="s">
        <v>568</v>
      </c>
      <c r="H210" t="s">
        <v>646</v>
      </c>
      <c r="M210" t="b">
        <v>1</v>
      </c>
      <c r="N210" t="b">
        <v>1</v>
      </c>
      <c r="O210" t="b">
        <v>0</v>
      </c>
      <c r="P210" t="b">
        <v>0</v>
      </c>
      <c r="Q210" t="s">
        <v>568</v>
      </c>
      <c r="R210" t="s">
        <v>646</v>
      </c>
      <c r="U210" s="20">
        <v>1</v>
      </c>
      <c r="V210">
        <v>4</v>
      </c>
      <c r="W210">
        <v>0</v>
      </c>
      <c r="AC210" s="20">
        <v>12.951407789999999</v>
      </c>
      <c r="AD210" s="20">
        <v>12.951407789999999</v>
      </c>
      <c r="AE210" s="20">
        <v>12.951407789999999</v>
      </c>
      <c r="AF210">
        <v>5.431</v>
      </c>
      <c r="AG210">
        <v>5.3890000000000002</v>
      </c>
      <c r="AH210">
        <v>25.049990000000001</v>
      </c>
      <c r="AI210">
        <v>0</v>
      </c>
      <c r="AM210">
        <v>18</v>
      </c>
      <c r="AN210" s="44">
        <f t="shared" si="9"/>
        <v>0</v>
      </c>
      <c r="AO210" s="46">
        <v>189.23096942123021</v>
      </c>
      <c r="AP210" s="44">
        <v>733.15456527341007</v>
      </c>
      <c r="AQ210" s="44">
        <v>0</v>
      </c>
      <c r="AR210" s="41"/>
      <c r="AS210" s="40">
        <v>9.5121850588482687E-2</v>
      </c>
      <c r="AT210" s="41">
        <v>9.820575825392229E-2</v>
      </c>
      <c r="AU210" s="41"/>
      <c r="AV210" s="23">
        <v>1.928571428571429</v>
      </c>
      <c r="AW210" s="23">
        <v>3.214285714285714</v>
      </c>
      <c r="AX210" s="23">
        <v>2.5714285714285721</v>
      </c>
      <c r="AY210" s="23">
        <v>3</v>
      </c>
      <c r="AZ210" s="23">
        <v>0.18</v>
      </c>
      <c r="BA210" s="23">
        <v>0.3</v>
      </c>
      <c r="BB210" s="23">
        <v>0.24</v>
      </c>
      <c r="BC210" s="23">
        <v>0.28000000000000003</v>
      </c>
      <c r="BD210" s="20">
        <v>1.54</v>
      </c>
      <c r="BE210" s="20">
        <v>3.44</v>
      </c>
      <c r="BF210" s="20">
        <v>1.9</v>
      </c>
      <c r="BG210" s="20">
        <v>2.8685714285714292</v>
      </c>
      <c r="BH210">
        <v>2.8685714285714292</v>
      </c>
      <c r="BI210">
        <v>6.249142824642858</v>
      </c>
      <c r="BJ210" s="64">
        <v>0.5245372795477049</v>
      </c>
      <c r="BK210" s="64">
        <v>0</v>
      </c>
      <c r="BL210" s="64"/>
      <c r="BN210">
        <v>4.756092529424135E-2</v>
      </c>
      <c r="BO210">
        <v>4.9102879126961152E-2</v>
      </c>
      <c r="BQ210">
        <v>9.6663804421202482E-2</v>
      </c>
      <c r="BR210">
        <v>4.8331902210601248E-2</v>
      </c>
      <c r="BS210">
        <v>0.26226863977385251</v>
      </c>
      <c r="BT210" s="68" t="s">
        <v>1264</v>
      </c>
      <c r="BU210" s="68">
        <v>1373</v>
      </c>
      <c r="BV210" s="68">
        <v>10</v>
      </c>
      <c r="BX210" s="68" t="s">
        <v>1268</v>
      </c>
      <c r="BY210" s="68" t="s">
        <v>863</v>
      </c>
      <c r="BZ210" s="68">
        <v>1</v>
      </c>
      <c r="CB210" s="68">
        <v>2.7</v>
      </c>
      <c r="CC210" s="68">
        <v>5.4</v>
      </c>
      <c r="CD210" s="68" t="s">
        <v>464</v>
      </c>
      <c r="CE210" s="68" t="s">
        <v>464</v>
      </c>
      <c r="CF210" s="68" t="s">
        <v>1266</v>
      </c>
      <c r="CG210" s="68">
        <v>450</v>
      </c>
      <c r="CH210" s="68">
        <v>300</v>
      </c>
      <c r="CI210" s="68" t="s">
        <v>1310</v>
      </c>
      <c r="CK210" s="70">
        <v>33</v>
      </c>
    </row>
    <row r="211" spans="1:89" x14ac:dyDescent="0.3">
      <c r="A211" t="s">
        <v>109</v>
      </c>
      <c r="C211" t="s">
        <v>4025</v>
      </c>
      <c r="D211" s="12"/>
      <c r="E211">
        <v>3</v>
      </c>
      <c r="F211" t="s">
        <v>111</v>
      </c>
      <c r="G211" s="8" t="s">
        <v>569</v>
      </c>
      <c r="H211" t="s">
        <v>647</v>
      </c>
      <c r="M211" t="b">
        <v>1</v>
      </c>
      <c r="N211" t="b">
        <v>1</v>
      </c>
      <c r="O211" t="b">
        <v>0</v>
      </c>
      <c r="P211" t="b">
        <v>0</v>
      </c>
      <c r="Q211" t="s">
        <v>569</v>
      </c>
      <c r="R211" t="s">
        <v>647</v>
      </c>
      <c r="U211" s="20">
        <v>16</v>
      </c>
      <c r="V211">
        <v>16</v>
      </c>
      <c r="W211">
        <v>0</v>
      </c>
      <c r="AC211" s="20">
        <v>22.855297</v>
      </c>
      <c r="AD211" s="20">
        <v>5.6559619999999997</v>
      </c>
      <c r="AE211" s="20">
        <v>17.48922452</v>
      </c>
      <c r="AF211">
        <v>17.24399</v>
      </c>
      <c r="AG211">
        <v>22.428989999999999</v>
      </c>
      <c r="AH211">
        <v>5.5860000000000003</v>
      </c>
      <c r="AI211">
        <v>0</v>
      </c>
      <c r="AM211">
        <v>12</v>
      </c>
      <c r="AN211" s="44">
        <f t="shared" si="9"/>
        <v>0</v>
      </c>
      <c r="AO211" s="46">
        <v>2260.7115007974689</v>
      </c>
      <c r="AP211" s="44">
        <v>2160.393128160722</v>
      </c>
      <c r="AQ211" s="44">
        <v>0</v>
      </c>
      <c r="AR211" s="41"/>
      <c r="AS211" s="40">
        <v>8.4929014574514128E-2</v>
      </c>
      <c r="AT211" s="41">
        <v>8.8872713719220939E-2</v>
      </c>
      <c r="AU211" s="41"/>
      <c r="AV211" s="23">
        <v>1.8888888888888891</v>
      </c>
      <c r="AW211" s="23">
        <v>3.333333333333333</v>
      </c>
      <c r="AX211" s="23">
        <v>2.7777777777777781</v>
      </c>
      <c r="AY211" s="23">
        <v>3.1111111111111112</v>
      </c>
      <c r="AZ211" s="23">
        <v>0.17</v>
      </c>
      <c r="BA211" s="23">
        <v>0.3</v>
      </c>
      <c r="BB211" s="23">
        <v>0.25</v>
      </c>
      <c r="BC211" s="23">
        <v>0.28000000000000003</v>
      </c>
      <c r="BD211" s="20">
        <v>2.02</v>
      </c>
      <c r="BE211" s="20">
        <v>3.44</v>
      </c>
      <c r="BF211" s="20">
        <v>1.42</v>
      </c>
      <c r="BG211" s="20">
        <v>2.9822222222222221</v>
      </c>
      <c r="BH211">
        <v>2.9822222222222221</v>
      </c>
      <c r="BI211">
        <v>6.3761376700000003</v>
      </c>
      <c r="BJ211" s="64">
        <v>0.46231169000880379</v>
      </c>
      <c r="BK211" s="64">
        <v>0.48377924412573098</v>
      </c>
      <c r="BL211" s="64"/>
      <c r="BN211">
        <v>4.2464507287257078E-2</v>
      </c>
      <c r="BO211">
        <v>4.4436356859610462E-2</v>
      </c>
      <c r="BQ211">
        <v>8.690086414686754E-2</v>
      </c>
      <c r="BR211">
        <v>4.345043207343377E-2</v>
      </c>
      <c r="BS211">
        <v>0.47304546706726741</v>
      </c>
      <c r="BT211" s="68" t="s">
        <v>1290</v>
      </c>
      <c r="BX211" s="68" t="s">
        <v>1268</v>
      </c>
      <c r="BY211" s="68" t="s">
        <v>863</v>
      </c>
      <c r="BZ211" s="68">
        <v>1</v>
      </c>
      <c r="CB211" s="68">
        <v>2.7</v>
      </c>
      <c r="CC211" s="68">
        <v>5.4</v>
      </c>
      <c r="CD211" s="68" t="s">
        <v>464</v>
      </c>
      <c r="CE211" s="68" t="s">
        <v>464</v>
      </c>
      <c r="CF211" s="68" t="s">
        <v>1266</v>
      </c>
      <c r="CG211" s="68">
        <v>450</v>
      </c>
      <c r="CH211" s="68">
        <v>300</v>
      </c>
      <c r="CI211" s="68" t="s">
        <v>1310</v>
      </c>
      <c r="CK211" s="70">
        <v>0.01</v>
      </c>
    </row>
    <row r="212" spans="1:89" x14ac:dyDescent="0.3">
      <c r="A212" t="s">
        <v>110</v>
      </c>
      <c r="C212" t="s">
        <v>4026</v>
      </c>
      <c r="D212" s="12"/>
      <c r="E212">
        <v>3.3</v>
      </c>
      <c r="F212" t="s">
        <v>111</v>
      </c>
      <c r="G212" s="8" t="s">
        <v>570</v>
      </c>
      <c r="H212" t="s">
        <v>648</v>
      </c>
      <c r="M212" t="b">
        <v>1</v>
      </c>
      <c r="N212" t="b">
        <v>1</v>
      </c>
      <c r="O212" t="b">
        <v>0</v>
      </c>
      <c r="P212" t="b">
        <v>0</v>
      </c>
      <c r="Q212" t="s">
        <v>570</v>
      </c>
      <c r="R212" t="s">
        <v>648</v>
      </c>
      <c r="U212" s="20">
        <v>1</v>
      </c>
      <c r="V212">
        <v>1</v>
      </c>
      <c r="W212">
        <v>0</v>
      </c>
      <c r="AC212" s="20">
        <v>20.551678089999999</v>
      </c>
      <c r="AD212" s="20">
        <v>20.551678089999999</v>
      </c>
      <c r="AE212" s="20">
        <v>20.551678089999999</v>
      </c>
      <c r="AF212">
        <v>41.856999999999999</v>
      </c>
      <c r="AG212">
        <v>5.4550999999999998</v>
      </c>
      <c r="AH212">
        <v>5.468</v>
      </c>
      <c r="AI212">
        <v>0</v>
      </c>
      <c r="AM212">
        <v>30</v>
      </c>
      <c r="AN212" s="44">
        <f t="shared" ref="AN212:AN295" si="34">X212*Y212*Z212</f>
        <v>0</v>
      </c>
      <c r="AO212" s="46">
        <v>309.59189648929049</v>
      </c>
      <c r="AP212" s="44">
        <v>1248.5309719876</v>
      </c>
      <c r="AQ212" s="44">
        <v>0</v>
      </c>
      <c r="AR212" s="41"/>
      <c r="AS212" s="40">
        <v>9.6901761125513727E-2</v>
      </c>
      <c r="AT212" s="41">
        <v>2.4028238524384762E-2</v>
      </c>
      <c r="AU212" s="41"/>
      <c r="AV212" s="23">
        <v>2</v>
      </c>
      <c r="AW212" s="23">
        <v>3</v>
      </c>
      <c r="AX212" s="23">
        <v>2</v>
      </c>
      <c r="AY212" s="23">
        <v>2.333333333333333</v>
      </c>
      <c r="AZ212" s="23">
        <v>0.2142857142857143</v>
      </c>
      <c r="BA212" s="23">
        <v>0.3214285714285714</v>
      </c>
      <c r="BB212" s="23">
        <v>0.2142857142857143</v>
      </c>
      <c r="BC212" s="23">
        <v>0.25</v>
      </c>
      <c r="BD212" s="20">
        <v>0.89</v>
      </c>
      <c r="BE212" s="20">
        <v>3.44</v>
      </c>
      <c r="BF212" s="20">
        <v>2.5499999999999998</v>
      </c>
      <c r="BG212" s="20">
        <v>2.780416666666667</v>
      </c>
      <c r="BH212">
        <v>2.780416666666667</v>
      </c>
      <c r="BI212">
        <v>6.0847889087500002</v>
      </c>
      <c r="BJ212" s="64">
        <v>0.55979201272496915</v>
      </c>
      <c r="BK212" s="64"/>
      <c r="BL212" s="64"/>
      <c r="BN212">
        <v>4.8450880562756857E-2</v>
      </c>
      <c r="BO212">
        <v>1.2014119262192381E-2</v>
      </c>
      <c r="BQ212">
        <v>6.0464999824949253E-2</v>
      </c>
      <c r="BR212">
        <v>3.023249991247462E-2</v>
      </c>
      <c r="BS212">
        <v>0.55979201272496915</v>
      </c>
      <c r="BT212" s="68" t="s">
        <v>1264</v>
      </c>
      <c r="BU212" s="68">
        <v>1323</v>
      </c>
      <c r="BV212" s="68">
        <v>10</v>
      </c>
      <c r="BX212" s="68" t="s">
        <v>1268</v>
      </c>
      <c r="BY212" s="68" t="s">
        <v>863</v>
      </c>
      <c r="BZ212" s="68">
        <v>1</v>
      </c>
      <c r="CB212" s="68">
        <v>2.7</v>
      </c>
      <c r="CC212" s="68">
        <v>5.4</v>
      </c>
      <c r="CD212" s="68" t="s">
        <v>464</v>
      </c>
      <c r="CE212" s="68" t="s">
        <v>464</v>
      </c>
      <c r="CF212" s="68" t="s">
        <v>1266</v>
      </c>
      <c r="CG212" s="68">
        <v>450</v>
      </c>
      <c r="CH212" s="68">
        <v>300</v>
      </c>
      <c r="CI212" s="68" t="s">
        <v>1310</v>
      </c>
      <c r="CK212" s="70">
        <v>8.1999999999999993</v>
      </c>
    </row>
    <row r="213" spans="1:89" x14ac:dyDescent="0.3">
      <c r="A213" t="s">
        <v>25</v>
      </c>
      <c r="C213" t="s">
        <v>3949</v>
      </c>
      <c r="D213" s="12"/>
      <c r="E213">
        <v>2.88</v>
      </c>
      <c r="F213" t="s">
        <v>115</v>
      </c>
      <c r="G213" s="8" t="s">
        <v>541</v>
      </c>
      <c r="H213" t="s">
        <v>621</v>
      </c>
      <c r="M213" t="b">
        <v>1</v>
      </c>
      <c r="N213" t="b">
        <v>1</v>
      </c>
      <c r="O213" t="b">
        <v>0</v>
      </c>
      <c r="P213" t="b">
        <v>0</v>
      </c>
      <c r="Q213" t="s">
        <v>541</v>
      </c>
      <c r="R213" t="s">
        <v>621</v>
      </c>
      <c r="T213">
        <v>4</v>
      </c>
      <c r="U213" s="20">
        <v>1</v>
      </c>
      <c r="V213">
        <v>4</v>
      </c>
      <c r="W213">
        <v>0</v>
      </c>
      <c r="X213">
        <v>5.4960000000000004</v>
      </c>
      <c r="Y213">
        <v>5.4960000000000004</v>
      </c>
      <c r="Z213">
        <v>25.55</v>
      </c>
      <c r="AA213" t="s">
        <v>450</v>
      </c>
      <c r="AB213">
        <v>12.775</v>
      </c>
      <c r="AC213" s="20">
        <v>12.868820120000001</v>
      </c>
      <c r="AD213" s="20">
        <v>12.868820120000001</v>
      </c>
      <c r="AE213" s="20">
        <v>12.868820120000001</v>
      </c>
      <c r="AF213">
        <v>5.5453000000000001</v>
      </c>
      <c r="AG213">
        <v>5.5453000000000001</v>
      </c>
      <c r="AH213">
        <v>25.686699999999998</v>
      </c>
      <c r="AI213">
        <v>0</v>
      </c>
      <c r="AM213">
        <v>18</v>
      </c>
      <c r="AN213" s="44">
        <f t="shared" si="34"/>
        <v>771.76370880000013</v>
      </c>
      <c r="AO213" s="46">
        <v>197.4403766939285</v>
      </c>
      <c r="AP213" s="44">
        <v>789.87506903020289</v>
      </c>
      <c r="AQ213" s="44">
        <v>0</v>
      </c>
      <c r="AR213" s="41"/>
      <c r="AS213" s="40">
        <v>9.1166762854710051E-2</v>
      </c>
      <c r="AT213" s="41">
        <v>9.1153655588092616E-2</v>
      </c>
      <c r="AU213" s="41"/>
      <c r="AV213" s="23">
        <v>1.857142857142857</v>
      </c>
      <c r="AW213" s="23">
        <v>3.1428571428571428</v>
      </c>
      <c r="AX213" s="23">
        <v>2.714285714285714</v>
      </c>
      <c r="AY213" s="23">
        <v>3</v>
      </c>
      <c r="AZ213" s="23">
        <v>0.17333333333333331</v>
      </c>
      <c r="BA213" s="23">
        <v>0.29333333333333328</v>
      </c>
      <c r="BB213" s="23">
        <v>0.25333333333333341</v>
      </c>
      <c r="BC213" s="23">
        <v>0.28000000000000003</v>
      </c>
      <c r="BD213" s="20">
        <v>1.6</v>
      </c>
      <c r="BE213" s="20">
        <v>3.44</v>
      </c>
      <c r="BF213" s="20">
        <v>1.84</v>
      </c>
      <c r="BG213" s="20">
        <v>2.895</v>
      </c>
      <c r="BH213">
        <v>2.895</v>
      </c>
      <c r="BI213">
        <v>6.260504073571429</v>
      </c>
      <c r="BJ213" s="64">
        <v>0.51995616258071919</v>
      </c>
      <c r="BK213" s="64">
        <v>0.51988140722208986</v>
      </c>
      <c r="BL213" s="64"/>
      <c r="BN213">
        <v>4.5583381427355033E-2</v>
      </c>
      <c r="BO213">
        <v>4.5576827794046308E-2</v>
      </c>
      <c r="BQ213">
        <v>9.1160209221401334E-2</v>
      </c>
      <c r="BR213">
        <v>4.5580104610700667E-2</v>
      </c>
      <c r="BS213">
        <v>0.51991878490140453</v>
      </c>
      <c r="BT213" s="68" t="s">
        <v>1264</v>
      </c>
      <c r="BU213" s="68">
        <v>1473</v>
      </c>
      <c r="BV213" s="68">
        <v>24</v>
      </c>
      <c r="BX213" s="68" t="s">
        <v>1268</v>
      </c>
      <c r="BY213" s="68" t="s">
        <v>863</v>
      </c>
      <c r="BZ213" s="68">
        <v>1</v>
      </c>
      <c r="CB213" s="68">
        <v>5</v>
      </c>
      <c r="CC213" s="68">
        <v>15</v>
      </c>
      <c r="CD213" s="68" t="s">
        <v>464</v>
      </c>
      <c r="CE213" s="68" t="s">
        <v>464</v>
      </c>
      <c r="CF213" s="68" t="s">
        <v>1314</v>
      </c>
      <c r="CG213" s="68">
        <v>450</v>
      </c>
      <c r="CH213" s="68">
        <v>420</v>
      </c>
      <c r="CI213" s="68" t="s">
        <v>1310</v>
      </c>
      <c r="CK213" s="70">
        <v>7.6</v>
      </c>
    </row>
    <row r="214" spans="1:89" x14ac:dyDescent="0.3">
      <c r="A214" t="s">
        <v>8</v>
      </c>
      <c r="B214" t="s">
        <v>2777</v>
      </c>
      <c r="C214" t="s">
        <v>3926</v>
      </c>
      <c r="D214" s="12"/>
      <c r="E214">
        <v>2.73</v>
      </c>
      <c r="F214" t="s">
        <v>115</v>
      </c>
      <c r="G214" s="8" t="s">
        <v>530</v>
      </c>
      <c r="H214" t="s">
        <v>612</v>
      </c>
      <c r="M214" t="b">
        <v>1</v>
      </c>
      <c r="N214" t="b">
        <v>1</v>
      </c>
      <c r="O214" t="b">
        <v>0</v>
      </c>
      <c r="P214" t="b">
        <v>0</v>
      </c>
      <c r="Q214" t="s">
        <v>530</v>
      </c>
      <c r="R214" t="s">
        <v>612</v>
      </c>
      <c r="U214" s="20">
        <v>30</v>
      </c>
      <c r="V214">
        <v>4</v>
      </c>
      <c r="W214">
        <v>0</v>
      </c>
      <c r="AB214">
        <v>0</v>
      </c>
      <c r="AC214" s="20">
        <v>10.59112378</v>
      </c>
      <c r="AD214" s="20">
        <v>10.784736629999999</v>
      </c>
      <c r="AE214" s="20">
        <v>10.486176179999999</v>
      </c>
      <c r="AF214">
        <v>3.73</v>
      </c>
      <c r="AG214">
        <v>3.73</v>
      </c>
      <c r="AH214">
        <v>9.3699999999999992</v>
      </c>
      <c r="AI214">
        <v>0</v>
      </c>
      <c r="AM214">
        <v>4</v>
      </c>
      <c r="AN214" s="44">
        <f t="shared" si="34"/>
        <v>0</v>
      </c>
      <c r="AO214" s="46">
        <v>1182.741260108548</v>
      </c>
      <c r="AP214" s="44">
        <v>130.36387300000001</v>
      </c>
      <c r="AQ214" s="44">
        <v>0</v>
      </c>
      <c r="AR214" s="41"/>
      <c r="AS214" s="40">
        <v>0.1014592151701775</v>
      </c>
      <c r="AT214" s="41">
        <v>0.1227333894874388</v>
      </c>
      <c r="AU214" s="41"/>
      <c r="AV214" s="23">
        <v>2</v>
      </c>
      <c r="AW214" s="23">
        <v>2.666666666666667</v>
      </c>
      <c r="AX214" s="23">
        <v>0.66666666666666663</v>
      </c>
      <c r="AY214" s="23">
        <v>0</v>
      </c>
      <c r="AZ214" s="23">
        <v>0.375</v>
      </c>
      <c r="BA214" s="23">
        <v>0.5</v>
      </c>
      <c r="BB214" s="23">
        <v>0.125</v>
      </c>
      <c r="BC214" s="23">
        <v>0</v>
      </c>
      <c r="BD214" s="20">
        <v>1.54</v>
      </c>
      <c r="BE214" s="20">
        <v>3.44</v>
      </c>
      <c r="BF214" s="20">
        <v>1.9</v>
      </c>
      <c r="BG214" s="20">
        <v>2.8066666666666671</v>
      </c>
      <c r="BH214">
        <v>2.8066666666666662</v>
      </c>
      <c r="BI214">
        <v>6.1769976</v>
      </c>
      <c r="BJ214" s="64">
        <v>0.46900407026869628</v>
      </c>
      <c r="BK214" s="64">
        <v>0.56734579634715776</v>
      </c>
      <c r="BL214" s="64"/>
      <c r="BN214">
        <v>5.072960758508873E-2</v>
      </c>
      <c r="BO214">
        <v>6.136669474371937E-2</v>
      </c>
      <c r="BQ214">
        <v>0.1120963023288082</v>
      </c>
      <c r="BR214">
        <v>5.604815116440405E-2</v>
      </c>
      <c r="BS214">
        <v>0.51817493330792708</v>
      </c>
      <c r="BT214" s="68" t="s">
        <v>1290</v>
      </c>
      <c r="BW214" s="68" t="s">
        <v>1307</v>
      </c>
      <c r="BX214" s="68" t="s">
        <v>1268</v>
      </c>
      <c r="BY214" s="68" t="s">
        <v>863</v>
      </c>
      <c r="BZ214" s="68">
        <v>1</v>
      </c>
      <c r="CB214" s="68">
        <v>5</v>
      </c>
      <c r="CC214" s="68">
        <v>15</v>
      </c>
      <c r="CD214" s="68" t="s">
        <v>464</v>
      </c>
      <c r="CE214" s="68" t="s">
        <v>464</v>
      </c>
      <c r="CF214" s="68" t="s">
        <v>1314</v>
      </c>
      <c r="CG214" s="68">
        <v>450</v>
      </c>
      <c r="CH214" s="68">
        <v>420</v>
      </c>
      <c r="CI214" s="68" t="s">
        <v>1310</v>
      </c>
      <c r="CK214" s="70">
        <v>0</v>
      </c>
    </row>
    <row r="215" spans="1:89" x14ac:dyDescent="0.3">
      <c r="A215" t="s">
        <v>118</v>
      </c>
      <c r="C215" t="s">
        <v>4027</v>
      </c>
      <c r="D215" s="12"/>
      <c r="E215">
        <v>3.44</v>
      </c>
      <c r="F215" t="s">
        <v>122</v>
      </c>
      <c r="G215" s="8">
        <v>-1</v>
      </c>
      <c r="H215">
        <v>-1</v>
      </c>
      <c r="I215" t="s">
        <v>1218</v>
      </c>
      <c r="M215" t="b">
        <v>0</v>
      </c>
      <c r="N215" t="b">
        <v>0</v>
      </c>
      <c r="O215" t="b">
        <v>1</v>
      </c>
      <c r="P215" t="b">
        <v>0</v>
      </c>
      <c r="Q215">
        <v>-1</v>
      </c>
      <c r="R215">
        <v>-1</v>
      </c>
      <c r="S215" t="s">
        <v>1218</v>
      </c>
      <c r="T215">
        <v>4</v>
      </c>
      <c r="U215" s="20">
        <v>0</v>
      </c>
      <c r="V215">
        <v>0</v>
      </c>
      <c r="W215">
        <v>4</v>
      </c>
      <c r="X215">
        <v>5.492</v>
      </c>
      <c r="Y215">
        <v>5.5650000000000004</v>
      </c>
      <c r="Z215">
        <v>24.88</v>
      </c>
      <c r="AA215" t="s">
        <v>1219</v>
      </c>
      <c r="AB215" s="1">
        <v>12.44</v>
      </c>
      <c r="AC215" s="20">
        <v>0</v>
      </c>
      <c r="AD215" s="20"/>
      <c r="AE215" s="20"/>
      <c r="AF215">
        <v>0</v>
      </c>
      <c r="AI215">
        <v>0</v>
      </c>
      <c r="AM215">
        <v>18</v>
      </c>
      <c r="AN215" s="44">
        <f t="shared" si="34"/>
        <v>760.40694240000005</v>
      </c>
      <c r="AO215" s="46">
        <v>0</v>
      </c>
      <c r="AP215" s="44">
        <v>0</v>
      </c>
      <c r="AQ215" s="44">
        <v>760.6</v>
      </c>
      <c r="AR215" s="41">
        <f>T215*AM215/AN215</f>
        <v>9.4686142360501407E-2</v>
      </c>
      <c r="AS215" s="40"/>
      <c r="AT215" s="41"/>
      <c r="AU215" s="56">
        <f>W215*AM215/AQ215</f>
        <v>9.466210886142519E-2</v>
      </c>
      <c r="AV215" s="23">
        <v>1.964285714285714</v>
      </c>
      <c r="AW215" s="23">
        <v>3</v>
      </c>
      <c r="AX215" s="23">
        <v>1.892857142857143</v>
      </c>
      <c r="AY215" s="23">
        <v>4</v>
      </c>
      <c r="AZ215" s="23">
        <v>0.1809210526315789</v>
      </c>
      <c r="BA215" s="23">
        <v>0.27631578947368418</v>
      </c>
      <c r="BB215" s="23">
        <v>0.17434210526315791</v>
      </c>
      <c r="BC215" s="23">
        <v>0.36842105263157893</v>
      </c>
      <c r="BD215" s="20">
        <v>0.82</v>
      </c>
      <c r="BE215" s="20">
        <v>3.44</v>
      </c>
      <c r="BF215" s="20">
        <v>2.62</v>
      </c>
      <c r="BG215" s="20">
        <v>2.7828571428571429</v>
      </c>
      <c r="BH215">
        <v>2.7828571428571429</v>
      </c>
      <c r="BI215">
        <v>6.1929237675000008</v>
      </c>
      <c r="BJ215" s="64"/>
      <c r="BK215" s="64"/>
      <c r="BL215" s="64">
        <v>0</v>
      </c>
      <c r="BM215">
        <v>4.7343071180250697E-2</v>
      </c>
      <c r="BP215">
        <v>4.7331054430712588E-2</v>
      </c>
      <c r="BQ215">
        <v>9.4674125610963306E-2</v>
      </c>
      <c r="BR215">
        <v>4.7337062805481639E-2</v>
      </c>
      <c r="BS215">
        <v>0</v>
      </c>
      <c r="BT215" s="68" t="s">
        <v>1305</v>
      </c>
      <c r="BU215" s="68">
        <v>1173</v>
      </c>
      <c r="BV215" s="68">
        <v>6</v>
      </c>
      <c r="BX215" s="68" t="s">
        <v>464</v>
      </c>
      <c r="BY215" s="68" t="s">
        <v>464</v>
      </c>
      <c r="BZ215" s="68">
        <v>0</v>
      </c>
      <c r="CA215" s="68">
        <v>1.3</v>
      </c>
      <c r="CB215" s="68">
        <v>3.07</v>
      </c>
      <c r="CC215" s="68">
        <v>0</v>
      </c>
      <c r="CD215" s="68" t="s">
        <v>464</v>
      </c>
      <c r="CE215" s="68" t="s">
        <v>464</v>
      </c>
      <c r="CF215" s="68" t="s">
        <v>1266</v>
      </c>
      <c r="CG215" s="68">
        <v>300</v>
      </c>
      <c r="CI215" s="68" t="s">
        <v>1287</v>
      </c>
      <c r="CJ215" s="68">
        <v>293</v>
      </c>
      <c r="CK215" s="70">
        <f>5*3.4</f>
        <v>17</v>
      </c>
    </row>
    <row r="216" spans="1:89" x14ac:dyDescent="0.3">
      <c r="A216" t="s">
        <v>119</v>
      </c>
      <c r="C216" t="s">
        <v>4028</v>
      </c>
      <c r="D216" s="12"/>
      <c r="E216">
        <v>3.22</v>
      </c>
      <c r="F216" t="s">
        <v>122</v>
      </c>
      <c r="G216" s="8">
        <v>-1</v>
      </c>
      <c r="H216">
        <v>-1</v>
      </c>
      <c r="I216" s="1" t="s">
        <v>1218</v>
      </c>
      <c r="J216" s="1"/>
      <c r="K216" s="1"/>
      <c r="L216" s="1" t="s">
        <v>1756</v>
      </c>
      <c r="M216" t="b">
        <v>0</v>
      </c>
      <c r="N216" t="b">
        <v>0</v>
      </c>
      <c r="O216" t="b">
        <v>1</v>
      </c>
      <c r="P216" t="b">
        <v>0</v>
      </c>
      <c r="Q216">
        <v>-1</v>
      </c>
      <c r="R216">
        <v>-1</v>
      </c>
      <c r="S216" t="s">
        <v>2194</v>
      </c>
      <c r="T216">
        <v>4</v>
      </c>
      <c r="U216" s="20">
        <v>0</v>
      </c>
      <c r="V216">
        <v>0</v>
      </c>
      <c r="W216">
        <v>4</v>
      </c>
      <c r="X216">
        <v>5.5019999999999998</v>
      </c>
      <c r="Y216">
        <v>5.5069999999999997</v>
      </c>
      <c r="Z216">
        <v>25.09</v>
      </c>
      <c r="AA216" t="s">
        <v>1219</v>
      </c>
      <c r="AB216" s="1">
        <v>12.545</v>
      </c>
      <c r="AC216" s="20">
        <v>0</v>
      </c>
      <c r="AD216" s="20"/>
      <c r="AE216" s="20"/>
      <c r="AF216">
        <v>0</v>
      </c>
      <c r="AI216">
        <v>0</v>
      </c>
      <c r="AM216">
        <v>18</v>
      </c>
      <c r="AN216" s="44">
        <f t="shared" si="34"/>
        <v>760.21480625999993</v>
      </c>
      <c r="AO216" s="46">
        <v>0</v>
      </c>
      <c r="AP216" s="44">
        <v>0</v>
      </c>
      <c r="AQ216" s="44">
        <v>0</v>
      </c>
      <c r="AR216" s="41">
        <f>T216*AM216/AN216</f>
        <v>9.4710073267601405E-2</v>
      </c>
      <c r="AS216" s="40"/>
      <c r="AT216" s="41"/>
      <c r="AU216" s="41"/>
      <c r="AV216" s="23">
        <v>1.821428571428571</v>
      </c>
      <c r="AW216" s="23">
        <v>3</v>
      </c>
      <c r="AX216" s="23">
        <v>2.035714285714286</v>
      </c>
      <c r="AY216" s="23">
        <v>2</v>
      </c>
      <c r="AZ216" s="23">
        <v>0.20564516129032259</v>
      </c>
      <c r="BA216" s="23">
        <v>0.33870967741935482</v>
      </c>
      <c r="BB216" s="23">
        <v>0.22983870967741929</v>
      </c>
      <c r="BC216" s="23">
        <v>0.22580645161290319</v>
      </c>
      <c r="BD216" s="20">
        <v>0.82</v>
      </c>
      <c r="BE216" s="20">
        <v>3.44</v>
      </c>
      <c r="BF216" s="20">
        <v>2.62</v>
      </c>
      <c r="BG216" s="20">
        <v>2.7971428571428572</v>
      </c>
      <c r="BH216">
        <v>2.7971428571428572</v>
      </c>
      <c r="BI216">
        <v>6.1788927675000007</v>
      </c>
      <c r="BJ216" s="64"/>
      <c r="BK216" s="64"/>
      <c r="BL216" s="64"/>
      <c r="BM216">
        <v>4.7355036633800703E-2</v>
      </c>
      <c r="BP216" t="s">
        <v>459</v>
      </c>
      <c r="BQ216">
        <v>9.4710073267601405E-2</v>
      </c>
      <c r="BR216" t="s">
        <v>459</v>
      </c>
      <c r="BS216">
        <v>0</v>
      </c>
      <c r="BT216" s="68" t="s">
        <v>1305</v>
      </c>
      <c r="BU216" s="68">
        <v>1173</v>
      </c>
      <c r="BV216" s="68">
        <v>6</v>
      </c>
      <c r="BX216" s="68" t="s">
        <v>464</v>
      </c>
      <c r="BY216" s="68" t="s">
        <v>464</v>
      </c>
      <c r="BZ216" s="68">
        <v>0</v>
      </c>
      <c r="CA216" s="68">
        <v>3.2</v>
      </c>
      <c r="CB216" s="68">
        <v>3.07</v>
      </c>
      <c r="CC216" s="68">
        <v>0</v>
      </c>
      <c r="CD216" s="68" t="s">
        <v>464</v>
      </c>
      <c r="CE216" s="68" t="s">
        <v>464</v>
      </c>
      <c r="CF216" s="68" t="s">
        <v>1266</v>
      </c>
      <c r="CG216" s="68">
        <v>300</v>
      </c>
      <c r="CI216" s="68" t="s">
        <v>1287</v>
      </c>
      <c r="CJ216" s="68">
        <v>293</v>
      </c>
      <c r="CK216" s="70">
        <v>0</v>
      </c>
    </row>
    <row r="217" spans="1:89" x14ac:dyDescent="0.3">
      <c r="A217" t="s">
        <v>120</v>
      </c>
      <c r="C217" t="s">
        <v>4029</v>
      </c>
      <c r="D217" s="12"/>
      <c r="E217">
        <v>4</v>
      </c>
      <c r="F217" t="s">
        <v>122</v>
      </c>
      <c r="G217" s="8">
        <v>-1</v>
      </c>
      <c r="H217">
        <v>-1</v>
      </c>
      <c r="M217" t="b">
        <v>0</v>
      </c>
      <c r="N217" t="b">
        <v>0</v>
      </c>
      <c r="O217" t="b">
        <v>0</v>
      </c>
      <c r="P217" t="b">
        <v>1</v>
      </c>
      <c r="Q217">
        <v>-1</v>
      </c>
      <c r="R217">
        <v>-1</v>
      </c>
      <c r="T217">
        <v>1</v>
      </c>
      <c r="U217" s="20">
        <v>0</v>
      </c>
      <c r="V217">
        <v>0</v>
      </c>
      <c r="W217">
        <v>0</v>
      </c>
      <c r="X217">
        <v>3.9060000000000001</v>
      </c>
      <c r="Y217">
        <v>3.9060000000000001</v>
      </c>
      <c r="Z217">
        <v>9.8840000000000003</v>
      </c>
      <c r="AB217">
        <v>9.8840000000000003</v>
      </c>
      <c r="AC217" s="20">
        <v>0</v>
      </c>
      <c r="AD217" s="20"/>
      <c r="AE217" s="20"/>
      <c r="AF217">
        <v>0</v>
      </c>
      <c r="AI217">
        <v>0</v>
      </c>
      <c r="AM217">
        <v>14</v>
      </c>
      <c r="AN217" s="44">
        <f t="shared" si="34"/>
        <v>150.79856702400002</v>
      </c>
      <c r="AO217" s="46">
        <v>0</v>
      </c>
      <c r="AP217" s="44">
        <v>0</v>
      </c>
      <c r="AQ217" s="44">
        <v>0</v>
      </c>
      <c r="AR217" s="41">
        <f>T217*AM217/AN217</f>
        <v>9.2839078489199839E-2</v>
      </c>
      <c r="AS217" s="40"/>
      <c r="AT217" s="41"/>
      <c r="AU217" s="41"/>
      <c r="AV217" s="23">
        <v>1.8135593220338979</v>
      </c>
      <c r="AW217" s="23">
        <v>2.398305084745763</v>
      </c>
      <c r="AX217" s="23">
        <v>0.63559322033898302</v>
      </c>
      <c r="AY217" s="23">
        <v>2.4915254237288131</v>
      </c>
      <c r="AZ217" s="23">
        <v>0.24711316397228639</v>
      </c>
      <c r="BA217" s="23">
        <v>0.32678983833718239</v>
      </c>
      <c r="BB217" s="23">
        <v>8.6605080831408776E-2</v>
      </c>
      <c r="BC217" s="23">
        <v>0.33949191685912239</v>
      </c>
      <c r="BD217" s="20">
        <v>0.82</v>
      </c>
      <c r="BE217" s="20">
        <v>3.44</v>
      </c>
      <c r="BF217" s="20">
        <v>2.62</v>
      </c>
      <c r="BG217" s="20">
        <v>2.733728813559321</v>
      </c>
      <c r="BH217">
        <v>2.7337288135593218</v>
      </c>
      <c r="BI217">
        <v>6.5217336360353304</v>
      </c>
      <c r="BJ217" s="64"/>
      <c r="BK217" s="64"/>
      <c r="BL217" s="64"/>
      <c r="BM217">
        <v>4.6419539244599919E-2</v>
      </c>
      <c r="BQ217">
        <v>9.2839078489199839E-2</v>
      </c>
      <c r="BR217">
        <v>4.6419539244599919E-2</v>
      </c>
      <c r="BS217">
        <v>0</v>
      </c>
      <c r="BT217" s="68" t="s">
        <v>1305</v>
      </c>
      <c r="BU217" s="68">
        <v>1173</v>
      </c>
      <c r="BV217" s="68">
        <v>6</v>
      </c>
      <c r="BX217" s="68" t="s">
        <v>464</v>
      </c>
      <c r="BY217" s="68" t="s">
        <v>464</v>
      </c>
      <c r="BZ217" s="68">
        <v>0</v>
      </c>
      <c r="CA217" s="68">
        <v>3.5</v>
      </c>
      <c r="CB217" s="68">
        <v>3.07</v>
      </c>
      <c r="CC217" s="68">
        <v>0</v>
      </c>
      <c r="CD217" s="68" t="s">
        <v>464</v>
      </c>
      <c r="CE217" s="68" t="s">
        <v>464</v>
      </c>
      <c r="CF217" s="68" t="s">
        <v>1266</v>
      </c>
      <c r="CG217" s="68">
        <v>300</v>
      </c>
      <c r="CI217" s="68" t="s">
        <v>1287</v>
      </c>
      <c r="CJ217" s="68">
        <v>293</v>
      </c>
      <c r="CK217" s="70">
        <f>182*5</f>
        <v>910</v>
      </c>
    </row>
    <row r="218" spans="1:89" x14ac:dyDescent="0.3">
      <c r="A218" t="s">
        <v>121</v>
      </c>
      <c r="B218" t="s">
        <v>2776</v>
      </c>
      <c r="C218" t="s">
        <v>4030</v>
      </c>
      <c r="D218" s="12"/>
      <c r="E218">
        <v>3.49</v>
      </c>
      <c r="F218" t="s">
        <v>122</v>
      </c>
      <c r="G218" s="8">
        <v>-1</v>
      </c>
      <c r="H218">
        <v>-1</v>
      </c>
      <c r="M218" t="b">
        <v>0</v>
      </c>
      <c r="N218" t="b">
        <v>0</v>
      </c>
      <c r="O218" t="b">
        <v>0</v>
      </c>
      <c r="P218" t="b">
        <v>1</v>
      </c>
      <c r="Q218">
        <v>-1</v>
      </c>
      <c r="R218">
        <v>-1</v>
      </c>
      <c r="T218">
        <v>1</v>
      </c>
      <c r="U218" s="20">
        <v>0</v>
      </c>
      <c r="V218">
        <v>0</v>
      </c>
      <c r="W218">
        <v>0</v>
      </c>
      <c r="X218">
        <v>3.903</v>
      </c>
      <c r="Y218">
        <v>3.903</v>
      </c>
      <c r="Z218">
        <v>10.050000000000001</v>
      </c>
      <c r="AB218">
        <v>10.050000000000001</v>
      </c>
      <c r="AC218" s="20">
        <v>0</v>
      </c>
      <c r="AD218" s="20"/>
      <c r="AE218" s="20"/>
      <c r="AF218">
        <v>0</v>
      </c>
      <c r="AI218">
        <v>0</v>
      </c>
      <c r="AM218">
        <v>13</v>
      </c>
      <c r="AN218" s="44">
        <f t="shared" si="34"/>
        <v>153.09576045</v>
      </c>
      <c r="AO218" s="46">
        <v>0</v>
      </c>
      <c r="AP218" s="44">
        <v>0</v>
      </c>
      <c r="AQ218" s="44">
        <v>0</v>
      </c>
      <c r="AR218" s="41">
        <f>T218*AM218/AN218</f>
        <v>8.4914173728838874E-2</v>
      </c>
      <c r="AS218" s="40"/>
      <c r="AT218" s="41"/>
      <c r="AU218" s="41"/>
      <c r="AV218" s="23">
        <v>1.6448598130841121</v>
      </c>
      <c r="AW218" s="23">
        <v>2.457943925233645</v>
      </c>
      <c r="AX218" s="23">
        <v>0.86915887850467299</v>
      </c>
      <c r="AY218" s="23">
        <v>0.13084112149532709</v>
      </c>
      <c r="AZ218" s="23">
        <v>0.32234432234432231</v>
      </c>
      <c r="BA218" s="23">
        <v>0.48168498168498158</v>
      </c>
      <c r="BB218" s="23">
        <v>0.17032967032967031</v>
      </c>
      <c r="BC218" s="23">
        <v>2.564102564102564E-2</v>
      </c>
      <c r="BD218" s="20">
        <v>0.82</v>
      </c>
      <c r="BE218" s="20">
        <v>3.44</v>
      </c>
      <c r="BF218" s="20">
        <v>2.62</v>
      </c>
      <c r="BG218" s="20">
        <v>2.7828037383177571</v>
      </c>
      <c r="BH218">
        <v>2.782803738317758</v>
      </c>
      <c r="BI218">
        <v>6.5403483343235136</v>
      </c>
      <c r="BJ218" s="64"/>
      <c r="BK218" s="64"/>
      <c r="BL218" s="64"/>
      <c r="BM218">
        <v>4.2457086864419437E-2</v>
      </c>
      <c r="BQ218">
        <v>8.4914173728838874E-2</v>
      </c>
      <c r="BR218">
        <v>4.2457086864419437E-2</v>
      </c>
      <c r="BS218">
        <v>0</v>
      </c>
      <c r="BT218" s="68" t="s">
        <v>1305</v>
      </c>
      <c r="BU218" s="68">
        <v>1173</v>
      </c>
      <c r="BV218" s="68">
        <v>6</v>
      </c>
      <c r="BX218" s="68" t="s">
        <v>464</v>
      </c>
      <c r="BY218" s="68" t="s">
        <v>464</v>
      </c>
      <c r="BZ218" s="68">
        <v>0</v>
      </c>
      <c r="CA218" s="68">
        <v>7.3</v>
      </c>
      <c r="CB218" s="68">
        <v>3.07</v>
      </c>
      <c r="CC218" s="68">
        <v>0</v>
      </c>
      <c r="CD218" s="68" t="s">
        <v>464</v>
      </c>
      <c r="CE218" s="68" t="s">
        <v>464</v>
      </c>
      <c r="CF218" s="68" t="s">
        <v>1266</v>
      </c>
      <c r="CG218" s="68">
        <v>300</v>
      </c>
      <c r="CI218" s="68" t="s">
        <v>1287</v>
      </c>
      <c r="CJ218" s="68">
        <v>293</v>
      </c>
      <c r="CK218" s="70">
        <v>0</v>
      </c>
    </row>
    <row r="219" spans="1:89" x14ac:dyDescent="0.3">
      <c r="A219" t="s">
        <v>1185</v>
      </c>
      <c r="C219" t="s">
        <v>4031</v>
      </c>
      <c r="D219" s="12"/>
      <c r="E219">
        <v>4</v>
      </c>
      <c r="F219" t="s">
        <v>122</v>
      </c>
      <c r="G219" s="8" t="s">
        <v>1188</v>
      </c>
      <c r="H219">
        <v>-1</v>
      </c>
      <c r="I219" t="s">
        <v>1187</v>
      </c>
      <c r="M219" t="b">
        <v>1</v>
      </c>
      <c r="N219" t="b">
        <v>0</v>
      </c>
      <c r="O219" t="b">
        <v>1</v>
      </c>
      <c r="P219" t="b">
        <v>0</v>
      </c>
      <c r="Q219" t="s">
        <v>1188</v>
      </c>
      <c r="R219">
        <v>-1</v>
      </c>
      <c r="S219" t="s">
        <v>1187</v>
      </c>
      <c r="U219" s="20">
        <v>0</v>
      </c>
      <c r="V219">
        <v>0</v>
      </c>
      <c r="W219">
        <v>2</v>
      </c>
      <c r="AC219" s="20">
        <v>0</v>
      </c>
      <c r="AD219" s="20"/>
      <c r="AE219" s="20"/>
      <c r="AF219">
        <v>0</v>
      </c>
      <c r="AI219">
        <v>12.5602</v>
      </c>
      <c r="AJ219">
        <v>12.5602</v>
      </c>
      <c r="AK219">
        <v>3.9214000000000002</v>
      </c>
      <c r="AM219">
        <v>34</v>
      </c>
      <c r="AN219" s="44">
        <f t="shared" si="34"/>
        <v>0</v>
      </c>
      <c r="AO219" s="46">
        <v>0</v>
      </c>
      <c r="AP219" s="44">
        <v>0</v>
      </c>
      <c r="AQ219" s="44">
        <v>618.63466831045605</v>
      </c>
      <c r="AR219" s="41"/>
      <c r="AS219" s="40"/>
      <c r="AT219" s="41"/>
      <c r="AU219" s="41">
        <v>0.10991947830165059</v>
      </c>
      <c r="AV219" s="23">
        <v>1.92</v>
      </c>
      <c r="AW219" s="23">
        <v>2.72</v>
      </c>
      <c r="AX219" s="23">
        <v>0.64</v>
      </c>
      <c r="AY219" s="23">
        <v>2.8</v>
      </c>
      <c r="AZ219" s="23">
        <v>0.23762376237623761</v>
      </c>
      <c r="BA219" s="23">
        <v>0.33663366336633671</v>
      </c>
      <c r="BB219" s="23">
        <v>7.9207920792079209E-2</v>
      </c>
      <c r="BC219" s="23">
        <v>0.34653465346534651</v>
      </c>
      <c r="BD219" s="20">
        <v>0.82</v>
      </c>
      <c r="BE219" s="20">
        <v>3.44</v>
      </c>
      <c r="BF219" s="20">
        <v>2.62</v>
      </c>
      <c r="BG219" s="20">
        <v>2.7488000000000001</v>
      </c>
      <c r="BH219">
        <v>2.7488000000000001</v>
      </c>
      <c r="BI219">
        <v>6.2305574404000001</v>
      </c>
      <c r="BJ219" s="64"/>
      <c r="BK219" s="64"/>
      <c r="BL219" s="64">
        <v>0.5553845310307659</v>
      </c>
      <c r="BP219">
        <v>4.8493887486022333E-2</v>
      </c>
      <c r="BQ219">
        <v>0.10991947830165059</v>
      </c>
      <c r="BR219">
        <v>4.8493887486022333E-2</v>
      </c>
      <c r="BS219">
        <v>0.5553845310307659</v>
      </c>
      <c r="BT219" s="68" t="s">
        <v>1264</v>
      </c>
      <c r="BU219" s="68">
        <v>1573</v>
      </c>
      <c r="BV219" s="68">
        <v>12</v>
      </c>
      <c r="BX219" s="68" t="s">
        <v>464</v>
      </c>
      <c r="BY219" s="68" t="s">
        <v>464</v>
      </c>
      <c r="BZ219" s="68">
        <v>0</v>
      </c>
      <c r="CA219" s="68">
        <v>2.1</v>
      </c>
      <c r="CB219" s="68">
        <v>3.07</v>
      </c>
      <c r="CC219" s="68">
        <v>0</v>
      </c>
      <c r="CD219" s="68" t="s">
        <v>464</v>
      </c>
      <c r="CE219" s="68" t="s">
        <v>464</v>
      </c>
      <c r="CF219" s="68" t="s">
        <v>1266</v>
      </c>
      <c r="CG219" s="68">
        <v>300</v>
      </c>
      <c r="CI219" s="68" t="s">
        <v>1287</v>
      </c>
      <c r="CJ219" s="68">
        <v>293</v>
      </c>
      <c r="CK219" s="70">
        <v>0</v>
      </c>
    </row>
    <row r="220" spans="1:89" x14ac:dyDescent="0.3">
      <c r="A220" t="s">
        <v>123</v>
      </c>
      <c r="B220" t="s">
        <v>2776</v>
      </c>
      <c r="C220" t="s">
        <v>4032</v>
      </c>
      <c r="D220" s="12"/>
      <c r="E220">
        <v>3.7</v>
      </c>
      <c r="F220" t="s">
        <v>1315</v>
      </c>
      <c r="G220" s="8">
        <v>-2</v>
      </c>
      <c r="H220">
        <v>-1</v>
      </c>
      <c r="M220" t="b">
        <v>0</v>
      </c>
      <c r="N220" t="b">
        <v>0</v>
      </c>
      <c r="O220" t="b">
        <v>0</v>
      </c>
      <c r="P220" t="b">
        <v>1</v>
      </c>
      <c r="Q220">
        <v>-2</v>
      </c>
      <c r="R220">
        <v>-1</v>
      </c>
      <c r="U220" s="20">
        <v>0</v>
      </c>
      <c r="V220">
        <v>0</v>
      </c>
      <c r="W220">
        <v>0</v>
      </c>
      <c r="AC220" s="20">
        <v>0</v>
      </c>
      <c r="AD220" s="20"/>
      <c r="AE220" s="20"/>
      <c r="AF220">
        <v>0</v>
      </c>
      <c r="AI220">
        <v>0</v>
      </c>
      <c r="AM220">
        <v>14</v>
      </c>
      <c r="AN220">
        <f t="shared" si="34"/>
        <v>0</v>
      </c>
      <c r="AO220" s="20">
        <v>0</v>
      </c>
      <c r="AP220">
        <v>0</v>
      </c>
      <c r="AQ220">
        <v>0</v>
      </c>
      <c r="AS220" s="20"/>
      <c r="AV220">
        <v>1.847457627118644</v>
      </c>
      <c r="AW220">
        <v>2.4237288135593218</v>
      </c>
      <c r="AX220">
        <v>0.67796610169491522</v>
      </c>
      <c r="AY220">
        <v>2.610169491525423</v>
      </c>
      <c r="AZ220">
        <v>0.2443946188340807</v>
      </c>
      <c r="BA220">
        <v>0.32062780269058289</v>
      </c>
      <c r="BB220">
        <v>8.9686098654708529E-2</v>
      </c>
      <c r="BC220">
        <v>0.3452914798206278</v>
      </c>
      <c r="BD220" s="20">
        <v>1</v>
      </c>
      <c r="BE220" s="20">
        <v>3.44</v>
      </c>
      <c r="BF220" s="20">
        <v>2.44</v>
      </c>
      <c r="BG220" s="20">
        <v>2.732542372881356</v>
      </c>
      <c r="BH220">
        <v>2.732542372881356</v>
      </c>
      <c r="BI220">
        <v>6.5123179483671016</v>
      </c>
      <c r="BQ220">
        <v>0</v>
      </c>
      <c r="BR220">
        <v>0</v>
      </c>
      <c r="BS220">
        <v>0</v>
      </c>
      <c r="BT220" s="68" t="s">
        <v>1305</v>
      </c>
      <c r="BU220" s="68">
        <v>1173</v>
      </c>
      <c r="BV220" s="68">
        <v>6</v>
      </c>
      <c r="BX220" s="68" t="s">
        <v>464</v>
      </c>
      <c r="BY220" s="68" t="s">
        <v>464</v>
      </c>
      <c r="BZ220" s="68">
        <v>0</v>
      </c>
      <c r="CA220" s="68">
        <v>4.3499999999999996</v>
      </c>
      <c r="CB220" s="68">
        <v>1.54</v>
      </c>
      <c r="CF220" s="68" t="s">
        <v>1266</v>
      </c>
      <c r="CG220" s="68">
        <v>250</v>
      </c>
      <c r="CI220" s="68" t="s">
        <v>1287</v>
      </c>
      <c r="CJ220" s="68">
        <v>293</v>
      </c>
      <c r="CK220" s="70">
        <f>107*10</f>
        <v>1070</v>
      </c>
    </row>
    <row r="221" spans="1:89" x14ac:dyDescent="0.3">
      <c r="A221" t="s">
        <v>124</v>
      </c>
      <c r="C221" t="s">
        <v>4033</v>
      </c>
      <c r="D221" s="12"/>
      <c r="E221">
        <v>3.9</v>
      </c>
      <c r="F221" t="s">
        <v>1315</v>
      </c>
      <c r="G221" s="8">
        <v>-2</v>
      </c>
      <c r="H221">
        <v>-1</v>
      </c>
      <c r="M221" t="b">
        <v>0</v>
      </c>
      <c r="N221" t="b">
        <v>0</v>
      </c>
      <c r="O221" t="b">
        <v>0</v>
      </c>
      <c r="P221" t="b">
        <v>1</v>
      </c>
      <c r="Q221">
        <v>-2</v>
      </c>
      <c r="R221">
        <v>-1</v>
      </c>
      <c r="U221" s="20">
        <v>0</v>
      </c>
      <c r="V221">
        <v>0</v>
      </c>
      <c r="W221">
        <v>0</v>
      </c>
      <c r="AC221" s="20">
        <v>0</v>
      </c>
      <c r="AD221" s="20"/>
      <c r="AE221" s="20"/>
      <c r="AF221">
        <v>0</v>
      </c>
      <c r="AI221">
        <v>0</v>
      </c>
      <c r="AM221">
        <v>14</v>
      </c>
      <c r="AN221">
        <f t="shared" si="34"/>
        <v>0</v>
      </c>
      <c r="AO221" s="20">
        <v>0</v>
      </c>
      <c r="AP221">
        <v>0</v>
      </c>
      <c r="AQ221">
        <v>0</v>
      </c>
      <c r="AS221" s="20"/>
      <c r="AV221">
        <v>1.85</v>
      </c>
      <c r="AW221">
        <v>2.3833333333333329</v>
      </c>
      <c r="AX221">
        <v>0.66666666666666663</v>
      </c>
      <c r="AY221">
        <v>2.5666666666666669</v>
      </c>
      <c r="AZ221">
        <v>0.24776785714285721</v>
      </c>
      <c r="BA221">
        <v>0.3191964285714286</v>
      </c>
      <c r="BB221">
        <v>8.9285714285714288E-2</v>
      </c>
      <c r="BC221">
        <v>0.34375000000000011</v>
      </c>
      <c r="BD221" s="20">
        <v>0.95</v>
      </c>
      <c r="BE221" s="20">
        <v>3.44</v>
      </c>
      <c r="BF221" s="20">
        <v>2.4900000000000002</v>
      </c>
      <c r="BG221" s="20">
        <v>2.6995</v>
      </c>
      <c r="BH221">
        <v>2.6995</v>
      </c>
      <c r="BI221">
        <v>6.4386446606443171</v>
      </c>
      <c r="BQ221">
        <v>0</v>
      </c>
      <c r="BR221">
        <v>0</v>
      </c>
      <c r="BS221">
        <v>0</v>
      </c>
      <c r="BT221" s="68" t="s">
        <v>1305</v>
      </c>
      <c r="BU221" s="68">
        <v>1173</v>
      </c>
      <c r="BV221" s="68">
        <v>6</v>
      </c>
      <c r="BX221" s="68" t="s">
        <v>464</v>
      </c>
      <c r="BY221" s="68" t="s">
        <v>464</v>
      </c>
      <c r="BZ221" s="68">
        <v>0</v>
      </c>
      <c r="CA221" s="72">
        <v>6.88</v>
      </c>
      <c r="CB221" s="68">
        <v>1.54</v>
      </c>
      <c r="CF221" s="68" t="s">
        <v>1266</v>
      </c>
      <c r="CG221" s="68">
        <v>250</v>
      </c>
      <c r="CI221" s="68" t="s">
        <v>1287</v>
      </c>
      <c r="CJ221" s="68">
        <v>293</v>
      </c>
      <c r="CK221" s="70">
        <f>1627</f>
        <v>1627</v>
      </c>
    </row>
    <row r="222" spans="1:89" x14ac:dyDescent="0.3">
      <c r="A222" t="s">
        <v>125</v>
      </c>
      <c r="C222" t="s">
        <v>4034</v>
      </c>
      <c r="D222" s="12"/>
      <c r="E222">
        <v>4</v>
      </c>
      <c r="F222" t="s">
        <v>1315</v>
      </c>
      <c r="G222" s="8">
        <v>-2</v>
      </c>
      <c r="H222">
        <v>-1</v>
      </c>
      <c r="M222" t="b">
        <v>0</v>
      </c>
      <c r="N222" t="b">
        <v>0</v>
      </c>
      <c r="O222" t="b">
        <v>0</v>
      </c>
      <c r="P222" t="b">
        <v>1</v>
      </c>
      <c r="Q222">
        <v>-2</v>
      </c>
      <c r="R222">
        <v>-1</v>
      </c>
      <c r="U222" s="20">
        <v>0</v>
      </c>
      <c r="V222">
        <v>0</v>
      </c>
      <c r="W222">
        <v>0</v>
      </c>
      <c r="AC222" s="20">
        <v>0</v>
      </c>
      <c r="AD222" s="20"/>
      <c r="AE222" s="20"/>
      <c r="AF222">
        <v>0</v>
      </c>
      <c r="AI222">
        <v>0</v>
      </c>
      <c r="AM222">
        <v>14</v>
      </c>
      <c r="AN222">
        <f t="shared" si="34"/>
        <v>0</v>
      </c>
      <c r="AO222" s="20">
        <v>0</v>
      </c>
      <c r="AP222">
        <v>0</v>
      </c>
      <c r="AQ222">
        <v>0</v>
      </c>
      <c r="AS222" s="20"/>
      <c r="AV222">
        <v>1.8389830508474569</v>
      </c>
      <c r="AW222">
        <v>2.398305084745763</v>
      </c>
      <c r="AX222">
        <v>0.59322033898305082</v>
      </c>
      <c r="AY222">
        <v>2.4915254237288131</v>
      </c>
      <c r="AZ222">
        <v>0.25115740740740738</v>
      </c>
      <c r="BA222">
        <v>0.32754629629629628</v>
      </c>
      <c r="BB222">
        <v>8.1018518518518517E-2</v>
      </c>
      <c r="BC222">
        <v>0.34027777777777768</v>
      </c>
      <c r="BD222" s="20">
        <v>0.89</v>
      </c>
      <c r="BE222" s="20">
        <v>3.44</v>
      </c>
      <c r="BF222" s="20">
        <v>2.5499999999999998</v>
      </c>
      <c r="BG222" s="20">
        <v>2.7266101694915248</v>
      </c>
      <c r="BH222">
        <v>2.7266101694915261</v>
      </c>
      <c r="BI222">
        <v>6.5117833191709238</v>
      </c>
      <c r="BQ222">
        <v>0</v>
      </c>
      <c r="BR222">
        <v>0</v>
      </c>
      <c r="BS222">
        <v>0</v>
      </c>
      <c r="BT222" s="68" t="s">
        <v>1305</v>
      </c>
      <c r="BU222" s="68">
        <v>1173</v>
      </c>
      <c r="BV222" s="68">
        <v>6</v>
      </c>
      <c r="BX222" s="68" t="s">
        <v>464</v>
      </c>
      <c r="BY222" s="68" t="s">
        <v>464</v>
      </c>
      <c r="BZ222" s="68">
        <v>0</v>
      </c>
      <c r="CA222" s="72">
        <v>3.84</v>
      </c>
      <c r="CB222" s="68">
        <v>1.54</v>
      </c>
      <c r="CF222" s="68" t="s">
        <v>1266</v>
      </c>
      <c r="CG222" s="68">
        <v>250</v>
      </c>
      <c r="CI222" s="68" t="s">
        <v>1287</v>
      </c>
      <c r="CJ222" s="68">
        <v>293</v>
      </c>
      <c r="CK222" s="70">
        <f>1893</f>
        <v>1893</v>
      </c>
    </row>
    <row r="223" spans="1:89" x14ac:dyDescent="0.3">
      <c r="A223" t="s">
        <v>120</v>
      </c>
      <c r="C223" t="s">
        <v>4029</v>
      </c>
      <c r="D223" s="12"/>
      <c r="E223">
        <v>4.3</v>
      </c>
      <c r="F223" t="s">
        <v>1315</v>
      </c>
      <c r="G223" s="8">
        <v>-2</v>
      </c>
      <c r="H223">
        <v>-1</v>
      </c>
      <c r="M223" t="b">
        <v>0</v>
      </c>
      <c r="N223" t="b">
        <v>0</v>
      </c>
      <c r="O223" t="b">
        <v>0</v>
      </c>
      <c r="P223" t="b">
        <v>1</v>
      </c>
      <c r="Q223">
        <v>-2</v>
      </c>
      <c r="R223">
        <v>-1</v>
      </c>
      <c r="U223" s="20">
        <v>0</v>
      </c>
      <c r="V223">
        <v>0</v>
      </c>
      <c r="W223">
        <v>0</v>
      </c>
      <c r="AC223" s="20">
        <v>0</v>
      </c>
      <c r="AD223" s="20"/>
      <c r="AE223" s="20"/>
      <c r="AF223">
        <v>0</v>
      </c>
      <c r="AI223">
        <v>0</v>
      </c>
      <c r="AM223">
        <v>14</v>
      </c>
      <c r="AN223">
        <f t="shared" si="34"/>
        <v>0</v>
      </c>
      <c r="AO223" s="20">
        <v>0</v>
      </c>
      <c r="AP223">
        <v>0</v>
      </c>
      <c r="AQ223">
        <v>0</v>
      </c>
      <c r="AS223" s="20"/>
      <c r="AV223">
        <v>1.8135593220338979</v>
      </c>
      <c r="AW223">
        <v>2.398305084745763</v>
      </c>
      <c r="AX223">
        <v>0.63559322033898302</v>
      </c>
      <c r="AY223">
        <v>2.4915254237288131</v>
      </c>
      <c r="AZ223">
        <v>0.24711316397228639</v>
      </c>
      <c r="BA223">
        <v>0.32678983833718239</v>
      </c>
      <c r="BB223">
        <v>8.6605080831408776E-2</v>
      </c>
      <c r="BC223">
        <v>0.33949191685912239</v>
      </c>
      <c r="BD223" s="20">
        <v>0.82</v>
      </c>
      <c r="BE223" s="20">
        <v>3.44</v>
      </c>
      <c r="BF223" s="20">
        <v>2.62</v>
      </c>
      <c r="BG223" s="20">
        <v>2.733728813559321</v>
      </c>
      <c r="BH223">
        <v>2.7337288135593218</v>
      </c>
      <c r="BI223">
        <v>6.5217336360353304</v>
      </c>
      <c r="BQ223">
        <v>0</v>
      </c>
      <c r="BR223">
        <v>0</v>
      </c>
      <c r="BS223">
        <v>0</v>
      </c>
      <c r="BT223" s="68" t="s">
        <v>1305</v>
      </c>
      <c r="BU223" s="68">
        <v>1173</v>
      </c>
      <c r="BV223" s="68">
        <v>6</v>
      </c>
      <c r="BX223" s="68" t="s">
        <v>464</v>
      </c>
      <c r="BY223" s="68" t="s">
        <v>464</v>
      </c>
      <c r="BZ223" s="68">
        <v>0</v>
      </c>
      <c r="CA223" s="72">
        <v>3.52</v>
      </c>
      <c r="CB223" s="68">
        <v>1.54</v>
      </c>
      <c r="CF223" s="68" t="s">
        <v>1266</v>
      </c>
      <c r="CG223" s="68">
        <v>250</v>
      </c>
      <c r="CI223" s="68" t="s">
        <v>1287</v>
      </c>
      <c r="CJ223" s="68">
        <v>293</v>
      </c>
      <c r="CK223" s="70">
        <v>1195</v>
      </c>
    </row>
    <row r="224" spans="1:89" x14ac:dyDescent="0.3">
      <c r="A224" t="s">
        <v>129</v>
      </c>
      <c r="C224" t="s">
        <v>4035</v>
      </c>
      <c r="D224" s="12"/>
      <c r="E224">
        <v>2.39</v>
      </c>
      <c r="F224" t="s">
        <v>126</v>
      </c>
      <c r="G224" s="8" t="s">
        <v>572</v>
      </c>
      <c r="H224">
        <v>-1</v>
      </c>
      <c r="I224" t="s">
        <v>1316</v>
      </c>
      <c r="M224" t="b">
        <v>1</v>
      </c>
      <c r="N224" t="b">
        <v>0</v>
      </c>
      <c r="O224" t="b">
        <v>1</v>
      </c>
      <c r="P224" t="b">
        <v>0</v>
      </c>
      <c r="Q224" t="s">
        <v>572</v>
      </c>
      <c r="R224">
        <v>-1</v>
      </c>
      <c r="S224" t="s">
        <v>1316</v>
      </c>
      <c r="T224">
        <v>4</v>
      </c>
      <c r="U224" s="20">
        <v>0</v>
      </c>
      <c r="V224">
        <v>0</v>
      </c>
      <c r="W224">
        <v>0</v>
      </c>
      <c r="X224">
        <v>5.4930000000000003</v>
      </c>
      <c r="Y224">
        <v>5.4930000000000003</v>
      </c>
      <c r="Z224">
        <v>28.75</v>
      </c>
      <c r="AB224">
        <v>14.375</v>
      </c>
      <c r="AC224" s="20">
        <v>0</v>
      </c>
      <c r="AD224" s="20"/>
      <c r="AE224" s="20"/>
      <c r="AF224">
        <v>0</v>
      </c>
      <c r="AI224">
        <v>0</v>
      </c>
      <c r="AM224">
        <v>2</v>
      </c>
      <c r="AN224" s="44">
        <f t="shared" si="34"/>
        <v>867.47515875000011</v>
      </c>
      <c r="AO224" s="46">
        <v>0</v>
      </c>
      <c r="AP224" s="44">
        <v>0</v>
      </c>
      <c r="AQ224" s="44">
        <v>0</v>
      </c>
      <c r="AR224" s="41"/>
      <c r="AS224" s="40"/>
      <c r="AT224" s="41"/>
      <c r="AU224" s="41"/>
      <c r="AV224" s="23">
        <v>1.428571428571429</v>
      </c>
      <c r="AW224" s="23">
        <v>1.5</v>
      </c>
      <c r="AX224" s="23">
        <v>5.1428571428571432</v>
      </c>
      <c r="AY224" s="23">
        <v>4</v>
      </c>
      <c r="AZ224" s="23">
        <v>0.1183431952662722</v>
      </c>
      <c r="BA224" s="23">
        <v>0.1242603550295858</v>
      </c>
      <c r="BB224" s="23">
        <v>0.42603550295857989</v>
      </c>
      <c r="BC224" s="23">
        <v>0.33136094674556221</v>
      </c>
      <c r="BD224" s="20">
        <v>1.6</v>
      </c>
      <c r="BE224" s="20">
        <v>3.44</v>
      </c>
      <c r="BF224" s="20">
        <v>1.84</v>
      </c>
      <c r="BG224" s="20">
        <v>1.9628571428571431</v>
      </c>
      <c r="BH224">
        <v>1.9628571428571431</v>
      </c>
      <c r="BI224">
        <v>4.4993245392857144</v>
      </c>
      <c r="BJ224" s="64"/>
      <c r="BK224" s="64"/>
      <c r="BL224" s="64"/>
      <c r="BQ224">
        <v>0</v>
      </c>
      <c r="BR224">
        <v>0</v>
      </c>
      <c r="BS224">
        <v>0</v>
      </c>
      <c r="BT224" s="68" t="s">
        <v>1264</v>
      </c>
      <c r="BU224" s="68">
        <v>1173</v>
      </c>
      <c r="BV224" s="68">
        <v>20</v>
      </c>
      <c r="BX224" s="68" t="s">
        <v>1268</v>
      </c>
      <c r="BY224" s="68" t="s">
        <v>863</v>
      </c>
      <c r="BZ224" s="68">
        <v>0.5</v>
      </c>
      <c r="CB224" s="68">
        <v>0.4</v>
      </c>
      <c r="CC224" s="68">
        <v>20</v>
      </c>
      <c r="CD224" s="68" t="s">
        <v>464</v>
      </c>
      <c r="CE224" s="68" t="s">
        <v>464</v>
      </c>
      <c r="CF224" s="68" t="s">
        <v>1271</v>
      </c>
      <c r="CG224" s="68">
        <v>300</v>
      </c>
      <c r="CH224" s="68">
        <v>300</v>
      </c>
      <c r="CI224" s="68" t="s">
        <v>1310</v>
      </c>
      <c r="CK224" s="70">
        <v>0.94</v>
      </c>
    </row>
    <row r="225" spans="1:89" x14ac:dyDescent="0.3">
      <c r="A225" t="s">
        <v>129</v>
      </c>
      <c r="C225" t="s">
        <v>4035</v>
      </c>
      <c r="D225" s="12"/>
      <c r="E225">
        <v>2.39</v>
      </c>
      <c r="F225" t="s">
        <v>133</v>
      </c>
      <c r="G225" s="8" t="s">
        <v>572</v>
      </c>
      <c r="H225" t="s">
        <v>650</v>
      </c>
      <c r="M225" t="b">
        <v>1</v>
      </c>
      <c r="N225" t="b">
        <v>1</v>
      </c>
      <c r="O225" t="b">
        <v>0</v>
      </c>
      <c r="P225" t="b">
        <v>0</v>
      </c>
      <c r="Q225" t="s">
        <v>572</v>
      </c>
      <c r="R225" t="s">
        <v>650</v>
      </c>
      <c r="T225" s="1">
        <v>4</v>
      </c>
      <c r="U225" s="20">
        <v>4</v>
      </c>
      <c r="V225">
        <v>4</v>
      </c>
      <c r="W225">
        <v>0</v>
      </c>
      <c r="X225" s="1">
        <v>5.4930000000000003</v>
      </c>
      <c r="Y225" s="1">
        <v>5.4930000000000003</v>
      </c>
      <c r="Z225" s="1">
        <v>28.75</v>
      </c>
      <c r="AB225" s="1">
        <v>14.375</v>
      </c>
      <c r="AC225" s="20">
        <v>5.5026178200000002</v>
      </c>
      <c r="AD225" s="20">
        <v>5.5582516699999998</v>
      </c>
      <c r="AE225" s="20">
        <v>28.882220520000001</v>
      </c>
      <c r="AF225">
        <v>5.4930000000000003</v>
      </c>
      <c r="AG225">
        <v>5.4960000000000004</v>
      </c>
      <c r="AH225">
        <v>28.75</v>
      </c>
      <c r="AI225">
        <v>0</v>
      </c>
      <c r="AM225">
        <v>16</v>
      </c>
      <c r="AN225" s="44">
        <f t="shared" si="34"/>
        <v>867.47515875000011</v>
      </c>
      <c r="AO225" s="46">
        <v>883.36082823090169</v>
      </c>
      <c r="AP225" s="44">
        <v>867.94893000000013</v>
      </c>
      <c r="AQ225" s="44">
        <v>0</v>
      </c>
      <c r="AR225" s="41"/>
      <c r="AS225" s="40">
        <v>7.2450575070407169E-2</v>
      </c>
      <c r="AT225" s="41">
        <v>7.3737057317416116E-2</v>
      </c>
      <c r="AU225" s="41"/>
      <c r="AV225" s="23">
        <v>1.928571428571429</v>
      </c>
      <c r="AW225" s="23">
        <v>3.5</v>
      </c>
      <c r="AX225" s="23">
        <v>3.1428571428571428</v>
      </c>
      <c r="AY225" s="23">
        <v>4</v>
      </c>
      <c r="AZ225" s="23">
        <v>0.15340909090909091</v>
      </c>
      <c r="BA225" s="23">
        <v>0.27840909090909088</v>
      </c>
      <c r="BB225" s="23">
        <v>0.25</v>
      </c>
      <c r="BC225" s="23">
        <v>0.31818181818181818</v>
      </c>
      <c r="BD225" s="20">
        <v>1.6</v>
      </c>
      <c r="BE225" s="20">
        <v>3.44</v>
      </c>
      <c r="BF225" s="20">
        <v>1.84</v>
      </c>
      <c r="BG225" s="20">
        <v>2.882857142857143</v>
      </c>
      <c r="BH225">
        <v>2.882857142857143</v>
      </c>
      <c r="BI225">
        <v>6.350050364285714</v>
      </c>
      <c r="BJ225" s="64">
        <v>0.52239337321040458</v>
      </c>
      <c r="BK225" s="64">
        <v>0.53166934928012111</v>
      </c>
      <c r="BL225" s="64"/>
      <c r="BN225">
        <v>3.6225287535203578E-2</v>
      </c>
      <c r="BO225">
        <v>3.6868528658708058E-2</v>
      </c>
      <c r="BQ225">
        <v>7.3093816193911643E-2</v>
      </c>
      <c r="BR225">
        <v>3.6546908096955821E-2</v>
      </c>
      <c r="BS225">
        <v>0.52703136124526284</v>
      </c>
      <c r="BT225" s="68" t="s">
        <v>1264</v>
      </c>
      <c r="BU225" s="68">
        <v>1073</v>
      </c>
      <c r="BV225" s="68">
        <v>24</v>
      </c>
      <c r="BX225" s="68" t="s">
        <v>1275</v>
      </c>
      <c r="BY225" s="68" t="s">
        <v>863</v>
      </c>
      <c r="BZ225" s="68">
        <v>0.375</v>
      </c>
      <c r="CB225" s="68">
        <v>3</v>
      </c>
      <c r="CC225" s="68">
        <v>20</v>
      </c>
      <c r="CD225" s="68" t="s">
        <v>464</v>
      </c>
      <c r="CE225" s="68" t="s">
        <v>464</v>
      </c>
      <c r="CF225" s="68" t="s">
        <v>1271</v>
      </c>
      <c r="CG225" s="68">
        <v>300</v>
      </c>
      <c r="CH225" s="68">
        <v>420</v>
      </c>
      <c r="CI225" s="68" t="s">
        <v>1310</v>
      </c>
      <c r="CK225" s="70">
        <f>0.3*CK226</f>
        <v>0.19800000000000001</v>
      </c>
    </row>
    <row r="226" spans="1:89" x14ac:dyDescent="0.3">
      <c r="A226" t="s">
        <v>130</v>
      </c>
      <c r="C226" t="s">
        <v>4036</v>
      </c>
      <c r="D226" s="12"/>
      <c r="E226">
        <v>2.44</v>
      </c>
      <c r="F226" t="s">
        <v>133</v>
      </c>
      <c r="G226" s="8" t="s">
        <v>573</v>
      </c>
      <c r="H226">
        <v>-1</v>
      </c>
      <c r="M226" t="b">
        <v>1</v>
      </c>
      <c r="N226" t="b">
        <v>0</v>
      </c>
      <c r="O226" t="b">
        <v>0</v>
      </c>
      <c r="P226" t="b">
        <v>0</v>
      </c>
      <c r="Q226" t="s">
        <v>573</v>
      </c>
      <c r="R226">
        <v>-1</v>
      </c>
      <c r="U226" s="20">
        <v>4</v>
      </c>
      <c r="V226">
        <v>0</v>
      </c>
      <c r="W226">
        <v>0</v>
      </c>
      <c r="AC226" s="20">
        <v>5.5809040000000003</v>
      </c>
      <c r="AD226" s="20">
        <v>5.6539380000000001</v>
      </c>
      <c r="AE226" s="20">
        <v>29.812771999999999</v>
      </c>
      <c r="AF226">
        <v>0</v>
      </c>
      <c r="AI226">
        <v>0</v>
      </c>
      <c r="AM226">
        <v>16</v>
      </c>
      <c r="AN226" s="44">
        <f t="shared" si="34"/>
        <v>0</v>
      </c>
      <c r="AO226" s="46">
        <v>940.71474773474347</v>
      </c>
      <c r="AP226" s="44">
        <v>0</v>
      </c>
      <c r="AQ226" s="44">
        <v>0</v>
      </c>
      <c r="AR226" s="41"/>
      <c r="AS226" s="40">
        <v>6.8033375849706881E-2</v>
      </c>
      <c r="AT226" s="41"/>
      <c r="AU226" s="41"/>
      <c r="AV226" s="23">
        <v>1.928571428571429</v>
      </c>
      <c r="AW226" s="23">
        <v>3.5</v>
      </c>
      <c r="AX226" s="23">
        <v>3.8571428571428572</v>
      </c>
      <c r="AY226" s="23">
        <v>4</v>
      </c>
      <c r="AZ226" s="23">
        <v>0.1451612903225806</v>
      </c>
      <c r="BA226" s="23">
        <v>0.26344086021505381</v>
      </c>
      <c r="BB226" s="23">
        <v>0.29032258064516131</v>
      </c>
      <c r="BC226" s="23">
        <v>0.30107526881720431</v>
      </c>
      <c r="BD226" s="20">
        <v>1.6</v>
      </c>
      <c r="BE226" s="20">
        <v>3.44</v>
      </c>
      <c r="BF226" s="20">
        <v>1.84</v>
      </c>
      <c r="BG226" s="20">
        <v>2.8685714285714279</v>
      </c>
      <c r="BH226">
        <v>2.8685714285714279</v>
      </c>
      <c r="BI226">
        <v>6.299944650714286</v>
      </c>
      <c r="BJ226" s="64">
        <v>0.51496474224831645</v>
      </c>
      <c r="BK226" s="64"/>
      <c r="BL226" s="64"/>
      <c r="BN226">
        <v>3.4016687924853441E-2</v>
      </c>
      <c r="BQ226">
        <v>6.8033375849706881E-2</v>
      </c>
      <c r="BR226">
        <v>3.4016687924853441E-2</v>
      </c>
      <c r="BS226">
        <v>0.51496474224831645</v>
      </c>
      <c r="BT226" s="68" t="s">
        <v>1264</v>
      </c>
      <c r="BU226" s="68">
        <v>1073</v>
      </c>
      <c r="BV226" s="68">
        <v>24</v>
      </c>
      <c r="BX226" s="68" t="s">
        <v>1275</v>
      </c>
      <c r="BY226" s="68" t="s">
        <v>863</v>
      </c>
      <c r="BZ226" s="68">
        <v>0.375</v>
      </c>
      <c r="CB226" s="68">
        <v>3</v>
      </c>
      <c r="CC226" s="68">
        <v>20</v>
      </c>
      <c r="CD226" s="68" t="s">
        <v>464</v>
      </c>
      <c r="CE226" s="68" t="s">
        <v>464</v>
      </c>
      <c r="CF226" s="68" t="s">
        <v>1271</v>
      </c>
      <c r="CG226" s="68">
        <v>300</v>
      </c>
      <c r="CH226" s="68">
        <v>420</v>
      </c>
      <c r="CI226" s="68" t="s">
        <v>1310</v>
      </c>
      <c r="CK226" s="70">
        <v>0.66</v>
      </c>
    </row>
    <row r="227" spans="1:89" x14ac:dyDescent="0.3">
      <c r="A227" t="s">
        <v>131</v>
      </c>
      <c r="C227" t="s">
        <v>4037</v>
      </c>
      <c r="D227" s="12"/>
      <c r="E227">
        <v>2.48</v>
      </c>
      <c r="F227" t="s">
        <v>133</v>
      </c>
      <c r="G227" s="8" t="s">
        <v>574</v>
      </c>
      <c r="H227" t="s">
        <v>651</v>
      </c>
      <c r="M227" t="b">
        <v>1</v>
      </c>
      <c r="N227" t="b">
        <v>1</v>
      </c>
      <c r="O227" t="b">
        <v>0</v>
      </c>
      <c r="P227" t="b">
        <v>0</v>
      </c>
      <c r="Q227" t="s">
        <v>574</v>
      </c>
      <c r="R227" t="s">
        <v>651</v>
      </c>
      <c r="U227" s="20">
        <v>1</v>
      </c>
      <c r="V227">
        <v>4</v>
      </c>
      <c r="W227">
        <v>0</v>
      </c>
      <c r="AC227" s="20">
        <v>3.9070640000000001</v>
      </c>
      <c r="AD227" s="20">
        <v>3.9070640000000001</v>
      </c>
      <c r="AE227" s="20">
        <v>14.317354999999999</v>
      </c>
      <c r="AF227">
        <v>5.4588999999999999</v>
      </c>
      <c r="AG227">
        <v>5.5044000000000004</v>
      </c>
      <c r="AH227">
        <v>28.6998</v>
      </c>
      <c r="AI227">
        <v>0</v>
      </c>
      <c r="AM227">
        <v>16</v>
      </c>
      <c r="AN227" s="44">
        <f t="shared" si="34"/>
        <v>0</v>
      </c>
      <c r="AO227" s="46">
        <v>218.55655879400501</v>
      </c>
      <c r="AP227" s="44">
        <v>862.37070529816799</v>
      </c>
      <c r="AQ227" s="44">
        <v>0</v>
      </c>
      <c r="AR227" s="41"/>
      <c r="AS227" s="40">
        <v>7.320759481338833E-2</v>
      </c>
      <c r="AT227" s="41">
        <v>7.4214023745010863E-2</v>
      </c>
      <c r="AU227" s="41"/>
      <c r="AV227" s="23">
        <v>2</v>
      </c>
      <c r="AW227" s="23">
        <v>3.5</v>
      </c>
      <c r="AX227" s="23">
        <v>3.0714285714285721</v>
      </c>
      <c r="AY227" s="23">
        <v>5</v>
      </c>
      <c r="AZ227" s="23">
        <v>0.14736842105263159</v>
      </c>
      <c r="BA227" s="23">
        <v>0.25789473684210529</v>
      </c>
      <c r="BB227" s="23">
        <v>0.22631578947368419</v>
      </c>
      <c r="BC227" s="23">
        <v>0.36842105263157893</v>
      </c>
      <c r="BD227" s="20">
        <v>1.5</v>
      </c>
      <c r="BE227" s="20">
        <v>3.44</v>
      </c>
      <c r="BF227" s="20">
        <v>1.94</v>
      </c>
      <c r="BG227" s="20">
        <v>2.875714285714285</v>
      </c>
      <c r="BH227">
        <v>2.875714285714285</v>
      </c>
      <c r="BI227">
        <v>6.3570658642857136</v>
      </c>
      <c r="BJ227" s="64">
        <v>0.52785174392365897</v>
      </c>
      <c r="BK227" s="64">
        <v>0.53510844000890001</v>
      </c>
      <c r="BL227" s="64"/>
      <c r="BN227">
        <v>3.6603797406694158E-2</v>
      </c>
      <c r="BO227">
        <v>3.7107011872505431E-2</v>
      </c>
      <c r="BQ227">
        <v>7.3710809279199596E-2</v>
      </c>
      <c r="BR227">
        <v>3.6855404639599798E-2</v>
      </c>
      <c r="BS227">
        <v>0.53148009196627943</v>
      </c>
      <c r="BT227" s="68" t="s">
        <v>1264</v>
      </c>
      <c r="BU227" s="68">
        <v>1073</v>
      </c>
      <c r="BV227" s="68">
        <v>24</v>
      </c>
      <c r="BX227" s="68" t="s">
        <v>1275</v>
      </c>
      <c r="BY227" s="68" t="s">
        <v>863</v>
      </c>
      <c r="BZ227" s="68">
        <v>0.375</v>
      </c>
      <c r="CB227" s="68">
        <v>3</v>
      </c>
      <c r="CC227" s="68">
        <v>20</v>
      </c>
      <c r="CD227" s="68" t="s">
        <v>464</v>
      </c>
      <c r="CE227" s="68" t="s">
        <v>464</v>
      </c>
      <c r="CF227" s="68" t="s">
        <v>1271</v>
      </c>
      <c r="CG227" s="68">
        <v>300</v>
      </c>
      <c r="CH227" s="68">
        <v>420</v>
      </c>
      <c r="CI227" s="68" t="s">
        <v>1310</v>
      </c>
      <c r="CK227" s="70">
        <f>0.2*CK226</f>
        <v>0.13200000000000001</v>
      </c>
    </row>
    <row r="228" spans="1:89" x14ac:dyDescent="0.3">
      <c r="A228" t="s">
        <v>132</v>
      </c>
      <c r="C228" t="s">
        <v>4038</v>
      </c>
      <c r="D228" s="12"/>
      <c r="E228">
        <v>2.52</v>
      </c>
      <c r="F228" t="s">
        <v>133</v>
      </c>
      <c r="G228" s="8" t="s">
        <v>575</v>
      </c>
      <c r="H228">
        <v>-1</v>
      </c>
      <c r="M228" t="b">
        <v>1</v>
      </c>
      <c r="N228" t="b">
        <v>0</v>
      </c>
      <c r="O228" t="b">
        <v>0</v>
      </c>
      <c r="P228" t="b">
        <v>0</v>
      </c>
      <c r="Q228" t="s">
        <v>575</v>
      </c>
      <c r="R228">
        <v>-1</v>
      </c>
      <c r="U228" s="20">
        <v>4</v>
      </c>
      <c r="V228">
        <v>0</v>
      </c>
      <c r="W228">
        <v>0</v>
      </c>
      <c r="AC228" s="20">
        <v>5.4952131800000004</v>
      </c>
      <c r="AD228" s="20">
        <v>5.5421627200000003</v>
      </c>
      <c r="AE228" s="20">
        <v>29.451395720000001</v>
      </c>
      <c r="AF228">
        <v>0</v>
      </c>
      <c r="AI228">
        <v>0</v>
      </c>
      <c r="AM228">
        <v>16</v>
      </c>
      <c r="AN228" s="44">
        <f t="shared" si="34"/>
        <v>0</v>
      </c>
      <c r="AO228" s="46">
        <v>896.95302480881253</v>
      </c>
      <c r="AP228" s="44">
        <v>0</v>
      </c>
      <c r="AQ228" s="44">
        <v>0</v>
      </c>
      <c r="AR228" s="41"/>
      <c r="AS228" s="40">
        <v>7.1352677598296457E-2</v>
      </c>
      <c r="AT228" s="41"/>
      <c r="AU228" s="41"/>
      <c r="AV228" s="23">
        <v>2</v>
      </c>
      <c r="AW228" s="23">
        <v>3.5</v>
      </c>
      <c r="AX228" s="23">
        <v>3.785714285714286</v>
      </c>
      <c r="AY228" s="23">
        <v>5</v>
      </c>
      <c r="AZ228" s="23">
        <v>0.14000000000000001</v>
      </c>
      <c r="BA228" s="23">
        <v>0.245</v>
      </c>
      <c r="BB228" s="23">
        <v>0.26500000000000001</v>
      </c>
      <c r="BC228" s="23">
        <v>0.35</v>
      </c>
      <c r="BD228" s="20">
        <v>1.5</v>
      </c>
      <c r="BE228" s="20">
        <v>3.44</v>
      </c>
      <c r="BF228" s="20">
        <v>1.94</v>
      </c>
      <c r="BG228" s="20">
        <v>2.8614285714285721</v>
      </c>
      <c r="BH228">
        <v>2.8614285714285712</v>
      </c>
      <c r="BI228">
        <v>6.3069601507142856</v>
      </c>
      <c r="BJ228" s="64">
        <v>0.54008951884595136</v>
      </c>
      <c r="BK228" s="64"/>
      <c r="BL228" s="64"/>
      <c r="BN228">
        <v>3.5676338799148229E-2</v>
      </c>
      <c r="BQ228">
        <v>7.1352677598296457E-2</v>
      </c>
      <c r="BR228">
        <v>3.5676338799148229E-2</v>
      </c>
      <c r="BS228">
        <v>0.54008951884595136</v>
      </c>
      <c r="BT228" s="68" t="s">
        <v>1264</v>
      </c>
      <c r="BU228" s="68">
        <v>1073</v>
      </c>
      <c r="BV228" s="68">
        <v>24</v>
      </c>
      <c r="BX228" s="68" t="s">
        <v>1275</v>
      </c>
      <c r="BY228" s="68" t="s">
        <v>863</v>
      </c>
      <c r="BZ228" s="68">
        <v>0.375</v>
      </c>
      <c r="CB228" s="68">
        <v>3</v>
      </c>
      <c r="CC228" s="68">
        <v>20</v>
      </c>
      <c r="CD228" s="68" t="s">
        <v>464</v>
      </c>
      <c r="CE228" s="68" t="s">
        <v>464</v>
      </c>
      <c r="CF228" s="68" t="s">
        <v>1271</v>
      </c>
      <c r="CG228" s="68">
        <v>300</v>
      </c>
      <c r="CH228" s="68">
        <v>420</v>
      </c>
      <c r="CI228" s="68" t="s">
        <v>1310</v>
      </c>
      <c r="CK228" s="70">
        <f>0.1*CK226</f>
        <v>6.6000000000000003E-2</v>
      </c>
    </row>
    <row r="229" spans="1:89" x14ac:dyDescent="0.3">
      <c r="A229" t="s">
        <v>136</v>
      </c>
      <c r="B229" t="s">
        <v>153</v>
      </c>
      <c r="C229" t="s">
        <v>4039</v>
      </c>
      <c r="D229" s="12"/>
      <c r="E229">
        <v>3.8</v>
      </c>
      <c r="F229" t="s">
        <v>135</v>
      </c>
      <c r="G229" s="99" t="s">
        <v>576</v>
      </c>
      <c r="H229">
        <v>-1</v>
      </c>
      <c r="I229" t="s">
        <v>1164</v>
      </c>
      <c r="J229" t="s">
        <v>1739</v>
      </c>
      <c r="M229" t="b">
        <v>1</v>
      </c>
      <c r="N229" t="b">
        <v>0</v>
      </c>
      <c r="O229" t="b">
        <v>1</v>
      </c>
      <c r="P229" t="b">
        <v>0</v>
      </c>
      <c r="Q229" t="s">
        <v>1944</v>
      </c>
      <c r="R229">
        <v>-1</v>
      </c>
      <c r="S229" t="s">
        <v>1164</v>
      </c>
      <c r="T229">
        <v>1</v>
      </c>
      <c r="U229" s="20">
        <v>0</v>
      </c>
      <c r="V229">
        <v>0</v>
      </c>
      <c r="W229">
        <v>1</v>
      </c>
      <c r="X229">
        <v>3.89</v>
      </c>
      <c r="Y229">
        <v>3.89</v>
      </c>
      <c r="Z229">
        <v>10.34</v>
      </c>
      <c r="AA229" t="s">
        <v>440</v>
      </c>
      <c r="AB229">
        <v>10.34</v>
      </c>
      <c r="AC229" s="20">
        <v>0</v>
      </c>
      <c r="AD229" s="20"/>
      <c r="AE229" s="20"/>
      <c r="AF229">
        <v>0</v>
      </c>
      <c r="AI229">
        <v>3.88</v>
      </c>
      <c r="AJ229">
        <v>3.88</v>
      </c>
      <c r="AK229">
        <v>10.66</v>
      </c>
      <c r="AL229">
        <v>2</v>
      </c>
      <c r="AM229">
        <v>14</v>
      </c>
      <c r="AN229" s="44">
        <f t="shared" si="34"/>
        <v>156.465914</v>
      </c>
      <c r="AO229" s="46">
        <v>0</v>
      </c>
      <c r="AP229" s="44">
        <v>0</v>
      </c>
      <c r="AQ229" s="44">
        <v>160.479904</v>
      </c>
      <c r="AR229" s="41"/>
      <c r="AS229" s="40"/>
      <c r="AT229" s="41"/>
      <c r="AU229" s="41">
        <v>8.7238337331009372E-2</v>
      </c>
      <c r="AV229" s="23">
        <v>1.9090909090909089</v>
      </c>
      <c r="AW229" s="23">
        <v>2.545454545454545</v>
      </c>
      <c r="AX229" s="23">
        <v>0.63636363636363635</v>
      </c>
      <c r="AY229" s="23">
        <v>2.545454545454545</v>
      </c>
      <c r="AZ229" s="23">
        <v>0.25</v>
      </c>
      <c r="BA229" s="23">
        <v>0.33333333333333331</v>
      </c>
      <c r="BB229" s="23">
        <v>8.3333333333333329E-2</v>
      </c>
      <c r="BC229" s="23">
        <v>0.33333333333333331</v>
      </c>
      <c r="BD229" s="20">
        <v>1.1000000000000001</v>
      </c>
      <c r="BE229" s="20">
        <v>3.44</v>
      </c>
      <c r="BF229" s="20">
        <v>2.34</v>
      </c>
      <c r="BG229" s="20">
        <v>2.7618181818181822</v>
      </c>
      <c r="BH229">
        <v>2.7618181818181822</v>
      </c>
      <c r="BI229">
        <v>6.4448628590773636</v>
      </c>
      <c r="BJ229" s="64"/>
      <c r="BK229" s="64"/>
      <c r="BL229" s="64">
        <v>0</v>
      </c>
      <c r="BP229">
        <v>4.3619168665504693E-2</v>
      </c>
      <c r="BQ229">
        <v>8.7238337331009372E-2</v>
      </c>
      <c r="BR229">
        <v>4.3619168665504693E-2</v>
      </c>
      <c r="BS229">
        <v>0</v>
      </c>
      <c r="BT229" s="68" t="s">
        <v>1264</v>
      </c>
      <c r="BU229" s="68">
        <v>1373</v>
      </c>
      <c r="BV229" s="68">
        <v>10</v>
      </c>
      <c r="BX229" s="68" t="s">
        <v>464</v>
      </c>
      <c r="BY229" s="68" t="s">
        <v>464</v>
      </c>
      <c r="BZ229" s="68">
        <v>0</v>
      </c>
      <c r="CB229" s="68">
        <v>1</v>
      </c>
      <c r="CC229" s="68">
        <v>0</v>
      </c>
      <c r="CD229" s="68" t="s">
        <v>464</v>
      </c>
      <c r="CE229" s="68" t="s">
        <v>464</v>
      </c>
      <c r="CF229" s="68" t="s">
        <v>1266</v>
      </c>
      <c r="CG229" s="68">
        <v>400</v>
      </c>
      <c r="CI229" s="68" t="s">
        <v>1287</v>
      </c>
      <c r="CK229" s="70">
        <v>0</v>
      </c>
    </row>
    <row r="230" spans="1:89" x14ac:dyDescent="0.3">
      <c r="A230" t="s">
        <v>137</v>
      </c>
      <c r="B230" t="s">
        <v>153</v>
      </c>
      <c r="C230" t="s">
        <v>4040</v>
      </c>
      <c r="D230" s="12"/>
      <c r="E230">
        <v>3.85</v>
      </c>
      <c r="F230" t="s">
        <v>135</v>
      </c>
      <c r="G230" s="8" t="s">
        <v>576</v>
      </c>
      <c r="H230" t="s">
        <v>652</v>
      </c>
      <c r="M230" t="b">
        <v>1</v>
      </c>
      <c r="N230" t="b">
        <v>1</v>
      </c>
      <c r="O230" t="b">
        <v>0</v>
      </c>
      <c r="P230" t="b">
        <v>0</v>
      </c>
      <c r="Q230" t="s">
        <v>576</v>
      </c>
      <c r="R230" t="s">
        <v>652</v>
      </c>
      <c r="T230">
        <v>1</v>
      </c>
      <c r="U230" s="20">
        <v>1</v>
      </c>
      <c r="V230">
        <v>2</v>
      </c>
      <c r="W230">
        <v>0</v>
      </c>
      <c r="X230">
        <v>3.85</v>
      </c>
      <c r="Y230">
        <v>3.85</v>
      </c>
      <c r="Z230">
        <v>12.77</v>
      </c>
      <c r="AA230" t="s">
        <v>440</v>
      </c>
      <c r="AB230">
        <v>12.77</v>
      </c>
      <c r="AC230" s="20">
        <v>11.210029909999999</v>
      </c>
      <c r="AD230" s="20">
        <v>11.210029909999999</v>
      </c>
      <c r="AE230" s="20">
        <v>11.210029909999999</v>
      </c>
      <c r="AF230">
        <v>3.8955000000000002</v>
      </c>
      <c r="AG230">
        <v>3.8955000000000002</v>
      </c>
      <c r="AH230">
        <v>21.436</v>
      </c>
      <c r="AI230">
        <v>0</v>
      </c>
      <c r="AL230">
        <v>2</v>
      </c>
      <c r="AM230">
        <v>14</v>
      </c>
      <c r="AN230" s="44">
        <f t="shared" si="34"/>
        <v>189.28332500000002</v>
      </c>
      <c r="AO230" s="46">
        <v>167.3639996655379</v>
      </c>
      <c r="AP230" s="44">
        <v>325.28959047900003</v>
      </c>
      <c r="AQ230" s="44">
        <v>0</v>
      </c>
      <c r="AR230" s="41"/>
      <c r="AS230" s="40">
        <v>8.365000853216796E-2</v>
      </c>
      <c r="AT230" s="41">
        <v>8.607714731593176E-2</v>
      </c>
      <c r="AU230" s="41"/>
      <c r="AV230" s="23">
        <v>1.9090909090909089</v>
      </c>
      <c r="AW230" s="23">
        <v>2.545454545454545</v>
      </c>
      <c r="AX230" s="23">
        <v>0.63636363636363635</v>
      </c>
      <c r="AY230" s="23">
        <v>2.545454545454545</v>
      </c>
      <c r="AZ230" s="23">
        <v>0.25</v>
      </c>
      <c r="BA230" s="23">
        <v>0.33333333333333331</v>
      </c>
      <c r="BB230" s="23">
        <v>8.3333333333333329E-2</v>
      </c>
      <c r="BC230" s="23">
        <v>0.33333333333333331</v>
      </c>
      <c r="BD230" s="20">
        <v>0.93</v>
      </c>
      <c r="BE230" s="20">
        <v>3.44</v>
      </c>
      <c r="BF230" s="20">
        <v>2.5099999999999998</v>
      </c>
      <c r="BG230" s="20">
        <v>2.646363636363636</v>
      </c>
      <c r="BH230">
        <v>2.646363636363636</v>
      </c>
      <c r="BI230">
        <v>6.0509524322727266</v>
      </c>
      <c r="BJ230" s="64">
        <v>0.45356967584663088</v>
      </c>
      <c r="BK230" s="64">
        <v>0</v>
      </c>
      <c r="BL230" s="64"/>
      <c r="BN230">
        <v>4.1825004266083973E-2</v>
      </c>
      <c r="BO230">
        <v>4.303857365796588E-2</v>
      </c>
      <c r="BQ230">
        <v>8.486357792404986E-2</v>
      </c>
      <c r="BR230">
        <v>4.243178896202493E-2</v>
      </c>
      <c r="BS230">
        <v>0.22678483792331541</v>
      </c>
      <c r="BT230" s="68" t="s">
        <v>1264</v>
      </c>
      <c r="BU230" s="68">
        <v>1373</v>
      </c>
      <c r="BV230" s="68">
        <v>10</v>
      </c>
      <c r="BX230" s="68" t="s">
        <v>464</v>
      </c>
      <c r="BY230" s="68" t="s">
        <v>464</v>
      </c>
      <c r="BZ230" s="68">
        <v>0</v>
      </c>
      <c r="CB230" s="68">
        <v>1</v>
      </c>
      <c r="CC230" s="68">
        <v>0</v>
      </c>
      <c r="CD230" s="68" t="s">
        <v>464</v>
      </c>
      <c r="CE230" s="68" t="s">
        <v>464</v>
      </c>
      <c r="CF230" s="68" t="s">
        <v>1266</v>
      </c>
      <c r="CG230" s="68">
        <v>400</v>
      </c>
      <c r="CI230" s="68" t="s">
        <v>1287</v>
      </c>
      <c r="CK230" s="70">
        <v>5</v>
      </c>
    </row>
    <row r="231" spans="1:89" x14ac:dyDescent="0.3">
      <c r="A231" t="s">
        <v>10</v>
      </c>
      <c r="B231" t="s">
        <v>153</v>
      </c>
      <c r="C231" t="s">
        <v>3933</v>
      </c>
      <c r="D231" s="12"/>
      <c r="E231">
        <v>3.9</v>
      </c>
      <c r="F231" t="s">
        <v>135</v>
      </c>
      <c r="G231" s="8" t="s">
        <v>531</v>
      </c>
      <c r="H231">
        <v>-1</v>
      </c>
      <c r="M231" t="b">
        <v>1</v>
      </c>
      <c r="N231" t="b">
        <v>0</v>
      </c>
      <c r="O231" t="b">
        <v>0</v>
      </c>
      <c r="P231" t="b">
        <v>0</v>
      </c>
      <c r="Q231" t="s">
        <v>531</v>
      </c>
      <c r="R231">
        <v>-1</v>
      </c>
      <c r="T231">
        <v>1</v>
      </c>
      <c r="U231" s="20">
        <v>1</v>
      </c>
      <c r="V231">
        <v>0</v>
      </c>
      <c r="W231">
        <v>0</v>
      </c>
      <c r="X231">
        <v>3.88</v>
      </c>
      <c r="Y231">
        <v>3.88</v>
      </c>
      <c r="Z231">
        <v>11.07</v>
      </c>
      <c r="AA231" t="s">
        <v>439</v>
      </c>
      <c r="AB231">
        <v>11.07</v>
      </c>
      <c r="AC231" s="20">
        <v>3.9103940000000001</v>
      </c>
      <c r="AD231" s="20">
        <v>3.9103940000000001</v>
      </c>
      <c r="AE231" s="20">
        <v>11.314458</v>
      </c>
      <c r="AF231">
        <v>0</v>
      </c>
      <c r="AI231">
        <v>0</v>
      </c>
      <c r="AL231">
        <v>2</v>
      </c>
      <c r="AM231">
        <v>14</v>
      </c>
      <c r="AN231" s="44">
        <f t="shared" si="34"/>
        <v>166.652208</v>
      </c>
      <c r="AO231" s="46">
        <v>173.0114278564659</v>
      </c>
      <c r="AP231" s="44">
        <v>0</v>
      </c>
      <c r="AQ231" s="44">
        <v>0</v>
      </c>
      <c r="AR231" s="41"/>
      <c r="AS231" s="40">
        <v>8.0919510193365449E-2</v>
      </c>
      <c r="AT231" s="41"/>
      <c r="AU231" s="41"/>
      <c r="AV231" s="23">
        <v>1.9090909090909089</v>
      </c>
      <c r="AW231" s="23">
        <v>2.545454545454545</v>
      </c>
      <c r="AX231" s="23">
        <v>0.63636363636363635</v>
      </c>
      <c r="AY231" s="23">
        <v>2.545454545454545</v>
      </c>
      <c r="AZ231" s="23">
        <v>0.25</v>
      </c>
      <c r="BA231" s="23">
        <v>0.33333333333333331</v>
      </c>
      <c r="BB231" s="23">
        <v>8.3333333333333329E-2</v>
      </c>
      <c r="BC231" s="23">
        <v>0.33333333333333331</v>
      </c>
      <c r="BD231" s="20">
        <v>0.82</v>
      </c>
      <c r="BE231" s="20">
        <v>3.44</v>
      </c>
      <c r="BF231" s="20">
        <v>2.62</v>
      </c>
      <c r="BG231" s="20">
        <v>2.6363636363636358</v>
      </c>
      <c r="BH231">
        <v>2.6363636363636371</v>
      </c>
      <c r="BI231">
        <v>6.0044088459090901</v>
      </c>
      <c r="BJ231" s="64">
        <v>0.5117218936152963</v>
      </c>
      <c r="BK231" s="64"/>
      <c r="BL231" s="64"/>
      <c r="BN231">
        <v>4.0459755096682717E-2</v>
      </c>
      <c r="BQ231">
        <v>8.0919510193365449E-2</v>
      </c>
      <c r="BR231">
        <v>4.0459755096682717E-2</v>
      </c>
      <c r="BS231">
        <v>0.5117218936152963</v>
      </c>
      <c r="BT231" s="68" t="s">
        <v>1264</v>
      </c>
      <c r="BU231" s="68">
        <v>1373</v>
      </c>
      <c r="BV231" s="68">
        <v>10</v>
      </c>
      <c r="BX231" s="68" t="s">
        <v>464</v>
      </c>
      <c r="BY231" s="68" t="s">
        <v>464</v>
      </c>
      <c r="BZ231" s="68">
        <v>0</v>
      </c>
      <c r="CB231" s="68">
        <v>1</v>
      </c>
      <c r="CC231" s="68">
        <v>0</v>
      </c>
      <c r="CD231" s="68" t="s">
        <v>464</v>
      </c>
      <c r="CE231" s="68" t="s">
        <v>464</v>
      </c>
      <c r="CF231" s="68" t="s">
        <v>1266</v>
      </c>
      <c r="CG231" s="68">
        <v>400</v>
      </c>
      <c r="CI231" s="68" t="s">
        <v>1287</v>
      </c>
      <c r="CK231" s="70">
        <v>10</v>
      </c>
    </row>
    <row r="232" spans="1:89" x14ac:dyDescent="0.3">
      <c r="A232" t="s">
        <v>138</v>
      </c>
      <c r="B232" t="s">
        <v>153</v>
      </c>
      <c r="C232" t="s">
        <v>4041</v>
      </c>
      <c r="D232" s="12"/>
      <c r="E232">
        <v>3.95</v>
      </c>
      <c r="F232" t="s">
        <v>135</v>
      </c>
      <c r="G232" s="99" t="s">
        <v>576</v>
      </c>
      <c r="H232">
        <v>-1</v>
      </c>
      <c r="I232" t="s">
        <v>1183</v>
      </c>
      <c r="J232" t="s">
        <v>1740</v>
      </c>
      <c r="L232" t="s">
        <v>1741</v>
      </c>
      <c r="M232" t="b">
        <v>1</v>
      </c>
      <c r="N232" t="b">
        <v>0</v>
      </c>
      <c r="O232" t="b">
        <v>1</v>
      </c>
      <c r="P232" t="b">
        <v>0</v>
      </c>
      <c r="Q232" t="s">
        <v>1945</v>
      </c>
      <c r="R232">
        <v>-1</v>
      </c>
      <c r="S232" t="s">
        <v>2195</v>
      </c>
      <c r="T232">
        <v>1</v>
      </c>
      <c r="U232" s="20">
        <v>0</v>
      </c>
      <c r="V232">
        <v>0</v>
      </c>
      <c r="W232">
        <v>1</v>
      </c>
      <c r="X232">
        <v>3.88</v>
      </c>
      <c r="Y232">
        <v>3.88</v>
      </c>
      <c r="Z232">
        <v>11.07</v>
      </c>
      <c r="AA232" t="s">
        <v>439</v>
      </c>
      <c r="AB232">
        <v>11.07</v>
      </c>
      <c r="AC232" s="20">
        <v>0</v>
      </c>
      <c r="AD232" s="20"/>
      <c r="AE232" s="20"/>
      <c r="AF232">
        <v>0</v>
      </c>
      <c r="AI232">
        <v>3.899</v>
      </c>
      <c r="AJ232">
        <v>3.899</v>
      </c>
      <c r="AK232">
        <v>11.292</v>
      </c>
      <c r="AL232">
        <v>2</v>
      </c>
      <c r="AM232">
        <v>14</v>
      </c>
      <c r="AN232" s="44">
        <f t="shared" si="34"/>
        <v>166.652208</v>
      </c>
      <c r="AO232" s="46">
        <v>0</v>
      </c>
      <c r="AP232" s="44">
        <v>0</v>
      </c>
      <c r="AQ232" s="44">
        <v>171.66325369200001</v>
      </c>
      <c r="AR232" s="41"/>
      <c r="AS232" s="40"/>
      <c r="AT232" s="41"/>
      <c r="AU232" s="41">
        <v>8.1555019486691915E-2</v>
      </c>
      <c r="AV232" s="23">
        <v>1.9090909090909089</v>
      </c>
      <c r="AW232" s="23">
        <v>2.545454545454545</v>
      </c>
      <c r="AX232" s="23">
        <v>0.63636363636363635</v>
      </c>
      <c r="AY232" s="23">
        <v>2.545454545454545</v>
      </c>
      <c r="AZ232" s="23">
        <v>0.25</v>
      </c>
      <c r="BA232" s="23">
        <v>0.33333333333333331</v>
      </c>
      <c r="BB232" s="23">
        <v>8.3333333333333329E-2</v>
      </c>
      <c r="BC232" s="23">
        <v>0.33333333333333331</v>
      </c>
      <c r="BD232" s="20">
        <v>0.79</v>
      </c>
      <c r="BE232" s="20">
        <v>3.44</v>
      </c>
      <c r="BF232" s="20">
        <v>2.65</v>
      </c>
      <c r="BG232" s="20">
        <v>2.6336363636363629</v>
      </c>
      <c r="BH232">
        <v>2.6336363636363642</v>
      </c>
      <c r="BI232">
        <v>5.9908857398831818</v>
      </c>
      <c r="BJ232" s="64"/>
      <c r="BK232" s="64"/>
      <c r="BL232" s="64">
        <v>0.54881524259093173</v>
      </c>
      <c r="BP232">
        <v>4.0777509743345958E-2</v>
      </c>
      <c r="BQ232">
        <v>8.1555019486691915E-2</v>
      </c>
      <c r="BR232">
        <v>4.0777509743345958E-2</v>
      </c>
      <c r="BS232">
        <v>0.54881524259093173</v>
      </c>
      <c r="BT232" s="68" t="s">
        <v>1264</v>
      </c>
      <c r="BU232" s="68">
        <v>1373</v>
      </c>
      <c r="BV232" s="68">
        <v>10</v>
      </c>
      <c r="BX232" s="68" t="s">
        <v>464</v>
      </c>
      <c r="BY232" s="68" t="s">
        <v>464</v>
      </c>
      <c r="BZ232" s="68">
        <v>0</v>
      </c>
      <c r="CB232" s="68">
        <v>1</v>
      </c>
      <c r="CC232" s="68">
        <v>0</v>
      </c>
      <c r="CD232" s="68" t="s">
        <v>464</v>
      </c>
      <c r="CE232" s="68" t="s">
        <v>464</v>
      </c>
      <c r="CF232" s="68" t="s">
        <v>1266</v>
      </c>
      <c r="CG232" s="68">
        <v>400</v>
      </c>
      <c r="CI232" s="68" t="s">
        <v>1287</v>
      </c>
      <c r="CK232" s="70">
        <v>15</v>
      </c>
    </row>
    <row r="233" spans="1:89" x14ac:dyDescent="0.3">
      <c r="A233" t="s">
        <v>139</v>
      </c>
      <c r="B233" t="s">
        <v>153</v>
      </c>
      <c r="C233" t="s">
        <v>4042</v>
      </c>
      <c r="D233" s="12"/>
      <c r="E233">
        <v>3.55</v>
      </c>
      <c r="F233" t="s">
        <v>135</v>
      </c>
      <c r="G233" s="74" t="s">
        <v>576</v>
      </c>
      <c r="H233">
        <v>-1</v>
      </c>
      <c r="J233" t="s">
        <v>1787</v>
      </c>
      <c r="M233" t="b">
        <v>1</v>
      </c>
      <c r="N233" t="b">
        <v>0</v>
      </c>
      <c r="O233" t="b">
        <v>0</v>
      </c>
      <c r="P233" t="b">
        <v>0</v>
      </c>
      <c r="Q233" t="s">
        <v>1946</v>
      </c>
      <c r="R233">
        <v>-1</v>
      </c>
      <c r="T233">
        <v>1</v>
      </c>
      <c r="U233" s="20">
        <v>0</v>
      </c>
      <c r="V233">
        <v>0</v>
      </c>
      <c r="W233">
        <v>0</v>
      </c>
      <c r="X233">
        <v>3.9</v>
      </c>
      <c r="Y233">
        <v>3.9</v>
      </c>
      <c r="Z233">
        <v>11.07</v>
      </c>
      <c r="AA233" t="s">
        <v>519</v>
      </c>
      <c r="AB233">
        <v>11.07</v>
      </c>
      <c r="AC233" s="20">
        <v>0</v>
      </c>
      <c r="AD233" s="20"/>
      <c r="AE233" s="20"/>
      <c r="AF233">
        <v>0</v>
      </c>
      <c r="AI233">
        <v>0</v>
      </c>
      <c r="AL233">
        <v>2</v>
      </c>
      <c r="AM233">
        <v>14</v>
      </c>
      <c r="AN233" s="44">
        <f t="shared" si="34"/>
        <v>168.37469999999999</v>
      </c>
      <c r="AO233" s="46">
        <v>0</v>
      </c>
      <c r="AP233" s="44">
        <v>0</v>
      </c>
      <c r="AQ233" s="44">
        <v>0</v>
      </c>
      <c r="AR233" s="41">
        <f>T233*AM233/AN233</f>
        <v>8.3147883856660179E-2</v>
      </c>
      <c r="AS233" s="40"/>
      <c r="AT233" s="41"/>
      <c r="AU233" s="41"/>
      <c r="AV233" s="23">
        <v>1.9090909090909089</v>
      </c>
      <c r="AW233" s="23">
        <v>2.545454545454545</v>
      </c>
      <c r="AX233" s="23">
        <v>0.54545454545454541</v>
      </c>
      <c r="AY233" s="23">
        <v>2.8181818181818179</v>
      </c>
      <c r="AZ233" s="23">
        <v>0.2441860465116279</v>
      </c>
      <c r="BA233" s="23">
        <v>0.32558139534883718</v>
      </c>
      <c r="BB233" s="23">
        <v>6.9767441860465115E-2</v>
      </c>
      <c r="BC233" s="23">
        <v>0.3604651162790698</v>
      </c>
      <c r="BD233" s="20">
        <v>1.1299999999999999</v>
      </c>
      <c r="BE233" s="20">
        <v>3.44</v>
      </c>
      <c r="BF233" s="20">
        <v>2.31</v>
      </c>
      <c r="BG233" s="20">
        <v>2.7645454545454542</v>
      </c>
      <c r="BH233">
        <v>2.7645454545454551</v>
      </c>
      <c r="BI233">
        <v>6.4196350590773639</v>
      </c>
      <c r="BJ233" s="64"/>
      <c r="BK233" s="64"/>
      <c r="BL233" s="64"/>
      <c r="BM233">
        <v>4.157394192833009E-2</v>
      </c>
      <c r="BQ233">
        <v>8.3147883856660179E-2</v>
      </c>
      <c r="BR233">
        <v>4.157394192833009E-2</v>
      </c>
      <c r="BS233">
        <v>0</v>
      </c>
      <c r="BT233" s="68" t="s">
        <v>1264</v>
      </c>
      <c r="BU233" s="68">
        <v>1373</v>
      </c>
      <c r="BV233" s="68">
        <v>10</v>
      </c>
      <c r="BX233" s="68" t="s">
        <v>464</v>
      </c>
      <c r="BY233" s="68" t="s">
        <v>464</v>
      </c>
      <c r="BZ233" s="68">
        <v>0</v>
      </c>
      <c r="CB233" s="68">
        <v>1</v>
      </c>
      <c r="CC233" s="68">
        <v>0</v>
      </c>
      <c r="CD233" s="68" t="s">
        <v>464</v>
      </c>
      <c r="CE233" s="68" t="s">
        <v>464</v>
      </c>
      <c r="CF233" s="68" t="s">
        <v>1266</v>
      </c>
      <c r="CG233" s="68">
        <v>400</v>
      </c>
      <c r="CI233" s="68" t="s">
        <v>1287</v>
      </c>
      <c r="CK233" s="70">
        <v>5</v>
      </c>
    </row>
    <row r="234" spans="1:89" x14ac:dyDescent="0.3">
      <c r="A234" t="s">
        <v>140</v>
      </c>
      <c r="B234" t="s">
        <v>153</v>
      </c>
      <c r="C234" t="s">
        <v>4043</v>
      </c>
      <c r="D234" s="12"/>
      <c r="E234">
        <v>3.55</v>
      </c>
      <c r="F234" t="s">
        <v>135</v>
      </c>
      <c r="G234" s="74" t="s">
        <v>576</v>
      </c>
      <c r="H234">
        <v>-1</v>
      </c>
      <c r="J234" t="s">
        <v>1788</v>
      </c>
      <c r="M234" t="b">
        <v>1</v>
      </c>
      <c r="N234" t="b">
        <v>0</v>
      </c>
      <c r="O234" t="b">
        <v>0</v>
      </c>
      <c r="P234" t="b">
        <v>0</v>
      </c>
      <c r="Q234" t="s">
        <v>1947</v>
      </c>
      <c r="R234">
        <v>-1</v>
      </c>
      <c r="T234">
        <v>1</v>
      </c>
      <c r="U234" s="20">
        <v>0</v>
      </c>
      <c r="V234">
        <v>0</v>
      </c>
      <c r="W234">
        <v>0</v>
      </c>
      <c r="X234">
        <v>3.88</v>
      </c>
      <c r="Y234">
        <v>3.88</v>
      </c>
      <c r="Z234">
        <v>11.297000000000001</v>
      </c>
      <c r="AA234" t="s">
        <v>439</v>
      </c>
      <c r="AB234">
        <v>11.297000000000001</v>
      </c>
      <c r="AC234" s="20">
        <v>0</v>
      </c>
      <c r="AD234" s="20"/>
      <c r="AE234" s="20"/>
      <c r="AF234">
        <v>0</v>
      </c>
      <c r="AI234">
        <v>0</v>
      </c>
      <c r="AL234">
        <v>2</v>
      </c>
      <c r="AM234">
        <v>14</v>
      </c>
      <c r="AN234" s="44">
        <f t="shared" si="34"/>
        <v>170.06955680000002</v>
      </c>
      <c r="AO234" s="46">
        <v>0</v>
      </c>
      <c r="AP234" s="44">
        <v>0</v>
      </c>
      <c r="AQ234" s="44">
        <v>0</v>
      </c>
      <c r="AR234" s="41">
        <f>T234*AM234/AN234</f>
        <v>8.2319259621896068E-2</v>
      </c>
      <c r="AS234" s="40"/>
      <c r="AT234" s="41"/>
      <c r="AU234" s="41"/>
      <c r="AV234" s="23">
        <v>1.9090909090909089</v>
      </c>
      <c r="AW234" s="23">
        <v>2.545454545454545</v>
      </c>
      <c r="AX234" s="23">
        <v>0.54545454545454541</v>
      </c>
      <c r="AY234" s="23">
        <v>2.8181818181818179</v>
      </c>
      <c r="AZ234" s="23">
        <v>0.2441860465116279</v>
      </c>
      <c r="BA234" s="23">
        <v>0.32558139534883718</v>
      </c>
      <c r="BB234" s="23">
        <v>6.9767441860465115E-2</v>
      </c>
      <c r="BC234" s="23">
        <v>0.3604651162790698</v>
      </c>
      <c r="BD234" s="20">
        <v>0.93</v>
      </c>
      <c r="BE234" s="20">
        <v>3.44</v>
      </c>
      <c r="BF234" s="20">
        <v>2.5099999999999998</v>
      </c>
      <c r="BG234" s="20">
        <v>2.6490909090909089</v>
      </c>
      <c r="BH234">
        <v>2.6490909090909081</v>
      </c>
      <c r="BI234">
        <v>6.0257246322727269</v>
      </c>
      <c r="BJ234" s="64"/>
      <c r="BK234" s="64"/>
      <c r="BL234" s="64"/>
      <c r="BM234">
        <v>4.1159629810948027E-2</v>
      </c>
      <c r="BQ234">
        <v>8.2319259621896068E-2</v>
      </c>
      <c r="BR234">
        <v>4.1159629810948027E-2</v>
      </c>
      <c r="BS234">
        <v>0</v>
      </c>
      <c r="BT234" s="68" t="s">
        <v>1264</v>
      </c>
      <c r="BU234" s="68">
        <v>1373</v>
      </c>
      <c r="BV234" s="68">
        <v>10</v>
      </c>
      <c r="BX234" s="68" t="s">
        <v>464</v>
      </c>
      <c r="BY234" s="68" t="s">
        <v>464</v>
      </c>
      <c r="BZ234" s="68">
        <v>0</v>
      </c>
      <c r="CB234" s="68">
        <v>1</v>
      </c>
      <c r="CC234" s="68">
        <v>0</v>
      </c>
      <c r="CD234" s="68" t="s">
        <v>464</v>
      </c>
      <c r="CE234" s="68" t="s">
        <v>464</v>
      </c>
      <c r="CF234" s="68" t="s">
        <v>1266</v>
      </c>
      <c r="CG234" s="68">
        <v>400</v>
      </c>
      <c r="CI234" s="68" t="s">
        <v>1287</v>
      </c>
      <c r="CK234" s="70">
        <v>5</v>
      </c>
    </row>
    <row r="235" spans="1:89" x14ac:dyDescent="0.3">
      <c r="A235" t="s">
        <v>11</v>
      </c>
      <c r="B235" t="s">
        <v>153</v>
      </c>
      <c r="C235" t="s">
        <v>3934</v>
      </c>
      <c r="D235" s="12"/>
      <c r="E235">
        <v>3.55</v>
      </c>
      <c r="F235" t="s">
        <v>135</v>
      </c>
      <c r="G235" s="74" t="s">
        <v>576</v>
      </c>
      <c r="H235">
        <v>-1</v>
      </c>
      <c r="I235" t="s">
        <v>1144</v>
      </c>
      <c r="J235" t="s">
        <v>1789</v>
      </c>
      <c r="M235" t="b">
        <v>1</v>
      </c>
      <c r="N235" t="b">
        <v>0</v>
      </c>
      <c r="O235" t="b">
        <v>1</v>
      </c>
      <c r="P235" t="b">
        <v>0</v>
      </c>
      <c r="Q235" t="s">
        <v>1948</v>
      </c>
      <c r="R235">
        <v>-1</v>
      </c>
      <c r="S235" t="s">
        <v>1144</v>
      </c>
      <c r="T235">
        <v>1</v>
      </c>
      <c r="U235" s="20">
        <v>0</v>
      </c>
      <c r="V235">
        <v>0</v>
      </c>
      <c r="W235">
        <v>1</v>
      </c>
      <c r="X235">
        <v>3.88</v>
      </c>
      <c r="Y235">
        <v>3.88</v>
      </c>
      <c r="Z235">
        <v>10.647</v>
      </c>
      <c r="AA235" t="s">
        <v>439</v>
      </c>
      <c r="AB235">
        <v>10.647</v>
      </c>
      <c r="AC235" s="20">
        <v>0</v>
      </c>
      <c r="AD235" s="20"/>
      <c r="AE235" s="20"/>
      <c r="AF235">
        <v>0</v>
      </c>
      <c r="AI235">
        <v>3.8653</v>
      </c>
      <c r="AJ235">
        <v>3.8653</v>
      </c>
      <c r="AK235">
        <v>11.0131</v>
      </c>
      <c r="AL235">
        <v>2</v>
      </c>
      <c r="AM235">
        <v>14</v>
      </c>
      <c r="AN235" s="44">
        <f t="shared" si="34"/>
        <v>160.28419679999999</v>
      </c>
      <c r="AO235" s="46">
        <v>0</v>
      </c>
      <c r="AP235" s="44">
        <v>0</v>
      </c>
      <c r="AQ235" s="44">
        <v>164.541706117579</v>
      </c>
      <c r="AR235" s="41">
        <f>T235*AM235/AN235</f>
        <v>8.7344855447408651E-2</v>
      </c>
      <c r="AS235" s="40"/>
      <c r="AT235" s="41"/>
      <c r="AU235" s="41">
        <v>8.5084811202795069E-2</v>
      </c>
      <c r="AV235" s="23">
        <v>1.9090909090909089</v>
      </c>
      <c r="AW235" s="23">
        <v>2.545454545454545</v>
      </c>
      <c r="AX235" s="23">
        <v>0.54545454545454541</v>
      </c>
      <c r="AY235" s="23">
        <v>2.8181818181818179</v>
      </c>
      <c r="AZ235" s="23">
        <v>0.2441860465116279</v>
      </c>
      <c r="BA235" s="23">
        <v>0.32558139534883718</v>
      </c>
      <c r="BB235" s="23">
        <v>6.9767441860465115E-2</v>
      </c>
      <c r="BC235" s="23">
        <v>0.3604651162790698</v>
      </c>
      <c r="BD235" s="20">
        <v>0.82</v>
      </c>
      <c r="BE235" s="20">
        <v>3.44</v>
      </c>
      <c r="BF235" s="20">
        <v>2.62</v>
      </c>
      <c r="BG235" s="20">
        <v>2.6390909090909092</v>
      </c>
      <c r="BH235">
        <v>2.6390909090909092</v>
      </c>
      <c r="BI235">
        <v>5.9791810459090904</v>
      </c>
      <c r="BJ235" s="64"/>
      <c r="BK235" s="64"/>
      <c r="BL235" s="64">
        <v>0.53381265134868672</v>
      </c>
      <c r="BM235">
        <v>4.3672427723704332E-2</v>
      </c>
      <c r="BP235">
        <v>4.2542405601397527E-2</v>
      </c>
      <c r="BQ235">
        <v>8.6214833325101853E-2</v>
      </c>
      <c r="BR235">
        <v>4.3107416662550933E-2</v>
      </c>
      <c r="BS235">
        <v>0.53381265134868672</v>
      </c>
      <c r="BT235" s="68" t="s">
        <v>1264</v>
      </c>
      <c r="BU235" s="68">
        <v>1373</v>
      </c>
      <c r="BV235" s="68">
        <v>10</v>
      </c>
      <c r="BX235" s="68" t="s">
        <v>464</v>
      </c>
      <c r="BY235" s="68" t="s">
        <v>464</v>
      </c>
      <c r="BZ235" s="68">
        <v>0</v>
      </c>
      <c r="CB235" s="68">
        <v>1</v>
      </c>
      <c r="CC235" s="68">
        <v>0</v>
      </c>
      <c r="CD235" s="68" t="s">
        <v>464</v>
      </c>
      <c r="CE235" s="68" t="s">
        <v>464</v>
      </c>
      <c r="CF235" s="68" t="s">
        <v>1266</v>
      </c>
      <c r="CG235" s="68">
        <v>400</v>
      </c>
      <c r="CI235" s="68" t="s">
        <v>1287</v>
      </c>
      <c r="CK235" s="70">
        <v>5</v>
      </c>
    </row>
    <row r="236" spans="1:89" x14ac:dyDescent="0.3">
      <c r="A236" t="s">
        <v>141</v>
      </c>
      <c r="B236" t="s">
        <v>153</v>
      </c>
      <c r="C236" t="s">
        <v>4044</v>
      </c>
      <c r="D236" s="12"/>
      <c r="E236">
        <v>3.55</v>
      </c>
      <c r="F236" t="s">
        <v>135</v>
      </c>
      <c r="G236" s="74" t="s">
        <v>576</v>
      </c>
      <c r="H236">
        <v>-1</v>
      </c>
      <c r="I236" t="s">
        <v>1183</v>
      </c>
      <c r="J236" t="s">
        <v>1790</v>
      </c>
      <c r="L236" s="1" t="s">
        <v>1742</v>
      </c>
      <c r="M236" t="b">
        <v>1</v>
      </c>
      <c r="N236" t="b">
        <v>0</v>
      </c>
      <c r="O236" t="b">
        <v>1</v>
      </c>
      <c r="P236" t="b">
        <v>0</v>
      </c>
      <c r="Q236" t="s">
        <v>1949</v>
      </c>
      <c r="R236">
        <v>-1</v>
      </c>
      <c r="S236" t="s">
        <v>2196</v>
      </c>
      <c r="T236">
        <v>1</v>
      </c>
      <c r="U236" s="20">
        <v>0</v>
      </c>
      <c r="V236">
        <v>0</v>
      </c>
      <c r="W236">
        <v>0</v>
      </c>
      <c r="X236">
        <v>3.88</v>
      </c>
      <c r="Y236">
        <v>3.88</v>
      </c>
      <c r="Z236">
        <v>11.066000000000001</v>
      </c>
      <c r="AA236" t="s">
        <v>439</v>
      </c>
      <c r="AB236">
        <v>11.066000000000001</v>
      </c>
      <c r="AC236" s="20">
        <v>0</v>
      </c>
      <c r="AD236" s="20"/>
      <c r="AE236" s="20"/>
      <c r="AF236">
        <v>0</v>
      </c>
      <c r="AI236">
        <v>0</v>
      </c>
      <c r="AL236">
        <v>2</v>
      </c>
      <c r="AM236">
        <v>14</v>
      </c>
      <c r="AN236" s="44">
        <f t="shared" si="34"/>
        <v>166.59199040000001</v>
      </c>
      <c r="AO236" s="46">
        <v>0</v>
      </c>
      <c r="AP236" s="44">
        <v>0</v>
      </c>
      <c r="AQ236" s="44">
        <v>0</v>
      </c>
      <c r="AR236" s="41">
        <f>T236*AM236/AN236</f>
        <v>8.4037653709430671E-2</v>
      </c>
      <c r="AS236" s="40"/>
      <c r="AT236" s="41"/>
      <c r="AU236" s="41"/>
      <c r="AV236" s="23">
        <v>1.9090909090909089</v>
      </c>
      <c r="AW236" s="23">
        <v>2.545454545454545</v>
      </c>
      <c r="AX236" s="23">
        <v>0.54545454545454541</v>
      </c>
      <c r="AY236" s="23">
        <v>2.8181818181818179</v>
      </c>
      <c r="AZ236" s="23">
        <v>0.2441860465116279</v>
      </c>
      <c r="BA236" s="23">
        <v>0.32558139534883718</v>
      </c>
      <c r="BB236" s="23">
        <v>6.9767441860465115E-2</v>
      </c>
      <c r="BC236" s="23">
        <v>0.3604651162790698</v>
      </c>
      <c r="BD236" s="20">
        <v>0.79</v>
      </c>
      <c r="BE236" s="20">
        <v>3.44</v>
      </c>
      <c r="BF236" s="20">
        <v>2.65</v>
      </c>
      <c r="BG236" s="20">
        <v>2.6363636363636358</v>
      </c>
      <c r="BH236">
        <v>2.6363636363636358</v>
      </c>
      <c r="BI236">
        <v>5.9656579398831813</v>
      </c>
      <c r="BJ236" s="64"/>
      <c r="BK236" s="64"/>
      <c r="BL236" s="64"/>
      <c r="BM236">
        <v>4.2018826854715342E-2</v>
      </c>
      <c r="BQ236">
        <v>8.4037653709430671E-2</v>
      </c>
      <c r="BR236">
        <v>4.2018826854715342E-2</v>
      </c>
      <c r="BS236">
        <v>0</v>
      </c>
      <c r="BT236" s="68" t="s">
        <v>1264</v>
      </c>
      <c r="BU236" s="68">
        <v>1373</v>
      </c>
      <c r="BV236" s="68">
        <v>10</v>
      </c>
      <c r="BX236" s="68" t="s">
        <v>464</v>
      </c>
      <c r="BY236" s="68" t="s">
        <v>464</v>
      </c>
      <c r="BZ236" s="68">
        <v>0</v>
      </c>
      <c r="CB236" s="68">
        <v>1</v>
      </c>
      <c r="CC236" s="68">
        <v>0</v>
      </c>
      <c r="CD236" s="68" t="s">
        <v>464</v>
      </c>
      <c r="CE236" s="68" t="s">
        <v>464</v>
      </c>
      <c r="CF236" s="68" t="s">
        <v>1266</v>
      </c>
      <c r="CG236" s="68">
        <v>400</v>
      </c>
      <c r="CI236" s="68" t="s">
        <v>1287</v>
      </c>
      <c r="CK236" s="70">
        <v>5</v>
      </c>
    </row>
    <row r="237" spans="1:89" x14ac:dyDescent="0.3">
      <c r="A237" t="s">
        <v>142</v>
      </c>
      <c r="B237" t="s">
        <v>153</v>
      </c>
      <c r="C237" t="s">
        <v>4045</v>
      </c>
      <c r="D237" s="12"/>
      <c r="E237">
        <v>4.2</v>
      </c>
      <c r="F237" t="s">
        <v>135</v>
      </c>
      <c r="G237" s="74" t="s">
        <v>576</v>
      </c>
      <c r="H237">
        <v>-1</v>
      </c>
      <c r="J237" t="s">
        <v>1791</v>
      </c>
      <c r="M237" t="b">
        <v>1</v>
      </c>
      <c r="N237" t="b">
        <v>0</v>
      </c>
      <c r="O237" t="b">
        <v>0</v>
      </c>
      <c r="P237" t="b">
        <v>0</v>
      </c>
      <c r="Q237" t="s">
        <v>1951</v>
      </c>
      <c r="R237">
        <v>-1</v>
      </c>
      <c r="T237">
        <v>1</v>
      </c>
      <c r="U237" s="20">
        <v>0</v>
      </c>
      <c r="V237">
        <v>0</v>
      </c>
      <c r="W237">
        <v>0</v>
      </c>
      <c r="X237">
        <v>3.92</v>
      </c>
      <c r="Y237">
        <v>3.92</v>
      </c>
      <c r="Z237">
        <v>11.065</v>
      </c>
      <c r="AA237" t="s">
        <v>439</v>
      </c>
      <c r="AB237">
        <v>11.065</v>
      </c>
      <c r="AC237" s="20">
        <v>0</v>
      </c>
      <c r="AD237" s="20"/>
      <c r="AE237" s="20"/>
      <c r="AF237">
        <v>0</v>
      </c>
      <c r="AI237">
        <v>0</v>
      </c>
      <c r="AL237">
        <v>2</v>
      </c>
      <c r="AM237">
        <v>14</v>
      </c>
      <c r="AN237" s="44">
        <f t="shared" si="34"/>
        <v>170.02921599999999</v>
      </c>
      <c r="AO237" s="46">
        <v>0</v>
      </c>
      <c r="AP237" s="44">
        <v>0</v>
      </c>
      <c r="AQ237" s="44">
        <v>0</v>
      </c>
      <c r="AR237" s="41">
        <f t="shared" ref="AR237:AR244" si="35">T237*AM237/AN237</f>
        <v>8.2338790528799485E-2</v>
      </c>
      <c r="AS237" s="40"/>
      <c r="AT237" s="41"/>
      <c r="AU237" s="41"/>
      <c r="AV237" s="23">
        <v>1.9090909090909089</v>
      </c>
      <c r="AW237" s="23">
        <v>2.545454545454545</v>
      </c>
      <c r="AX237" s="23">
        <v>0.54545454545454541</v>
      </c>
      <c r="AY237" s="23">
        <v>2.9090909090909092</v>
      </c>
      <c r="AZ237" s="23">
        <v>0.2413793103448276</v>
      </c>
      <c r="BA237" s="23">
        <v>0.32183908045977011</v>
      </c>
      <c r="BB237" s="23">
        <v>6.8965517241379309E-2</v>
      </c>
      <c r="BC237" s="23">
        <v>0.36781609195402298</v>
      </c>
      <c r="BD237" s="20">
        <v>1.1399999999999999</v>
      </c>
      <c r="BE237" s="20">
        <v>3.44</v>
      </c>
      <c r="BF237" s="20">
        <v>2.2999999999999998</v>
      </c>
      <c r="BG237" s="20">
        <v>2.7654545454545452</v>
      </c>
      <c r="BH237">
        <v>2.7654545454545461</v>
      </c>
      <c r="BI237">
        <v>6.4215922727137267</v>
      </c>
      <c r="BJ237" s="64"/>
      <c r="BK237" s="64"/>
      <c r="BL237" s="64"/>
      <c r="BM237">
        <v>4.1169395264399743E-2</v>
      </c>
      <c r="BQ237">
        <v>8.2338790528799485E-2</v>
      </c>
      <c r="BR237">
        <v>4.1169395264399743E-2</v>
      </c>
      <c r="BS237">
        <v>0</v>
      </c>
      <c r="BT237" s="68" t="s">
        <v>1264</v>
      </c>
      <c r="BU237" s="68">
        <v>1373</v>
      </c>
      <c r="BV237" s="68">
        <v>10</v>
      </c>
      <c r="BX237" s="68" t="s">
        <v>464</v>
      </c>
      <c r="BY237" s="68" t="s">
        <v>464</v>
      </c>
      <c r="BZ237" s="68">
        <v>0</v>
      </c>
      <c r="CB237" s="68">
        <v>1</v>
      </c>
      <c r="CC237" s="68">
        <v>0</v>
      </c>
      <c r="CD237" s="68" t="s">
        <v>464</v>
      </c>
      <c r="CE237" s="68" t="s">
        <v>464</v>
      </c>
      <c r="CF237" s="68" t="s">
        <v>1266</v>
      </c>
      <c r="CG237" s="68">
        <v>400</v>
      </c>
      <c r="CI237" s="68" t="s">
        <v>1287</v>
      </c>
      <c r="CK237" s="70">
        <v>10</v>
      </c>
    </row>
    <row r="238" spans="1:89" x14ac:dyDescent="0.3">
      <c r="A238" t="s">
        <v>143</v>
      </c>
      <c r="B238" t="s">
        <v>153</v>
      </c>
      <c r="C238" t="s">
        <v>4046</v>
      </c>
      <c r="D238" s="12"/>
      <c r="E238">
        <v>4.1500000000000004</v>
      </c>
      <c r="F238" t="s">
        <v>135</v>
      </c>
      <c r="G238" s="74" t="s">
        <v>576</v>
      </c>
      <c r="H238">
        <v>-1</v>
      </c>
      <c r="J238" t="s">
        <v>1792</v>
      </c>
      <c r="M238" t="b">
        <v>1</v>
      </c>
      <c r="N238" t="b">
        <v>0</v>
      </c>
      <c r="O238" t="b">
        <v>0</v>
      </c>
      <c r="P238" t="b">
        <v>0</v>
      </c>
      <c r="Q238" t="s">
        <v>1952</v>
      </c>
      <c r="R238">
        <v>-1</v>
      </c>
      <c r="T238">
        <v>1</v>
      </c>
      <c r="U238" s="20">
        <v>0</v>
      </c>
      <c r="V238">
        <v>0</v>
      </c>
      <c r="W238">
        <v>0</v>
      </c>
      <c r="X238">
        <v>3.92</v>
      </c>
      <c r="Y238">
        <v>3.92</v>
      </c>
      <c r="Z238">
        <v>11.7911</v>
      </c>
      <c r="AA238" t="s">
        <v>439</v>
      </c>
      <c r="AB238">
        <v>11.7911</v>
      </c>
      <c r="AC238" s="20">
        <v>0</v>
      </c>
      <c r="AD238" s="20"/>
      <c r="AE238" s="20"/>
      <c r="AF238">
        <v>0</v>
      </c>
      <c r="AI238">
        <v>0</v>
      </c>
      <c r="AL238">
        <v>2</v>
      </c>
      <c r="AM238">
        <v>14</v>
      </c>
      <c r="AN238" s="44">
        <f t="shared" si="34"/>
        <v>181.18675904</v>
      </c>
      <c r="AO238" s="46">
        <v>0</v>
      </c>
      <c r="AP238" s="44">
        <v>0</v>
      </c>
      <c r="AQ238" s="44">
        <v>0</v>
      </c>
      <c r="AR238" s="41">
        <f t="shared" si="35"/>
        <v>7.7268339442559744E-2</v>
      </c>
      <c r="AS238" s="40"/>
      <c r="AT238" s="41"/>
      <c r="AU238" s="41"/>
      <c r="AV238" s="23">
        <v>1.9090909090909089</v>
      </c>
      <c r="AW238" s="23">
        <v>2.545454545454545</v>
      </c>
      <c r="AX238" s="23">
        <v>0.54545454545454541</v>
      </c>
      <c r="AY238" s="23">
        <v>2.9090909090909092</v>
      </c>
      <c r="AZ238" s="23">
        <v>0.2413793103448276</v>
      </c>
      <c r="BA238" s="23">
        <v>0.32183908045977011</v>
      </c>
      <c r="BB238" s="23">
        <v>6.8965517241379309E-2</v>
      </c>
      <c r="BC238" s="23">
        <v>0.36781609195402298</v>
      </c>
      <c r="BD238" s="20">
        <v>0.93</v>
      </c>
      <c r="BE238" s="20">
        <v>3.44</v>
      </c>
      <c r="BF238" s="20">
        <v>2.5099999999999998</v>
      </c>
      <c r="BG238" s="20">
        <v>2.65</v>
      </c>
      <c r="BH238">
        <v>2.649999999999999</v>
      </c>
      <c r="BI238">
        <v>6.0276818459090906</v>
      </c>
      <c r="BJ238" s="64"/>
      <c r="BK238" s="64"/>
      <c r="BL238" s="64"/>
      <c r="BM238">
        <v>3.8634169721279872E-2</v>
      </c>
      <c r="BQ238">
        <v>7.7268339442559744E-2</v>
      </c>
      <c r="BR238">
        <v>3.8634169721279872E-2</v>
      </c>
      <c r="BS238">
        <v>0</v>
      </c>
      <c r="BT238" s="68" t="s">
        <v>1264</v>
      </c>
      <c r="BU238" s="68">
        <v>1373</v>
      </c>
      <c r="BV238" s="68">
        <v>10</v>
      </c>
      <c r="BX238" s="68" t="s">
        <v>464</v>
      </c>
      <c r="BY238" s="68" t="s">
        <v>464</v>
      </c>
      <c r="BZ238" s="68">
        <v>0</v>
      </c>
      <c r="CB238" s="68">
        <v>1</v>
      </c>
      <c r="CC238" s="68">
        <v>0</v>
      </c>
      <c r="CD238" s="68" t="s">
        <v>464</v>
      </c>
      <c r="CE238" s="68" t="s">
        <v>464</v>
      </c>
      <c r="CF238" s="68" t="s">
        <v>1266</v>
      </c>
      <c r="CG238" s="68">
        <v>400</v>
      </c>
      <c r="CI238" s="68" t="s">
        <v>1287</v>
      </c>
      <c r="CK238" s="70">
        <v>15</v>
      </c>
    </row>
    <row r="239" spans="1:89" x14ac:dyDescent="0.3">
      <c r="A239" t="s">
        <v>12</v>
      </c>
      <c r="B239" t="s">
        <v>153</v>
      </c>
      <c r="C239" t="s">
        <v>3935</v>
      </c>
      <c r="D239" s="12"/>
      <c r="E239">
        <v>4.1500000000000004</v>
      </c>
      <c r="F239" t="s">
        <v>135</v>
      </c>
      <c r="G239" s="74" t="s">
        <v>576</v>
      </c>
      <c r="H239">
        <v>-1</v>
      </c>
      <c r="J239" t="s">
        <v>1793</v>
      </c>
      <c r="M239" t="b">
        <v>1</v>
      </c>
      <c r="N239" t="b">
        <v>0</v>
      </c>
      <c r="O239" t="b">
        <v>0</v>
      </c>
      <c r="P239" t="b">
        <v>0</v>
      </c>
      <c r="Q239" t="s">
        <v>1954</v>
      </c>
      <c r="R239">
        <v>-1</v>
      </c>
      <c r="T239">
        <v>1</v>
      </c>
      <c r="U239" s="20">
        <v>0</v>
      </c>
      <c r="V239">
        <v>0</v>
      </c>
      <c r="W239">
        <v>0</v>
      </c>
      <c r="X239">
        <v>3.92</v>
      </c>
      <c r="Y239">
        <v>3.92</v>
      </c>
      <c r="Z239">
        <v>11.5395</v>
      </c>
      <c r="AA239" t="s">
        <v>439</v>
      </c>
      <c r="AB239">
        <v>11.5395</v>
      </c>
      <c r="AC239" s="20">
        <v>0</v>
      </c>
      <c r="AD239" s="20"/>
      <c r="AE239" s="20"/>
      <c r="AF239">
        <v>0</v>
      </c>
      <c r="AI239">
        <v>0</v>
      </c>
      <c r="AL239">
        <v>2</v>
      </c>
      <c r="AM239">
        <v>14</v>
      </c>
      <c r="AN239" s="44">
        <f t="shared" si="34"/>
        <v>177.32057279999998</v>
      </c>
      <c r="AO239" s="46">
        <v>0</v>
      </c>
      <c r="AP239" s="44">
        <v>0</v>
      </c>
      <c r="AQ239" s="44">
        <v>0</v>
      </c>
      <c r="AR239" s="41">
        <f t="shared" si="35"/>
        <v>7.8953049716293272E-2</v>
      </c>
      <c r="AS239" s="40"/>
      <c r="AT239" s="41"/>
      <c r="AU239" s="41"/>
      <c r="AV239" s="23">
        <v>1.9090909090909089</v>
      </c>
      <c r="AW239" s="23">
        <v>2.545454545454545</v>
      </c>
      <c r="AX239" s="23">
        <v>0.54545454545454541</v>
      </c>
      <c r="AY239" s="23">
        <v>2.9090909090909092</v>
      </c>
      <c r="AZ239" s="23">
        <v>0.2413793103448276</v>
      </c>
      <c r="BA239" s="23">
        <v>0.32183908045977011</v>
      </c>
      <c r="BB239" s="23">
        <v>6.8965517241379309E-2</v>
      </c>
      <c r="BC239" s="23">
        <v>0.36781609195402298</v>
      </c>
      <c r="BD239" s="20">
        <v>0.82</v>
      </c>
      <c r="BE239" s="20">
        <v>3.44</v>
      </c>
      <c r="BF239" s="20">
        <v>2.62</v>
      </c>
      <c r="BG239" s="20">
        <v>2.64</v>
      </c>
      <c r="BH239">
        <v>2.64</v>
      </c>
      <c r="BI239">
        <v>5.9811382595454541</v>
      </c>
      <c r="BJ239" s="64"/>
      <c r="BK239" s="64"/>
      <c r="BL239" s="64"/>
      <c r="BM239">
        <v>3.9476524858146643E-2</v>
      </c>
      <c r="BQ239">
        <v>7.8953049716293272E-2</v>
      </c>
      <c r="BR239">
        <v>3.9476524858146643E-2</v>
      </c>
      <c r="BS239">
        <v>0</v>
      </c>
      <c r="BT239" s="68" t="s">
        <v>1264</v>
      </c>
      <c r="BU239" s="68">
        <v>1373</v>
      </c>
      <c r="BV239" s="68">
        <v>10</v>
      </c>
      <c r="BX239" s="68" t="s">
        <v>464</v>
      </c>
      <c r="BY239" s="68" t="s">
        <v>464</v>
      </c>
      <c r="BZ239" s="68">
        <v>0</v>
      </c>
      <c r="CB239" s="68">
        <v>1</v>
      </c>
      <c r="CC239" s="68">
        <v>0</v>
      </c>
      <c r="CD239" s="68" t="s">
        <v>464</v>
      </c>
      <c r="CE239" s="68" t="s">
        <v>464</v>
      </c>
      <c r="CF239" s="68" t="s">
        <v>1266</v>
      </c>
      <c r="CG239" s="68">
        <v>400</v>
      </c>
      <c r="CI239" s="68" t="s">
        <v>1287</v>
      </c>
      <c r="CK239" s="70">
        <v>235</v>
      </c>
    </row>
    <row r="240" spans="1:89" x14ac:dyDescent="0.3">
      <c r="A240" t="s">
        <v>144</v>
      </c>
      <c r="B240" t="s">
        <v>153</v>
      </c>
      <c r="C240" t="s">
        <v>4047</v>
      </c>
      <c r="D240" s="12"/>
      <c r="E240">
        <v>4.1500000000000004</v>
      </c>
      <c r="F240" t="s">
        <v>135</v>
      </c>
      <c r="G240" s="74" t="s">
        <v>576</v>
      </c>
      <c r="H240">
        <v>-1</v>
      </c>
      <c r="I240" t="s">
        <v>1183</v>
      </c>
      <c r="J240" t="s">
        <v>1794</v>
      </c>
      <c r="M240" t="b">
        <v>1</v>
      </c>
      <c r="N240" t="b">
        <v>0</v>
      </c>
      <c r="O240" t="b">
        <v>1</v>
      </c>
      <c r="P240" t="b">
        <v>0</v>
      </c>
      <c r="Q240" t="s">
        <v>1956</v>
      </c>
      <c r="R240">
        <v>-1</v>
      </c>
      <c r="S240" t="s">
        <v>1183</v>
      </c>
      <c r="T240">
        <v>1</v>
      </c>
      <c r="U240" s="20">
        <v>0</v>
      </c>
      <c r="V240">
        <v>0</v>
      </c>
      <c r="W240">
        <v>0</v>
      </c>
      <c r="X240">
        <v>3.84</v>
      </c>
      <c r="Y240">
        <v>3.84</v>
      </c>
      <c r="Z240">
        <v>11.5395</v>
      </c>
      <c r="AA240" t="s">
        <v>439</v>
      </c>
      <c r="AB240">
        <v>11.5395</v>
      </c>
      <c r="AC240" s="20">
        <v>0</v>
      </c>
      <c r="AD240" s="20"/>
      <c r="AE240" s="20"/>
      <c r="AF240">
        <v>0</v>
      </c>
      <c r="AI240">
        <v>0</v>
      </c>
      <c r="AL240">
        <v>2</v>
      </c>
      <c r="AM240">
        <v>14</v>
      </c>
      <c r="AN240" s="44">
        <f t="shared" si="34"/>
        <v>170.15685120000001</v>
      </c>
      <c r="AO240" s="46">
        <v>0</v>
      </c>
      <c r="AP240" s="44">
        <v>0</v>
      </c>
      <c r="AQ240" s="44">
        <v>0</v>
      </c>
      <c r="AR240" s="41">
        <f t="shared" si="35"/>
        <v>8.2277027937855962E-2</v>
      </c>
      <c r="AS240" s="40"/>
      <c r="AT240" s="41"/>
      <c r="AU240" s="41"/>
      <c r="AV240" s="23">
        <v>1.9090909090909089</v>
      </c>
      <c r="AW240" s="23">
        <v>2.545454545454545</v>
      </c>
      <c r="AX240" s="23">
        <v>0.54545454545454541</v>
      </c>
      <c r="AY240" s="23">
        <v>2.9090909090909092</v>
      </c>
      <c r="AZ240" s="23">
        <v>0.2413793103448276</v>
      </c>
      <c r="BA240" s="23">
        <v>0.32183908045977011</v>
      </c>
      <c r="BB240" s="23">
        <v>6.8965517241379309E-2</v>
      </c>
      <c r="BC240" s="23">
        <v>0.36781609195402298</v>
      </c>
      <c r="BD240" s="20">
        <v>0.79</v>
      </c>
      <c r="BE240" s="20">
        <v>3.44</v>
      </c>
      <c r="BF240" s="20">
        <v>2.65</v>
      </c>
      <c r="BG240" s="20">
        <v>2.6372727272727272</v>
      </c>
      <c r="BH240">
        <v>2.6372727272727272</v>
      </c>
      <c r="BI240">
        <v>5.967615153519545</v>
      </c>
      <c r="BJ240" s="64"/>
      <c r="BK240" s="64"/>
      <c r="BL240" s="64"/>
      <c r="BM240">
        <v>4.1138513968927981E-2</v>
      </c>
      <c r="BQ240">
        <v>8.2277027937855962E-2</v>
      </c>
      <c r="BR240">
        <v>4.1138513968927981E-2</v>
      </c>
      <c r="BS240">
        <v>0</v>
      </c>
      <c r="BT240" s="68" t="s">
        <v>1264</v>
      </c>
      <c r="BU240" s="68">
        <v>1373</v>
      </c>
      <c r="BV240" s="68">
        <v>10</v>
      </c>
      <c r="BX240" s="68" t="s">
        <v>464</v>
      </c>
      <c r="BY240" s="68" t="s">
        <v>464</v>
      </c>
      <c r="BZ240" s="68">
        <v>0</v>
      </c>
      <c r="CB240" s="68">
        <v>1</v>
      </c>
      <c r="CC240" s="68">
        <v>0</v>
      </c>
      <c r="CD240" s="68" t="s">
        <v>464</v>
      </c>
      <c r="CE240" s="68" t="s">
        <v>464</v>
      </c>
      <c r="CF240" s="68" t="s">
        <v>1266</v>
      </c>
      <c r="CG240" s="68">
        <v>400</v>
      </c>
      <c r="CI240" s="68" t="s">
        <v>1287</v>
      </c>
      <c r="CK240" s="70">
        <v>70</v>
      </c>
    </row>
    <row r="241" spans="1:89" x14ac:dyDescent="0.3">
      <c r="A241" t="s">
        <v>145</v>
      </c>
      <c r="B241" t="s">
        <v>153</v>
      </c>
      <c r="C241" t="s">
        <v>4048</v>
      </c>
      <c r="D241" s="12"/>
      <c r="E241">
        <v>4.1500000000000004</v>
      </c>
      <c r="F241" t="s">
        <v>135</v>
      </c>
      <c r="G241" s="74" t="s">
        <v>576</v>
      </c>
      <c r="H241">
        <v>-1</v>
      </c>
      <c r="J241" t="s">
        <v>1795</v>
      </c>
      <c r="M241" t="b">
        <v>1</v>
      </c>
      <c r="N241" t="b">
        <v>0</v>
      </c>
      <c r="O241" t="b">
        <v>0</v>
      </c>
      <c r="P241" t="b">
        <v>0</v>
      </c>
      <c r="Q241" t="s">
        <v>1958</v>
      </c>
      <c r="R241">
        <v>-1</v>
      </c>
      <c r="T241">
        <v>1</v>
      </c>
      <c r="U241" s="20">
        <v>0</v>
      </c>
      <c r="V241">
        <v>0</v>
      </c>
      <c r="W241">
        <v>0</v>
      </c>
      <c r="X241">
        <v>3.85</v>
      </c>
      <c r="Y241">
        <v>3.85</v>
      </c>
      <c r="Z241">
        <v>10.95</v>
      </c>
      <c r="AA241" t="s">
        <v>439</v>
      </c>
      <c r="AB241">
        <v>10.95</v>
      </c>
      <c r="AC241" s="20">
        <v>0</v>
      </c>
      <c r="AD241" s="20"/>
      <c r="AE241" s="20"/>
      <c r="AF241">
        <v>0</v>
      </c>
      <c r="AI241">
        <v>0</v>
      </c>
      <c r="AL241">
        <v>2</v>
      </c>
      <c r="AM241">
        <v>14</v>
      </c>
      <c r="AN241" s="44">
        <f t="shared" si="34"/>
        <v>162.306375</v>
      </c>
      <c r="AO241" s="46">
        <v>0</v>
      </c>
      <c r="AP241" s="44">
        <v>0</v>
      </c>
      <c r="AQ241" s="44">
        <v>0</v>
      </c>
      <c r="AR241" s="41">
        <f t="shared" si="35"/>
        <v>8.6256624239189617E-2</v>
      </c>
      <c r="AS241" s="40"/>
      <c r="AT241" s="41"/>
      <c r="AU241" s="41"/>
      <c r="AV241" s="23">
        <v>1.9090909090909089</v>
      </c>
      <c r="AW241" s="23">
        <v>2.545454545454545</v>
      </c>
      <c r="AX241" s="23">
        <v>0.54545454545454541</v>
      </c>
      <c r="AY241" s="23">
        <v>3.0909090909090908</v>
      </c>
      <c r="AZ241" s="23">
        <v>0.2359550561797753</v>
      </c>
      <c r="BA241" s="23">
        <v>0.3146067415730337</v>
      </c>
      <c r="BB241" s="23">
        <v>6.7415730337078636E-2</v>
      </c>
      <c r="BC241" s="23">
        <v>0.38202247191011229</v>
      </c>
      <c r="BD241" s="20">
        <v>1.17</v>
      </c>
      <c r="BE241" s="20">
        <v>3.44</v>
      </c>
      <c r="BF241" s="20">
        <v>2.27</v>
      </c>
      <c r="BG241" s="20">
        <v>2.7681818181818181</v>
      </c>
      <c r="BH241">
        <v>2.768181818181819</v>
      </c>
      <c r="BI241">
        <v>6.4299203045319091</v>
      </c>
      <c r="BJ241" s="64"/>
      <c r="BK241" s="64"/>
      <c r="BL241" s="64"/>
      <c r="BM241">
        <v>4.3128312119594808E-2</v>
      </c>
      <c r="BQ241">
        <v>8.6256624239189617E-2</v>
      </c>
      <c r="BR241">
        <v>4.3128312119594808E-2</v>
      </c>
      <c r="BS241">
        <v>0</v>
      </c>
      <c r="BT241" s="68" t="s">
        <v>1264</v>
      </c>
      <c r="BU241" s="68">
        <v>1373</v>
      </c>
      <c r="BV241" s="68">
        <v>10</v>
      </c>
      <c r="BX241" s="68" t="s">
        <v>464</v>
      </c>
      <c r="BY241" s="68" t="s">
        <v>464</v>
      </c>
      <c r="BZ241" s="68">
        <v>0</v>
      </c>
      <c r="CB241" s="68">
        <v>1</v>
      </c>
      <c r="CC241" s="68">
        <v>0</v>
      </c>
      <c r="CD241" s="68" t="s">
        <v>464</v>
      </c>
      <c r="CE241" s="68" t="s">
        <v>464</v>
      </c>
      <c r="CF241" s="68" t="s">
        <v>1266</v>
      </c>
      <c r="CG241" s="68">
        <v>400</v>
      </c>
      <c r="CI241" s="68" t="s">
        <v>1287</v>
      </c>
      <c r="CK241" s="70">
        <v>5</v>
      </c>
    </row>
    <row r="242" spans="1:89" x14ac:dyDescent="0.3">
      <c r="A242" t="s">
        <v>146</v>
      </c>
      <c r="B242" t="s">
        <v>153</v>
      </c>
      <c r="C242" t="s">
        <v>4049</v>
      </c>
      <c r="D242" s="12"/>
      <c r="E242">
        <v>4.25</v>
      </c>
      <c r="F242" t="s">
        <v>135</v>
      </c>
      <c r="G242" s="74" t="s">
        <v>576</v>
      </c>
      <c r="H242">
        <v>-1</v>
      </c>
      <c r="J242" t="s">
        <v>1796</v>
      </c>
      <c r="M242" t="b">
        <v>1</v>
      </c>
      <c r="N242" t="b">
        <v>0</v>
      </c>
      <c r="O242" t="b">
        <v>0</v>
      </c>
      <c r="P242" t="b">
        <v>0</v>
      </c>
      <c r="Q242" t="s">
        <v>1960</v>
      </c>
      <c r="R242">
        <v>-1</v>
      </c>
      <c r="T242">
        <v>1</v>
      </c>
      <c r="U242" s="20">
        <v>0</v>
      </c>
      <c r="V242">
        <v>0</v>
      </c>
      <c r="W242">
        <v>0</v>
      </c>
      <c r="X242">
        <v>3.88</v>
      </c>
      <c r="Y242">
        <v>3.88</v>
      </c>
      <c r="Z242">
        <v>11.54</v>
      </c>
      <c r="AA242" t="s">
        <v>439</v>
      </c>
      <c r="AB242">
        <v>11.54</v>
      </c>
      <c r="AC242" s="20">
        <v>0</v>
      </c>
      <c r="AD242" s="20"/>
      <c r="AE242" s="20"/>
      <c r="AF242">
        <v>0</v>
      </c>
      <c r="AI242">
        <v>0</v>
      </c>
      <c r="AL242">
        <v>2</v>
      </c>
      <c r="AM242">
        <v>14</v>
      </c>
      <c r="AN242" s="44">
        <f t="shared" si="34"/>
        <v>173.72777599999998</v>
      </c>
      <c r="AO242" s="46">
        <v>0</v>
      </c>
      <c r="AP242" s="44">
        <v>0</v>
      </c>
      <c r="AQ242" s="44">
        <v>0</v>
      </c>
      <c r="AR242" s="41">
        <f t="shared" si="35"/>
        <v>8.0585847135923747E-2</v>
      </c>
      <c r="AS242" s="40"/>
      <c r="AT242" s="41"/>
      <c r="AU242" s="41"/>
      <c r="AV242" s="23">
        <v>1.9090909090909089</v>
      </c>
      <c r="AW242" s="23">
        <v>2.545454545454545</v>
      </c>
      <c r="AX242" s="23">
        <v>0.54545454545454541</v>
      </c>
      <c r="AY242" s="23">
        <v>3.0909090909090908</v>
      </c>
      <c r="AZ242" s="23">
        <v>0.2359550561797753</v>
      </c>
      <c r="BA242" s="23">
        <v>0.3146067415730337</v>
      </c>
      <c r="BB242" s="23">
        <v>6.7415730337078636E-2</v>
      </c>
      <c r="BC242" s="23">
        <v>0.38202247191011229</v>
      </c>
      <c r="BD242" s="20">
        <v>0.93</v>
      </c>
      <c r="BE242" s="20">
        <v>3.44</v>
      </c>
      <c r="BF242" s="20">
        <v>2.5099999999999998</v>
      </c>
      <c r="BG242" s="20">
        <v>2.6527272727272728</v>
      </c>
      <c r="BH242">
        <v>2.6527272727272719</v>
      </c>
      <c r="BI242">
        <v>6.0360098777272722</v>
      </c>
      <c r="BJ242" s="64"/>
      <c r="BK242" s="64"/>
      <c r="BL242" s="64"/>
      <c r="BM242">
        <v>4.0292923567961873E-2</v>
      </c>
      <c r="BQ242">
        <v>8.0585847135923747E-2</v>
      </c>
      <c r="BR242">
        <v>4.0292923567961873E-2</v>
      </c>
      <c r="BS242">
        <v>0</v>
      </c>
      <c r="BT242" s="68" t="s">
        <v>1264</v>
      </c>
      <c r="BU242" s="68">
        <v>1373</v>
      </c>
      <c r="BV242" s="68">
        <v>10</v>
      </c>
      <c r="BX242" s="68" t="s">
        <v>464</v>
      </c>
      <c r="BY242" s="68" t="s">
        <v>464</v>
      </c>
      <c r="BZ242" s="68">
        <v>0</v>
      </c>
      <c r="CB242" s="68">
        <v>1</v>
      </c>
      <c r="CC242" s="68">
        <v>0</v>
      </c>
      <c r="CD242" s="68" t="s">
        <v>464</v>
      </c>
      <c r="CE242" s="68" t="s">
        <v>464</v>
      </c>
      <c r="CF242" s="68" t="s">
        <v>1266</v>
      </c>
      <c r="CG242" s="68">
        <v>400</v>
      </c>
      <c r="CI242" s="68" t="s">
        <v>1287</v>
      </c>
      <c r="CK242" s="70">
        <v>10</v>
      </c>
    </row>
    <row r="243" spans="1:89" ht="15.6" customHeight="1" x14ac:dyDescent="0.3">
      <c r="A243" t="s">
        <v>13</v>
      </c>
      <c r="B243" t="s">
        <v>153</v>
      </c>
      <c r="C243" t="s">
        <v>3936</v>
      </c>
      <c r="D243" s="12"/>
      <c r="E243">
        <v>4.25</v>
      </c>
      <c r="F243" t="s">
        <v>135</v>
      </c>
      <c r="G243" s="74" t="s">
        <v>576</v>
      </c>
      <c r="H243">
        <v>-1</v>
      </c>
      <c r="J243" t="s">
        <v>1797</v>
      </c>
      <c r="M243" t="b">
        <v>1</v>
      </c>
      <c r="N243" t="b">
        <v>0</v>
      </c>
      <c r="O243" t="b">
        <v>0</v>
      </c>
      <c r="P243" t="b">
        <v>0</v>
      </c>
      <c r="Q243" t="s">
        <v>1962</v>
      </c>
      <c r="R243">
        <v>-1</v>
      </c>
      <c r="T243">
        <v>1</v>
      </c>
      <c r="U243" s="20">
        <v>0</v>
      </c>
      <c r="V243">
        <v>0</v>
      </c>
      <c r="W243">
        <v>0</v>
      </c>
      <c r="X243">
        <v>3.85</v>
      </c>
      <c r="Y243">
        <v>3.85</v>
      </c>
      <c r="Z243">
        <v>11.3</v>
      </c>
      <c r="AA243" t="s">
        <v>439</v>
      </c>
      <c r="AB243">
        <v>11.3</v>
      </c>
      <c r="AC243" s="20">
        <v>0</v>
      </c>
      <c r="AD243" s="20"/>
      <c r="AE243" s="20"/>
      <c r="AF243">
        <v>0</v>
      </c>
      <c r="AI243">
        <v>0</v>
      </c>
      <c r="AL243">
        <v>2</v>
      </c>
      <c r="AM243">
        <v>14</v>
      </c>
      <c r="AN243" s="44">
        <f t="shared" si="34"/>
        <v>167.49425000000002</v>
      </c>
      <c r="AO243" s="46">
        <v>0</v>
      </c>
      <c r="AP243" s="44">
        <v>0</v>
      </c>
      <c r="AQ243" s="44">
        <v>0</v>
      </c>
      <c r="AR243" s="41">
        <f t="shared" si="35"/>
        <v>8.3584958886648339E-2</v>
      </c>
      <c r="AS243" s="40"/>
      <c r="AT243" s="41"/>
      <c r="AU243" s="41"/>
      <c r="AV243" s="23">
        <v>1.9090909090909089</v>
      </c>
      <c r="AW243" s="23">
        <v>2.545454545454545</v>
      </c>
      <c r="AX243" s="23">
        <v>0.54545454545454541</v>
      </c>
      <c r="AY243" s="23">
        <v>3.0909090909090908</v>
      </c>
      <c r="AZ243" s="23">
        <v>0.2359550561797753</v>
      </c>
      <c r="BA243" s="23">
        <v>0.3146067415730337</v>
      </c>
      <c r="BB243" s="23">
        <v>6.7415730337078636E-2</v>
      </c>
      <c r="BC243" s="23">
        <v>0.38202247191011229</v>
      </c>
      <c r="BD243" s="20">
        <v>0.82</v>
      </c>
      <c r="BE243" s="20">
        <v>3.44</v>
      </c>
      <c r="BF243" s="20">
        <v>2.62</v>
      </c>
      <c r="BG243" s="20">
        <v>2.642727272727273</v>
      </c>
      <c r="BH243">
        <v>2.642727272727273</v>
      </c>
      <c r="BI243">
        <v>5.9894662913636356</v>
      </c>
      <c r="BJ243" s="64"/>
      <c r="BK243" s="64"/>
      <c r="BL243" s="64"/>
      <c r="BM243">
        <v>4.1792479443324169E-2</v>
      </c>
      <c r="BQ243">
        <v>8.3584958886648339E-2</v>
      </c>
      <c r="BR243">
        <v>4.1792479443324169E-2</v>
      </c>
      <c r="BS243">
        <v>0</v>
      </c>
      <c r="BT243" s="68" t="s">
        <v>1264</v>
      </c>
      <c r="BU243" s="68">
        <v>1373</v>
      </c>
      <c r="BV243" s="68">
        <v>10</v>
      </c>
      <c r="BX243" s="68" t="s">
        <v>464</v>
      </c>
      <c r="BY243" s="68" t="s">
        <v>464</v>
      </c>
      <c r="BZ243" s="68">
        <v>0</v>
      </c>
      <c r="CB243" s="68">
        <v>1</v>
      </c>
      <c r="CC243" s="68">
        <v>0</v>
      </c>
      <c r="CD243" s="68" t="s">
        <v>464</v>
      </c>
      <c r="CE243" s="68" t="s">
        <v>464</v>
      </c>
      <c r="CF243" s="68" t="s">
        <v>1266</v>
      </c>
      <c r="CG243" s="68">
        <v>400</v>
      </c>
      <c r="CI243" s="68" t="s">
        <v>1287</v>
      </c>
      <c r="CK243" s="70">
        <v>60</v>
      </c>
    </row>
    <row r="244" spans="1:89" x14ac:dyDescent="0.3">
      <c r="A244" t="s">
        <v>147</v>
      </c>
      <c r="B244" t="s">
        <v>153</v>
      </c>
      <c r="C244" t="s">
        <v>4050</v>
      </c>
      <c r="D244" s="12"/>
      <c r="E244">
        <v>4.25</v>
      </c>
      <c r="F244" t="s">
        <v>135</v>
      </c>
      <c r="G244" s="74" t="s">
        <v>576</v>
      </c>
      <c r="H244">
        <v>-1</v>
      </c>
      <c r="I244" t="s">
        <v>1183</v>
      </c>
      <c r="J244" t="s">
        <v>1798</v>
      </c>
      <c r="L244" s="1" t="s">
        <v>1743</v>
      </c>
      <c r="M244" t="b">
        <v>1</v>
      </c>
      <c r="N244" t="b">
        <v>0</v>
      </c>
      <c r="O244" t="b">
        <v>1</v>
      </c>
      <c r="P244" t="b">
        <v>0</v>
      </c>
      <c r="Q244" t="s">
        <v>1964</v>
      </c>
      <c r="R244">
        <v>-1</v>
      </c>
      <c r="S244" t="s">
        <v>2197</v>
      </c>
      <c r="T244">
        <v>1</v>
      </c>
      <c r="U244" s="20">
        <v>0</v>
      </c>
      <c r="V244">
        <v>0</v>
      </c>
      <c r="W244">
        <v>0</v>
      </c>
      <c r="X244">
        <v>3.76</v>
      </c>
      <c r="Y244">
        <v>3.76</v>
      </c>
      <c r="Z244">
        <v>11.41</v>
      </c>
      <c r="AA244" t="s">
        <v>439</v>
      </c>
      <c r="AB244">
        <v>11.41</v>
      </c>
      <c r="AC244" s="20">
        <v>0</v>
      </c>
      <c r="AD244" s="20"/>
      <c r="AE244" s="20"/>
      <c r="AF244">
        <v>0</v>
      </c>
      <c r="AI244">
        <v>0</v>
      </c>
      <c r="AL244">
        <v>2</v>
      </c>
      <c r="AM244">
        <v>14</v>
      </c>
      <c r="AN244" s="44">
        <f t="shared" si="34"/>
        <v>161.31001599999999</v>
      </c>
      <c r="AO244" s="46">
        <v>0</v>
      </c>
      <c r="AP244" s="44">
        <v>0</v>
      </c>
      <c r="AQ244" s="44">
        <v>0</v>
      </c>
      <c r="AR244" s="41">
        <f t="shared" si="35"/>
        <v>8.678940308331505E-2</v>
      </c>
      <c r="AS244" s="40"/>
      <c r="AT244" s="41"/>
      <c r="AU244" s="41"/>
      <c r="AV244" s="23">
        <v>1.9090909090909089</v>
      </c>
      <c r="AW244" s="23">
        <v>2.545454545454545</v>
      </c>
      <c r="AX244" s="23">
        <v>0.54545454545454541</v>
      </c>
      <c r="AY244" s="23">
        <v>3.0909090909090908</v>
      </c>
      <c r="AZ244" s="23">
        <v>0.2359550561797753</v>
      </c>
      <c r="BA244" s="23">
        <v>0.3146067415730337</v>
      </c>
      <c r="BB244" s="23">
        <v>6.7415730337078636E-2</v>
      </c>
      <c r="BC244" s="23">
        <v>0.38202247191011229</v>
      </c>
      <c r="BD244" s="20">
        <v>0.79</v>
      </c>
      <c r="BE244" s="20">
        <v>3.44</v>
      </c>
      <c r="BF244" s="20">
        <v>2.65</v>
      </c>
      <c r="BG244" s="20">
        <v>2.64</v>
      </c>
      <c r="BH244">
        <v>2.64</v>
      </c>
      <c r="BI244">
        <v>5.9759431853377274</v>
      </c>
      <c r="BJ244" s="64"/>
      <c r="BK244" s="64"/>
      <c r="BL244" s="64"/>
      <c r="BM244">
        <v>4.3394701541657532E-2</v>
      </c>
      <c r="BQ244">
        <v>8.678940308331505E-2</v>
      </c>
      <c r="BR244">
        <v>4.3394701541657532E-2</v>
      </c>
      <c r="BS244">
        <v>0</v>
      </c>
      <c r="BT244" s="68" t="s">
        <v>1264</v>
      </c>
      <c r="BU244" s="68">
        <v>1373</v>
      </c>
      <c r="BV244" s="68">
        <v>10</v>
      </c>
      <c r="BX244" s="68" t="s">
        <v>464</v>
      </c>
      <c r="BY244" s="68" t="s">
        <v>464</v>
      </c>
      <c r="BZ244" s="68">
        <v>0</v>
      </c>
      <c r="CB244" s="68">
        <v>1</v>
      </c>
      <c r="CC244" s="68">
        <v>0</v>
      </c>
      <c r="CD244" s="68" t="s">
        <v>464</v>
      </c>
      <c r="CE244" s="68" t="s">
        <v>464</v>
      </c>
      <c r="CF244" s="68" t="s">
        <v>1266</v>
      </c>
      <c r="CG244" s="68">
        <v>400</v>
      </c>
      <c r="CI244" s="68" t="s">
        <v>1287</v>
      </c>
      <c r="CK244" s="70">
        <v>10</v>
      </c>
    </row>
    <row r="245" spans="1:89" x14ac:dyDescent="0.3">
      <c r="A245" t="s">
        <v>136</v>
      </c>
      <c r="B245" t="s">
        <v>153</v>
      </c>
      <c r="C245" t="s">
        <v>4039</v>
      </c>
      <c r="D245" s="12"/>
      <c r="E245">
        <v>3.8</v>
      </c>
      <c r="F245" t="s">
        <v>135</v>
      </c>
      <c r="G245" s="99" t="s">
        <v>576</v>
      </c>
      <c r="H245">
        <v>-1</v>
      </c>
      <c r="I245" t="s">
        <v>1164</v>
      </c>
      <c r="J245" t="s">
        <v>1739</v>
      </c>
      <c r="M245" t="b">
        <v>1</v>
      </c>
      <c r="N245" t="b">
        <v>0</v>
      </c>
      <c r="O245" t="b">
        <v>1</v>
      </c>
      <c r="P245" t="b">
        <v>0</v>
      </c>
      <c r="Q245" t="s">
        <v>1966</v>
      </c>
      <c r="R245">
        <v>-1</v>
      </c>
      <c r="S245" t="s">
        <v>1164</v>
      </c>
      <c r="T245">
        <v>1</v>
      </c>
      <c r="U245" s="20">
        <v>0</v>
      </c>
      <c r="V245">
        <v>0</v>
      </c>
      <c r="W245">
        <v>1</v>
      </c>
      <c r="X245">
        <v>3.89</v>
      </c>
      <c r="Y245">
        <v>3.89</v>
      </c>
      <c r="Z245">
        <v>10.34</v>
      </c>
      <c r="AA245" t="s">
        <v>440</v>
      </c>
      <c r="AB245">
        <v>10.34</v>
      </c>
      <c r="AC245" s="20">
        <v>0</v>
      </c>
      <c r="AD245" s="20"/>
      <c r="AE245" s="20"/>
      <c r="AF245">
        <v>0</v>
      </c>
      <c r="AI245">
        <v>3.88</v>
      </c>
      <c r="AJ245">
        <v>3.88</v>
      </c>
      <c r="AK245">
        <v>10.66</v>
      </c>
      <c r="AL245">
        <v>2</v>
      </c>
      <c r="AM245">
        <v>14</v>
      </c>
      <c r="AN245" s="44">
        <f t="shared" ref="AN245:AN247" si="36">X245*Y245*Z245</f>
        <v>156.465914</v>
      </c>
      <c r="AO245" s="46">
        <v>0</v>
      </c>
      <c r="AP245" s="44">
        <v>0</v>
      </c>
      <c r="AQ245" s="44">
        <v>160.479904</v>
      </c>
      <c r="AR245" s="41"/>
      <c r="AS245" s="40"/>
      <c r="AT245" s="41"/>
      <c r="AU245" s="41">
        <v>8.7238337331009372E-2</v>
      </c>
      <c r="AV245" s="23">
        <v>1.9090909090909089</v>
      </c>
      <c r="AW245" s="23">
        <v>2.545454545454545</v>
      </c>
      <c r="AX245" s="23">
        <v>0.63636363636363635</v>
      </c>
      <c r="AY245" s="23">
        <v>2.545454545454545</v>
      </c>
      <c r="AZ245" s="23">
        <v>0.25</v>
      </c>
      <c r="BA245" s="23">
        <v>0.33333333333333331</v>
      </c>
      <c r="BB245" s="23">
        <v>8.3333333333333329E-2</v>
      </c>
      <c r="BC245" s="23">
        <v>0.33333333333333331</v>
      </c>
      <c r="BD245" s="20">
        <v>1.1000000000000001</v>
      </c>
      <c r="BE245" s="20">
        <v>3.44</v>
      </c>
      <c r="BF245" s="20">
        <v>2.34</v>
      </c>
      <c r="BG245" s="20">
        <v>2.7618181818181822</v>
      </c>
      <c r="BH245">
        <v>2.7618181818181822</v>
      </c>
      <c r="BI245">
        <v>6.4448628590773636</v>
      </c>
      <c r="BJ245" s="64"/>
      <c r="BK245" s="64"/>
      <c r="BL245" s="64">
        <v>0</v>
      </c>
      <c r="BP245">
        <v>4.3619168665504693E-2</v>
      </c>
      <c r="BQ245">
        <v>8.7238337331009372E-2</v>
      </c>
      <c r="BR245">
        <v>4.3619168665504693E-2</v>
      </c>
      <c r="BS245">
        <v>0</v>
      </c>
      <c r="BT245" s="68" t="s">
        <v>1264</v>
      </c>
      <c r="BU245" s="68">
        <v>1373</v>
      </c>
      <c r="BV245" s="68">
        <v>10</v>
      </c>
      <c r="BX245" s="68" t="s">
        <v>1275</v>
      </c>
      <c r="BY245" s="68" t="s">
        <v>56</v>
      </c>
      <c r="BZ245" s="68">
        <v>0.5</v>
      </c>
      <c r="CB245" s="68">
        <v>1</v>
      </c>
      <c r="CC245" s="68">
        <v>0</v>
      </c>
      <c r="CD245" s="68" t="s">
        <v>464</v>
      </c>
      <c r="CE245" s="68" t="s">
        <v>464</v>
      </c>
      <c r="CF245" s="68" t="s">
        <v>1266</v>
      </c>
      <c r="CG245" s="68">
        <v>400</v>
      </c>
      <c r="CI245" s="68" t="s">
        <v>1287</v>
      </c>
      <c r="CK245" s="70">
        <f>5.3*5</f>
        <v>26.5</v>
      </c>
    </row>
    <row r="246" spans="1:89" x14ac:dyDescent="0.3">
      <c r="A246" t="s">
        <v>137</v>
      </c>
      <c r="B246" t="s">
        <v>153</v>
      </c>
      <c r="C246" t="s">
        <v>4040</v>
      </c>
      <c r="D246" s="12"/>
      <c r="E246">
        <v>3.85</v>
      </c>
      <c r="F246" t="s">
        <v>135</v>
      </c>
      <c r="G246" s="8" t="s">
        <v>576</v>
      </c>
      <c r="H246" t="s">
        <v>652</v>
      </c>
      <c r="M246" t="b">
        <v>1</v>
      </c>
      <c r="N246" t="b">
        <v>1</v>
      </c>
      <c r="O246" t="b">
        <v>0</v>
      </c>
      <c r="P246" t="b">
        <v>0</v>
      </c>
      <c r="Q246" t="s">
        <v>576</v>
      </c>
      <c r="R246" t="s">
        <v>652</v>
      </c>
      <c r="T246">
        <v>1</v>
      </c>
      <c r="U246" s="20">
        <v>1</v>
      </c>
      <c r="V246">
        <v>2</v>
      </c>
      <c r="W246">
        <v>0</v>
      </c>
      <c r="X246">
        <v>3.85</v>
      </c>
      <c r="Y246">
        <v>3.85</v>
      </c>
      <c r="Z246">
        <v>12.77</v>
      </c>
      <c r="AA246" t="s">
        <v>440</v>
      </c>
      <c r="AB246">
        <v>12.77</v>
      </c>
      <c r="AC246" s="20">
        <v>11.210029909999999</v>
      </c>
      <c r="AD246" s="20">
        <v>11.210029909999999</v>
      </c>
      <c r="AE246" s="20">
        <v>11.210029909999999</v>
      </c>
      <c r="AF246">
        <v>3.8955000000000002</v>
      </c>
      <c r="AG246">
        <v>3.8955000000000002</v>
      </c>
      <c r="AH246">
        <v>21.436</v>
      </c>
      <c r="AI246">
        <v>0</v>
      </c>
      <c r="AL246">
        <v>2</v>
      </c>
      <c r="AM246">
        <v>14</v>
      </c>
      <c r="AN246" s="44">
        <f t="shared" si="36"/>
        <v>189.28332500000002</v>
      </c>
      <c r="AO246" s="46">
        <v>167.3639996655379</v>
      </c>
      <c r="AP246" s="44">
        <v>325.28959047900003</v>
      </c>
      <c r="AQ246" s="44">
        <v>0</v>
      </c>
      <c r="AR246" s="41"/>
      <c r="AS246" s="40">
        <v>8.365000853216796E-2</v>
      </c>
      <c r="AT246" s="41">
        <v>8.607714731593176E-2</v>
      </c>
      <c r="AU246" s="41"/>
      <c r="AV246" s="23">
        <v>1.9090909090909089</v>
      </c>
      <c r="AW246" s="23">
        <v>2.545454545454545</v>
      </c>
      <c r="AX246" s="23">
        <v>0.63636363636363635</v>
      </c>
      <c r="AY246" s="23">
        <v>2.545454545454545</v>
      </c>
      <c r="AZ246" s="23">
        <v>0.25</v>
      </c>
      <c r="BA246" s="23">
        <v>0.33333333333333331</v>
      </c>
      <c r="BB246" s="23">
        <v>8.3333333333333329E-2</v>
      </c>
      <c r="BC246" s="23">
        <v>0.33333333333333331</v>
      </c>
      <c r="BD246" s="20">
        <v>0.93</v>
      </c>
      <c r="BE246" s="20">
        <v>3.44</v>
      </c>
      <c r="BF246" s="20">
        <v>2.5099999999999998</v>
      </c>
      <c r="BG246" s="20">
        <v>2.646363636363636</v>
      </c>
      <c r="BH246">
        <v>2.646363636363636</v>
      </c>
      <c r="BI246">
        <v>6.0509524322727266</v>
      </c>
      <c r="BJ246" s="64">
        <v>0.45356967584663088</v>
      </c>
      <c r="BK246" s="64">
        <v>0</v>
      </c>
      <c r="BL246" s="64"/>
      <c r="BN246">
        <v>4.1825004266083973E-2</v>
      </c>
      <c r="BO246">
        <v>4.303857365796588E-2</v>
      </c>
      <c r="BQ246">
        <v>8.486357792404986E-2</v>
      </c>
      <c r="BR246">
        <v>4.243178896202493E-2</v>
      </c>
      <c r="BS246">
        <v>0.22678483792331541</v>
      </c>
      <c r="BT246" s="68" t="s">
        <v>1264</v>
      </c>
      <c r="BU246" s="68">
        <v>1373</v>
      </c>
      <c r="BV246" s="68">
        <v>10</v>
      </c>
      <c r="BX246" s="68" t="s">
        <v>1275</v>
      </c>
      <c r="BY246" s="68" t="s">
        <v>56</v>
      </c>
      <c r="BZ246" s="68">
        <v>0.5</v>
      </c>
      <c r="CB246" s="68">
        <v>1</v>
      </c>
      <c r="CC246" s="68">
        <v>0</v>
      </c>
      <c r="CD246" s="68" t="s">
        <v>464</v>
      </c>
      <c r="CE246" s="68" t="s">
        <v>464</v>
      </c>
      <c r="CF246" s="68" t="s">
        <v>1266</v>
      </c>
      <c r="CG246" s="68">
        <v>400</v>
      </c>
      <c r="CI246" s="68" t="s">
        <v>1287</v>
      </c>
      <c r="CK246" s="70">
        <f>55.3*5</f>
        <v>276.5</v>
      </c>
    </row>
    <row r="247" spans="1:89" x14ac:dyDescent="0.3">
      <c r="A247" t="s">
        <v>10</v>
      </c>
      <c r="B247" t="s">
        <v>153</v>
      </c>
      <c r="C247" t="s">
        <v>3933</v>
      </c>
      <c r="D247" s="12"/>
      <c r="E247">
        <v>3.9</v>
      </c>
      <c r="F247" t="s">
        <v>135</v>
      </c>
      <c r="G247" s="8" t="s">
        <v>531</v>
      </c>
      <c r="H247">
        <v>-1</v>
      </c>
      <c r="M247" t="b">
        <v>1</v>
      </c>
      <c r="N247" t="b">
        <v>0</v>
      </c>
      <c r="O247" t="b">
        <v>0</v>
      </c>
      <c r="P247" t="b">
        <v>0</v>
      </c>
      <c r="Q247" t="s">
        <v>531</v>
      </c>
      <c r="R247">
        <v>-1</v>
      </c>
      <c r="T247">
        <v>1</v>
      </c>
      <c r="U247" s="20">
        <v>1</v>
      </c>
      <c r="V247">
        <v>0</v>
      </c>
      <c r="W247">
        <v>0</v>
      </c>
      <c r="X247">
        <v>3.88</v>
      </c>
      <c r="Y247">
        <v>3.88</v>
      </c>
      <c r="Z247">
        <v>11.07</v>
      </c>
      <c r="AA247" t="s">
        <v>439</v>
      </c>
      <c r="AB247">
        <v>11.07</v>
      </c>
      <c r="AC247" s="20">
        <v>3.9103940000000001</v>
      </c>
      <c r="AD247" s="20">
        <v>3.9103940000000001</v>
      </c>
      <c r="AE247" s="20">
        <v>11.314458</v>
      </c>
      <c r="AF247">
        <v>0</v>
      </c>
      <c r="AI247">
        <v>0</v>
      </c>
      <c r="AL247">
        <v>2</v>
      </c>
      <c r="AM247">
        <v>14</v>
      </c>
      <c r="AN247" s="44">
        <f t="shared" si="36"/>
        <v>166.652208</v>
      </c>
      <c r="AO247" s="46">
        <v>173.0114278564659</v>
      </c>
      <c r="AP247" s="44">
        <v>0</v>
      </c>
      <c r="AQ247" s="44">
        <v>0</v>
      </c>
      <c r="AR247" s="41"/>
      <c r="AS247" s="40">
        <v>8.0919510193365449E-2</v>
      </c>
      <c r="AT247" s="41"/>
      <c r="AU247" s="41"/>
      <c r="AV247" s="23">
        <v>1.9090909090909089</v>
      </c>
      <c r="AW247" s="23">
        <v>2.545454545454545</v>
      </c>
      <c r="AX247" s="23">
        <v>0.63636363636363635</v>
      </c>
      <c r="AY247" s="23">
        <v>2.545454545454545</v>
      </c>
      <c r="AZ247" s="23">
        <v>0.25</v>
      </c>
      <c r="BA247" s="23">
        <v>0.33333333333333331</v>
      </c>
      <c r="BB247" s="23">
        <v>8.3333333333333329E-2</v>
      </c>
      <c r="BC247" s="23">
        <v>0.33333333333333331</v>
      </c>
      <c r="BD247" s="20">
        <v>0.82</v>
      </c>
      <c r="BE247" s="20">
        <v>3.44</v>
      </c>
      <c r="BF247" s="20">
        <v>2.62</v>
      </c>
      <c r="BG247" s="20">
        <v>2.6363636363636358</v>
      </c>
      <c r="BH247">
        <v>2.6363636363636371</v>
      </c>
      <c r="BI247">
        <v>6.0044088459090901</v>
      </c>
      <c r="BJ247" s="64">
        <v>0.5117218936152963</v>
      </c>
      <c r="BK247" s="64"/>
      <c r="BL247" s="64"/>
      <c r="BN247">
        <v>4.0459755096682717E-2</v>
      </c>
      <c r="BQ247">
        <v>8.0919510193365449E-2</v>
      </c>
      <c r="BR247">
        <v>4.0459755096682717E-2</v>
      </c>
      <c r="BS247">
        <v>0.5117218936152963</v>
      </c>
      <c r="BT247" s="68" t="s">
        <v>1264</v>
      </c>
      <c r="BU247" s="68">
        <v>1373</v>
      </c>
      <c r="BV247" s="68">
        <v>10</v>
      </c>
      <c r="BX247" s="68" t="s">
        <v>1275</v>
      </c>
      <c r="BY247" s="68" t="s">
        <v>56</v>
      </c>
      <c r="BZ247" s="68">
        <v>0.5</v>
      </c>
      <c r="CB247" s="68">
        <v>1</v>
      </c>
      <c r="CC247" s="68">
        <v>0</v>
      </c>
      <c r="CD247" s="68" t="s">
        <v>464</v>
      </c>
      <c r="CE247" s="68" t="s">
        <v>464</v>
      </c>
      <c r="CF247" s="68" t="s">
        <v>1266</v>
      </c>
      <c r="CG247" s="68">
        <v>400</v>
      </c>
      <c r="CI247" s="68" t="s">
        <v>1287</v>
      </c>
      <c r="CK247" s="70">
        <f>55.5*5</f>
        <v>277.5</v>
      </c>
    </row>
    <row r="248" spans="1:89" x14ac:dyDescent="0.3">
      <c r="A248" t="s">
        <v>148</v>
      </c>
      <c r="B248" t="s">
        <v>4</v>
      </c>
      <c r="C248" t="s">
        <v>4051</v>
      </c>
      <c r="D248" s="12"/>
      <c r="E248">
        <v>4.2</v>
      </c>
      <c r="F248" t="s">
        <v>149</v>
      </c>
      <c r="G248" s="8" t="s">
        <v>577</v>
      </c>
      <c r="H248" t="s">
        <v>653</v>
      </c>
      <c r="M248" t="b">
        <v>1</v>
      </c>
      <c r="N248" t="b">
        <v>1</v>
      </c>
      <c r="O248" t="b">
        <v>0</v>
      </c>
      <c r="P248" t="b">
        <v>0</v>
      </c>
      <c r="Q248" t="s">
        <v>577</v>
      </c>
      <c r="R248" t="s">
        <v>653</v>
      </c>
      <c r="T248">
        <v>2</v>
      </c>
      <c r="U248" s="20">
        <v>1</v>
      </c>
      <c r="V248">
        <v>2</v>
      </c>
      <c r="W248">
        <v>0</v>
      </c>
      <c r="X248">
        <v>3.85</v>
      </c>
      <c r="Y248">
        <v>3.85</v>
      </c>
      <c r="Z248">
        <v>28.361999999999998</v>
      </c>
      <c r="AA248" t="s">
        <v>440</v>
      </c>
      <c r="AB248">
        <v>14.180999999999999</v>
      </c>
      <c r="AC248" s="20">
        <v>14.183127929999999</v>
      </c>
      <c r="AD248" s="20">
        <v>14.183127929999999</v>
      </c>
      <c r="AE248" s="20">
        <v>14.183127929999999</v>
      </c>
      <c r="AF248">
        <v>3.8515000000000001</v>
      </c>
      <c r="AG248">
        <v>3.8515000000000001</v>
      </c>
      <c r="AH248">
        <v>28.338999999999999</v>
      </c>
      <c r="AI248">
        <v>0</v>
      </c>
      <c r="AM248">
        <v>20</v>
      </c>
      <c r="AN248" s="44">
        <f t="shared" si="34"/>
        <v>420.39574500000003</v>
      </c>
      <c r="AO248" s="46">
        <v>215.8165104701838</v>
      </c>
      <c r="AP248" s="44">
        <v>420.38220671275002</v>
      </c>
      <c r="AQ248" s="44">
        <v>0</v>
      </c>
      <c r="AR248" s="41"/>
      <c r="AS248" s="40">
        <v>9.2671315815585423E-2</v>
      </c>
      <c r="AT248" s="41">
        <v>9.5151505846992876E-2</v>
      </c>
      <c r="AU248" s="41"/>
      <c r="AV248" s="23">
        <v>1.9375</v>
      </c>
      <c r="AW248" s="23">
        <v>2.5</v>
      </c>
      <c r="AX248" s="23">
        <v>0.5625</v>
      </c>
      <c r="AY248" s="23">
        <v>2.625</v>
      </c>
      <c r="AZ248" s="23">
        <v>0.25409836065573771</v>
      </c>
      <c r="BA248" s="23">
        <v>0.32786885245901642</v>
      </c>
      <c r="BB248" s="23">
        <v>7.3770491803278687E-2</v>
      </c>
      <c r="BC248" s="23">
        <v>0.34426229508196721</v>
      </c>
      <c r="BD248" s="20">
        <v>0.98</v>
      </c>
      <c r="BE248" s="20">
        <v>3.44</v>
      </c>
      <c r="BF248" s="20">
        <v>2.46</v>
      </c>
      <c r="BG248" s="20">
        <v>2.6175000000000002</v>
      </c>
      <c r="BH248">
        <v>2.6175000000000002</v>
      </c>
      <c r="BI248">
        <v>6.0217141611250007</v>
      </c>
      <c r="BJ248" s="64">
        <v>0.48754533225959679</v>
      </c>
      <c r="BK248" s="64">
        <v>0</v>
      </c>
      <c r="BL248" s="64"/>
      <c r="BN248">
        <v>4.6335657907792711E-2</v>
      </c>
      <c r="BO248">
        <v>4.7575752923496438E-2</v>
      </c>
      <c r="BQ248">
        <v>9.3911410831289149E-2</v>
      </c>
      <c r="BR248">
        <v>4.6955705415644568E-2</v>
      </c>
      <c r="BS248">
        <v>0.24377266612979839</v>
      </c>
      <c r="BT248" s="68" t="s">
        <v>1264</v>
      </c>
      <c r="BU248" s="68">
        <v>1273</v>
      </c>
      <c r="BX248" s="68" t="s">
        <v>1275</v>
      </c>
      <c r="BY248" s="68" t="s">
        <v>56</v>
      </c>
      <c r="BZ248" s="68">
        <v>0.5</v>
      </c>
      <c r="CA248" s="68">
        <v>5</v>
      </c>
      <c r="CB248" s="68">
        <v>1</v>
      </c>
      <c r="CC248" s="68">
        <v>0</v>
      </c>
      <c r="CD248" s="68" t="s">
        <v>464</v>
      </c>
      <c r="CE248" s="68" t="s">
        <v>464</v>
      </c>
      <c r="CF248" s="68" t="s">
        <v>1266</v>
      </c>
      <c r="CG248" s="68">
        <v>400</v>
      </c>
      <c r="CI248" s="68" t="s">
        <v>1287</v>
      </c>
      <c r="CK248" s="70">
        <f>356*5</f>
        <v>1780</v>
      </c>
    </row>
    <row r="249" spans="1:89" x14ac:dyDescent="0.3">
      <c r="A249" t="s">
        <v>1317</v>
      </c>
      <c r="B249" t="s">
        <v>4</v>
      </c>
      <c r="C249" t="s">
        <v>4052</v>
      </c>
      <c r="D249" s="12"/>
      <c r="E249">
        <v>4.2</v>
      </c>
      <c r="F249" t="s">
        <v>149</v>
      </c>
      <c r="G249" s="8" t="s">
        <v>577</v>
      </c>
      <c r="H249" t="s">
        <v>653</v>
      </c>
      <c r="J249" t="s">
        <v>1799</v>
      </c>
      <c r="K249" t="s">
        <v>1799</v>
      </c>
      <c r="M249" t="b">
        <v>1</v>
      </c>
      <c r="N249" t="b">
        <v>1</v>
      </c>
      <c r="O249" t="b">
        <v>0</v>
      </c>
      <c r="P249" t="b">
        <v>0</v>
      </c>
      <c r="Q249" t="s">
        <v>1968</v>
      </c>
      <c r="R249" t="s">
        <v>1974</v>
      </c>
      <c r="U249" s="20"/>
      <c r="AC249" s="20"/>
      <c r="AD249" s="20"/>
      <c r="AE249" s="20"/>
      <c r="AN249" s="44"/>
      <c r="AO249" s="46"/>
      <c r="AP249" s="44"/>
      <c r="AQ249" s="44"/>
      <c r="AR249" s="41"/>
      <c r="AS249" s="40"/>
      <c r="AT249" s="41"/>
      <c r="AU249" s="41"/>
      <c r="AV249" s="23"/>
      <c r="AW249" s="23"/>
      <c r="AX249" s="23"/>
      <c r="AY249" s="23"/>
      <c r="AZ249" s="23"/>
      <c r="BA249" s="23"/>
      <c r="BB249" s="23"/>
      <c r="BC249" s="23"/>
      <c r="BD249" s="20"/>
      <c r="BE249" s="20"/>
      <c r="BF249" s="20"/>
      <c r="BG249" s="20"/>
      <c r="BJ249" s="64"/>
      <c r="BK249" s="64"/>
      <c r="BL249" s="64"/>
      <c r="BT249" s="68" t="s">
        <v>1264</v>
      </c>
      <c r="BU249" s="68">
        <v>1273</v>
      </c>
      <c r="BX249" s="68" t="s">
        <v>1275</v>
      </c>
      <c r="BY249" s="68" t="s">
        <v>56</v>
      </c>
      <c r="BZ249" s="68">
        <v>0.5</v>
      </c>
      <c r="CA249" s="68">
        <v>5</v>
      </c>
      <c r="CB249" s="68">
        <v>1</v>
      </c>
      <c r="CC249" s="68">
        <v>0</v>
      </c>
      <c r="CD249" s="68" t="s">
        <v>464</v>
      </c>
      <c r="CE249" s="68" t="s">
        <v>464</v>
      </c>
      <c r="CF249" s="68" t="s">
        <v>1266</v>
      </c>
      <c r="CG249" s="68">
        <v>400</v>
      </c>
      <c r="CI249" s="68" t="s">
        <v>1287</v>
      </c>
      <c r="CK249" s="70">
        <f>293*5</f>
        <v>1465</v>
      </c>
    </row>
    <row r="250" spans="1:89" x14ac:dyDescent="0.3">
      <c r="A250" t="s">
        <v>308</v>
      </c>
      <c r="B250" t="s">
        <v>4</v>
      </c>
      <c r="C250" t="s">
        <v>4053</v>
      </c>
      <c r="D250" s="12"/>
      <c r="E250">
        <v>4.2</v>
      </c>
      <c r="F250" t="s">
        <v>149</v>
      </c>
      <c r="G250" s="8" t="s">
        <v>601</v>
      </c>
      <c r="H250" t="s">
        <v>672</v>
      </c>
      <c r="M250" t="b">
        <v>1</v>
      </c>
      <c r="N250" t="b">
        <v>1</v>
      </c>
      <c r="O250" t="b">
        <v>0</v>
      </c>
      <c r="P250" t="b">
        <v>0</v>
      </c>
      <c r="Q250" t="s">
        <v>601</v>
      </c>
      <c r="R250" t="s">
        <v>672</v>
      </c>
      <c r="U250" s="20"/>
      <c r="AC250" s="20"/>
      <c r="AD250" s="20"/>
      <c r="AE250" s="20"/>
      <c r="AN250" s="44"/>
      <c r="AO250" s="46"/>
      <c r="AP250" s="44"/>
      <c r="AQ250" s="44"/>
      <c r="AR250" s="41"/>
      <c r="AS250" s="40"/>
      <c r="AT250" s="41"/>
      <c r="AU250" s="41"/>
      <c r="AV250" s="23"/>
      <c r="AW250" s="23"/>
      <c r="AX250" s="23"/>
      <c r="AY250" s="23"/>
      <c r="AZ250" s="23"/>
      <c r="BA250" s="23"/>
      <c r="BB250" s="23"/>
      <c r="BC250" s="23"/>
      <c r="BD250" s="20"/>
      <c r="BE250" s="20"/>
      <c r="BF250" s="20"/>
      <c r="BG250" s="20"/>
      <c r="BJ250" s="64"/>
      <c r="BK250" s="64"/>
      <c r="BL250" s="64"/>
      <c r="BT250" s="68" t="s">
        <v>1264</v>
      </c>
      <c r="BU250" s="68">
        <v>1273</v>
      </c>
      <c r="BX250" s="68" t="s">
        <v>1275</v>
      </c>
      <c r="BY250" s="68" t="s">
        <v>56</v>
      </c>
      <c r="BZ250" s="68">
        <v>0.5</v>
      </c>
      <c r="CA250" s="68">
        <v>5</v>
      </c>
      <c r="CB250" s="68">
        <v>1</v>
      </c>
      <c r="CC250" s="68">
        <v>0</v>
      </c>
      <c r="CD250" s="68" t="s">
        <v>464</v>
      </c>
      <c r="CE250" s="68" t="s">
        <v>464</v>
      </c>
      <c r="CF250" s="68" t="s">
        <v>1266</v>
      </c>
      <c r="CG250" s="68">
        <v>400</v>
      </c>
      <c r="CI250" s="68" t="s">
        <v>1287</v>
      </c>
      <c r="CK250" s="70">
        <f>177*5</f>
        <v>885</v>
      </c>
    </row>
    <row r="251" spans="1:89" x14ac:dyDescent="0.3">
      <c r="A251" t="s">
        <v>203</v>
      </c>
      <c r="B251" t="s">
        <v>4</v>
      </c>
      <c r="C251" t="s">
        <v>4054</v>
      </c>
      <c r="D251" s="12"/>
      <c r="E251">
        <v>4.2</v>
      </c>
      <c r="F251" t="s">
        <v>149</v>
      </c>
      <c r="G251" s="8" t="s">
        <v>577</v>
      </c>
      <c r="H251" t="s">
        <v>653</v>
      </c>
      <c r="J251" t="s">
        <v>1800</v>
      </c>
      <c r="K251" t="s">
        <v>1800</v>
      </c>
      <c r="M251" t="b">
        <v>1</v>
      </c>
      <c r="N251" t="b">
        <v>1</v>
      </c>
      <c r="O251" t="b">
        <v>0</v>
      </c>
      <c r="P251" t="b">
        <v>0</v>
      </c>
      <c r="Q251" t="s">
        <v>1969</v>
      </c>
      <c r="R251" t="s">
        <v>1976</v>
      </c>
      <c r="U251" s="20"/>
      <c r="AC251" s="20"/>
      <c r="AD251" s="20"/>
      <c r="AE251" s="20"/>
      <c r="AN251" s="44"/>
      <c r="AO251" s="46"/>
      <c r="AP251" s="44"/>
      <c r="AQ251" s="44"/>
      <c r="AR251" s="41"/>
      <c r="AS251" s="40"/>
      <c r="AT251" s="41"/>
      <c r="AU251" s="41"/>
      <c r="AV251" s="23"/>
      <c r="AW251" s="23"/>
      <c r="AX251" s="23"/>
      <c r="AY251" s="23"/>
      <c r="AZ251" s="23"/>
      <c r="BA251" s="23"/>
      <c r="BB251" s="23"/>
      <c r="BC251" s="23"/>
      <c r="BD251" s="20"/>
      <c r="BE251" s="20"/>
      <c r="BF251" s="20"/>
      <c r="BG251" s="20"/>
      <c r="BJ251" s="64"/>
      <c r="BK251" s="64"/>
      <c r="BL251" s="64"/>
      <c r="BT251" s="68" t="s">
        <v>1264</v>
      </c>
      <c r="BU251" s="68">
        <v>1273</v>
      </c>
      <c r="BX251" s="68" t="s">
        <v>1275</v>
      </c>
      <c r="BY251" s="68" t="s">
        <v>56</v>
      </c>
      <c r="BZ251" s="68">
        <v>0.5</v>
      </c>
      <c r="CA251" s="68">
        <v>5</v>
      </c>
      <c r="CB251" s="68">
        <v>1</v>
      </c>
      <c r="CC251" s="68">
        <v>0</v>
      </c>
      <c r="CD251" s="68" t="s">
        <v>464</v>
      </c>
      <c r="CE251" s="68" t="s">
        <v>464</v>
      </c>
      <c r="CF251" s="68" t="s">
        <v>1266</v>
      </c>
      <c r="CG251" s="68">
        <v>400</v>
      </c>
      <c r="CI251" s="68" t="s">
        <v>1287</v>
      </c>
      <c r="CK251" s="70">
        <f>180*5</f>
        <v>900</v>
      </c>
    </row>
    <row r="252" spans="1:89" ht="13.8" customHeight="1" x14ac:dyDescent="0.3">
      <c r="A252" t="s">
        <v>215</v>
      </c>
      <c r="B252" t="s">
        <v>4</v>
      </c>
      <c r="C252" t="s">
        <v>3984</v>
      </c>
      <c r="D252" s="12"/>
      <c r="E252">
        <v>4.2</v>
      </c>
      <c r="F252" t="s">
        <v>149</v>
      </c>
      <c r="G252" s="8" t="s">
        <v>587</v>
      </c>
      <c r="H252" t="s">
        <v>636</v>
      </c>
      <c r="M252" t="b">
        <v>1</v>
      </c>
      <c r="N252" t="b">
        <v>1</v>
      </c>
      <c r="O252" t="b">
        <v>0</v>
      </c>
      <c r="P252" t="b">
        <v>0</v>
      </c>
      <c r="Q252" t="s">
        <v>587</v>
      </c>
      <c r="R252" t="s">
        <v>636</v>
      </c>
      <c r="U252" s="20"/>
      <c r="AC252" s="20"/>
      <c r="AD252" s="20"/>
      <c r="AE252" s="20"/>
      <c r="AN252" s="44"/>
      <c r="AO252" s="46"/>
      <c r="AP252" s="44"/>
      <c r="AQ252" s="44"/>
      <c r="AR252" s="41"/>
      <c r="AS252" s="40"/>
      <c r="AT252" s="41"/>
      <c r="AU252" s="41"/>
      <c r="AV252" s="23"/>
      <c r="AW252" s="23"/>
      <c r="AX252" s="23"/>
      <c r="AY252" s="23"/>
      <c r="AZ252" s="23"/>
      <c r="BA252" s="23"/>
      <c r="BB252" s="23"/>
      <c r="BC252" s="23"/>
      <c r="BD252" s="20"/>
      <c r="BE252" s="20"/>
      <c r="BF252" s="20"/>
      <c r="BG252" s="20"/>
      <c r="BJ252" s="64"/>
      <c r="BK252" s="64"/>
      <c r="BL252" s="64"/>
      <c r="BT252" s="68" t="s">
        <v>1264</v>
      </c>
      <c r="BU252" s="68">
        <v>1273</v>
      </c>
      <c r="BX252" s="68" t="s">
        <v>1275</v>
      </c>
      <c r="BY252" s="68" t="s">
        <v>56</v>
      </c>
      <c r="BZ252" s="68">
        <v>0.5</v>
      </c>
      <c r="CA252" s="68">
        <v>5</v>
      </c>
      <c r="CB252" s="68">
        <v>1</v>
      </c>
      <c r="CC252" s="68">
        <v>0</v>
      </c>
      <c r="CD252" s="68" t="s">
        <v>464</v>
      </c>
      <c r="CE252" s="68" t="s">
        <v>464</v>
      </c>
      <c r="CF252" s="68" t="s">
        <v>1266</v>
      </c>
      <c r="CG252" s="68">
        <v>400</v>
      </c>
      <c r="CI252" s="68" t="s">
        <v>1287</v>
      </c>
      <c r="CK252" s="70">
        <f>89*5</f>
        <v>445</v>
      </c>
    </row>
    <row r="253" spans="1:89" x14ac:dyDescent="0.3">
      <c r="A253" t="s">
        <v>148</v>
      </c>
      <c r="B253" t="s">
        <v>4</v>
      </c>
      <c r="C253" t="s">
        <v>4051</v>
      </c>
      <c r="D253" s="12"/>
      <c r="E253">
        <v>4.2</v>
      </c>
      <c r="F253" t="s">
        <v>149</v>
      </c>
      <c r="G253" s="8" t="s">
        <v>577</v>
      </c>
      <c r="H253" t="s">
        <v>653</v>
      </c>
      <c r="M253" t="b">
        <v>1</v>
      </c>
      <c r="N253" t="b">
        <v>1</v>
      </c>
      <c r="O253" t="b">
        <v>0</v>
      </c>
      <c r="P253" t="b">
        <v>0</v>
      </c>
      <c r="Q253" t="s">
        <v>577</v>
      </c>
      <c r="R253" t="s">
        <v>653</v>
      </c>
      <c r="T253">
        <v>2</v>
      </c>
      <c r="U253" s="20">
        <v>1</v>
      </c>
      <c r="V253">
        <v>2</v>
      </c>
      <c r="W253">
        <v>0</v>
      </c>
      <c r="X253">
        <v>3.85</v>
      </c>
      <c r="Y253">
        <v>3.85</v>
      </c>
      <c r="Z253">
        <f>14.1*2</f>
        <v>28.2</v>
      </c>
      <c r="AA253" t="s">
        <v>440</v>
      </c>
      <c r="AB253">
        <v>14.1</v>
      </c>
      <c r="AC253" s="20"/>
      <c r="AD253" s="20"/>
      <c r="AE253" s="20"/>
      <c r="AN253" s="44"/>
      <c r="AO253" s="46"/>
      <c r="AP253" s="44"/>
      <c r="AQ253" s="44"/>
      <c r="AR253" s="41"/>
      <c r="AS253" s="40"/>
      <c r="AT253" s="41"/>
      <c r="AU253" s="41"/>
      <c r="AV253" s="23"/>
      <c r="AW253" s="23"/>
      <c r="AX253" s="23"/>
      <c r="AY253" s="23"/>
      <c r="AZ253" s="23"/>
      <c r="BA253" s="23"/>
      <c r="BB253" s="23"/>
      <c r="BC253" s="23"/>
      <c r="BD253" s="20"/>
      <c r="BE253" s="20"/>
      <c r="BF253" s="20"/>
      <c r="BG253" s="20"/>
      <c r="BJ253" s="64"/>
      <c r="BK253" s="64"/>
      <c r="BL253" s="64"/>
      <c r="BT253" s="68" t="s">
        <v>1264</v>
      </c>
      <c r="BU253" s="68">
        <v>1273</v>
      </c>
      <c r="BX253" s="68" t="s">
        <v>1275</v>
      </c>
      <c r="BY253" s="68" t="s">
        <v>56</v>
      </c>
      <c r="BZ253" s="68">
        <v>0.5</v>
      </c>
      <c r="CA253" s="68">
        <v>5</v>
      </c>
      <c r="CB253" s="68">
        <v>1</v>
      </c>
      <c r="CC253" s="68">
        <v>0</v>
      </c>
      <c r="CD253" s="68" t="s">
        <v>464</v>
      </c>
      <c r="CE253" s="68" t="s">
        <v>464</v>
      </c>
      <c r="CF253" s="68" t="s">
        <v>1266</v>
      </c>
      <c r="CG253" s="68">
        <v>400</v>
      </c>
      <c r="CI253" s="68" t="s">
        <v>1287</v>
      </c>
      <c r="CK253" s="70">
        <v>2860</v>
      </c>
    </row>
    <row r="254" spans="1:89" x14ac:dyDescent="0.3">
      <c r="A254" t="s">
        <v>1318</v>
      </c>
      <c r="B254" t="s">
        <v>4</v>
      </c>
      <c r="C254" t="s">
        <v>4055</v>
      </c>
      <c r="D254" s="12"/>
      <c r="E254">
        <v>4.2</v>
      </c>
      <c r="F254" t="s">
        <v>149</v>
      </c>
      <c r="G254" s="8"/>
      <c r="M254" t="b">
        <v>0</v>
      </c>
      <c r="N254" t="b">
        <v>0</v>
      </c>
      <c r="O254" t="b">
        <v>0</v>
      </c>
      <c r="P254" t="b">
        <v>1</v>
      </c>
      <c r="T254">
        <v>2</v>
      </c>
      <c r="U254" s="20"/>
      <c r="X254">
        <v>3.85</v>
      </c>
      <c r="Y254">
        <v>3.85</v>
      </c>
      <c r="Z254">
        <f>14.2*2</f>
        <v>28.4</v>
      </c>
      <c r="AB254">
        <v>14.2</v>
      </c>
      <c r="AC254" s="20"/>
      <c r="AD254" s="20"/>
      <c r="AE254" s="20"/>
      <c r="AN254" s="44"/>
      <c r="AO254" s="46"/>
      <c r="AP254" s="44"/>
      <c r="AQ254" s="44"/>
      <c r="AR254" s="41"/>
      <c r="AS254" s="40"/>
      <c r="AT254" s="41"/>
      <c r="AU254" s="41"/>
      <c r="AV254" s="23"/>
      <c r="AW254" s="23"/>
      <c r="AX254" s="23"/>
      <c r="AY254" s="23"/>
      <c r="AZ254" s="23"/>
      <c r="BA254" s="23"/>
      <c r="BB254" s="23"/>
      <c r="BC254" s="23"/>
      <c r="BD254" s="20"/>
      <c r="BE254" s="20"/>
      <c r="BF254" s="20"/>
      <c r="BG254" s="20"/>
      <c r="BJ254" s="64"/>
      <c r="BK254" s="64"/>
      <c r="BL254" s="64"/>
      <c r="BT254" s="68" t="s">
        <v>1264</v>
      </c>
      <c r="BU254" s="68">
        <v>1274</v>
      </c>
      <c r="BX254" s="68" t="s">
        <v>1275</v>
      </c>
      <c r="BY254" s="68" t="s">
        <v>56</v>
      </c>
      <c r="BZ254" s="68">
        <v>0.5</v>
      </c>
      <c r="CA254" s="68">
        <v>5</v>
      </c>
      <c r="CB254" s="68">
        <v>1</v>
      </c>
      <c r="CC254" s="68">
        <v>0</v>
      </c>
      <c r="CD254" s="68" t="s">
        <v>464</v>
      </c>
      <c r="CE254" s="68" t="s">
        <v>464</v>
      </c>
      <c r="CF254" s="68" t="s">
        <v>1266</v>
      </c>
      <c r="CG254" s="68">
        <v>400</v>
      </c>
      <c r="CI254" s="68" t="s">
        <v>1287</v>
      </c>
      <c r="CK254" s="70">
        <v>5780</v>
      </c>
    </row>
    <row r="255" spans="1:89" x14ac:dyDescent="0.3">
      <c r="A255" t="s">
        <v>1319</v>
      </c>
      <c r="B255" t="s">
        <v>4</v>
      </c>
      <c r="C255" t="s">
        <v>4056</v>
      </c>
      <c r="D255" s="12"/>
      <c r="E255">
        <v>4.2</v>
      </c>
      <c r="F255" t="s">
        <v>149</v>
      </c>
      <c r="G255" s="8"/>
      <c r="M255" t="b">
        <v>0</v>
      </c>
      <c r="N255" t="b">
        <v>0</v>
      </c>
      <c r="O255" t="b">
        <v>0</v>
      </c>
      <c r="P255" t="b">
        <v>1</v>
      </c>
      <c r="T255">
        <v>2</v>
      </c>
      <c r="U255" s="20"/>
      <c r="X255">
        <v>3.85</v>
      </c>
      <c r="Y255">
        <v>3.85</v>
      </c>
      <c r="Z255">
        <f>14.5*2</f>
        <v>29</v>
      </c>
      <c r="AB255">
        <v>14.5</v>
      </c>
      <c r="AC255" s="20"/>
      <c r="AD255" s="20"/>
      <c r="AE255" s="20"/>
      <c r="AN255" s="44"/>
      <c r="AO255" s="46"/>
      <c r="AP255" s="44"/>
      <c r="AQ255" s="44"/>
      <c r="AR255" s="41"/>
      <c r="AS255" s="40"/>
      <c r="AT255" s="41"/>
      <c r="AU255" s="41"/>
      <c r="AV255" s="23"/>
      <c r="AW255" s="23"/>
      <c r="AX255" s="23"/>
      <c r="AY255" s="23"/>
      <c r="AZ255" s="23"/>
      <c r="BA255" s="23"/>
      <c r="BB255" s="23"/>
      <c r="BC255" s="23"/>
      <c r="BD255" s="20"/>
      <c r="BE255" s="20"/>
      <c r="BF255" s="20"/>
      <c r="BG255" s="20"/>
      <c r="BJ255" s="64"/>
      <c r="BK255" s="64"/>
      <c r="BL255" s="64"/>
      <c r="BT255" s="68" t="s">
        <v>1264</v>
      </c>
      <c r="BU255" s="68">
        <v>1275</v>
      </c>
      <c r="BX255" s="68" t="s">
        <v>1275</v>
      </c>
      <c r="BY255" s="68" t="s">
        <v>56</v>
      </c>
      <c r="BZ255" s="68">
        <v>0.5</v>
      </c>
      <c r="CA255" s="68">
        <v>5</v>
      </c>
      <c r="CB255" s="68">
        <v>1</v>
      </c>
      <c r="CC255" s="68">
        <v>0</v>
      </c>
      <c r="CD255" s="68" t="s">
        <v>464</v>
      </c>
      <c r="CE255" s="68" t="s">
        <v>464</v>
      </c>
      <c r="CF255" s="68" t="s">
        <v>1266</v>
      </c>
      <c r="CG255" s="68">
        <v>400</v>
      </c>
      <c r="CI255" s="68" t="s">
        <v>1287</v>
      </c>
      <c r="CK255" s="70">
        <v>6380</v>
      </c>
    </row>
    <row r="256" spans="1:89" x14ac:dyDescent="0.3">
      <c r="A256" t="s">
        <v>1320</v>
      </c>
      <c r="B256" t="s">
        <v>4</v>
      </c>
      <c r="C256" t="s">
        <v>4057</v>
      </c>
      <c r="D256" s="12"/>
      <c r="E256">
        <v>4.2</v>
      </c>
      <c r="F256" t="s">
        <v>149</v>
      </c>
      <c r="G256" s="8"/>
      <c r="M256" t="b">
        <v>0</v>
      </c>
      <c r="N256" t="b">
        <v>0</v>
      </c>
      <c r="O256" t="b">
        <v>0</v>
      </c>
      <c r="P256" t="b">
        <v>1</v>
      </c>
      <c r="T256">
        <v>2</v>
      </c>
      <c r="U256" s="20"/>
      <c r="X256">
        <v>3.85</v>
      </c>
      <c r="Y256">
        <v>3.85</v>
      </c>
      <c r="Z256">
        <f>14.8*2</f>
        <v>29.6</v>
      </c>
      <c r="AB256">
        <v>14.8</v>
      </c>
      <c r="AC256" s="20"/>
      <c r="AD256" s="20"/>
      <c r="AE256" s="20"/>
      <c r="AN256" s="44"/>
      <c r="AO256" s="46"/>
      <c r="AP256" s="44"/>
      <c r="AQ256" s="44"/>
      <c r="AR256" s="41"/>
      <c r="AS256" s="40"/>
      <c r="AT256" s="41"/>
      <c r="AU256" s="41"/>
      <c r="AV256" s="23"/>
      <c r="AW256" s="23"/>
      <c r="AX256" s="23"/>
      <c r="AY256" s="23"/>
      <c r="AZ256" s="23"/>
      <c r="BA256" s="23"/>
      <c r="BB256" s="23"/>
      <c r="BC256" s="23"/>
      <c r="BD256" s="20"/>
      <c r="BE256" s="20"/>
      <c r="BF256" s="20"/>
      <c r="BG256" s="20"/>
      <c r="BJ256" s="64"/>
      <c r="BK256" s="64"/>
      <c r="BL256" s="64"/>
      <c r="BT256" s="68" t="s">
        <v>1264</v>
      </c>
      <c r="BU256" s="68">
        <v>1277</v>
      </c>
      <c r="BX256" s="68" t="s">
        <v>1275</v>
      </c>
      <c r="BY256" s="68" t="s">
        <v>56</v>
      </c>
      <c r="BZ256" s="68">
        <v>0.5</v>
      </c>
      <c r="CA256" s="68">
        <v>5</v>
      </c>
      <c r="CB256" s="68">
        <v>1</v>
      </c>
      <c r="CC256" s="68">
        <v>0</v>
      </c>
      <c r="CD256" s="68" t="s">
        <v>464</v>
      </c>
      <c r="CE256" s="68" t="s">
        <v>464</v>
      </c>
      <c r="CF256" s="68" t="s">
        <v>1266</v>
      </c>
      <c r="CG256" s="68">
        <v>400</v>
      </c>
      <c r="CI256" s="68" t="s">
        <v>1287</v>
      </c>
      <c r="CK256" s="70">
        <v>7080</v>
      </c>
    </row>
    <row r="257" spans="1:89" x14ac:dyDescent="0.3">
      <c r="A257" t="s">
        <v>1321</v>
      </c>
      <c r="B257" t="s">
        <v>4</v>
      </c>
      <c r="C257" t="s">
        <v>4058</v>
      </c>
      <c r="D257" s="12"/>
      <c r="E257">
        <v>4.2</v>
      </c>
      <c r="F257" t="s">
        <v>149</v>
      </c>
      <c r="G257" s="8"/>
      <c r="M257" t="b">
        <v>0</v>
      </c>
      <c r="N257" t="b">
        <v>0</v>
      </c>
      <c r="O257" t="b">
        <v>0</v>
      </c>
      <c r="P257" t="b">
        <v>1</v>
      </c>
      <c r="T257">
        <v>2</v>
      </c>
      <c r="U257" s="20"/>
      <c r="X257">
        <v>3.85</v>
      </c>
      <c r="Y257">
        <v>3.85</v>
      </c>
      <c r="Z257">
        <f>15.1*2</f>
        <v>30.2</v>
      </c>
      <c r="AB257">
        <v>15.1</v>
      </c>
      <c r="AC257" s="20"/>
      <c r="AD257" s="20"/>
      <c r="AE257" s="20"/>
      <c r="AN257" s="44"/>
      <c r="AO257" s="46"/>
      <c r="AP257" s="44"/>
      <c r="AQ257" s="44"/>
      <c r="AR257" s="41"/>
      <c r="AS257" s="40"/>
      <c r="AT257" s="41"/>
      <c r="AU257" s="41"/>
      <c r="AV257" s="23"/>
      <c r="AW257" s="23"/>
      <c r="AX257" s="23"/>
      <c r="AY257" s="23"/>
      <c r="AZ257" s="23"/>
      <c r="BA257" s="23"/>
      <c r="BB257" s="23"/>
      <c r="BC257" s="23"/>
      <c r="BD257" s="20"/>
      <c r="BE257" s="20"/>
      <c r="BF257" s="20"/>
      <c r="BG257" s="20"/>
      <c r="BJ257" s="64"/>
      <c r="BK257" s="64"/>
      <c r="BL257" s="64"/>
      <c r="BT257" s="68" t="s">
        <v>1264</v>
      </c>
      <c r="BU257" s="68">
        <v>1278</v>
      </c>
      <c r="BX257" s="68" t="s">
        <v>1275</v>
      </c>
      <c r="BY257" s="68" t="s">
        <v>56</v>
      </c>
      <c r="BZ257" s="68">
        <v>0.5</v>
      </c>
      <c r="CA257" s="68">
        <v>5</v>
      </c>
      <c r="CB257" s="68">
        <v>1</v>
      </c>
      <c r="CC257" s="68">
        <v>0</v>
      </c>
      <c r="CD257" s="68" t="s">
        <v>464</v>
      </c>
      <c r="CE257" s="68" t="s">
        <v>464</v>
      </c>
      <c r="CF257" s="68" t="s">
        <v>1266</v>
      </c>
      <c r="CG257" s="68">
        <v>400</v>
      </c>
      <c r="CI257" s="68" t="s">
        <v>1287</v>
      </c>
      <c r="CK257" s="70">
        <v>4940</v>
      </c>
    </row>
    <row r="258" spans="1:89" x14ac:dyDescent="0.3">
      <c r="A258" t="s">
        <v>1322</v>
      </c>
      <c r="B258" t="s">
        <v>4</v>
      </c>
      <c r="C258" t="s">
        <v>4059</v>
      </c>
      <c r="D258" s="12"/>
      <c r="E258">
        <v>4.2</v>
      </c>
      <c r="F258" t="s">
        <v>149</v>
      </c>
      <c r="G258" s="8"/>
      <c r="M258" t="b">
        <v>0</v>
      </c>
      <c r="N258" t="b">
        <v>0</v>
      </c>
      <c r="O258" t="b">
        <v>0</v>
      </c>
      <c r="P258" t="b">
        <v>1</v>
      </c>
      <c r="T258">
        <v>2</v>
      </c>
      <c r="U258" s="20"/>
      <c r="X258">
        <v>3.85</v>
      </c>
      <c r="Y258">
        <v>3.85</v>
      </c>
      <c r="Z258">
        <f>14.4*2</f>
        <v>28.8</v>
      </c>
      <c r="AB258">
        <v>14.4</v>
      </c>
      <c r="AC258" s="20"/>
      <c r="AD258" s="20"/>
      <c r="AE258" s="20"/>
      <c r="AN258" s="44"/>
      <c r="AO258" s="46"/>
      <c r="AP258" s="44"/>
      <c r="AQ258" s="44"/>
      <c r="AR258" s="41"/>
      <c r="AS258" s="40"/>
      <c r="AT258" s="41"/>
      <c r="AU258" s="41"/>
      <c r="AV258" s="23"/>
      <c r="AW258" s="23"/>
      <c r="AX258" s="23"/>
      <c r="AY258" s="23"/>
      <c r="AZ258" s="23"/>
      <c r="BA258" s="23"/>
      <c r="BB258" s="23"/>
      <c r="BC258" s="23"/>
      <c r="BD258" s="20"/>
      <c r="BE258" s="20"/>
      <c r="BF258" s="20"/>
      <c r="BG258" s="20"/>
      <c r="BJ258" s="64"/>
      <c r="BK258" s="64"/>
      <c r="BL258" s="64"/>
      <c r="BT258" s="68" t="s">
        <v>1264</v>
      </c>
      <c r="BU258" s="68">
        <v>1279</v>
      </c>
      <c r="BX258" s="68" t="s">
        <v>1275</v>
      </c>
      <c r="BY258" s="68" t="s">
        <v>56</v>
      </c>
      <c r="BZ258" s="68">
        <v>0.5</v>
      </c>
      <c r="CA258" s="68">
        <v>5</v>
      </c>
      <c r="CB258" s="68">
        <v>1</v>
      </c>
      <c r="CC258" s="68">
        <v>0</v>
      </c>
      <c r="CD258" s="68" t="s">
        <v>464</v>
      </c>
      <c r="CE258" s="68" t="s">
        <v>464</v>
      </c>
      <c r="CF258" s="68" t="s">
        <v>1266</v>
      </c>
      <c r="CG258" s="68">
        <v>400</v>
      </c>
      <c r="CI258" s="68" t="s">
        <v>1287</v>
      </c>
      <c r="CK258" s="70">
        <v>5310</v>
      </c>
    </row>
    <row r="259" spans="1:89" x14ac:dyDescent="0.3">
      <c r="A259" t="s">
        <v>1323</v>
      </c>
      <c r="B259" t="s">
        <v>4</v>
      </c>
      <c r="C259" t="s">
        <v>4060</v>
      </c>
      <c r="D259" s="12"/>
      <c r="E259">
        <v>4.2</v>
      </c>
      <c r="F259" t="s">
        <v>149</v>
      </c>
      <c r="G259" s="8"/>
      <c r="M259" t="b">
        <v>0</v>
      </c>
      <c r="N259" t="b">
        <v>0</v>
      </c>
      <c r="O259" t="b">
        <v>0</v>
      </c>
      <c r="P259" t="b">
        <v>1</v>
      </c>
      <c r="T259">
        <v>2</v>
      </c>
      <c r="U259" s="20"/>
      <c r="X259">
        <v>3.85</v>
      </c>
      <c r="Y259">
        <v>3.85</v>
      </c>
      <c r="Z259">
        <f>14.7*2</f>
        <v>29.4</v>
      </c>
      <c r="AB259">
        <v>14.7</v>
      </c>
      <c r="AC259" s="20"/>
      <c r="AD259" s="20"/>
      <c r="AE259" s="20"/>
      <c r="AN259" s="44"/>
      <c r="AO259" s="46"/>
      <c r="AP259" s="44"/>
      <c r="AQ259" s="44"/>
      <c r="AR259" s="41"/>
      <c r="AS259" s="40"/>
      <c r="AT259" s="41"/>
      <c r="AU259" s="41"/>
      <c r="AV259" s="23"/>
      <c r="AW259" s="23"/>
      <c r="AX259" s="23"/>
      <c r="AY259" s="23"/>
      <c r="AZ259" s="23"/>
      <c r="BA259" s="23"/>
      <c r="BB259" s="23"/>
      <c r="BC259" s="23"/>
      <c r="BD259" s="20"/>
      <c r="BE259" s="20"/>
      <c r="BF259" s="20"/>
      <c r="BG259" s="20"/>
      <c r="BJ259" s="64"/>
      <c r="BK259" s="64"/>
      <c r="BL259" s="64"/>
      <c r="BT259" s="68" t="s">
        <v>1264</v>
      </c>
      <c r="BU259" s="68">
        <v>1280</v>
      </c>
      <c r="BX259" s="68" t="s">
        <v>1275</v>
      </c>
      <c r="BY259" s="68" t="s">
        <v>56</v>
      </c>
      <c r="BZ259" s="68">
        <v>0.5</v>
      </c>
      <c r="CA259" s="68">
        <v>5</v>
      </c>
      <c r="CB259" s="68">
        <v>1</v>
      </c>
      <c r="CC259" s="68">
        <v>0</v>
      </c>
      <c r="CD259" s="68" t="s">
        <v>464</v>
      </c>
      <c r="CE259" s="68" t="s">
        <v>464</v>
      </c>
      <c r="CF259" s="68" t="s">
        <v>1266</v>
      </c>
      <c r="CG259" s="68">
        <v>400</v>
      </c>
      <c r="CI259" s="68" t="s">
        <v>1287</v>
      </c>
      <c r="CK259" s="70">
        <v>6320</v>
      </c>
    </row>
    <row r="260" spans="1:89" x14ac:dyDescent="0.3">
      <c r="A260" t="s">
        <v>1324</v>
      </c>
      <c r="B260" t="s">
        <v>4</v>
      </c>
      <c r="C260" t="s">
        <v>4061</v>
      </c>
      <c r="D260" s="12"/>
      <c r="E260">
        <v>4.2</v>
      </c>
      <c r="F260" t="s">
        <v>149</v>
      </c>
      <c r="G260" s="8"/>
      <c r="M260" t="b">
        <v>0</v>
      </c>
      <c r="N260" t="b">
        <v>0</v>
      </c>
      <c r="O260" t="b">
        <v>0</v>
      </c>
      <c r="P260" t="b">
        <v>1</v>
      </c>
      <c r="T260">
        <v>2</v>
      </c>
      <c r="U260" s="20"/>
      <c r="X260">
        <v>3.85</v>
      </c>
      <c r="Y260">
        <v>3.85</v>
      </c>
      <c r="Z260">
        <f>14.9*2</f>
        <v>29.8</v>
      </c>
      <c r="AB260">
        <v>14.9</v>
      </c>
      <c r="AC260" s="20"/>
      <c r="AD260" s="20"/>
      <c r="AE260" s="20"/>
      <c r="AN260" s="44"/>
      <c r="AO260" s="46"/>
      <c r="AP260" s="44"/>
      <c r="AQ260" s="44"/>
      <c r="AR260" s="41"/>
      <c r="AS260" s="40"/>
      <c r="AT260" s="41"/>
      <c r="AU260" s="41"/>
      <c r="AV260" s="23"/>
      <c r="AW260" s="23"/>
      <c r="AX260" s="23"/>
      <c r="AY260" s="23"/>
      <c r="AZ260" s="23"/>
      <c r="BA260" s="23"/>
      <c r="BB260" s="23"/>
      <c r="BC260" s="23"/>
      <c r="BD260" s="20"/>
      <c r="BE260" s="20"/>
      <c r="BF260" s="20"/>
      <c r="BG260" s="20"/>
      <c r="BJ260" s="64"/>
      <c r="BK260" s="64"/>
      <c r="BL260" s="64"/>
      <c r="BT260" s="68" t="s">
        <v>1264</v>
      </c>
      <c r="BU260" s="68">
        <v>1281</v>
      </c>
      <c r="BX260" s="68" t="s">
        <v>1275</v>
      </c>
      <c r="BY260" s="68" t="s">
        <v>56</v>
      </c>
      <c r="BZ260" s="68">
        <v>0.5</v>
      </c>
      <c r="CA260" s="68">
        <v>5</v>
      </c>
      <c r="CB260" s="68">
        <v>1</v>
      </c>
      <c r="CC260" s="68">
        <v>0</v>
      </c>
      <c r="CD260" s="68" t="s">
        <v>464</v>
      </c>
      <c r="CE260" s="68" t="s">
        <v>464</v>
      </c>
      <c r="CF260" s="68" t="s">
        <v>1266</v>
      </c>
      <c r="CG260" s="68">
        <v>400</v>
      </c>
      <c r="CI260" s="68" t="s">
        <v>1287</v>
      </c>
      <c r="CK260" s="70">
        <v>4240</v>
      </c>
    </row>
    <row r="261" spans="1:89" x14ac:dyDescent="0.3">
      <c r="A261" t="s">
        <v>1325</v>
      </c>
      <c r="B261" t="s">
        <v>4</v>
      </c>
      <c r="C261" t="s">
        <v>4062</v>
      </c>
      <c r="D261" s="12"/>
      <c r="E261">
        <v>4.2</v>
      </c>
      <c r="F261" t="s">
        <v>149</v>
      </c>
      <c r="G261" s="8"/>
      <c r="M261" t="b">
        <v>0</v>
      </c>
      <c r="N261" t="b">
        <v>0</v>
      </c>
      <c r="O261" t="b">
        <v>0</v>
      </c>
      <c r="P261" t="b">
        <v>1</v>
      </c>
      <c r="T261">
        <v>2</v>
      </c>
      <c r="U261" s="20"/>
      <c r="X261">
        <v>3.85</v>
      </c>
      <c r="Y261">
        <v>3.85</v>
      </c>
      <c r="Z261">
        <f>15*2</f>
        <v>30</v>
      </c>
      <c r="AB261">
        <v>15</v>
      </c>
      <c r="AC261" s="20"/>
      <c r="AD261" s="20"/>
      <c r="AE261" s="20"/>
      <c r="AN261" s="44"/>
      <c r="AO261" s="46"/>
      <c r="AP261" s="44"/>
      <c r="AQ261" s="44"/>
      <c r="AR261" s="41"/>
      <c r="AS261" s="40"/>
      <c r="AT261" s="41"/>
      <c r="AU261" s="41"/>
      <c r="AV261" s="23"/>
      <c r="AW261" s="23"/>
      <c r="AX261" s="23"/>
      <c r="AY261" s="23"/>
      <c r="AZ261" s="23"/>
      <c r="BA261" s="23"/>
      <c r="BB261" s="23"/>
      <c r="BC261" s="23"/>
      <c r="BD261" s="20"/>
      <c r="BE261" s="20"/>
      <c r="BF261" s="20"/>
      <c r="BG261" s="20"/>
      <c r="BJ261" s="64"/>
      <c r="BK261" s="64"/>
      <c r="BL261" s="64"/>
      <c r="BT261" s="68" t="s">
        <v>1264</v>
      </c>
      <c r="BU261" s="68">
        <v>1282</v>
      </c>
      <c r="BX261" s="68" t="s">
        <v>1275</v>
      </c>
      <c r="BY261" s="68" t="s">
        <v>56</v>
      </c>
      <c r="BZ261" s="68">
        <v>0.5</v>
      </c>
      <c r="CA261" s="68">
        <v>5</v>
      </c>
      <c r="CB261" s="68">
        <v>1</v>
      </c>
      <c r="CC261" s="68">
        <v>0</v>
      </c>
      <c r="CD261" s="68" t="s">
        <v>464</v>
      </c>
      <c r="CE261" s="68" t="s">
        <v>464</v>
      </c>
      <c r="CF261" s="68" t="s">
        <v>1266</v>
      </c>
      <c r="CG261" s="68">
        <v>400</v>
      </c>
      <c r="CI261" s="68" t="s">
        <v>1287</v>
      </c>
      <c r="CK261" s="70">
        <v>5070</v>
      </c>
    </row>
    <row r="262" spans="1:89" x14ac:dyDescent="0.3">
      <c r="A262" t="s">
        <v>1326</v>
      </c>
      <c r="B262" t="s">
        <v>4</v>
      </c>
      <c r="C262" t="s">
        <v>4063</v>
      </c>
      <c r="D262" s="12"/>
      <c r="E262">
        <v>4.2</v>
      </c>
      <c r="F262" t="s">
        <v>149</v>
      </c>
      <c r="G262" s="8"/>
      <c r="M262" t="b">
        <v>0</v>
      </c>
      <c r="N262" t="b">
        <v>0</v>
      </c>
      <c r="O262" t="b">
        <v>0</v>
      </c>
      <c r="P262" t="b">
        <v>1</v>
      </c>
      <c r="T262">
        <v>2</v>
      </c>
      <c r="U262" s="20"/>
      <c r="X262">
        <v>3.85</v>
      </c>
      <c r="Y262">
        <v>3.85</v>
      </c>
      <c r="Z262">
        <f>14.5*2</f>
        <v>29</v>
      </c>
      <c r="AB262">
        <v>14.5</v>
      </c>
      <c r="AC262" s="20"/>
      <c r="AD262" s="20"/>
      <c r="AE262" s="20"/>
      <c r="AN262" s="44"/>
      <c r="AO262" s="46"/>
      <c r="AP262" s="44"/>
      <c r="AQ262" s="44"/>
      <c r="AR262" s="41"/>
      <c r="AS262" s="40"/>
      <c r="AT262" s="41"/>
      <c r="AU262" s="41"/>
      <c r="AV262" s="23"/>
      <c r="AW262" s="23"/>
      <c r="AX262" s="23"/>
      <c r="AY262" s="23"/>
      <c r="AZ262" s="23"/>
      <c r="BA262" s="23"/>
      <c r="BB262" s="23"/>
      <c r="BC262" s="23"/>
      <c r="BD262" s="20"/>
      <c r="BE262" s="20"/>
      <c r="BF262" s="20"/>
      <c r="BG262" s="20"/>
      <c r="BJ262" s="64"/>
      <c r="BK262" s="64"/>
      <c r="BL262" s="64"/>
      <c r="BT262" s="68" t="s">
        <v>1264</v>
      </c>
      <c r="BU262" s="68">
        <v>1283</v>
      </c>
      <c r="BX262" s="68" t="s">
        <v>1275</v>
      </c>
      <c r="BY262" s="68" t="s">
        <v>56</v>
      </c>
      <c r="BZ262" s="68">
        <v>0.5</v>
      </c>
      <c r="CA262" s="68">
        <v>5</v>
      </c>
      <c r="CB262" s="68">
        <v>1</v>
      </c>
      <c r="CC262" s="68">
        <v>0</v>
      </c>
      <c r="CD262" s="68" t="s">
        <v>464</v>
      </c>
      <c r="CE262" s="68" t="s">
        <v>464</v>
      </c>
      <c r="CF262" s="68" t="s">
        <v>1266</v>
      </c>
      <c r="CG262" s="68">
        <v>400</v>
      </c>
      <c r="CI262" s="68" t="s">
        <v>1287</v>
      </c>
      <c r="CK262" s="70">
        <v>6660</v>
      </c>
    </row>
    <row r="263" spans="1:89" x14ac:dyDescent="0.3">
      <c r="A263" t="s">
        <v>1327</v>
      </c>
      <c r="B263" t="s">
        <v>4</v>
      </c>
      <c r="C263" t="s">
        <v>4064</v>
      </c>
      <c r="D263" s="12"/>
      <c r="E263">
        <v>4.2</v>
      </c>
      <c r="F263" t="s">
        <v>149</v>
      </c>
      <c r="G263" s="8"/>
      <c r="M263" t="b">
        <v>0</v>
      </c>
      <c r="N263" t="b">
        <v>0</v>
      </c>
      <c r="O263" t="b">
        <v>0</v>
      </c>
      <c r="P263" t="b">
        <v>1</v>
      </c>
      <c r="T263">
        <v>2</v>
      </c>
      <c r="U263" s="20"/>
      <c r="X263">
        <v>3.85</v>
      </c>
      <c r="Y263">
        <v>3.85</v>
      </c>
      <c r="Z263">
        <f>14.9*2</f>
        <v>29.8</v>
      </c>
      <c r="AB263">
        <v>14.9</v>
      </c>
      <c r="AC263" s="20"/>
      <c r="AD263" s="20"/>
      <c r="AE263" s="20"/>
      <c r="AN263" s="44"/>
      <c r="AO263" s="46"/>
      <c r="AP263" s="44"/>
      <c r="AQ263" s="44"/>
      <c r="AR263" s="41"/>
      <c r="AS263" s="40"/>
      <c r="AT263" s="41"/>
      <c r="AU263" s="41"/>
      <c r="AV263" s="23"/>
      <c r="AW263" s="23"/>
      <c r="AX263" s="23"/>
      <c r="AY263" s="23"/>
      <c r="AZ263" s="23"/>
      <c r="BA263" s="23"/>
      <c r="BB263" s="23"/>
      <c r="BC263" s="23"/>
      <c r="BD263" s="20"/>
      <c r="BE263" s="20"/>
      <c r="BF263" s="20"/>
      <c r="BG263" s="20"/>
      <c r="BJ263" s="64"/>
      <c r="BK263" s="64"/>
      <c r="BL263" s="64"/>
      <c r="BT263" s="68" t="s">
        <v>1264</v>
      </c>
      <c r="BU263" s="68">
        <v>1284</v>
      </c>
      <c r="BX263" s="68" t="s">
        <v>1275</v>
      </c>
      <c r="BY263" s="68" t="s">
        <v>56</v>
      </c>
      <c r="BZ263" s="68">
        <v>0.5</v>
      </c>
      <c r="CA263" s="68">
        <v>5</v>
      </c>
      <c r="CB263" s="68">
        <v>1</v>
      </c>
      <c r="CC263" s="68">
        <v>0</v>
      </c>
      <c r="CD263" s="68" t="s">
        <v>464</v>
      </c>
      <c r="CE263" s="68" t="s">
        <v>464</v>
      </c>
      <c r="CF263" s="68" t="s">
        <v>1266</v>
      </c>
      <c r="CG263" s="68">
        <v>400</v>
      </c>
      <c r="CI263" s="68" t="s">
        <v>1287</v>
      </c>
      <c r="CK263" s="70">
        <v>5090</v>
      </c>
    </row>
    <row r="264" spans="1:89" x14ac:dyDescent="0.3">
      <c r="A264" t="s">
        <v>1328</v>
      </c>
      <c r="B264" t="s">
        <v>4</v>
      </c>
      <c r="C264" t="s">
        <v>4065</v>
      </c>
      <c r="D264" s="12"/>
      <c r="E264">
        <v>4.2</v>
      </c>
      <c r="F264" t="s">
        <v>149</v>
      </c>
      <c r="G264" s="8"/>
      <c r="M264" t="b">
        <v>0</v>
      </c>
      <c r="N264" t="b">
        <v>0</v>
      </c>
      <c r="O264" t="b">
        <v>0</v>
      </c>
      <c r="P264" t="b">
        <v>1</v>
      </c>
      <c r="T264">
        <v>2</v>
      </c>
      <c r="U264" s="20"/>
      <c r="X264">
        <v>3.85</v>
      </c>
      <c r="Y264">
        <v>3.85</v>
      </c>
      <c r="Z264">
        <f>15.2*2</f>
        <v>30.4</v>
      </c>
      <c r="AB264">
        <v>15.2</v>
      </c>
      <c r="AC264" s="20"/>
      <c r="AD264" s="20"/>
      <c r="AE264" s="20"/>
      <c r="AN264" s="44"/>
      <c r="AO264" s="46"/>
      <c r="AP264" s="44"/>
      <c r="AQ264" s="44"/>
      <c r="AR264" s="41"/>
      <c r="AS264" s="40"/>
      <c r="AT264" s="41"/>
      <c r="AU264" s="41"/>
      <c r="AV264" s="23"/>
      <c r="AW264" s="23"/>
      <c r="AX264" s="23"/>
      <c r="AY264" s="23"/>
      <c r="AZ264" s="23"/>
      <c r="BA264" s="23"/>
      <c r="BB264" s="23"/>
      <c r="BC264" s="23"/>
      <c r="BD264" s="20"/>
      <c r="BE264" s="20"/>
      <c r="BF264" s="20"/>
      <c r="BG264" s="20"/>
      <c r="BJ264" s="64"/>
      <c r="BK264" s="64"/>
      <c r="BL264" s="64"/>
      <c r="BT264" s="68" t="s">
        <v>1264</v>
      </c>
      <c r="BU264" s="68">
        <v>1285</v>
      </c>
      <c r="BX264" s="68" t="s">
        <v>1275</v>
      </c>
      <c r="BY264" s="68" t="s">
        <v>56</v>
      </c>
      <c r="BZ264" s="68">
        <v>0.5</v>
      </c>
      <c r="CA264" s="68">
        <v>5</v>
      </c>
      <c r="CB264" s="68">
        <v>1</v>
      </c>
      <c r="CC264" s="68">
        <v>0</v>
      </c>
      <c r="CD264" s="68" t="s">
        <v>464</v>
      </c>
      <c r="CE264" s="68" t="s">
        <v>464</v>
      </c>
      <c r="CF264" s="68" t="s">
        <v>1266</v>
      </c>
      <c r="CG264" s="68">
        <v>400</v>
      </c>
      <c r="CI264" s="68" t="s">
        <v>1287</v>
      </c>
      <c r="CK264" s="70">
        <v>2870</v>
      </c>
    </row>
    <row r="265" spans="1:89" x14ac:dyDescent="0.3">
      <c r="A265" t="s">
        <v>63</v>
      </c>
      <c r="B265" t="s">
        <v>4</v>
      </c>
      <c r="C265" t="s">
        <v>3928</v>
      </c>
      <c r="D265" s="12"/>
      <c r="E265">
        <v>3.5</v>
      </c>
      <c r="F265" t="s">
        <v>152</v>
      </c>
      <c r="G265" s="103" t="s">
        <v>587</v>
      </c>
      <c r="H265" s="58">
        <v>1522043</v>
      </c>
      <c r="I265" t="s">
        <v>1144</v>
      </c>
      <c r="J265" t="s">
        <v>1729</v>
      </c>
      <c r="K265" t="s">
        <v>1729</v>
      </c>
      <c r="M265" t="b">
        <v>1</v>
      </c>
      <c r="N265" t="b">
        <v>1</v>
      </c>
      <c r="O265" t="b">
        <v>0</v>
      </c>
      <c r="P265" t="b">
        <v>0</v>
      </c>
      <c r="Q265" t="s">
        <v>1970</v>
      </c>
      <c r="R265" t="s">
        <v>1978</v>
      </c>
      <c r="S265" t="s">
        <v>1144</v>
      </c>
      <c r="U265" s="20">
        <v>0</v>
      </c>
      <c r="V265">
        <v>0</v>
      </c>
      <c r="W265">
        <v>1</v>
      </c>
      <c r="X265">
        <v>3.85</v>
      </c>
      <c r="Y265">
        <v>3.85</v>
      </c>
      <c r="Z265">
        <v>29.296700000000001</v>
      </c>
      <c r="AA265" t="s">
        <v>519</v>
      </c>
      <c r="AB265">
        <v>14.648350000000001</v>
      </c>
      <c r="AC265" s="20">
        <v>0</v>
      </c>
      <c r="AD265" s="20"/>
      <c r="AE265" s="20"/>
      <c r="AF265">
        <v>0</v>
      </c>
      <c r="AI265">
        <v>3.8653</v>
      </c>
      <c r="AJ265">
        <v>3.8653</v>
      </c>
      <c r="AK265">
        <v>11.0131</v>
      </c>
      <c r="AM265">
        <v>20</v>
      </c>
      <c r="AN265" s="44">
        <f t="shared" si="34"/>
        <v>434.25033575000009</v>
      </c>
      <c r="AO265" s="46">
        <v>0</v>
      </c>
      <c r="AP265" s="44">
        <v>0</v>
      </c>
      <c r="AQ265" s="44">
        <v>164.541706117579</v>
      </c>
      <c r="AR265" s="41"/>
      <c r="AS265" s="40"/>
      <c r="AT265" s="41"/>
      <c r="AU265" s="41">
        <v>0.12154973028970729</v>
      </c>
      <c r="AV265" s="23">
        <v>1.75</v>
      </c>
      <c r="AW265" s="23">
        <v>2.5</v>
      </c>
      <c r="AX265" s="23">
        <v>0.75</v>
      </c>
      <c r="AY265" s="23">
        <v>0</v>
      </c>
      <c r="AZ265" s="23">
        <v>0.35</v>
      </c>
      <c r="BA265" s="23">
        <v>0.5</v>
      </c>
      <c r="BB265" s="23">
        <v>0.15</v>
      </c>
      <c r="BC265" s="23">
        <v>0</v>
      </c>
      <c r="BD265" s="20">
        <v>1</v>
      </c>
      <c r="BE265" s="20">
        <v>3.44</v>
      </c>
      <c r="BF265" s="20">
        <v>2.44</v>
      </c>
      <c r="BG265" s="20">
        <v>2.7124999999999999</v>
      </c>
      <c r="BH265">
        <v>2.7124999999999999</v>
      </c>
      <c r="BI265">
        <v>6.264025610615688</v>
      </c>
      <c r="BJ265" s="64"/>
      <c r="BK265" s="64"/>
      <c r="BL265" s="64">
        <v>0.53381265134868672</v>
      </c>
      <c r="BP265">
        <v>6.0774865144853633E-2</v>
      </c>
      <c r="BQ265">
        <v>0.12154973028970729</v>
      </c>
      <c r="BR265">
        <v>6.0774865144853633E-2</v>
      </c>
      <c r="BS265">
        <v>0.53381265134868672</v>
      </c>
      <c r="BT265" s="68" t="s">
        <v>1264</v>
      </c>
      <c r="BU265" s="68">
        <f>1250+273</f>
        <v>1523</v>
      </c>
      <c r="BV265" s="68">
        <v>2</v>
      </c>
      <c r="BX265" s="68" t="s">
        <v>1268</v>
      </c>
      <c r="BY265" s="68" t="s">
        <v>863</v>
      </c>
      <c r="BZ265" s="68">
        <v>0.3</v>
      </c>
      <c r="CA265" s="68">
        <v>50</v>
      </c>
      <c r="CB265" s="68">
        <v>2.5</v>
      </c>
      <c r="CC265" s="68">
        <v>7</v>
      </c>
      <c r="CD265" s="68" t="s">
        <v>464</v>
      </c>
      <c r="CE265" s="68" t="s">
        <v>464</v>
      </c>
      <c r="CF265" s="68" t="s">
        <v>1271</v>
      </c>
      <c r="CG265" s="68">
        <v>300</v>
      </c>
      <c r="CH265" s="68">
        <v>300</v>
      </c>
      <c r="CI265" s="68" t="s">
        <v>1310</v>
      </c>
      <c r="CK265" s="70">
        <f>4.2*200</f>
        <v>840</v>
      </c>
    </row>
    <row r="266" spans="1:89" x14ac:dyDescent="0.3">
      <c r="A266" t="s">
        <v>151</v>
      </c>
      <c r="B266" t="s">
        <v>4</v>
      </c>
      <c r="C266" t="s">
        <v>3929</v>
      </c>
      <c r="D266" s="12"/>
      <c r="E266">
        <v>3.3</v>
      </c>
      <c r="F266" t="s">
        <v>152</v>
      </c>
      <c r="G266" s="99" t="s">
        <v>587</v>
      </c>
      <c r="H266" s="58">
        <v>1522043</v>
      </c>
      <c r="J266" t="s">
        <v>1730</v>
      </c>
      <c r="K266" t="s">
        <v>1730</v>
      </c>
      <c r="M266" t="b">
        <v>1</v>
      </c>
      <c r="N266" t="b">
        <v>1</v>
      </c>
      <c r="O266" t="b">
        <v>0</v>
      </c>
      <c r="P266" t="b">
        <v>0</v>
      </c>
      <c r="Q266" t="s">
        <v>1971</v>
      </c>
      <c r="R266" t="s">
        <v>1980</v>
      </c>
      <c r="T266">
        <v>2</v>
      </c>
      <c r="U266" s="20">
        <v>0</v>
      </c>
      <c r="V266">
        <v>0</v>
      </c>
      <c r="W266">
        <v>0</v>
      </c>
      <c r="X266">
        <v>3.89</v>
      </c>
      <c r="Y266">
        <v>3.89</v>
      </c>
      <c r="Z266">
        <v>33.299999999999997</v>
      </c>
      <c r="AA266" t="s">
        <v>519</v>
      </c>
      <c r="AB266">
        <v>16.649999999999999</v>
      </c>
      <c r="AC266" s="20">
        <v>0</v>
      </c>
      <c r="AD266" s="20"/>
      <c r="AE266" s="20"/>
      <c r="AF266">
        <v>0</v>
      </c>
      <c r="AI266">
        <v>0</v>
      </c>
      <c r="AM266">
        <v>20</v>
      </c>
      <c r="AN266" s="44">
        <f t="shared" si="34"/>
        <v>503.89893000000001</v>
      </c>
      <c r="AO266" s="46">
        <v>0</v>
      </c>
      <c r="AP266" s="44">
        <v>0</v>
      </c>
      <c r="AQ266" s="44">
        <v>0</v>
      </c>
      <c r="AR266" s="41">
        <f t="shared" ref="AR266:AR304" si="37">T266*AM266/AN266</f>
        <v>7.9380998090232108E-2</v>
      </c>
      <c r="AS266" s="40"/>
      <c r="AT266" s="41"/>
      <c r="AU266" s="41"/>
      <c r="AV266" s="23">
        <v>1.75</v>
      </c>
      <c r="AW266" s="23">
        <v>2.5</v>
      </c>
      <c r="AX266" s="23">
        <v>0.75</v>
      </c>
      <c r="AY266" s="23">
        <v>0</v>
      </c>
      <c r="AZ266" s="23">
        <v>0.35</v>
      </c>
      <c r="BA266" s="23">
        <v>0.5</v>
      </c>
      <c r="BB266" s="23">
        <v>0.15</v>
      </c>
      <c r="BC266" s="23">
        <v>0</v>
      </c>
      <c r="BD266" s="20">
        <v>0.95</v>
      </c>
      <c r="BE266" s="20">
        <v>3.44</v>
      </c>
      <c r="BF266" s="20">
        <v>2.4900000000000002</v>
      </c>
      <c r="BG266" s="20">
        <v>2.7062499999999998</v>
      </c>
      <c r="BH266">
        <v>2.7062499999999998</v>
      </c>
      <c r="BI266">
        <v>6.2396022968656872</v>
      </c>
      <c r="BJ266" s="64"/>
      <c r="BK266" s="64"/>
      <c r="BL266" s="64"/>
      <c r="BM266">
        <v>3.9690499045116047E-2</v>
      </c>
      <c r="BQ266">
        <v>7.9380998090232108E-2</v>
      </c>
      <c r="BR266">
        <v>3.9690499045116047E-2</v>
      </c>
      <c r="BS266">
        <v>0</v>
      </c>
      <c r="BT266" s="68" t="s">
        <v>1264</v>
      </c>
      <c r="BU266" s="68">
        <f>1250+273</f>
        <v>1523</v>
      </c>
      <c r="BV266" s="68">
        <v>2</v>
      </c>
      <c r="BX266" s="68" t="s">
        <v>1268</v>
      </c>
      <c r="BY266" s="68" t="s">
        <v>863</v>
      </c>
      <c r="BZ266" s="68">
        <v>0.3</v>
      </c>
      <c r="CA266" s="68">
        <v>56</v>
      </c>
      <c r="CB266" s="68">
        <v>2.5</v>
      </c>
      <c r="CC266" s="68">
        <v>7</v>
      </c>
      <c r="CD266" s="68" t="s">
        <v>464</v>
      </c>
      <c r="CE266" s="68" t="s">
        <v>464</v>
      </c>
      <c r="CF266" s="68" t="s">
        <v>1271</v>
      </c>
      <c r="CG266" s="68">
        <v>300</v>
      </c>
      <c r="CH266" s="68">
        <v>300</v>
      </c>
      <c r="CI266" s="68" t="s">
        <v>1310</v>
      </c>
      <c r="CK266" s="70">
        <f>4.5*200</f>
        <v>900</v>
      </c>
    </row>
    <row r="267" spans="1:89" x14ac:dyDescent="0.3">
      <c r="A267" t="s">
        <v>153</v>
      </c>
      <c r="B267" t="s">
        <v>153</v>
      </c>
      <c r="C267" t="s">
        <v>3927</v>
      </c>
      <c r="D267" s="12"/>
      <c r="E267">
        <v>3.23</v>
      </c>
      <c r="F267" t="s">
        <v>152</v>
      </c>
      <c r="G267" s="98" t="s">
        <v>578</v>
      </c>
      <c r="H267">
        <v>-1</v>
      </c>
      <c r="I267" t="s">
        <v>1166</v>
      </c>
      <c r="M267" t="b">
        <v>1</v>
      </c>
      <c r="N267" t="b">
        <v>0</v>
      </c>
      <c r="O267" t="b">
        <v>1</v>
      </c>
      <c r="P267" t="b">
        <v>0</v>
      </c>
      <c r="Q267" t="s">
        <v>578</v>
      </c>
      <c r="R267">
        <v>-1</v>
      </c>
      <c r="S267" t="s">
        <v>1166</v>
      </c>
      <c r="T267">
        <v>2</v>
      </c>
      <c r="U267" s="20">
        <v>1</v>
      </c>
      <c r="V267">
        <v>0</v>
      </c>
      <c r="W267">
        <v>1</v>
      </c>
      <c r="X267">
        <v>3.89</v>
      </c>
      <c r="Y267">
        <v>3.89</v>
      </c>
      <c r="Z267">
        <v>21.29</v>
      </c>
      <c r="AA267" t="s">
        <v>519</v>
      </c>
      <c r="AB267">
        <v>10.645</v>
      </c>
      <c r="AC267" s="20">
        <v>3.9263319999999999</v>
      </c>
      <c r="AD267" s="20">
        <v>3.9263319999999999</v>
      </c>
      <c r="AE267" s="20">
        <v>10.74639</v>
      </c>
      <c r="AF267">
        <v>0</v>
      </c>
      <c r="AI267">
        <v>3.8913000000000002</v>
      </c>
      <c r="AJ267">
        <v>3.8913000000000002</v>
      </c>
      <c r="AK267">
        <v>10.47</v>
      </c>
      <c r="AM267">
        <v>14</v>
      </c>
      <c r="AN267" s="44">
        <f t="shared" si="34"/>
        <v>322.16240900000003</v>
      </c>
      <c r="AO267" s="46">
        <v>165.66723991337099</v>
      </c>
      <c r="AP267" s="44">
        <v>0</v>
      </c>
      <c r="AQ267" s="44">
        <v>158.53899827430001</v>
      </c>
      <c r="AR267" s="41"/>
      <c r="AS267" s="40">
        <v>8.4506749839743392E-2</v>
      </c>
      <c r="AT267" s="41"/>
      <c r="AU267" s="41">
        <v>8.8306348295310685E-2</v>
      </c>
      <c r="AV267" s="23">
        <v>1.7272727272727271</v>
      </c>
      <c r="AW267" s="23">
        <v>2.545454545454545</v>
      </c>
      <c r="AX267" s="23">
        <v>0.81818181818181823</v>
      </c>
      <c r="AY267" s="23">
        <v>0</v>
      </c>
      <c r="AZ267" s="23">
        <v>0.3392857142857143</v>
      </c>
      <c r="BA267" s="23">
        <v>0.5</v>
      </c>
      <c r="BB267" s="23">
        <v>0.1607142857142857</v>
      </c>
      <c r="BC267" s="23">
        <v>0</v>
      </c>
      <c r="BD267" s="20">
        <v>1.1000000000000001</v>
      </c>
      <c r="BE267" s="20">
        <v>3.44</v>
      </c>
      <c r="BF267" s="20">
        <v>2.34</v>
      </c>
      <c r="BG267" s="20">
        <v>2.78</v>
      </c>
      <c r="BH267">
        <v>2.78</v>
      </c>
      <c r="BI267">
        <v>6.4270052227137269</v>
      </c>
      <c r="BJ267" s="64">
        <v>0.41874886813759421</v>
      </c>
      <c r="BK267" s="64"/>
      <c r="BL267" s="64">
        <v>0</v>
      </c>
      <c r="BN267">
        <v>4.2253374919871717E-2</v>
      </c>
      <c r="BP267">
        <v>4.4153174147655357E-2</v>
      </c>
      <c r="BQ267">
        <v>8.6406549067527039E-2</v>
      </c>
      <c r="BR267">
        <v>4.3203274533763533E-2</v>
      </c>
      <c r="BS267">
        <v>0.20937443406879711</v>
      </c>
      <c r="BT267" s="68" t="s">
        <v>1264</v>
      </c>
      <c r="BU267" s="68">
        <f>1150+273</f>
        <v>1423</v>
      </c>
      <c r="BV267" s="68">
        <f>48</f>
        <v>48</v>
      </c>
      <c r="BX267" s="68" t="s">
        <v>1268</v>
      </c>
      <c r="BY267" s="68" t="s">
        <v>863</v>
      </c>
      <c r="BZ267" s="68">
        <v>0.3</v>
      </c>
      <c r="CA267" s="68">
        <v>68</v>
      </c>
      <c r="CB267" s="68">
        <v>2.5</v>
      </c>
      <c r="CC267" s="68">
        <v>7</v>
      </c>
      <c r="CD267" s="68" t="s">
        <v>464</v>
      </c>
      <c r="CE267" s="68" t="s">
        <v>464</v>
      </c>
      <c r="CF267" s="68" t="s">
        <v>1271</v>
      </c>
      <c r="CG267" s="68">
        <v>300</v>
      </c>
      <c r="CH267" s="68">
        <v>300</v>
      </c>
      <c r="CI267" s="68" t="s">
        <v>1310</v>
      </c>
      <c r="CK267" s="70">
        <f>0.3*200</f>
        <v>60</v>
      </c>
    </row>
    <row r="268" spans="1:89" x14ac:dyDescent="0.3">
      <c r="A268" t="s">
        <v>7</v>
      </c>
      <c r="B268" t="s">
        <v>4</v>
      </c>
      <c r="C268" t="s">
        <v>3924</v>
      </c>
      <c r="D268" s="12"/>
      <c r="E268">
        <v>3.47</v>
      </c>
      <c r="F268" t="s">
        <v>154</v>
      </c>
      <c r="G268" s="99" t="s">
        <v>587</v>
      </c>
      <c r="H268" s="58">
        <v>1522043</v>
      </c>
      <c r="J268" t="s">
        <v>2235</v>
      </c>
      <c r="K268" t="s">
        <v>2235</v>
      </c>
      <c r="M268" t="b">
        <v>1</v>
      </c>
      <c r="N268" t="b">
        <v>1</v>
      </c>
      <c r="O268" t="b">
        <v>0</v>
      </c>
      <c r="P268" t="b">
        <v>0</v>
      </c>
      <c r="Q268" t="s">
        <v>1972</v>
      </c>
      <c r="R268" t="s">
        <v>1990</v>
      </c>
      <c r="T268">
        <v>8</v>
      </c>
      <c r="U268" s="20">
        <v>0</v>
      </c>
      <c r="V268">
        <v>0</v>
      </c>
      <c r="W268">
        <v>0</v>
      </c>
      <c r="X268">
        <v>7.8209999999999997</v>
      </c>
      <c r="Y268">
        <v>7.7649999999999997</v>
      </c>
      <c r="Z268">
        <v>30.08</v>
      </c>
      <c r="AA268" t="s">
        <v>495</v>
      </c>
      <c r="AB268">
        <v>15.04</v>
      </c>
      <c r="AC268" s="20">
        <v>0</v>
      </c>
      <c r="AD268" s="20"/>
      <c r="AE268" s="20"/>
      <c r="AF268">
        <v>0</v>
      </c>
      <c r="AI268">
        <v>0</v>
      </c>
      <c r="AM268">
        <v>20</v>
      </c>
      <c r="AN268" s="44">
        <f t="shared" si="34"/>
        <v>1826.7603551999998</v>
      </c>
      <c r="AO268" s="46">
        <v>0</v>
      </c>
      <c r="AP268" s="44">
        <v>0</v>
      </c>
      <c r="AQ268" s="44">
        <v>0</v>
      </c>
      <c r="AR268" s="41">
        <f t="shared" si="37"/>
        <v>8.7586748609115E-2</v>
      </c>
      <c r="AS268" s="40"/>
      <c r="AT268" s="41"/>
      <c r="AU268" s="41"/>
      <c r="AV268" s="23">
        <v>1.75</v>
      </c>
      <c r="AW268" s="23">
        <v>2.5</v>
      </c>
      <c r="AX268" s="23">
        <v>0.75</v>
      </c>
      <c r="AY268" s="23">
        <v>0</v>
      </c>
      <c r="AZ268" s="23">
        <v>0.35</v>
      </c>
      <c r="BA268" s="23">
        <v>0.5</v>
      </c>
      <c r="BB268" s="23">
        <v>0.15</v>
      </c>
      <c r="BC268" s="23">
        <v>0</v>
      </c>
      <c r="BD268" s="20">
        <v>0.82</v>
      </c>
      <c r="BE268" s="20">
        <v>3.44</v>
      </c>
      <c r="BF268" s="20">
        <v>2.62</v>
      </c>
      <c r="BG268" s="20">
        <v>2.62</v>
      </c>
      <c r="BH268">
        <v>2.62</v>
      </c>
      <c r="BI268">
        <v>5.9423863675000002</v>
      </c>
      <c r="BJ268" s="64"/>
      <c r="BK268" s="64"/>
      <c r="BL268" s="64"/>
      <c r="BM268">
        <v>4.37933743045575E-2</v>
      </c>
      <c r="BQ268">
        <v>8.7586748609115E-2</v>
      </c>
      <c r="BR268">
        <v>4.37933743045575E-2</v>
      </c>
      <c r="BS268">
        <v>0</v>
      </c>
      <c r="BT268" s="68" t="s">
        <v>1264</v>
      </c>
      <c r="BU268" s="68">
        <v>1423</v>
      </c>
      <c r="BV268" s="68">
        <v>24</v>
      </c>
      <c r="BX268" s="68" t="s">
        <v>464</v>
      </c>
      <c r="BY268" s="68" t="s">
        <v>464</v>
      </c>
      <c r="BZ268" s="68">
        <v>0</v>
      </c>
      <c r="CA268" s="68">
        <v>11.22</v>
      </c>
      <c r="CB268" s="68">
        <v>2</v>
      </c>
      <c r="CC268" s="68">
        <v>10</v>
      </c>
      <c r="CD268" s="68" t="s">
        <v>464</v>
      </c>
      <c r="CE268" s="68" t="s">
        <v>464</v>
      </c>
      <c r="CF268" s="68" t="s">
        <v>1266</v>
      </c>
      <c r="CG268" s="68">
        <v>100</v>
      </c>
      <c r="CH268" s="68">
        <v>400</v>
      </c>
      <c r="CI268" s="68" t="s">
        <v>1310</v>
      </c>
      <c r="CJ268" s="68">
        <v>333</v>
      </c>
    </row>
    <row r="269" spans="1:89" x14ac:dyDescent="0.3">
      <c r="A269" t="s">
        <v>155</v>
      </c>
      <c r="B269" t="s">
        <v>4</v>
      </c>
      <c r="C269" t="s">
        <v>4066</v>
      </c>
      <c r="D269" s="12"/>
      <c r="E269">
        <v>3.76</v>
      </c>
      <c r="F269" t="s">
        <v>154</v>
      </c>
      <c r="G269" s="99" t="s">
        <v>587</v>
      </c>
      <c r="H269" s="58">
        <v>1522043</v>
      </c>
      <c r="J269" t="s">
        <v>2236</v>
      </c>
      <c r="K269" t="s">
        <v>2236</v>
      </c>
      <c r="M269" t="b">
        <v>1</v>
      </c>
      <c r="N269" t="b">
        <v>1</v>
      </c>
      <c r="O269" t="b">
        <v>0</v>
      </c>
      <c r="P269" t="b">
        <v>0</v>
      </c>
      <c r="Q269" t="s">
        <v>1973</v>
      </c>
      <c r="R269" t="s">
        <v>1994</v>
      </c>
      <c r="T269">
        <v>8</v>
      </c>
      <c r="U269" s="20">
        <v>0</v>
      </c>
      <c r="V269">
        <v>0</v>
      </c>
      <c r="W269">
        <v>0</v>
      </c>
      <c r="X269">
        <v>7.8209999999999997</v>
      </c>
      <c r="Y269">
        <v>7.7649999999999997</v>
      </c>
      <c r="Z269">
        <v>30.96</v>
      </c>
      <c r="AA269" t="s">
        <v>495</v>
      </c>
      <c r="AB269">
        <v>15.48</v>
      </c>
      <c r="AC269" s="20">
        <v>0</v>
      </c>
      <c r="AD269" s="20"/>
      <c r="AE269" s="20"/>
      <c r="AF269">
        <v>0</v>
      </c>
      <c r="AI269">
        <v>0</v>
      </c>
      <c r="AM269">
        <v>20</v>
      </c>
      <c r="AN269" s="44">
        <f t="shared" si="34"/>
        <v>1880.2028123999999</v>
      </c>
      <c r="AO269" s="46">
        <v>0</v>
      </c>
      <c r="AP269" s="44">
        <v>0</v>
      </c>
      <c r="AQ269" s="44">
        <v>0</v>
      </c>
      <c r="AR269" s="41">
        <f t="shared" si="37"/>
        <v>8.5097202783016121E-2</v>
      </c>
      <c r="AS269" s="40"/>
      <c r="AT269" s="41"/>
      <c r="AU269" s="41"/>
      <c r="AV269" s="23">
        <v>1.8125</v>
      </c>
      <c r="AW269" s="23">
        <v>2.5</v>
      </c>
      <c r="AX269" s="23">
        <v>0.6875</v>
      </c>
      <c r="AY269" s="23">
        <v>0.875</v>
      </c>
      <c r="AZ269" s="23">
        <v>0.30851063829787229</v>
      </c>
      <c r="BA269" s="23">
        <v>0.42553191489361702</v>
      </c>
      <c r="BB269" s="23">
        <v>0.1170212765957447</v>
      </c>
      <c r="BC269" s="23">
        <v>0.14893617021276601</v>
      </c>
      <c r="BD269" s="20">
        <v>0.82</v>
      </c>
      <c r="BE269" s="20">
        <v>3.44</v>
      </c>
      <c r="BF269" s="20">
        <v>2.62</v>
      </c>
      <c r="BG269" s="20">
        <v>2.61375</v>
      </c>
      <c r="BH269">
        <v>2.61375</v>
      </c>
      <c r="BI269">
        <v>5.9485249299999996</v>
      </c>
      <c r="BJ269" s="64"/>
      <c r="BK269" s="64"/>
      <c r="BL269" s="64"/>
      <c r="BM269">
        <v>4.254860139150806E-2</v>
      </c>
      <c r="BQ269">
        <v>8.5097202783016121E-2</v>
      </c>
      <c r="BR269">
        <v>4.254860139150806E-2</v>
      </c>
      <c r="BS269">
        <v>0</v>
      </c>
      <c r="BT269" s="68" t="s">
        <v>1264</v>
      </c>
      <c r="BU269" s="68">
        <v>1423</v>
      </c>
      <c r="BV269" s="68">
        <v>24</v>
      </c>
      <c r="BX269" s="68" t="s">
        <v>464</v>
      </c>
      <c r="BY269" s="68" t="s">
        <v>464</v>
      </c>
      <c r="BZ269" s="68">
        <v>0</v>
      </c>
      <c r="CA269" s="68">
        <v>11.6</v>
      </c>
      <c r="CB269" s="68">
        <v>2</v>
      </c>
      <c r="CC269" s="68">
        <v>10</v>
      </c>
      <c r="CD269" s="68" t="s">
        <v>464</v>
      </c>
      <c r="CE269" s="68" t="s">
        <v>464</v>
      </c>
      <c r="CF269" s="68" t="s">
        <v>1266</v>
      </c>
      <c r="CG269" s="68">
        <v>100</v>
      </c>
      <c r="CH269" s="68">
        <v>400</v>
      </c>
      <c r="CI269" s="68" t="s">
        <v>1310</v>
      </c>
      <c r="CJ269" s="68">
        <v>333</v>
      </c>
    </row>
    <row r="270" spans="1:89" x14ac:dyDescent="0.3">
      <c r="A270" t="s">
        <v>156</v>
      </c>
      <c r="B270" t="s">
        <v>4</v>
      </c>
      <c r="C270" t="s">
        <v>4067</v>
      </c>
      <c r="D270" s="12"/>
      <c r="E270">
        <v>3.76</v>
      </c>
      <c r="F270" t="s">
        <v>154</v>
      </c>
      <c r="G270" s="99" t="s">
        <v>587</v>
      </c>
      <c r="H270" s="58">
        <v>1522043</v>
      </c>
      <c r="J270" t="s">
        <v>2237</v>
      </c>
      <c r="K270" t="s">
        <v>2237</v>
      </c>
      <c r="M270" t="b">
        <v>1</v>
      </c>
      <c r="N270" t="b">
        <v>1</v>
      </c>
      <c r="O270" t="b">
        <v>0</v>
      </c>
      <c r="P270" t="b">
        <v>0</v>
      </c>
      <c r="Q270" t="s">
        <v>1975</v>
      </c>
      <c r="R270" t="s">
        <v>1998</v>
      </c>
      <c r="T270">
        <v>8</v>
      </c>
      <c r="U270" s="20">
        <v>0</v>
      </c>
      <c r="V270">
        <v>0</v>
      </c>
      <c r="W270">
        <v>0</v>
      </c>
      <c r="X270">
        <v>7.8209999999999997</v>
      </c>
      <c r="Y270">
        <v>7.7649999999999997</v>
      </c>
      <c r="Z270">
        <v>29.84</v>
      </c>
      <c r="AA270" t="s">
        <v>495</v>
      </c>
      <c r="AB270">
        <v>14.92</v>
      </c>
      <c r="AC270" s="20">
        <v>0</v>
      </c>
      <c r="AD270" s="20"/>
      <c r="AE270" s="20"/>
      <c r="AF270">
        <v>0</v>
      </c>
      <c r="AI270">
        <v>0</v>
      </c>
      <c r="AM270">
        <v>20</v>
      </c>
      <c r="AN270" s="44">
        <f t="shared" si="34"/>
        <v>1812.1851396</v>
      </c>
      <c r="AO270" s="46">
        <v>0</v>
      </c>
      <c r="AP270" s="44">
        <v>0</v>
      </c>
      <c r="AQ270" s="44">
        <v>0</v>
      </c>
      <c r="AR270" s="41">
        <f t="shared" si="37"/>
        <v>8.8291199670314305E-2</v>
      </c>
      <c r="AS270" s="40"/>
      <c r="AT270" s="41"/>
      <c r="AU270" s="41"/>
      <c r="AV270" s="23">
        <v>1.8666666666666669</v>
      </c>
      <c r="AW270" s="23">
        <v>2.666666666666667</v>
      </c>
      <c r="AX270" s="23">
        <v>0.46666666666666667</v>
      </c>
      <c r="AY270" s="23">
        <v>0.93333333333333335</v>
      </c>
      <c r="AZ270" s="23">
        <v>0.3146067415730337</v>
      </c>
      <c r="BA270" s="23">
        <v>0.44943820224719089</v>
      </c>
      <c r="BB270" s="23">
        <v>7.8651685393258425E-2</v>
      </c>
      <c r="BC270" s="23">
        <v>0.15730337078651679</v>
      </c>
      <c r="BD270" s="20">
        <v>0.82</v>
      </c>
      <c r="BE270" s="20">
        <v>3.44</v>
      </c>
      <c r="BF270" s="20">
        <v>2.62</v>
      </c>
      <c r="BG270" s="20">
        <v>2.6813333333333329</v>
      </c>
      <c r="BH270">
        <v>2.6813333333333329</v>
      </c>
      <c r="BI270">
        <v>6.0892180253333326</v>
      </c>
      <c r="BJ270" s="64"/>
      <c r="BK270" s="64"/>
      <c r="BL270" s="64"/>
      <c r="BM270">
        <v>4.4145599835157152E-2</v>
      </c>
      <c r="BQ270">
        <v>8.8291199670314305E-2</v>
      </c>
      <c r="BR270">
        <v>4.4145599835157152E-2</v>
      </c>
      <c r="BS270">
        <v>0</v>
      </c>
      <c r="BT270" s="68" t="s">
        <v>1264</v>
      </c>
      <c r="BU270" s="68">
        <v>1423</v>
      </c>
      <c r="BV270" s="68">
        <v>24</v>
      </c>
      <c r="BX270" s="68" t="s">
        <v>464</v>
      </c>
      <c r="BY270" s="68" t="s">
        <v>464</v>
      </c>
      <c r="BZ270" s="68">
        <v>0</v>
      </c>
      <c r="CA270" s="68">
        <v>10.76</v>
      </c>
      <c r="CB270" s="68">
        <v>2</v>
      </c>
      <c r="CC270" s="68">
        <v>10</v>
      </c>
      <c r="CD270" s="68" t="s">
        <v>464</v>
      </c>
      <c r="CE270" s="68" t="s">
        <v>464</v>
      </c>
      <c r="CF270" s="68" t="s">
        <v>1266</v>
      </c>
      <c r="CG270" s="68">
        <v>100</v>
      </c>
      <c r="CH270" s="68">
        <v>400</v>
      </c>
      <c r="CI270" s="68" t="s">
        <v>1310</v>
      </c>
      <c r="CJ270" s="68">
        <v>333</v>
      </c>
    </row>
    <row r="271" spans="1:89" x14ac:dyDescent="0.3">
      <c r="A271" t="s">
        <v>157</v>
      </c>
      <c r="B271" t="s">
        <v>4</v>
      </c>
      <c r="C271" t="s">
        <v>4068</v>
      </c>
      <c r="D271" s="12"/>
      <c r="E271">
        <v>3.91</v>
      </c>
      <c r="F271" t="s">
        <v>154</v>
      </c>
      <c r="G271" s="99" t="s">
        <v>587</v>
      </c>
      <c r="H271" s="58">
        <v>1522043</v>
      </c>
      <c r="J271" t="s">
        <v>2274</v>
      </c>
      <c r="K271" t="s">
        <v>2274</v>
      </c>
      <c r="M271" t="b">
        <v>1</v>
      </c>
      <c r="N271" t="b">
        <v>1</v>
      </c>
      <c r="O271" t="b">
        <v>0</v>
      </c>
      <c r="P271" t="b">
        <v>0</v>
      </c>
      <c r="Q271" t="s">
        <v>1977</v>
      </c>
      <c r="R271" t="s">
        <v>2002</v>
      </c>
      <c r="T271">
        <v>8</v>
      </c>
      <c r="U271" s="20">
        <v>0</v>
      </c>
      <c r="V271">
        <v>0</v>
      </c>
      <c r="W271">
        <v>0</v>
      </c>
      <c r="X271">
        <v>7.8209999999999997</v>
      </c>
      <c r="Y271">
        <v>7.7649999999999997</v>
      </c>
      <c r="Z271">
        <v>30.08</v>
      </c>
      <c r="AA271" t="s">
        <v>495</v>
      </c>
      <c r="AB271">
        <v>15.04</v>
      </c>
      <c r="AC271" s="20">
        <v>0</v>
      </c>
      <c r="AD271" s="20"/>
      <c r="AE271" s="20"/>
      <c r="AF271">
        <v>0</v>
      </c>
      <c r="AI271">
        <v>0</v>
      </c>
      <c r="AM271">
        <v>20</v>
      </c>
      <c r="AN271" s="44">
        <f t="shared" si="34"/>
        <v>1826.7603551999998</v>
      </c>
      <c r="AO271" s="46">
        <v>0</v>
      </c>
      <c r="AP271" s="44">
        <v>0</v>
      </c>
      <c r="AQ271" s="44">
        <v>0</v>
      </c>
      <c r="AR271" s="41">
        <f t="shared" si="37"/>
        <v>8.7586748609115E-2</v>
      </c>
      <c r="AS271" s="40"/>
      <c r="AT271" s="41"/>
      <c r="AU271" s="41"/>
      <c r="AV271" s="23">
        <v>1.875</v>
      </c>
      <c r="AW271" s="23">
        <v>2.5</v>
      </c>
      <c r="AX271" s="23">
        <v>0.625</v>
      </c>
      <c r="AY271" s="23">
        <v>1.75</v>
      </c>
      <c r="AZ271" s="23">
        <v>0.27777777777777779</v>
      </c>
      <c r="BA271" s="23">
        <v>0.37037037037037029</v>
      </c>
      <c r="BB271" s="23">
        <v>9.2592592592592587E-2</v>
      </c>
      <c r="BC271" s="23">
        <v>0.25925925925925919</v>
      </c>
      <c r="BD271" s="20">
        <v>0.82</v>
      </c>
      <c r="BE271" s="20">
        <v>3.44</v>
      </c>
      <c r="BF271" s="20">
        <v>2.62</v>
      </c>
      <c r="BG271" s="20">
        <v>2.6074999999999999</v>
      </c>
      <c r="BH271">
        <v>2.6074999999999999</v>
      </c>
      <c r="BI271">
        <v>5.9546634925000008</v>
      </c>
      <c r="BJ271" s="64"/>
      <c r="BK271" s="64"/>
      <c r="BL271" s="64"/>
      <c r="BM271">
        <v>4.37933743045575E-2</v>
      </c>
      <c r="BQ271">
        <v>8.7586748609115E-2</v>
      </c>
      <c r="BR271">
        <v>4.37933743045575E-2</v>
      </c>
      <c r="BS271">
        <v>0</v>
      </c>
      <c r="BT271" s="68" t="s">
        <v>1264</v>
      </c>
      <c r="BU271" s="68">
        <v>1423</v>
      </c>
      <c r="BV271" s="68">
        <v>24</v>
      </c>
      <c r="BX271" s="68" t="s">
        <v>464</v>
      </c>
      <c r="BY271" s="68" t="s">
        <v>464</v>
      </c>
      <c r="BZ271" s="68">
        <v>0</v>
      </c>
      <c r="CA271" s="68">
        <v>11.35</v>
      </c>
      <c r="CB271" s="68">
        <v>2</v>
      </c>
      <c r="CC271" s="68">
        <v>10</v>
      </c>
      <c r="CD271" s="68" t="s">
        <v>464</v>
      </c>
      <c r="CE271" s="68" t="s">
        <v>464</v>
      </c>
      <c r="CF271" s="68" t="s">
        <v>1266</v>
      </c>
      <c r="CG271" s="68">
        <v>100</v>
      </c>
      <c r="CH271" s="68">
        <v>400</v>
      </c>
      <c r="CI271" s="68" t="s">
        <v>1310</v>
      </c>
      <c r="CJ271" s="68">
        <v>333</v>
      </c>
    </row>
    <row r="272" spans="1:89" x14ac:dyDescent="0.3">
      <c r="A272" t="s">
        <v>158</v>
      </c>
      <c r="B272" t="s">
        <v>4</v>
      </c>
      <c r="C272" t="s">
        <v>4069</v>
      </c>
      <c r="D272" s="12"/>
      <c r="E272">
        <v>4.29</v>
      </c>
      <c r="F272" t="s">
        <v>154</v>
      </c>
      <c r="G272" s="99" t="s">
        <v>587</v>
      </c>
      <c r="H272" s="58">
        <v>1522043</v>
      </c>
      <c r="J272" t="s">
        <v>2234</v>
      </c>
      <c r="K272" t="s">
        <v>2234</v>
      </c>
      <c r="M272" t="b">
        <v>1</v>
      </c>
      <c r="N272" t="b">
        <v>1</v>
      </c>
      <c r="O272" t="b">
        <v>0</v>
      </c>
      <c r="P272" t="b">
        <v>0</v>
      </c>
      <c r="Q272" t="s">
        <v>1979</v>
      </c>
      <c r="R272" t="s">
        <v>2006</v>
      </c>
      <c r="T272">
        <v>8</v>
      </c>
      <c r="U272" s="20">
        <v>0</v>
      </c>
      <c r="V272">
        <v>0</v>
      </c>
      <c r="W272">
        <v>0</v>
      </c>
      <c r="X272">
        <v>7.8440000000000003</v>
      </c>
      <c r="Y272">
        <v>7.7690000000000001</v>
      </c>
      <c r="Z272">
        <v>29.72</v>
      </c>
      <c r="AA272" t="s">
        <v>495</v>
      </c>
      <c r="AB272">
        <v>14.86</v>
      </c>
      <c r="AC272" s="20">
        <v>0</v>
      </c>
      <c r="AD272" s="20"/>
      <c r="AE272" s="20"/>
      <c r="AF272">
        <v>0</v>
      </c>
      <c r="AI272">
        <v>0</v>
      </c>
      <c r="AM272">
        <v>20</v>
      </c>
      <c r="AN272" s="44">
        <f t="shared" si="34"/>
        <v>1811.1378699200002</v>
      </c>
      <c r="AO272" s="46">
        <v>0</v>
      </c>
      <c r="AP272" s="44">
        <v>0</v>
      </c>
      <c r="AQ272" s="44">
        <v>0</v>
      </c>
      <c r="AR272" s="41">
        <f t="shared" si="37"/>
        <v>8.8342253042871535E-2</v>
      </c>
      <c r="AS272" s="40"/>
      <c r="AT272" s="41"/>
      <c r="AU272" s="41"/>
      <c r="AV272" s="23">
        <v>1.9375</v>
      </c>
      <c r="AW272" s="23">
        <v>2.5</v>
      </c>
      <c r="AX272" s="23">
        <v>0.5625</v>
      </c>
      <c r="AY272" s="23">
        <v>2.625</v>
      </c>
      <c r="AZ272" s="23">
        <v>0.25409836065573771</v>
      </c>
      <c r="BA272" s="23">
        <v>0.32786885245901642</v>
      </c>
      <c r="BB272" s="23">
        <v>7.3770491803278687E-2</v>
      </c>
      <c r="BC272" s="23">
        <v>0.34426229508196721</v>
      </c>
      <c r="BD272" s="20">
        <v>0.82</v>
      </c>
      <c r="BE272" s="20">
        <v>3.44</v>
      </c>
      <c r="BF272" s="20">
        <v>2.62</v>
      </c>
      <c r="BG272" s="20">
        <v>2.6012499999999998</v>
      </c>
      <c r="BH272">
        <v>2.6012499999999998</v>
      </c>
      <c r="BI272">
        <v>5.9608020550000003</v>
      </c>
      <c r="BJ272" s="64"/>
      <c r="BK272" s="64"/>
      <c r="BL272" s="64"/>
      <c r="BM272">
        <v>4.4171126521435768E-2</v>
      </c>
      <c r="BQ272">
        <v>8.8342253042871535E-2</v>
      </c>
      <c r="BR272">
        <v>4.4171126521435768E-2</v>
      </c>
      <c r="BS272">
        <v>0</v>
      </c>
      <c r="BT272" s="68" t="s">
        <v>1264</v>
      </c>
      <c r="BU272" s="68">
        <v>1423</v>
      </c>
      <c r="BV272" s="68">
        <v>24</v>
      </c>
      <c r="BX272" s="68" t="s">
        <v>464</v>
      </c>
      <c r="BY272" s="68" t="s">
        <v>464</v>
      </c>
      <c r="BZ272" s="68">
        <v>0</v>
      </c>
      <c r="CA272" s="68">
        <v>11.24</v>
      </c>
      <c r="CB272" s="68">
        <v>2</v>
      </c>
      <c r="CC272" s="68">
        <v>10</v>
      </c>
      <c r="CD272" s="68" t="s">
        <v>464</v>
      </c>
      <c r="CE272" s="68" t="s">
        <v>464</v>
      </c>
      <c r="CF272" s="68" t="s">
        <v>1266</v>
      </c>
      <c r="CG272" s="68">
        <v>100</v>
      </c>
      <c r="CH272" s="68">
        <v>400</v>
      </c>
      <c r="CI272" s="68" t="s">
        <v>1310</v>
      </c>
      <c r="CJ272" s="68">
        <v>333</v>
      </c>
    </row>
    <row r="273" spans="1:89" x14ac:dyDescent="0.3">
      <c r="A273" t="s">
        <v>151</v>
      </c>
      <c r="B273" t="s">
        <v>4</v>
      </c>
      <c r="C273" t="s">
        <v>3929</v>
      </c>
      <c r="D273" s="12"/>
      <c r="E273">
        <v>3.5</v>
      </c>
      <c r="F273" t="s">
        <v>154</v>
      </c>
      <c r="G273" s="99" t="s">
        <v>587</v>
      </c>
      <c r="H273" s="58">
        <v>1522043</v>
      </c>
      <c r="J273" t="s">
        <v>1730</v>
      </c>
      <c r="K273" t="s">
        <v>1730</v>
      </c>
      <c r="M273" t="b">
        <v>1</v>
      </c>
      <c r="N273" t="b">
        <v>1</v>
      </c>
      <c r="O273" t="b">
        <v>0</v>
      </c>
      <c r="P273" t="b">
        <v>0</v>
      </c>
      <c r="Q273" t="s">
        <v>1981</v>
      </c>
      <c r="R273" t="s">
        <v>2010</v>
      </c>
      <c r="T273">
        <v>8</v>
      </c>
      <c r="U273" s="20">
        <v>0</v>
      </c>
      <c r="V273">
        <v>0</v>
      </c>
      <c r="W273">
        <v>0</v>
      </c>
      <c r="X273">
        <f t="shared" ref="X273:Y277" si="38">3.907*2</f>
        <v>7.8140000000000001</v>
      </c>
      <c r="Y273">
        <f t="shared" si="38"/>
        <v>7.8140000000000001</v>
      </c>
      <c r="Z273">
        <v>33.06</v>
      </c>
      <c r="AB273">
        <v>16.53</v>
      </c>
      <c r="AC273" s="20">
        <v>0</v>
      </c>
      <c r="AD273" s="20"/>
      <c r="AE273" s="20"/>
      <c r="AF273">
        <v>0</v>
      </c>
      <c r="AI273">
        <v>0</v>
      </c>
      <c r="AM273">
        <v>20</v>
      </c>
      <c r="AN273" s="44">
        <f t="shared" si="34"/>
        <v>2018.5971837600002</v>
      </c>
      <c r="AO273" s="46">
        <v>0</v>
      </c>
      <c r="AP273" s="44">
        <v>0</v>
      </c>
      <c r="AQ273" s="44">
        <v>0</v>
      </c>
      <c r="AR273" s="41">
        <f t="shared" si="37"/>
        <v>7.9262966027710005E-2</v>
      </c>
      <c r="AS273" s="40"/>
      <c r="AT273" s="41"/>
      <c r="AU273" s="41"/>
      <c r="AV273" s="23">
        <v>1.75</v>
      </c>
      <c r="AW273" s="23">
        <v>2.5</v>
      </c>
      <c r="AX273" s="23">
        <v>0.75</v>
      </c>
      <c r="AY273" s="23">
        <v>0</v>
      </c>
      <c r="AZ273" s="23">
        <v>0.35</v>
      </c>
      <c r="BA273" s="23">
        <v>0.5</v>
      </c>
      <c r="BB273" s="23">
        <v>0.15</v>
      </c>
      <c r="BC273" s="23">
        <v>0</v>
      </c>
      <c r="BD273" s="20">
        <v>0.95</v>
      </c>
      <c r="BE273" s="20">
        <v>3.44</v>
      </c>
      <c r="BF273" s="20">
        <v>2.4900000000000002</v>
      </c>
      <c r="BG273" s="20">
        <v>2.7062499999999998</v>
      </c>
      <c r="BH273">
        <v>2.7062499999999998</v>
      </c>
      <c r="BI273">
        <v>6.2396022968656872</v>
      </c>
      <c r="BJ273" s="64"/>
      <c r="BK273" s="64"/>
      <c r="BL273" s="64"/>
      <c r="BM273">
        <v>3.9631483013855003E-2</v>
      </c>
      <c r="BQ273">
        <v>7.9262966027710005E-2</v>
      </c>
      <c r="BR273">
        <v>3.9631483013855003E-2</v>
      </c>
      <c r="BS273">
        <v>0</v>
      </c>
      <c r="BT273" s="68" t="s">
        <v>1264</v>
      </c>
      <c r="BU273" s="68">
        <v>1423</v>
      </c>
      <c r="BV273" s="68">
        <v>24</v>
      </c>
      <c r="BX273" s="68" t="s">
        <v>464</v>
      </c>
      <c r="BY273" s="68" t="s">
        <v>464</v>
      </c>
      <c r="BZ273" s="68">
        <v>0</v>
      </c>
      <c r="CA273" s="68">
        <v>12.12</v>
      </c>
      <c r="CB273" s="68">
        <v>2</v>
      </c>
      <c r="CC273" s="68">
        <v>10</v>
      </c>
      <c r="CD273" s="68" t="s">
        <v>464</v>
      </c>
      <c r="CE273" s="68" t="s">
        <v>464</v>
      </c>
      <c r="CF273" s="68" t="s">
        <v>1266</v>
      </c>
      <c r="CG273" s="68">
        <v>100</v>
      </c>
      <c r="CH273" s="68">
        <v>400</v>
      </c>
      <c r="CI273" s="68" t="s">
        <v>1310</v>
      </c>
      <c r="CJ273" s="68">
        <v>333</v>
      </c>
      <c r="CK273" s="70">
        <v>1017.8571428571429</v>
      </c>
    </row>
    <row r="274" spans="1:89" x14ac:dyDescent="0.3">
      <c r="A274" t="s">
        <v>159</v>
      </c>
      <c r="B274" t="s">
        <v>4</v>
      </c>
      <c r="C274" t="s">
        <v>4070</v>
      </c>
      <c r="D274" s="12"/>
      <c r="E274">
        <v>3.77</v>
      </c>
      <c r="F274" t="s">
        <v>154</v>
      </c>
      <c r="G274" s="99" t="s">
        <v>587</v>
      </c>
      <c r="H274" s="58">
        <v>1522043</v>
      </c>
      <c r="J274" t="s">
        <v>2238</v>
      </c>
      <c r="K274" t="s">
        <v>2238</v>
      </c>
      <c r="M274" t="b">
        <v>1</v>
      </c>
      <c r="N274" t="b">
        <v>1</v>
      </c>
      <c r="O274" t="b">
        <v>0</v>
      </c>
      <c r="P274" t="b">
        <v>0</v>
      </c>
      <c r="Q274" t="s">
        <v>1982</v>
      </c>
      <c r="R274" t="s">
        <v>2015</v>
      </c>
      <c r="T274">
        <v>8</v>
      </c>
      <c r="U274" s="20">
        <v>0</v>
      </c>
      <c r="V274">
        <v>0</v>
      </c>
      <c r="W274">
        <v>0</v>
      </c>
      <c r="X274">
        <f t="shared" si="38"/>
        <v>7.8140000000000001</v>
      </c>
      <c r="Y274">
        <f t="shared" si="38"/>
        <v>7.8140000000000001</v>
      </c>
      <c r="Z274">
        <v>32.86</v>
      </c>
      <c r="AB274">
        <v>16.43</v>
      </c>
      <c r="AC274" s="20">
        <v>0</v>
      </c>
      <c r="AD274" s="20"/>
      <c r="AE274" s="20"/>
      <c r="AF274">
        <v>0</v>
      </c>
      <c r="AI274">
        <v>0</v>
      </c>
      <c r="AM274">
        <v>20</v>
      </c>
      <c r="AN274" s="44">
        <f t="shared" si="34"/>
        <v>2006.3854645599999</v>
      </c>
      <c r="AO274" s="46">
        <v>0</v>
      </c>
      <c r="AP274" s="44">
        <v>0</v>
      </c>
      <c r="AQ274" s="44">
        <v>0</v>
      </c>
      <c r="AR274" s="41">
        <f t="shared" si="37"/>
        <v>7.9745394305419756E-2</v>
      </c>
      <c r="AS274" s="40"/>
      <c r="AT274" s="41"/>
      <c r="AU274" s="41"/>
      <c r="AV274" s="23">
        <v>1.8125</v>
      </c>
      <c r="AW274" s="23">
        <v>2.5</v>
      </c>
      <c r="AX274" s="23">
        <v>0.6875</v>
      </c>
      <c r="AY274" s="23">
        <v>0.875</v>
      </c>
      <c r="AZ274" s="23">
        <v>0.30851063829787229</v>
      </c>
      <c r="BA274" s="23">
        <v>0.42553191489361702</v>
      </c>
      <c r="BB274" s="23">
        <v>0.1170212765957447</v>
      </c>
      <c r="BC274" s="23">
        <v>0.14893617021276601</v>
      </c>
      <c r="BD274" s="20">
        <v>0.95</v>
      </c>
      <c r="BE274" s="20">
        <v>3.44</v>
      </c>
      <c r="BF274" s="20">
        <v>2.4900000000000002</v>
      </c>
      <c r="BG274" s="20">
        <v>2.7</v>
      </c>
      <c r="BH274">
        <v>2.7</v>
      </c>
      <c r="BI274">
        <v>6.2457408593656876</v>
      </c>
      <c r="BJ274" s="64"/>
      <c r="BK274" s="64"/>
      <c r="BL274" s="64"/>
      <c r="BM274">
        <v>3.9872697152709878E-2</v>
      </c>
      <c r="BQ274">
        <v>7.9745394305419756E-2</v>
      </c>
      <c r="BR274">
        <v>3.9872697152709878E-2</v>
      </c>
      <c r="BS274">
        <v>0</v>
      </c>
      <c r="BT274" s="68" t="s">
        <v>1264</v>
      </c>
      <c r="BU274" s="68">
        <v>1423</v>
      </c>
      <c r="BV274" s="68">
        <v>24</v>
      </c>
      <c r="BX274" s="68" t="s">
        <v>464</v>
      </c>
      <c r="BY274" s="68" t="s">
        <v>464</v>
      </c>
      <c r="BZ274" s="68">
        <v>0</v>
      </c>
      <c r="CA274" s="68">
        <v>10.54</v>
      </c>
      <c r="CB274" s="68">
        <v>2</v>
      </c>
      <c r="CC274" s="68">
        <v>10</v>
      </c>
      <c r="CD274" s="68" t="s">
        <v>464</v>
      </c>
      <c r="CE274" s="68" t="s">
        <v>464</v>
      </c>
      <c r="CF274" s="68" t="s">
        <v>1266</v>
      </c>
      <c r="CG274" s="68">
        <v>100</v>
      </c>
      <c r="CH274" s="68">
        <v>400</v>
      </c>
      <c r="CI274" s="68" t="s">
        <v>1310</v>
      </c>
      <c r="CJ274" s="68">
        <v>333</v>
      </c>
      <c r="CK274" s="70">
        <v>276.78571428571428</v>
      </c>
    </row>
    <row r="275" spans="1:89" x14ac:dyDescent="0.3">
      <c r="A275" t="s">
        <v>160</v>
      </c>
      <c r="B275" t="s">
        <v>4</v>
      </c>
      <c r="C275" t="s">
        <v>4071</v>
      </c>
      <c r="D275" s="12"/>
      <c r="E275">
        <v>3.8</v>
      </c>
      <c r="F275" t="s">
        <v>154</v>
      </c>
      <c r="G275" s="99" t="s">
        <v>587</v>
      </c>
      <c r="H275" s="58">
        <v>1522043</v>
      </c>
      <c r="J275" t="s">
        <v>2239</v>
      </c>
      <c r="K275" t="s">
        <v>2239</v>
      </c>
      <c r="M275" t="b">
        <v>1</v>
      </c>
      <c r="N275" t="b">
        <v>1</v>
      </c>
      <c r="O275" t="b">
        <v>0</v>
      </c>
      <c r="P275" t="b">
        <v>0</v>
      </c>
      <c r="Q275" t="s">
        <v>1983</v>
      </c>
      <c r="R275" t="s">
        <v>2017</v>
      </c>
      <c r="T275">
        <v>8</v>
      </c>
      <c r="U275" s="20">
        <v>0</v>
      </c>
      <c r="V275">
        <v>0</v>
      </c>
      <c r="W275">
        <v>0</v>
      </c>
      <c r="X275">
        <f t="shared" si="38"/>
        <v>7.8140000000000001</v>
      </c>
      <c r="Y275">
        <f t="shared" si="38"/>
        <v>7.8140000000000001</v>
      </c>
      <c r="Z275">
        <v>32.42</v>
      </c>
      <c r="AB275">
        <v>16.21</v>
      </c>
      <c r="AC275" s="20">
        <v>0</v>
      </c>
      <c r="AD275" s="20"/>
      <c r="AE275" s="20"/>
      <c r="AF275">
        <v>0</v>
      </c>
      <c r="AI275">
        <v>0</v>
      </c>
      <c r="AM275">
        <v>20</v>
      </c>
      <c r="AN275" s="44">
        <f t="shared" si="34"/>
        <v>1979.5196823200001</v>
      </c>
      <c r="AO275" s="46">
        <v>0</v>
      </c>
      <c r="AP275" s="44">
        <v>0</v>
      </c>
      <c r="AQ275" s="44">
        <v>0</v>
      </c>
      <c r="AR275" s="41">
        <f t="shared" si="37"/>
        <v>8.082768836755376E-2</v>
      </c>
      <c r="AS275" s="40"/>
      <c r="AT275" s="41"/>
      <c r="AU275" s="41"/>
      <c r="AV275" s="23">
        <v>1.8666666666666669</v>
      </c>
      <c r="AW275" s="23">
        <v>2.666666666666667</v>
      </c>
      <c r="AX275" s="23">
        <v>0.46666666666666667</v>
      </c>
      <c r="AY275" s="23">
        <v>0.93333333333333335</v>
      </c>
      <c r="AZ275" s="23">
        <v>0.3146067415730337</v>
      </c>
      <c r="BA275" s="23">
        <v>0.44943820224719089</v>
      </c>
      <c r="BB275" s="23">
        <v>7.8651685393258425E-2</v>
      </c>
      <c r="BC275" s="23">
        <v>0.15730337078651679</v>
      </c>
      <c r="BD275" s="20">
        <v>0.95</v>
      </c>
      <c r="BE275" s="20">
        <v>3.44</v>
      </c>
      <c r="BF275" s="20">
        <v>2.4900000000000002</v>
      </c>
      <c r="BG275" s="20">
        <v>2.773333333333333</v>
      </c>
      <c r="BH275">
        <v>2.773333333333333</v>
      </c>
      <c r="BI275">
        <v>6.4062483499900669</v>
      </c>
      <c r="BJ275" s="64"/>
      <c r="BK275" s="64"/>
      <c r="BL275" s="64"/>
      <c r="BM275">
        <v>4.041384418377688E-2</v>
      </c>
      <c r="BQ275">
        <v>8.082768836755376E-2</v>
      </c>
      <c r="BR275">
        <v>4.041384418377688E-2</v>
      </c>
      <c r="BS275">
        <v>0</v>
      </c>
      <c r="BT275" s="68" t="s">
        <v>1264</v>
      </c>
      <c r="BU275" s="68">
        <v>1423</v>
      </c>
      <c r="BV275" s="68">
        <v>24</v>
      </c>
      <c r="BX275" s="68" t="s">
        <v>464</v>
      </c>
      <c r="BY275" s="68" t="s">
        <v>464</v>
      </c>
      <c r="BZ275" s="68">
        <v>0</v>
      </c>
      <c r="CA275" s="68">
        <v>11.82</v>
      </c>
      <c r="CB275" s="68">
        <v>2</v>
      </c>
      <c r="CC275" s="68">
        <v>10</v>
      </c>
      <c r="CD275" s="68" t="s">
        <v>464</v>
      </c>
      <c r="CE275" s="68" t="s">
        <v>464</v>
      </c>
      <c r="CF275" s="68" t="s">
        <v>1266</v>
      </c>
      <c r="CG275" s="68">
        <v>100</v>
      </c>
      <c r="CH275" s="68">
        <v>400</v>
      </c>
      <c r="CI275" s="68" t="s">
        <v>1310</v>
      </c>
      <c r="CJ275" s="68">
        <v>333</v>
      </c>
      <c r="CK275" s="70">
        <v>928.57142857142867</v>
      </c>
    </row>
    <row r="276" spans="1:89" x14ac:dyDescent="0.3">
      <c r="A276" t="s">
        <v>161</v>
      </c>
      <c r="B276" t="s">
        <v>4</v>
      </c>
      <c r="C276" t="s">
        <v>4072</v>
      </c>
      <c r="D276" s="12"/>
      <c r="E276">
        <v>3.92</v>
      </c>
      <c r="F276" t="s">
        <v>154</v>
      </c>
      <c r="G276" s="99" t="s">
        <v>587</v>
      </c>
      <c r="H276" s="58">
        <v>1522043</v>
      </c>
      <c r="J276" t="s">
        <v>2272</v>
      </c>
      <c r="K276" t="s">
        <v>2272</v>
      </c>
      <c r="M276" t="b">
        <v>1</v>
      </c>
      <c r="N276" t="b">
        <v>1</v>
      </c>
      <c r="O276" t="b">
        <v>0</v>
      </c>
      <c r="P276" t="b">
        <v>0</v>
      </c>
      <c r="Q276" t="s">
        <v>1984</v>
      </c>
      <c r="R276" t="s">
        <v>2019</v>
      </c>
      <c r="T276">
        <v>8</v>
      </c>
      <c r="U276" s="20">
        <v>0</v>
      </c>
      <c r="V276">
        <v>0</v>
      </c>
      <c r="W276">
        <v>0</v>
      </c>
      <c r="X276">
        <f t="shared" si="38"/>
        <v>7.8140000000000001</v>
      </c>
      <c r="Y276">
        <f t="shared" si="38"/>
        <v>7.8140000000000001</v>
      </c>
      <c r="Z276">
        <v>32.58</v>
      </c>
      <c r="AB276">
        <v>16.29</v>
      </c>
      <c r="AC276" s="20">
        <v>0</v>
      </c>
      <c r="AD276" s="20"/>
      <c r="AE276" s="20"/>
      <c r="AF276">
        <v>0</v>
      </c>
      <c r="AI276">
        <v>0</v>
      </c>
      <c r="AM276">
        <v>20</v>
      </c>
      <c r="AN276" s="44">
        <f t="shared" si="34"/>
        <v>1989.28905768</v>
      </c>
      <c r="AO276" s="46">
        <v>0</v>
      </c>
      <c r="AP276" s="44">
        <v>0</v>
      </c>
      <c r="AQ276" s="44">
        <v>0</v>
      </c>
      <c r="AR276" s="41">
        <f t="shared" si="37"/>
        <v>8.0430744532722323E-2</v>
      </c>
      <c r="AS276" s="40"/>
      <c r="AT276" s="41"/>
      <c r="AU276" s="41"/>
      <c r="AV276" s="23">
        <v>1.875</v>
      </c>
      <c r="AW276" s="23">
        <v>2.5</v>
      </c>
      <c r="AX276" s="23">
        <v>0.625</v>
      </c>
      <c r="AY276" s="23">
        <v>1.75</v>
      </c>
      <c r="AZ276" s="23">
        <v>0.27777777777777779</v>
      </c>
      <c r="BA276" s="23">
        <v>0.37037037037037029</v>
      </c>
      <c r="BB276" s="23">
        <v>9.2592592592592587E-2</v>
      </c>
      <c r="BC276" s="23">
        <v>0.25925925925925919</v>
      </c>
      <c r="BD276" s="20">
        <v>0.95</v>
      </c>
      <c r="BE276" s="20">
        <v>3.44</v>
      </c>
      <c r="BF276" s="20">
        <v>2.4900000000000002</v>
      </c>
      <c r="BG276" s="20">
        <v>2.6937500000000001</v>
      </c>
      <c r="BH276">
        <v>2.6937500000000001</v>
      </c>
      <c r="BI276">
        <v>6.2518794218656879</v>
      </c>
      <c r="BJ276" s="64"/>
      <c r="BK276" s="64"/>
      <c r="BL276" s="64"/>
      <c r="BM276">
        <v>4.0215372266361162E-2</v>
      </c>
      <c r="BQ276">
        <v>8.0430744532722323E-2</v>
      </c>
      <c r="BR276">
        <v>4.0215372266361162E-2</v>
      </c>
      <c r="BS276">
        <v>0</v>
      </c>
      <c r="BT276" s="68" t="s">
        <v>1264</v>
      </c>
      <c r="BU276" s="68">
        <v>1423</v>
      </c>
      <c r="BV276" s="68">
        <v>24</v>
      </c>
      <c r="BX276" s="68" t="s">
        <v>464</v>
      </c>
      <c r="BY276" s="68" t="s">
        <v>464</v>
      </c>
      <c r="BZ276" s="68">
        <v>0</v>
      </c>
      <c r="CA276" s="68">
        <v>11.08</v>
      </c>
      <c r="CB276" s="68">
        <v>2</v>
      </c>
      <c r="CC276" s="68">
        <v>10</v>
      </c>
      <c r="CD276" s="68" t="s">
        <v>464</v>
      </c>
      <c r="CE276" s="68" t="s">
        <v>464</v>
      </c>
      <c r="CF276" s="68" t="s">
        <v>1266</v>
      </c>
      <c r="CG276" s="68">
        <v>100</v>
      </c>
      <c r="CH276" s="68">
        <v>400</v>
      </c>
      <c r="CI276" s="68" t="s">
        <v>1310</v>
      </c>
      <c r="CJ276" s="68">
        <v>333</v>
      </c>
      <c r="CK276" s="70">
        <v>901.78571428571433</v>
      </c>
    </row>
    <row r="277" spans="1:89" x14ac:dyDescent="0.3">
      <c r="A277" t="s">
        <v>162</v>
      </c>
      <c r="B277" t="s">
        <v>4</v>
      </c>
      <c r="C277" t="s">
        <v>4073</v>
      </c>
      <c r="D277" s="12"/>
      <c r="E277">
        <v>4.25</v>
      </c>
      <c r="F277" t="s">
        <v>154</v>
      </c>
      <c r="G277" s="99" t="s">
        <v>587</v>
      </c>
      <c r="H277" s="58">
        <v>1522043</v>
      </c>
      <c r="J277" t="s">
        <v>1744</v>
      </c>
      <c r="K277" t="s">
        <v>1744</v>
      </c>
      <c r="M277" t="b">
        <v>1</v>
      </c>
      <c r="N277" t="b">
        <v>1</v>
      </c>
      <c r="O277" t="b">
        <v>0</v>
      </c>
      <c r="P277" t="b">
        <v>0</v>
      </c>
      <c r="Q277" t="s">
        <v>1985</v>
      </c>
      <c r="R277" t="s">
        <v>2029</v>
      </c>
      <c r="T277">
        <v>8</v>
      </c>
      <c r="U277" s="20">
        <v>0</v>
      </c>
      <c r="V277">
        <v>0</v>
      </c>
      <c r="W277">
        <v>0</v>
      </c>
      <c r="X277">
        <f t="shared" si="38"/>
        <v>7.8140000000000001</v>
      </c>
      <c r="Y277">
        <f t="shared" si="38"/>
        <v>7.8140000000000001</v>
      </c>
      <c r="Z277">
        <v>31.54</v>
      </c>
      <c r="AB277">
        <v>15.77</v>
      </c>
      <c r="AC277" s="20">
        <v>0</v>
      </c>
      <c r="AD277" s="20"/>
      <c r="AE277" s="20"/>
      <c r="AF277">
        <v>0</v>
      </c>
      <c r="AI277">
        <v>0</v>
      </c>
      <c r="AM277">
        <v>20</v>
      </c>
      <c r="AN277" s="44">
        <f t="shared" si="34"/>
        <v>1925.78811784</v>
      </c>
      <c r="AO277" s="46">
        <v>0</v>
      </c>
      <c r="AP277" s="44">
        <v>0</v>
      </c>
      <c r="AQ277" s="44">
        <v>0</v>
      </c>
      <c r="AR277" s="41">
        <f t="shared" si="37"/>
        <v>8.3082868004949059E-2</v>
      </c>
      <c r="AS277" s="40"/>
      <c r="AT277" s="41"/>
      <c r="AU277" s="41"/>
      <c r="AV277" s="23">
        <v>1.9375</v>
      </c>
      <c r="AW277" s="23">
        <v>2.5</v>
      </c>
      <c r="AX277" s="23">
        <v>0.5625</v>
      </c>
      <c r="AY277" s="23">
        <v>2.625</v>
      </c>
      <c r="AZ277" s="23">
        <v>0.25409836065573771</v>
      </c>
      <c r="BA277" s="23">
        <v>0.32786885245901642</v>
      </c>
      <c r="BB277" s="23">
        <v>7.3770491803278687E-2</v>
      </c>
      <c r="BC277" s="23">
        <v>0.34426229508196721</v>
      </c>
      <c r="BD277" s="20">
        <v>0.95</v>
      </c>
      <c r="BE277" s="20">
        <v>3.44</v>
      </c>
      <c r="BF277" s="20">
        <v>2.4900000000000002</v>
      </c>
      <c r="BG277" s="20">
        <v>2.6875</v>
      </c>
      <c r="BH277">
        <v>2.6875</v>
      </c>
      <c r="BI277">
        <v>6.2580179843656882</v>
      </c>
      <c r="BJ277" s="64"/>
      <c r="BK277" s="64"/>
      <c r="BL277" s="64"/>
      <c r="BM277">
        <v>4.154143400247453E-2</v>
      </c>
      <c r="BQ277">
        <v>8.3082868004949059E-2</v>
      </c>
      <c r="BR277">
        <v>4.154143400247453E-2</v>
      </c>
      <c r="BS277">
        <v>0</v>
      </c>
      <c r="BT277" s="68" t="s">
        <v>1264</v>
      </c>
      <c r="BU277" s="68">
        <v>1423</v>
      </c>
      <c r="BV277" s="68">
        <v>24</v>
      </c>
      <c r="BX277" s="68" t="s">
        <v>464</v>
      </c>
      <c r="BY277" s="68" t="s">
        <v>464</v>
      </c>
      <c r="BZ277" s="68">
        <v>0</v>
      </c>
      <c r="CA277" s="68">
        <v>12.1</v>
      </c>
      <c r="CB277" s="68">
        <v>2</v>
      </c>
      <c r="CC277" s="68">
        <v>10</v>
      </c>
      <c r="CD277" s="68" t="s">
        <v>464</v>
      </c>
      <c r="CE277" s="68" t="s">
        <v>464</v>
      </c>
      <c r="CF277" s="68" t="s">
        <v>1266</v>
      </c>
      <c r="CG277" s="68">
        <v>100</v>
      </c>
      <c r="CH277" s="68">
        <v>400</v>
      </c>
      <c r="CI277" s="68" t="s">
        <v>1310</v>
      </c>
      <c r="CJ277" s="68">
        <v>333</v>
      </c>
      <c r="CK277" s="70">
        <v>370.53571428571433</v>
      </c>
    </row>
    <row r="278" spans="1:89" x14ac:dyDescent="0.3">
      <c r="A278" t="s">
        <v>151</v>
      </c>
      <c r="B278" t="s">
        <v>4</v>
      </c>
      <c r="C278" t="s">
        <v>3929</v>
      </c>
      <c r="D278" s="12"/>
      <c r="E278">
        <v>3.35</v>
      </c>
      <c r="F278" t="s">
        <v>154</v>
      </c>
      <c r="G278" s="99" t="s">
        <v>587</v>
      </c>
      <c r="H278" s="58">
        <v>1522043</v>
      </c>
      <c r="J278" t="s">
        <v>1730</v>
      </c>
      <c r="K278" t="s">
        <v>1730</v>
      </c>
      <c r="M278" t="b">
        <v>1</v>
      </c>
      <c r="N278" t="b">
        <v>1</v>
      </c>
      <c r="O278" t="b">
        <v>0</v>
      </c>
      <c r="P278" t="b">
        <v>0</v>
      </c>
      <c r="Q278" t="s">
        <v>1986</v>
      </c>
      <c r="R278" t="s">
        <v>2031</v>
      </c>
      <c r="T278">
        <v>8</v>
      </c>
      <c r="U278" s="20">
        <v>0</v>
      </c>
      <c r="V278">
        <v>0</v>
      </c>
      <c r="W278">
        <v>0</v>
      </c>
      <c r="X278">
        <f t="shared" ref="X278:Y282" si="39">3.88*2</f>
        <v>7.76</v>
      </c>
      <c r="Y278">
        <f t="shared" si="39"/>
        <v>7.76</v>
      </c>
      <c r="Z278">
        <v>33</v>
      </c>
      <c r="AB278">
        <v>16.5</v>
      </c>
      <c r="AC278" s="20">
        <v>0</v>
      </c>
      <c r="AD278" s="20"/>
      <c r="AE278" s="20"/>
      <c r="AF278">
        <v>0</v>
      </c>
      <c r="AI278">
        <v>0</v>
      </c>
      <c r="AM278">
        <v>20</v>
      </c>
      <c r="AN278" s="44">
        <f t="shared" si="34"/>
        <v>1987.1807999999999</v>
      </c>
      <c r="AO278" s="46">
        <v>0</v>
      </c>
      <c r="AP278" s="44">
        <v>0</v>
      </c>
      <c r="AQ278" s="44">
        <v>0</v>
      </c>
      <c r="AR278" s="41">
        <f t="shared" si="37"/>
        <v>8.0516075839702161E-2</v>
      </c>
      <c r="AS278" s="40"/>
      <c r="AT278" s="41"/>
      <c r="AU278" s="41"/>
      <c r="AV278" s="23">
        <v>1.75</v>
      </c>
      <c r="AW278" s="23">
        <v>2.5</v>
      </c>
      <c r="AX278" s="23">
        <v>0.75</v>
      </c>
      <c r="AY278" s="23">
        <v>0</v>
      </c>
      <c r="AZ278" s="23">
        <v>0.35</v>
      </c>
      <c r="BA278" s="23">
        <v>0.5</v>
      </c>
      <c r="BB278" s="23">
        <v>0.15</v>
      </c>
      <c r="BC278" s="23">
        <v>0</v>
      </c>
      <c r="BD278" s="20">
        <v>0.95</v>
      </c>
      <c r="BE278" s="20">
        <v>3.44</v>
      </c>
      <c r="BF278" s="20">
        <v>2.4900000000000002</v>
      </c>
      <c r="BG278" s="20">
        <v>2.7062499999999998</v>
      </c>
      <c r="BH278">
        <v>2.7062499999999998</v>
      </c>
      <c r="BI278">
        <v>6.2396022968656872</v>
      </c>
      <c r="BJ278" s="64"/>
      <c r="BK278" s="64"/>
      <c r="BL278" s="64"/>
      <c r="BM278">
        <v>4.0258037919851081E-2</v>
      </c>
      <c r="BQ278">
        <v>8.0516075839702161E-2</v>
      </c>
      <c r="BR278">
        <v>4.0258037919851081E-2</v>
      </c>
      <c r="BS278">
        <v>0</v>
      </c>
      <c r="BT278" s="68" t="s">
        <v>1264</v>
      </c>
      <c r="BU278" s="68">
        <v>1423</v>
      </c>
      <c r="BV278" s="68">
        <v>24</v>
      </c>
      <c r="BX278" s="68" t="s">
        <v>1275</v>
      </c>
      <c r="BY278" s="68" t="s">
        <v>863</v>
      </c>
      <c r="BZ278" s="68">
        <v>4</v>
      </c>
      <c r="CA278" s="68">
        <v>11.84</v>
      </c>
      <c r="CB278" s="68">
        <v>2</v>
      </c>
      <c r="CC278" s="68">
        <v>10</v>
      </c>
      <c r="CD278" s="68" t="s">
        <v>464</v>
      </c>
      <c r="CE278" s="68" t="s">
        <v>464</v>
      </c>
      <c r="CF278" s="68" t="s">
        <v>1266</v>
      </c>
      <c r="CG278" s="68">
        <v>100</v>
      </c>
      <c r="CH278" s="68">
        <v>400</v>
      </c>
      <c r="CI278" s="68" t="s">
        <v>1310</v>
      </c>
      <c r="CJ278" s="68">
        <v>333</v>
      </c>
      <c r="CK278" s="70">
        <v>6785.7142857142862</v>
      </c>
    </row>
    <row r="279" spans="1:89" x14ac:dyDescent="0.3">
      <c r="A279" t="s">
        <v>159</v>
      </c>
      <c r="B279" t="s">
        <v>4</v>
      </c>
      <c r="C279" t="s">
        <v>4070</v>
      </c>
      <c r="D279" s="12"/>
      <c r="E279">
        <v>3.74</v>
      </c>
      <c r="F279" t="s">
        <v>154</v>
      </c>
      <c r="G279" s="99" t="s">
        <v>587</v>
      </c>
      <c r="H279" s="58">
        <v>1522043</v>
      </c>
      <c r="J279" t="s">
        <v>2238</v>
      </c>
      <c r="K279" t="s">
        <v>2238</v>
      </c>
      <c r="M279" t="b">
        <v>1</v>
      </c>
      <c r="N279" t="b">
        <v>1</v>
      </c>
      <c r="O279" t="b">
        <v>0</v>
      </c>
      <c r="P279" t="b">
        <v>0</v>
      </c>
      <c r="Q279" t="s">
        <v>1987</v>
      </c>
      <c r="R279" t="s">
        <v>2033</v>
      </c>
      <c r="T279">
        <v>8</v>
      </c>
      <c r="U279" s="20">
        <v>0</v>
      </c>
      <c r="V279">
        <v>0</v>
      </c>
      <c r="W279">
        <v>0</v>
      </c>
      <c r="X279">
        <f t="shared" si="39"/>
        <v>7.76</v>
      </c>
      <c r="Y279">
        <f t="shared" si="39"/>
        <v>7.76</v>
      </c>
      <c r="Z279">
        <v>33.08</v>
      </c>
      <c r="AB279">
        <v>16.54</v>
      </c>
      <c r="AC279" s="20">
        <v>0</v>
      </c>
      <c r="AD279" s="20"/>
      <c r="AE279" s="20"/>
      <c r="AF279">
        <v>0</v>
      </c>
      <c r="AI279">
        <v>0</v>
      </c>
      <c r="AM279">
        <v>20</v>
      </c>
      <c r="AN279" s="44">
        <f t="shared" si="34"/>
        <v>1991.9982079999997</v>
      </c>
      <c r="AO279" s="46">
        <v>0</v>
      </c>
      <c r="AP279" s="44">
        <v>0</v>
      </c>
      <c r="AQ279" s="44">
        <v>0</v>
      </c>
      <c r="AR279" s="41">
        <f t="shared" si="37"/>
        <v>8.0321357397526341E-2</v>
      </c>
      <c r="AS279" s="40"/>
      <c r="AT279" s="41"/>
      <c r="AU279" s="41"/>
      <c r="AV279" s="23">
        <v>1.8125</v>
      </c>
      <c r="AW279" s="23">
        <v>2.5</v>
      </c>
      <c r="AX279" s="23">
        <v>0.6875</v>
      </c>
      <c r="AY279" s="23">
        <v>0.875</v>
      </c>
      <c r="AZ279" s="23">
        <v>0.30851063829787229</v>
      </c>
      <c r="BA279" s="23">
        <v>0.42553191489361702</v>
      </c>
      <c r="BB279" s="23">
        <v>0.1170212765957447</v>
      </c>
      <c r="BC279" s="23">
        <v>0.14893617021276601</v>
      </c>
      <c r="BD279" s="20">
        <v>0.95</v>
      </c>
      <c r="BE279" s="20">
        <v>3.44</v>
      </c>
      <c r="BF279" s="20">
        <v>2.4900000000000002</v>
      </c>
      <c r="BG279" s="20">
        <v>2.7</v>
      </c>
      <c r="BH279">
        <v>2.7</v>
      </c>
      <c r="BI279">
        <v>6.2457408593656876</v>
      </c>
      <c r="BJ279" s="64"/>
      <c r="BK279" s="64"/>
      <c r="BL279" s="64"/>
      <c r="BM279">
        <v>4.0160678698763171E-2</v>
      </c>
      <c r="BQ279">
        <v>8.0321357397526341E-2</v>
      </c>
      <c r="BR279">
        <v>4.0160678698763171E-2</v>
      </c>
      <c r="BS279">
        <v>0</v>
      </c>
      <c r="BT279" s="68" t="s">
        <v>1264</v>
      </c>
      <c r="BU279" s="68">
        <v>1423</v>
      </c>
      <c r="BV279" s="68">
        <v>24</v>
      </c>
      <c r="BX279" s="68" t="s">
        <v>1275</v>
      </c>
      <c r="BY279" s="68" t="s">
        <v>863</v>
      </c>
      <c r="BZ279" s="68">
        <v>4</v>
      </c>
      <c r="CA279" s="68">
        <v>11.25</v>
      </c>
      <c r="CB279" s="68">
        <v>2</v>
      </c>
      <c r="CC279" s="68">
        <v>10</v>
      </c>
      <c r="CD279" s="68" t="s">
        <v>464</v>
      </c>
      <c r="CE279" s="68" t="s">
        <v>464</v>
      </c>
      <c r="CF279" s="68" t="s">
        <v>1266</v>
      </c>
      <c r="CG279" s="68">
        <v>100</v>
      </c>
      <c r="CH279" s="68">
        <v>400</v>
      </c>
      <c r="CI279" s="68" t="s">
        <v>1310</v>
      </c>
      <c r="CJ279" s="68">
        <v>333</v>
      </c>
      <c r="CK279" s="70">
        <v>9285.7142857142862</v>
      </c>
    </row>
    <row r="280" spans="1:89" x14ac:dyDescent="0.3">
      <c r="A280" t="s">
        <v>160</v>
      </c>
      <c r="B280" t="s">
        <v>4</v>
      </c>
      <c r="C280" t="s">
        <v>4071</v>
      </c>
      <c r="D280" s="12"/>
      <c r="E280">
        <v>3.74</v>
      </c>
      <c r="F280" t="s">
        <v>154</v>
      </c>
      <c r="G280" s="99" t="s">
        <v>587</v>
      </c>
      <c r="H280" s="58">
        <v>1522043</v>
      </c>
      <c r="J280" t="s">
        <v>2239</v>
      </c>
      <c r="K280" t="s">
        <v>2239</v>
      </c>
      <c r="M280" t="b">
        <v>1</v>
      </c>
      <c r="N280" t="b">
        <v>1</v>
      </c>
      <c r="O280" t="b">
        <v>0</v>
      </c>
      <c r="P280" t="b">
        <v>0</v>
      </c>
      <c r="Q280" t="s">
        <v>1988</v>
      </c>
      <c r="R280" t="s">
        <v>2035</v>
      </c>
      <c r="T280">
        <v>8</v>
      </c>
      <c r="U280" s="20">
        <v>0</v>
      </c>
      <c r="V280">
        <v>0</v>
      </c>
      <c r="W280">
        <v>0</v>
      </c>
      <c r="X280">
        <f t="shared" si="39"/>
        <v>7.76</v>
      </c>
      <c r="Y280">
        <f t="shared" si="39"/>
        <v>7.76</v>
      </c>
      <c r="Z280">
        <v>33.24</v>
      </c>
      <c r="AB280">
        <v>16.62</v>
      </c>
      <c r="AC280" s="20">
        <v>0</v>
      </c>
      <c r="AD280" s="20"/>
      <c r="AE280" s="20"/>
      <c r="AF280">
        <v>0</v>
      </c>
      <c r="AI280">
        <v>0</v>
      </c>
      <c r="AM280">
        <v>20</v>
      </c>
      <c r="AN280" s="44">
        <f t="shared" si="34"/>
        <v>2001.633024</v>
      </c>
      <c r="AO280" s="46">
        <v>0</v>
      </c>
      <c r="AP280" s="44">
        <v>0</v>
      </c>
      <c r="AQ280" s="44">
        <v>0</v>
      </c>
      <c r="AR280" s="41">
        <f t="shared" si="37"/>
        <v>7.9934732331834277E-2</v>
      </c>
      <c r="AS280" s="40"/>
      <c r="AT280" s="41"/>
      <c r="AU280" s="41"/>
      <c r="AV280" s="23">
        <v>1.8666666666666669</v>
      </c>
      <c r="AW280" s="23">
        <v>2.666666666666667</v>
      </c>
      <c r="AX280" s="23">
        <v>0.46666666666666667</v>
      </c>
      <c r="AY280" s="23">
        <v>0.93333333333333335</v>
      </c>
      <c r="AZ280" s="23">
        <v>0.3146067415730337</v>
      </c>
      <c r="BA280" s="23">
        <v>0.44943820224719089</v>
      </c>
      <c r="BB280" s="23">
        <v>7.8651685393258425E-2</v>
      </c>
      <c r="BC280" s="23">
        <v>0.15730337078651679</v>
      </c>
      <c r="BD280" s="20">
        <v>0.95</v>
      </c>
      <c r="BE280" s="20">
        <v>3.44</v>
      </c>
      <c r="BF280" s="20">
        <v>2.4900000000000002</v>
      </c>
      <c r="BG280" s="20">
        <v>2.773333333333333</v>
      </c>
      <c r="BH280">
        <v>2.773333333333333</v>
      </c>
      <c r="BI280">
        <v>6.4062483499900669</v>
      </c>
      <c r="BJ280" s="64"/>
      <c r="BK280" s="64"/>
      <c r="BL280" s="64"/>
      <c r="BM280">
        <v>3.9967366165917138E-2</v>
      </c>
      <c r="BQ280">
        <v>7.9934732331834277E-2</v>
      </c>
      <c r="BR280">
        <v>3.9967366165917138E-2</v>
      </c>
      <c r="BS280">
        <v>0</v>
      </c>
      <c r="BT280" s="68" t="s">
        <v>1264</v>
      </c>
      <c r="BU280" s="68">
        <v>1423</v>
      </c>
      <c r="BV280" s="68">
        <v>24</v>
      </c>
      <c r="BX280" s="68" t="s">
        <v>1275</v>
      </c>
      <c r="BY280" s="68" t="s">
        <v>863</v>
      </c>
      <c r="BZ280" s="68">
        <v>4</v>
      </c>
      <c r="CA280" s="68">
        <v>10.97</v>
      </c>
      <c r="CB280" s="68">
        <v>2</v>
      </c>
      <c r="CC280" s="68">
        <v>10</v>
      </c>
      <c r="CD280" s="68" t="s">
        <v>464</v>
      </c>
      <c r="CE280" s="68" t="s">
        <v>464</v>
      </c>
      <c r="CF280" s="68" t="s">
        <v>1266</v>
      </c>
      <c r="CG280" s="68">
        <v>100</v>
      </c>
      <c r="CH280" s="68">
        <v>400</v>
      </c>
      <c r="CI280" s="68" t="s">
        <v>1310</v>
      </c>
      <c r="CJ280" s="68">
        <v>333</v>
      </c>
      <c r="CK280" s="70">
        <v>2767.8571428571431</v>
      </c>
    </row>
    <row r="281" spans="1:89" x14ac:dyDescent="0.3">
      <c r="A281" t="s">
        <v>161</v>
      </c>
      <c r="B281" t="s">
        <v>4</v>
      </c>
      <c r="C281" t="s">
        <v>4072</v>
      </c>
      <c r="D281" s="12"/>
      <c r="E281">
        <v>3.78</v>
      </c>
      <c r="F281" t="s">
        <v>154</v>
      </c>
      <c r="G281" s="99" t="s">
        <v>587</v>
      </c>
      <c r="H281" s="58">
        <v>1522043</v>
      </c>
      <c r="J281" t="s">
        <v>2272</v>
      </c>
      <c r="K281" t="s">
        <v>2272</v>
      </c>
      <c r="M281" t="b">
        <v>1</v>
      </c>
      <c r="N281" t="b">
        <v>1</v>
      </c>
      <c r="O281" t="b">
        <v>0</v>
      </c>
      <c r="P281" t="b">
        <v>0</v>
      </c>
      <c r="Q281" t="s">
        <v>1989</v>
      </c>
      <c r="R281" t="s">
        <v>2037</v>
      </c>
      <c r="T281">
        <v>8</v>
      </c>
      <c r="U281" s="20">
        <v>0</v>
      </c>
      <c r="V281">
        <v>0</v>
      </c>
      <c r="W281">
        <v>0</v>
      </c>
      <c r="X281">
        <f t="shared" si="39"/>
        <v>7.76</v>
      </c>
      <c r="Y281">
        <f t="shared" si="39"/>
        <v>7.76</v>
      </c>
      <c r="Z281">
        <v>33</v>
      </c>
      <c r="AB281">
        <v>16.5</v>
      </c>
      <c r="AC281" s="20">
        <v>0</v>
      </c>
      <c r="AD281" s="20"/>
      <c r="AE281" s="20"/>
      <c r="AF281">
        <v>0</v>
      </c>
      <c r="AI281">
        <v>0</v>
      </c>
      <c r="AM281">
        <v>20</v>
      </c>
      <c r="AN281" s="44">
        <f t="shared" si="34"/>
        <v>1987.1807999999999</v>
      </c>
      <c r="AO281" s="46">
        <v>0</v>
      </c>
      <c r="AP281" s="44">
        <v>0</v>
      </c>
      <c r="AQ281" s="44">
        <v>0</v>
      </c>
      <c r="AR281" s="41">
        <f t="shared" si="37"/>
        <v>8.0516075839702161E-2</v>
      </c>
      <c r="AS281" s="40"/>
      <c r="AT281" s="41"/>
      <c r="AU281" s="41"/>
      <c r="AV281" s="23">
        <v>1.875</v>
      </c>
      <c r="AW281" s="23">
        <v>2.5</v>
      </c>
      <c r="AX281" s="23">
        <v>0.625</v>
      </c>
      <c r="AY281" s="23">
        <v>1.75</v>
      </c>
      <c r="AZ281" s="23">
        <v>0.27777777777777779</v>
      </c>
      <c r="BA281" s="23">
        <v>0.37037037037037029</v>
      </c>
      <c r="BB281" s="23">
        <v>9.2592592592592587E-2</v>
      </c>
      <c r="BC281" s="23">
        <v>0.25925925925925919</v>
      </c>
      <c r="BD281" s="20">
        <v>0.95</v>
      </c>
      <c r="BE281" s="20">
        <v>3.44</v>
      </c>
      <c r="BF281" s="20">
        <v>2.4900000000000002</v>
      </c>
      <c r="BG281" s="20">
        <v>2.6937500000000001</v>
      </c>
      <c r="BH281">
        <v>2.6937500000000001</v>
      </c>
      <c r="BI281">
        <v>6.2518794218656879</v>
      </c>
      <c r="BJ281" s="64"/>
      <c r="BK281" s="64"/>
      <c r="BL281" s="64"/>
      <c r="BM281">
        <v>4.0258037919851081E-2</v>
      </c>
      <c r="BQ281">
        <v>8.0516075839702161E-2</v>
      </c>
      <c r="BR281">
        <v>4.0258037919851081E-2</v>
      </c>
      <c r="BS281">
        <v>0</v>
      </c>
      <c r="BT281" s="68" t="s">
        <v>1264</v>
      </c>
      <c r="BU281" s="68">
        <v>1423</v>
      </c>
      <c r="BV281" s="68">
        <v>24</v>
      </c>
      <c r="BX281" s="68" t="s">
        <v>1275</v>
      </c>
      <c r="BY281" s="68" t="s">
        <v>863</v>
      </c>
      <c r="BZ281" s="68">
        <v>4</v>
      </c>
      <c r="CA281" s="68">
        <v>11.41</v>
      </c>
      <c r="CB281" s="68">
        <v>2</v>
      </c>
      <c r="CC281" s="68">
        <v>10</v>
      </c>
      <c r="CD281" s="68" t="s">
        <v>464</v>
      </c>
      <c r="CE281" s="68" t="s">
        <v>464</v>
      </c>
      <c r="CF281" s="68" t="s">
        <v>1266</v>
      </c>
      <c r="CG281" s="68">
        <v>100</v>
      </c>
      <c r="CH281" s="68">
        <v>400</v>
      </c>
      <c r="CI281" s="68" t="s">
        <v>1310</v>
      </c>
      <c r="CJ281" s="68">
        <v>333</v>
      </c>
      <c r="CK281" s="70">
        <v>1473.2142857142858</v>
      </c>
    </row>
    <row r="282" spans="1:89" x14ac:dyDescent="0.3">
      <c r="A282" t="s">
        <v>162</v>
      </c>
      <c r="B282" t="s">
        <v>4</v>
      </c>
      <c r="C282" t="s">
        <v>4073</v>
      </c>
      <c r="D282" s="12"/>
      <c r="E282">
        <v>3.99</v>
      </c>
      <c r="F282" t="s">
        <v>154</v>
      </c>
      <c r="G282" s="99" t="s">
        <v>587</v>
      </c>
      <c r="H282" s="58">
        <v>1522043</v>
      </c>
      <c r="J282" t="s">
        <v>1744</v>
      </c>
      <c r="K282" t="s">
        <v>1744</v>
      </c>
      <c r="M282" t="b">
        <v>1</v>
      </c>
      <c r="N282" t="b">
        <v>1</v>
      </c>
      <c r="O282" t="b">
        <v>0</v>
      </c>
      <c r="P282" t="b">
        <v>0</v>
      </c>
      <c r="Q282" t="s">
        <v>1991</v>
      </c>
      <c r="R282" t="s">
        <v>2039</v>
      </c>
      <c r="T282">
        <v>8</v>
      </c>
      <c r="U282" s="20">
        <v>0</v>
      </c>
      <c r="V282">
        <v>0</v>
      </c>
      <c r="W282">
        <v>0</v>
      </c>
      <c r="X282">
        <f t="shared" si="39"/>
        <v>7.76</v>
      </c>
      <c r="Y282">
        <f t="shared" si="39"/>
        <v>7.76</v>
      </c>
      <c r="Z282">
        <v>29.18</v>
      </c>
      <c r="AB282">
        <v>14.59</v>
      </c>
      <c r="AC282" s="20">
        <v>0</v>
      </c>
      <c r="AD282" s="20"/>
      <c r="AE282" s="20"/>
      <c r="AF282">
        <v>0</v>
      </c>
      <c r="AI282">
        <v>0</v>
      </c>
      <c r="AM282">
        <v>20</v>
      </c>
      <c r="AN282" s="44">
        <f t="shared" si="34"/>
        <v>1757.1495679999998</v>
      </c>
      <c r="AO282" s="46">
        <v>0</v>
      </c>
      <c r="AP282" s="44">
        <v>0</v>
      </c>
      <c r="AQ282" s="44">
        <v>0</v>
      </c>
      <c r="AR282" s="41">
        <f t="shared" si="37"/>
        <v>9.1056562807065505E-2</v>
      </c>
      <c r="AS282" s="40"/>
      <c r="AT282" s="41"/>
      <c r="AU282" s="41"/>
      <c r="AV282" s="23">
        <v>1.9375</v>
      </c>
      <c r="AW282" s="23">
        <v>2.5</v>
      </c>
      <c r="AX282" s="23">
        <v>0.5625</v>
      </c>
      <c r="AY282" s="23">
        <v>2.625</v>
      </c>
      <c r="AZ282" s="23">
        <v>0.25409836065573771</v>
      </c>
      <c r="BA282" s="23">
        <v>0.32786885245901642</v>
      </c>
      <c r="BB282" s="23">
        <v>7.3770491803278687E-2</v>
      </c>
      <c r="BC282" s="23">
        <v>0.34426229508196721</v>
      </c>
      <c r="BD282" s="20">
        <v>0.95</v>
      </c>
      <c r="BE282" s="20">
        <v>3.44</v>
      </c>
      <c r="BF282" s="20">
        <v>2.4900000000000002</v>
      </c>
      <c r="BG282" s="20">
        <v>2.6875</v>
      </c>
      <c r="BH282">
        <v>2.6875</v>
      </c>
      <c r="BI282">
        <v>6.2580179843656882</v>
      </c>
      <c r="BJ282" s="64"/>
      <c r="BK282" s="64"/>
      <c r="BL282" s="64"/>
      <c r="BM282">
        <v>4.5528281403532753E-2</v>
      </c>
      <c r="BQ282">
        <v>9.1056562807065505E-2</v>
      </c>
      <c r="BR282">
        <v>4.5528281403532753E-2</v>
      </c>
      <c r="BS282">
        <v>0</v>
      </c>
      <c r="BT282" s="68" t="s">
        <v>1264</v>
      </c>
      <c r="BU282" s="68">
        <v>1423</v>
      </c>
      <c r="BV282" s="68">
        <v>24</v>
      </c>
      <c r="BX282" s="68" t="s">
        <v>1275</v>
      </c>
      <c r="BY282" s="68" t="s">
        <v>863</v>
      </c>
      <c r="BZ282" s="68">
        <v>4</v>
      </c>
      <c r="CA282" s="68">
        <v>11.97</v>
      </c>
      <c r="CB282" s="68">
        <v>2</v>
      </c>
      <c r="CC282" s="68">
        <v>10</v>
      </c>
      <c r="CD282" s="68" t="s">
        <v>464</v>
      </c>
      <c r="CE282" s="68" t="s">
        <v>464</v>
      </c>
      <c r="CF282" s="68" t="s">
        <v>1266</v>
      </c>
      <c r="CG282" s="68">
        <v>100</v>
      </c>
      <c r="CH282" s="68">
        <v>400</v>
      </c>
      <c r="CI282" s="68" t="s">
        <v>1310</v>
      </c>
      <c r="CJ282" s="68">
        <v>333</v>
      </c>
      <c r="CK282" s="70">
        <v>401.78571428571433</v>
      </c>
    </row>
    <row r="283" spans="1:89" x14ac:dyDescent="0.3">
      <c r="A283" t="s">
        <v>8</v>
      </c>
      <c r="B283" t="s">
        <v>2777</v>
      </c>
      <c r="C283" t="s">
        <v>3926</v>
      </c>
      <c r="D283" s="12"/>
      <c r="E283" s="58">
        <v>3.2</v>
      </c>
      <c r="F283" t="s">
        <v>154</v>
      </c>
      <c r="G283" s="98" t="s">
        <v>530</v>
      </c>
      <c r="H283" t="s">
        <v>612</v>
      </c>
      <c r="M283" t="b">
        <v>1</v>
      </c>
      <c r="N283" t="b">
        <v>1</v>
      </c>
      <c r="O283" t="b">
        <v>0</v>
      </c>
      <c r="P283" t="b">
        <v>0</v>
      </c>
      <c r="Q283" t="s">
        <v>530</v>
      </c>
      <c r="R283" t="s">
        <v>612</v>
      </c>
      <c r="U283" s="20"/>
      <c r="AC283" s="20"/>
      <c r="AD283" s="20"/>
      <c r="AE283" s="20"/>
      <c r="AN283" s="44"/>
      <c r="AO283" s="46"/>
      <c r="AP283" s="44"/>
      <c r="AQ283" s="44"/>
      <c r="AR283" s="41"/>
      <c r="AS283" s="40"/>
      <c r="AT283" s="41"/>
      <c r="AU283" s="41"/>
      <c r="AV283" s="23"/>
      <c r="AW283" s="23"/>
      <c r="AX283" s="23"/>
      <c r="AY283" s="23"/>
      <c r="AZ283" s="23"/>
      <c r="BA283" s="23"/>
      <c r="BB283" s="23"/>
      <c r="BC283" s="23"/>
      <c r="BD283" s="20"/>
      <c r="BE283" s="20"/>
      <c r="BF283" s="20"/>
      <c r="BG283" s="20"/>
      <c r="BJ283" s="64"/>
      <c r="BK283" s="64"/>
      <c r="BL283" s="64"/>
      <c r="BT283" s="68" t="s">
        <v>1264</v>
      </c>
      <c r="BU283" s="68">
        <v>1423</v>
      </c>
      <c r="BV283" s="68">
        <v>24</v>
      </c>
      <c r="BX283" s="68" t="s">
        <v>464</v>
      </c>
      <c r="BY283" s="68" t="s">
        <v>464</v>
      </c>
      <c r="BZ283" s="68">
        <v>0</v>
      </c>
      <c r="CA283" s="68">
        <v>49</v>
      </c>
      <c r="CB283" s="68">
        <v>2</v>
      </c>
      <c r="CC283" s="68">
        <v>10</v>
      </c>
      <c r="CD283" s="68" t="s">
        <v>464</v>
      </c>
      <c r="CE283" s="68" t="s">
        <v>464</v>
      </c>
      <c r="CF283" s="68" t="s">
        <v>1266</v>
      </c>
      <c r="CG283" s="68">
        <v>100</v>
      </c>
      <c r="CH283" s="68">
        <v>400</v>
      </c>
      <c r="CI283" s="68" t="s">
        <v>1310</v>
      </c>
      <c r="CJ283" s="68">
        <v>333</v>
      </c>
      <c r="CK283" s="70">
        <v>1.7857142857142858</v>
      </c>
    </row>
    <row r="284" spans="1:89" x14ac:dyDescent="0.3">
      <c r="A284" t="s">
        <v>8</v>
      </c>
      <c r="B284" t="s">
        <v>2777</v>
      </c>
      <c r="C284" t="s">
        <v>3926</v>
      </c>
      <c r="D284" s="12"/>
      <c r="E284" s="58">
        <v>3.2</v>
      </c>
      <c r="F284" t="s">
        <v>154</v>
      </c>
      <c r="G284" s="98" t="s">
        <v>530</v>
      </c>
      <c r="H284" t="s">
        <v>612</v>
      </c>
      <c r="M284" t="b">
        <v>1</v>
      </c>
      <c r="N284" t="b">
        <v>1</v>
      </c>
      <c r="O284" t="b">
        <v>0</v>
      </c>
      <c r="P284" t="b">
        <v>0</v>
      </c>
      <c r="Q284" t="s">
        <v>530</v>
      </c>
      <c r="R284" t="s">
        <v>612</v>
      </c>
      <c r="U284" s="20"/>
      <c r="AC284" s="20"/>
      <c r="AD284" s="20"/>
      <c r="AE284" s="20"/>
      <c r="AN284" s="44"/>
      <c r="AO284" s="46"/>
      <c r="AP284" s="44"/>
      <c r="AQ284" s="44"/>
      <c r="AR284" s="41"/>
      <c r="AS284" s="40"/>
      <c r="AT284" s="41"/>
      <c r="AU284" s="41"/>
      <c r="AV284" s="23"/>
      <c r="AW284" s="23"/>
      <c r="AX284" s="23"/>
      <c r="AY284" s="23"/>
      <c r="AZ284" s="23"/>
      <c r="BA284" s="23"/>
      <c r="BB284" s="23"/>
      <c r="BC284" s="23"/>
      <c r="BD284" s="20"/>
      <c r="BE284" s="20"/>
      <c r="BF284" s="20"/>
      <c r="BG284" s="20"/>
      <c r="BJ284" s="64"/>
      <c r="BK284" s="64"/>
      <c r="BL284" s="64"/>
      <c r="BT284" s="68" t="s">
        <v>1264</v>
      </c>
      <c r="BU284" s="68">
        <v>1423</v>
      </c>
      <c r="BV284" s="68">
        <v>24</v>
      </c>
      <c r="BX284" s="68" t="s">
        <v>1275</v>
      </c>
      <c r="BY284" s="68" t="s">
        <v>863</v>
      </c>
      <c r="BZ284" s="68">
        <v>4</v>
      </c>
      <c r="CA284" s="68">
        <v>49</v>
      </c>
      <c r="CB284" s="68">
        <v>2</v>
      </c>
      <c r="CC284" s="68">
        <v>10</v>
      </c>
      <c r="CD284" s="68" t="s">
        <v>464</v>
      </c>
      <c r="CE284" s="68" t="s">
        <v>464</v>
      </c>
      <c r="CF284" s="68" t="s">
        <v>1266</v>
      </c>
      <c r="CG284" s="68">
        <v>100</v>
      </c>
      <c r="CH284" s="68">
        <v>400</v>
      </c>
      <c r="CI284" s="68" t="s">
        <v>1310</v>
      </c>
      <c r="CJ284" s="68">
        <v>333</v>
      </c>
      <c r="CK284" s="70">
        <v>58.928571428571431</v>
      </c>
    </row>
    <row r="285" spans="1:89" x14ac:dyDescent="0.3">
      <c r="A285" t="s">
        <v>4</v>
      </c>
      <c r="B285" t="s">
        <v>4</v>
      </c>
      <c r="C285" t="s">
        <v>3921</v>
      </c>
      <c r="D285" s="12"/>
      <c r="E285">
        <v>3.5</v>
      </c>
      <c r="F285" t="s">
        <v>163</v>
      </c>
      <c r="G285" s="8" t="s">
        <v>527</v>
      </c>
      <c r="H285" t="s">
        <v>609</v>
      </c>
      <c r="M285" t="b">
        <v>1</v>
      </c>
      <c r="N285" t="b">
        <v>1</v>
      </c>
      <c r="O285" t="b">
        <v>0</v>
      </c>
      <c r="P285" t="b">
        <v>0</v>
      </c>
      <c r="Q285" t="s">
        <v>527</v>
      </c>
      <c r="R285" t="s">
        <v>609</v>
      </c>
      <c r="U285" s="20"/>
      <c r="AC285" s="20"/>
      <c r="AD285" s="20"/>
      <c r="AE285" s="20"/>
      <c r="AN285" s="44"/>
      <c r="AO285" s="46"/>
      <c r="AP285" s="44"/>
      <c r="AQ285" s="44"/>
      <c r="AR285" s="41"/>
      <c r="AS285" s="40"/>
      <c r="AT285" s="41"/>
      <c r="AU285" s="41"/>
      <c r="AV285" s="23"/>
      <c r="AW285" s="23"/>
      <c r="AX285" s="23"/>
      <c r="AY285" s="23"/>
      <c r="AZ285" s="23"/>
      <c r="BA285" s="23"/>
      <c r="BB285" s="23"/>
      <c r="BC285" s="23"/>
      <c r="BD285" s="20"/>
      <c r="BE285" s="20"/>
      <c r="BF285" s="20"/>
      <c r="BG285" s="20"/>
      <c r="BJ285" s="64"/>
      <c r="BK285" s="64"/>
      <c r="BL285" s="64"/>
      <c r="BT285" s="68" t="s">
        <v>1264</v>
      </c>
      <c r="BU285" s="68">
        <v>1423</v>
      </c>
      <c r="BV285" s="68">
        <v>10</v>
      </c>
      <c r="BX285" s="68" t="s">
        <v>1275</v>
      </c>
      <c r="BY285" s="68" t="s">
        <v>863</v>
      </c>
      <c r="BZ285" s="68">
        <v>0</v>
      </c>
      <c r="CA285" s="68">
        <v>30</v>
      </c>
      <c r="CB285" s="68">
        <v>0.5</v>
      </c>
      <c r="CC285" s="68">
        <v>0</v>
      </c>
      <c r="CD285" s="68" t="s">
        <v>1334</v>
      </c>
      <c r="CE285" s="68" t="s">
        <v>464</v>
      </c>
      <c r="CF285" s="68" t="s">
        <v>1271</v>
      </c>
      <c r="CG285" s="68">
        <v>300</v>
      </c>
      <c r="CH285" s="68">
        <v>300</v>
      </c>
      <c r="CI285" s="68" t="s">
        <v>1310</v>
      </c>
      <c r="CK285" s="70">
        <v>4</v>
      </c>
    </row>
    <row r="286" spans="1:89" x14ac:dyDescent="0.3">
      <c r="A286" t="s">
        <v>4</v>
      </c>
      <c r="B286" t="s">
        <v>4</v>
      </c>
      <c r="C286" t="s">
        <v>3921</v>
      </c>
      <c r="D286" s="12"/>
      <c r="E286">
        <v>3.5</v>
      </c>
      <c r="F286" t="s">
        <v>163</v>
      </c>
      <c r="G286" s="8" t="s">
        <v>527</v>
      </c>
      <c r="H286" t="s">
        <v>609</v>
      </c>
      <c r="M286" t="b">
        <v>1</v>
      </c>
      <c r="N286" t="b">
        <v>1</v>
      </c>
      <c r="O286" t="b">
        <v>0</v>
      </c>
      <c r="P286" t="b">
        <v>0</v>
      </c>
      <c r="Q286" t="s">
        <v>527</v>
      </c>
      <c r="R286" t="s">
        <v>609</v>
      </c>
      <c r="U286" s="20"/>
      <c r="AC286" s="20"/>
      <c r="AD286" s="20"/>
      <c r="AE286" s="20"/>
      <c r="AN286" s="44"/>
      <c r="AO286" s="46"/>
      <c r="AP286" s="44"/>
      <c r="AQ286" s="44"/>
      <c r="AR286" s="41"/>
      <c r="AS286" s="40"/>
      <c r="AT286" s="41"/>
      <c r="AU286" s="41"/>
      <c r="AV286" s="23"/>
      <c r="AW286" s="23"/>
      <c r="AX286" s="23"/>
      <c r="AY286" s="23"/>
      <c r="AZ286" s="23"/>
      <c r="BA286" s="23"/>
      <c r="BB286" s="23"/>
      <c r="BC286" s="23"/>
      <c r="BD286" s="20"/>
      <c r="BE286" s="20"/>
      <c r="BF286" s="20"/>
      <c r="BG286" s="20"/>
      <c r="BJ286" s="64"/>
      <c r="BK286" s="64"/>
      <c r="BL286" s="64"/>
      <c r="BT286" s="68" t="s">
        <v>1264</v>
      </c>
      <c r="BU286" s="68">
        <v>1423</v>
      </c>
      <c r="BV286" s="68">
        <v>10</v>
      </c>
      <c r="BX286" s="68" t="s">
        <v>1275</v>
      </c>
      <c r="BY286" s="68" t="s">
        <v>863</v>
      </c>
      <c r="BZ286" s="68">
        <v>0.2</v>
      </c>
      <c r="CA286" s="68">
        <v>30</v>
      </c>
      <c r="CB286" s="68">
        <v>0.5</v>
      </c>
      <c r="CC286" s="68">
        <v>0</v>
      </c>
      <c r="CD286" s="68" t="s">
        <v>1334</v>
      </c>
      <c r="CE286" s="68" t="s">
        <v>464</v>
      </c>
      <c r="CF286" s="68" t="s">
        <v>1271</v>
      </c>
      <c r="CG286" s="68">
        <v>300</v>
      </c>
      <c r="CH286" s="68">
        <v>300</v>
      </c>
      <c r="CI286" s="68" t="s">
        <v>1310</v>
      </c>
      <c r="CK286" s="70">
        <v>64</v>
      </c>
    </row>
    <row r="287" spans="1:89" x14ac:dyDescent="0.3">
      <c r="A287" t="s">
        <v>4</v>
      </c>
      <c r="B287" t="s">
        <v>4</v>
      </c>
      <c r="C287" t="s">
        <v>3921</v>
      </c>
      <c r="D287" s="12"/>
      <c r="E287">
        <v>3.5</v>
      </c>
      <c r="F287" t="s">
        <v>163</v>
      </c>
      <c r="G287" s="8" t="s">
        <v>527</v>
      </c>
      <c r="H287" t="s">
        <v>609</v>
      </c>
      <c r="M287" t="b">
        <v>1</v>
      </c>
      <c r="N287" t="b">
        <v>1</v>
      </c>
      <c r="O287" t="b">
        <v>0</v>
      </c>
      <c r="P287" t="b">
        <v>0</v>
      </c>
      <c r="Q287" t="s">
        <v>527</v>
      </c>
      <c r="R287" t="s">
        <v>609</v>
      </c>
      <c r="U287" s="20"/>
      <c r="AC287" s="20"/>
      <c r="AD287" s="20"/>
      <c r="AE287" s="20"/>
      <c r="AN287" s="44"/>
      <c r="AO287" s="46"/>
      <c r="AP287" s="44"/>
      <c r="AQ287" s="44"/>
      <c r="AR287" s="41"/>
      <c r="AS287" s="40"/>
      <c r="AT287" s="41"/>
      <c r="AU287" s="41"/>
      <c r="AV287" s="23"/>
      <c r="AW287" s="23"/>
      <c r="AX287" s="23"/>
      <c r="AY287" s="23"/>
      <c r="AZ287" s="23"/>
      <c r="BA287" s="23"/>
      <c r="BB287" s="23"/>
      <c r="BC287" s="23"/>
      <c r="BD287" s="20"/>
      <c r="BE287" s="20"/>
      <c r="BF287" s="20"/>
      <c r="BG287" s="20"/>
      <c r="BJ287" s="64"/>
      <c r="BK287" s="64"/>
      <c r="BL287" s="64"/>
      <c r="BT287" s="68" t="s">
        <v>1264</v>
      </c>
      <c r="BU287" s="68">
        <v>1423</v>
      </c>
      <c r="BV287" s="68">
        <v>10</v>
      </c>
      <c r="BX287" s="68" t="s">
        <v>1275</v>
      </c>
      <c r="BY287" s="68" t="s">
        <v>863</v>
      </c>
      <c r="BZ287" s="68">
        <v>0.4</v>
      </c>
      <c r="CA287" s="68">
        <v>30</v>
      </c>
      <c r="CB287" s="68">
        <v>0.5</v>
      </c>
      <c r="CC287" s="68">
        <v>0</v>
      </c>
      <c r="CD287" s="68" t="s">
        <v>1334</v>
      </c>
      <c r="CE287" s="68" t="s">
        <v>464</v>
      </c>
      <c r="CF287" s="68" t="s">
        <v>1271</v>
      </c>
      <c r="CG287" s="68">
        <v>300</v>
      </c>
      <c r="CH287" s="68">
        <v>300</v>
      </c>
      <c r="CI287" s="68" t="s">
        <v>1310</v>
      </c>
      <c r="CK287" s="70">
        <v>92</v>
      </c>
    </row>
    <row r="288" spans="1:89" x14ac:dyDescent="0.3">
      <c r="A288" t="s">
        <v>4</v>
      </c>
      <c r="B288" t="s">
        <v>4</v>
      </c>
      <c r="C288" t="s">
        <v>3921</v>
      </c>
      <c r="D288" s="12"/>
      <c r="E288">
        <v>3.5</v>
      </c>
      <c r="F288" t="s">
        <v>163</v>
      </c>
      <c r="G288" s="8" t="s">
        <v>527</v>
      </c>
      <c r="H288" t="s">
        <v>609</v>
      </c>
      <c r="M288" t="b">
        <v>1</v>
      </c>
      <c r="N288" t="b">
        <v>1</v>
      </c>
      <c r="O288" t="b">
        <v>0</v>
      </c>
      <c r="P288" t="b">
        <v>0</v>
      </c>
      <c r="Q288" t="s">
        <v>527</v>
      </c>
      <c r="R288" t="s">
        <v>609</v>
      </c>
      <c r="U288" s="20"/>
      <c r="AC288" s="20"/>
      <c r="AD288" s="20"/>
      <c r="AE288" s="20"/>
      <c r="AN288" s="44"/>
      <c r="AO288" s="46"/>
      <c r="AP288" s="44"/>
      <c r="AQ288" s="44"/>
      <c r="AR288" s="41"/>
      <c r="AS288" s="40"/>
      <c r="AT288" s="41"/>
      <c r="AU288" s="41"/>
      <c r="AV288" s="23"/>
      <c r="AW288" s="23"/>
      <c r="AX288" s="23"/>
      <c r="AY288" s="23"/>
      <c r="AZ288" s="23"/>
      <c r="BA288" s="23"/>
      <c r="BB288" s="23"/>
      <c r="BC288" s="23"/>
      <c r="BD288" s="20"/>
      <c r="BE288" s="20"/>
      <c r="BF288" s="20"/>
      <c r="BG288" s="20"/>
      <c r="BJ288" s="64"/>
      <c r="BK288" s="64"/>
      <c r="BL288" s="64"/>
      <c r="BT288" s="68" t="s">
        <v>1264</v>
      </c>
      <c r="BU288" s="68">
        <v>1423</v>
      </c>
      <c r="BV288" s="68">
        <v>10</v>
      </c>
      <c r="BX288" s="68" t="s">
        <v>1275</v>
      </c>
      <c r="BY288" s="68" t="s">
        <v>863</v>
      </c>
      <c r="BZ288" s="68">
        <v>0.6</v>
      </c>
      <c r="CA288" s="68">
        <v>30</v>
      </c>
      <c r="CB288" s="68">
        <v>0.5</v>
      </c>
      <c r="CC288" s="68">
        <v>0</v>
      </c>
      <c r="CD288" s="68" t="s">
        <v>1334</v>
      </c>
      <c r="CE288" s="68" t="s">
        <v>464</v>
      </c>
      <c r="CF288" s="68" t="s">
        <v>1271</v>
      </c>
      <c r="CG288" s="68">
        <v>300</v>
      </c>
      <c r="CH288" s="68">
        <v>300</v>
      </c>
      <c r="CI288" s="68" t="s">
        <v>1310</v>
      </c>
      <c r="CK288" s="70">
        <v>140</v>
      </c>
    </row>
    <row r="289" spans="1:89" x14ac:dyDescent="0.3">
      <c r="A289" t="s">
        <v>4</v>
      </c>
      <c r="B289" t="s">
        <v>4</v>
      </c>
      <c r="C289" t="s">
        <v>3921</v>
      </c>
      <c r="D289" s="12"/>
      <c r="E289">
        <v>3.5</v>
      </c>
      <c r="F289" t="s">
        <v>163</v>
      </c>
      <c r="G289" s="8" t="s">
        <v>527</v>
      </c>
      <c r="H289" t="s">
        <v>609</v>
      </c>
      <c r="M289" t="b">
        <v>1</v>
      </c>
      <c r="N289" t="b">
        <v>1</v>
      </c>
      <c r="O289" t="b">
        <v>0</v>
      </c>
      <c r="P289" t="b">
        <v>0</v>
      </c>
      <c r="Q289" t="s">
        <v>527</v>
      </c>
      <c r="R289" t="s">
        <v>609</v>
      </c>
      <c r="U289" s="20"/>
      <c r="AC289" s="20"/>
      <c r="AD289" s="20"/>
      <c r="AE289" s="20"/>
      <c r="AN289" s="44"/>
      <c r="AO289" s="46"/>
      <c r="AP289" s="44"/>
      <c r="AQ289" s="44"/>
      <c r="AR289" s="41"/>
      <c r="AS289" s="40"/>
      <c r="AT289" s="41"/>
      <c r="AU289" s="41"/>
      <c r="AV289" s="23"/>
      <c r="AW289" s="23"/>
      <c r="AX289" s="23"/>
      <c r="AY289" s="23"/>
      <c r="AZ289" s="23"/>
      <c r="BA289" s="23"/>
      <c r="BB289" s="23"/>
      <c r="BC289" s="23"/>
      <c r="BD289" s="20"/>
      <c r="BE289" s="20"/>
      <c r="BF289" s="20"/>
      <c r="BG289" s="20"/>
      <c r="BJ289" s="64"/>
      <c r="BK289" s="64"/>
      <c r="BL289" s="64"/>
      <c r="BT289" s="68" t="s">
        <v>1264</v>
      </c>
      <c r="BU289" s="68">
        <v>1423</v>
      </c>
      <c r="BV289" s="68">
        <v>10</v>
      </c>
      <c r="BX289" s="68" t="s">
        <v>1275</v>
      </c>
      <c r="BY289" s="68" t="s">
        <v>863</v>
      </c>
      <c r="BZ289" s="68">
        <v>0.8</v>
      </c>
      <c r="CA289" s="68">
        <v>30</v>
      </c>
      <c r="CB289" s="68">
        <v>0.5</v>
      </c>
      <c r="CC289" s="68">
        <v>0</v>
      </c>
      <c r="CD289" s="68" t="s">
        <v>1334</v>
      </c>
      <c r="CE289" s="68" t="s">
        <v>464</v>
      </c>
      <c r="CF289" s="68" t="s">
        <v>1271</v>
      </c>
      <c r="CG289" s="68">
        <v>300</v>
      </c>
      <c r="CH289" s="68">
        <v>300</v>
      </c>
      <c r="CI289" s="68" t="s">
        <v>1310</v>
      </c>
      <c r="CK289" s="70">
        <v>150</v>
      </c>
    </row>
    <row r="290" spans="1:89" x14ac:dyDescent="0.3">
      <c r="A290" t="s">
        <v>4</v>
      </c>
      <c r="B290" t="s">
        <v>4</v>
      </c>
      <c r="C290" t="s">
        <v>3921</v>
      </c>
      <c r="D290" s="12"/>
      <c r="E290">
        <v>3.5</v>
      </c>
      <c r="F290" t="s">
        <v>163</v>
      </c>
      <c r="G290" s="8" t="s">
        <v>527</v>
      </c>
      <c r="H290" t="s">
        <v>609</v>
      </c>
      <c r="M290" t="b">
        <v>1</v>
      </c>
      <c r="N290" t="b">
        <v>1</v>
      </c>
      <c r="O290" t="b">
        <v>0</v>
      </c>
      <c r="P290" t="b">
        <v>0</v>
      </c>
      <c r="Q290" t="s">
        <v>527</v>
      </c>
      <c r="R290" t="s">
        <v>609</v>
      </c>
      <c r="U290" s="20"/>
      <c r="AC290" s="20"/>
      <c r="AD290" s="20"/>
      <c r="AE290" s="20"/>
      <c r="AN290" s="44"/>
      <c r="AO290" s="46"/>
      <c r="AP290" s="44"/>
      <c r="AQ290" s="44"/>
      <c r="AR290" s="41"/>
      <c r="AS290" s="40"/>
      <c r="AT290" s="41"/>
      <c r="AU290" s="41"/>
      <c r="AV290" s="23"/>
      <c r="AW290" s="23"/>
      <c r="AX290" s="23"/>
      <c r="AY290" s="23"/>
      <c r="AZ290" s="23"/>
      <c r="BA290" s="23"/>
      <c r="BB290" s="23"/>
      <c r="BC290" s="23"/>
      <c r="BD290" s="20"/>
      <c r="BE290" s="20"/>
      <c r="BF290" s="20"/>
      <c r="BG290" s="20"/>
      <c r="BJ290" s="64"/>
      <c r="BK290" s="64"/>
      <c r="BL290" s="64"/>
      <c r="BT290" s="68" t="s">
        <v>1264</v>
      </c>
      <c r="BU290" s="68">
        <v>1423</v>
      </c>
      <c r="BV290" s="68">
        <v>10</v>
      </c>
      <c r="BX290" s="68" t="s">
        <v>1275</v>
      </c>
      <c r="BY290" s="68" t="s">
        <v>863</v>
      </c>
      <c r="BZ290" s="68">
        <v>1</v>
      </c>
      <c r="CA290" s="68">
        <v>30</v>
      </c>
      <c r="CB290" s="68">
        <v>0.5</v>
      </c>
      <c r="CC290" s="68">
        <v>0</v>
      </c>
      <c r="CD290" s="68" t="s">
        <v>1334</v>
      </c>
      <c r="CE290" s="68" t="s">
        <v>464</v>
      </c>
      <c r="CF290" s="68" t="s">
        <v>1271</v>
      </c>
      <c r="CG290" s="68">
        <v>300</v>
      </c>
      <c r="CH290" s="68">
        <v>300</v>
      </c>
      <c r="CI290" s="68" t="s">
        <v>1310</v>
      </c>
      <c r="CK290" s="70">
        <v>146</v>
      </c>
    </row>
    <row r="291" spans="1:89" x14ac:dyDescent="0.3">
      <c r="A291" t="s">
        <v>4</v>
      </c>
      <c r="B291" t="s">
        <v>4</v>
      </c>
      <c r="C291" t="s">
        <v>3921</v>
      </c>
      <c r="D291" s="12"/>
      <c r="E291">
        <v>3.5</v>
      </c>
      <c r="F291" t="s">
        <v>163</v>
      </c>
      <c r="G291" s="8" t="s">
        <v>527</v>
      </c>
      <c r="H291" t="s">
        <v>609</v>
      </c>
      <c r="M291" t="b">
        <v>1</v>
      </c>
      <c r="N291" t="b">
        <v>1</v>
      </c>
      <c r="O291" t="b">
        <v>0</v>
      </c>
      <c r="P291" t="b">
        <v>0</v>
      </c>
      <c r="Q291" t="s">
        <v>527</v>
      </c>
      <c r="R291" t="s">
        <v>609</v>
      </c>
      <c r="U291" s="20"/>
      <c r="AC291" s="20"/>
      <c r="AD291" s="20"/>
      <c r="AE291" s="20"/>
      <c r="AN291" s="44"/>
      <c r="AO291" s="46"/>
      <c r="AP291" s="44"/>
      <c r="AQ291" s="44"/>
      <c r="AR291" s="41"/>
      <c r="AS291" s="40"/>
      <c r="AT291" s="41"/>
      <c r="AU291" s="41"/>
      <c r="AV291" s="23"/>
      <c r="AW291" s="23"/>
      <c r="AX291" s="23"/>
      <c r="AY291" s="23"/>
      <c r="AZ291" s="23"/>
      <c r="BA291" s="23"/>
      <c r="BB291" s="23"/>
      <c r="BC291" s="23"/>
      <c r="BD291" s="20"/>
      <c r="BE291" s="20"/>
      <c r="BF291" s="20"/>
      <c r="BG291" s="20"/>
      <c r="BJ291" s="64"/>
      <c r="BK291" s="64"/>
      <c r="BL291" s="64"/>
      <c r="BT291" s="68" t="s">
        <v>1264</v>
      </c>
      <c r="BU291" s="68">
        <v>1423</v>
      </c>
      <c r="BV291" s="68">
        <v>10</v>
      </c>
      <c r="BX291" s="68" t="s">
        <v>1275</v>
      </c>
      <c r="BY291" s="68" t="s">
        <v>863</v>
      </c>
      <c r="BZ291" s="68">
        <v>1.2</v>
      </c>
      <c r="CA291" s="68">
        <v>30</v>
      </c>
      <c r="CB291" s="68">
        <v>0.5</v>
      </c>
      <c r="CC291" s="68">
        <v>0</v>
      </c>
      <c r="CD291" s="68" t="s">
        <v>1334</v>
      </c>
      <c r="CE291" s="68" t="s">
        <v>464</v>
      </c>
      <c r="CF291" s="68" t="s">
        <v>1271</v>
      </c>
      <c r="CG291" s="68">
        <v>300</v>
      </c>
      <c r="CH291" s="68">
        <v>300</v>
      </c>
      <c r="CI291" s="68" t="s">
        <v>1310</v>
      </c>
      <c r="CK291" s="70">
        <v>128</v>
      </c>
    </row>
    <row r="292" spans="1:89" x14ac:dyDescent="0.3">
      <c r="A292" t="s">
        <v>4</v>
      </c>
      <c r="B292" t="s">
        <v>4</v>
      </c>
      <c r="C292" t="s">
        <v>3921</v>
      </c>
      <c r="D292" s="12"/>
      <c r="E292">
        <v>3.5</v>
      </c>
      <c r="F292" t="s">
        <v>163</v>
      </c>
      <c r="G292" s="8" t="s">
        <v>527</v>
      </c>
      <c r="H292" t="s">
        <v>609</v>
      </c>
      <c r="M292" t="b">
        <v>1</v>
      </c>
      <c r="N292" t="b">
        <v>1</v>
      </c>
      <c r="O292" t="b">
        <v>0</v>
      </c>
      <c r="P292" t="b">
        <v>0</v>
      </c>
      <c r="Q292" t="s">
        <v>527</v>
      </c>
      <c r="R292" t="s">
        <v>609</v>
      </c>
      <c r="U292" s="20"/>
      <c r="AC292" s="20"/>
      <c r="AD292" s="20"/>
      <c r="AE292" s="20"/>
      <c r="AN292" s="44"/>
      <c r="AO292" s="46"/>
      <c r="AP292" s="44"/>
      <c r="AQ292" s="44"/>
      <c r="AR292" s="41"/>
      <c r="AS292" s="40"/>
      <c r="AT292" s="41"/>
      <c r="AU292" s="41"/>
      <c r="AV292" s="23"/>
      <c r="AW292" s="23"/>
      <c r="AX292" s="23"/>
      <c r="AY292" s="23"/>
      <c r="AZ292" s="23"/>
      <c r="BA292" s="23"/>
      <c r="BB292" s="23"/>
      <c r="BC292" s="23"/>
      <c r="BD292" s="20"/>
      <c r="BE292" s="20"/>
      <c r="BF292" s="20"/>
      <c r="BG292" s="20"/>
      <c r="BJ292" s="64"/>
      <c r="BK292" s="64"/>
      <c r="BL292" s="64"/>
      <c r="BT292" s="68" t="s">
        <v>1264</v>
      </c>
      <c r="BU292" s="68">
        <v>1423</v>
      </c>
      <c r="BV292" s="68">
        <v>10</v>
      </c>
      <c r="BX292" s="68" t="s">
        <v>1275</v>
      </c>
      <c r="BY292" s="68" t="s">
        <v>863</v>
      </c>
      <c r="BZ292" s="68">
        <v>3</v>
      </c>
      <c r="CA292" s="68">
        <v>30</v>
      </c>
      <c r="CB292" s="68">
        <v>0.5</v>
      </c>
      <c r="CC292" s="68">
        <v>0</v>
      </c>
      <c r="CD292" s="68" t="s">
        <v>1334</v>
      </c>
      <c r="CE292" s="68" t="s">
        <v>464</v>
      </c>
      <c r="CF292" s="68" t="s">
        <v>1271</v>
      </c>
      <c r="CG292" s="68">
        <v>300</v>
      </c>
      <c r="CH292" s="68">
        <v>300</v>
      </c>
      <c r="CI292" s="68" t="s">
        <v>1310</v>
      </c>
      <c r="CK292" s="70">
        <v>56</v>
      </c>
    </row>
    <row r="293" spans="1:89" x14ac:dyDescent="0.3">
      <c r="A293" t="s">
        <v>4</v>
      </c>
      <c r="B293" t="s">
        <v>4</v>
      </c>
      <c r="C293" t="s">
        <v>3921</v>
      </c>
      <c r="D293" s="12"/>
      <c r="E293">
        <v>3.5</v>
      </c>
      <c r="F293" t="s">
        <v>163</v>
      </c>
      <c r="G293" s="8" t="s">
        <v>527</v>
      </c>
      <c r="H293" t="s">
        <v>609</v>
      </c>
      <c r="M293" t="b">
        <v>1</v>
      </c>
      <c r="N293" t="b">
        <v>1</v>
      </c>
      <c r="O293" t="b">
        <v>0</v>
      </c>
      <c r="P293" t="b">
        <v>0</v>
      </c>
      <c r="Q293" t="s">
        <v>527</v>
      </c>
      <c r="R293" t="s">
        <v>609</v>
      </c>
      <c r="U293" s="20"/>
      <c r="AC293" s="20"/>
      <c r="AD293" s="20"/>
      <c r="AE293" s="20"/>
      <c r="AN293" s="44"/>
      <c r="AO293" s="46"/>
      <c r="AP293" s="44"/>
      <c r="AQ293" s="44"/>
      <c r="AR293" s="41"/>
      <c r="AS293" s="40"/>
      <c r="AT293" s="41"/>
      <c r="AU293" s="41"/>
      <c r="AV293" s="23"/>
      <c r="AW293" s="23"/>
      <c r="AX293" s="23"/>
      <c r="AY293" s="23"/>
      <c r="AZ293" s="23"/>
      <c r="BA293" s="23"/>
      <c r="BB293" s="23"/>
      <c r="BC293" s="23"/>
      <c r="BD293" s="20"/>
      <c r="BE293" s="20"/>
      <c r="BF293" s="20"/>
      <c r="BG293" s="20"/>
      <c r="BJ293" s="64"/>
      <c r="BK293" s="64"/>
      <c r="BL293" s="64"/>
      <c r="BT293" s="68" t="s">
        <v>1264</v>
      </c>
      <c r="BU293" s="68">
        <v>1423</v>
      </c>
      <c r="BV293" s="68">
        <v>10</v>
      </c>
      <c r="BX293" s="68" t="s">
        <v>1275</v>
      </c>
      <c r="BY293" s="68" t="s">
        <v>863</v>
      </c>
      <c r="BZ293" s="68">
        <v>4</v>
      </c>
      <c r="CA293" s="68">
        <v>30</v>
      </c>
      <c r="CB293" s="68">
        <v>0.5</v>
      </c>
      <c r="CC293" s="68">
        <v>0</v>
      </c>
      <c r="CD293" s="68" t="s">
        <v>1334</v>
      </c>
      <c r="CE293" s="68" t="s">
        <v>464</v>
      </c>
      <c r="CF293" s="68" t="s">
        <v>1271</v>
      </c>
      <c r="CG293" s="68">
        <v>300</v>
      </c>
      <c r="CH293" s="68">
        <v>300</v>
      </c>
      <c r="CI293" s="68" t="s">
        <v>1310</v>
      </c>
      <c r="CK293" s="70">
        <v>20</v>
      </c>
    </row>
    <row r="294" spans="1:89" x14ac:dyDescent="0.3">
      <c r="A294" t="s">
        <v>165</v>
      </c>
      <c r="C294" t="s">
        <v>4074</v>
      </c>
      <c r="D294" s="12"/>
      <c r="E294">
        <v>2.84</v>
      </c>
      <c r="F294" t="s">
        <v>164</v>
      </c>
      <c r="G294" s="8">
        <v>-1</v>
      </c>
      <c r="H294">
        <v>-1</v>
      </c>
      <c r="M294" t="b">
        <v>0</v>
      </c>
      <c r="N294" t="b">
        <v>0</v>
      </c>
      <c r="O294" t="b">
        <v>0</v>
      </c>
      <c r="P294" t="b">
        <v>1</v>
      </c>
      <c r="Q294">
        <v>-1</v>
      </c>
      <c r="R294">
        <v>-1</v>
      </c>
      <c r="U294" s="20">
        <v>0</v>
      </c>
      <c r="V294">
        <v>0</v>
      </c>
      <c r="W294">
        <v>0</v>
      </c>
      <c r="AC294" s="20">
        <v>0</v>
      </c>
      <c r="AD294" s="20"/>
      <c r="AE294" s="20"/>
      <c r="AF294">
        <v>0</v>
      </c>
      <c r="AI294">
        <v>0</v>
      </c>
      <c r="AM294">
        <v>18</v>
      </c>
      <c r="AN294" s="44">
        <f t="shared" si="34"/>
        <v>0</v>
      </c>
      <c r="AO294" s="46">
        <v>0</v>
      </c>
      <c r="AP294" s="44">
        <v>0</v>
      </c>
      <c r="AQ294" s="44">
        <v>0</v>
      </c>
      <c r="AR294" s="41" t="e">
        <f t="shared" si="37"/>
        <v>#DIV/0!</v>
      </c>
      <c r="AS294" s="40"/>
      <c r="AT294" s="41"/>
      <c r="AU294" s="41"/>
      <c r="AV294" s="23">
        <v>1.8</v>
      </c>
      <c r="AW294" s="23">
        <v>2.4</v>
      </c>
      <c r="AX294" s="23">
        <v>1.1333333333333331</v>
      </c>
      <c r="AY294" s="23">
        <v>0</v>
      </c>
      <c r="AZ294" s="23">
        <v>0.33750000000000002</v>
      </c>
      <c r="BA294" s="23">
        <v>0.45</v>
      </c>
      <c r="BB294" s="23">
        <v>0.21249999999999999</v>
      </c>
      <c r="BC294" s="23">
        <v>0</v>
      </c>
      <c r="BD294" s="20">
        <v>0.93</v>
      </c>
      <c r="BE294" s="20">
        <v>3.44</v>
      </c>
      <c r="BF294" s="20">
        <v>2.5099999999999998</v>
      </c>
      <c r="BG294" s="20">
        <v>2.6033333333333331</v>
      </c>
      <c r="BH294">
        <v>2.6033333333333331</v>
      </c>
      <c r="BI294">
        <v>5.9143459586666669</v>
      </c>
      <c r="BJ294" s="64"/>
      <c r="BK294" s="64"/>
      <c r="BL294" s="64"/>
      <c r="BM294">
        <v>5.0758522673197588E-2</v>
      </c>
      <c r="BQ294">
        <v>0.1015170453463952</v>
      </c>
      <c r="BR294">
        <v>5.0758522673197588E-2</v>
      </c>
      <c r="BS294">
        <v>0</v>
      </c>
      <c r="BT294" s="68" t="s">
        <v>1264</v>
      </c>
      <c r="BU294" s="68">
        <v>1573</v>
      </c>
      <c r="BV294" s="68">
        <v>10</v>
      </c>
      <c r="BX294" s="68" t="s">
        <v>1268</v>
      </c>
      <c r="BY294" s="68" t="s">
        <v>863</v>
      </c>
      <c r="BZ294" s="68">
        <v>0.5</v>
      </c>
      <c r="CA294" s="68">
        <v>1.3</v>
      </c>
      <c r="CB294" s="68">
        <v>1.35</v>
      </c>
      <c r="CC294" s="68">
        <v>13.3</v>
      </c>
      <c r="CD294" s="68" t="s">
        <v>464</v>
      </c>
      <c r="CE294" s="68" t="s">
        <v>464</v>
      </c>
      <c r="CF294" s="68" t="s">
        <v>1266</v>
      </c>
      <c r="CG294" s="68">
        <v>400</v>
      </c>
      <c r="CI294" s="68" t="s">
        <v>1310</v>
      </c>
      <c r="CK294" s="70">
        <v>330</v>
      </c>
    </row>
    <row r="295" spans="1:89" x14ac:dyDescent="0.3">
      <c r="A295" t="s">
        <v>166</v>
      </c>
      <c r="C295" t="s">
        <v>4075</v>
      </c>
      <c r="D295" s="12"/>
      <c r="E295">
        <v>3.48</v>
      </c>
      <c r="F295" t="s">
        <v>164</v>
      </c>
      <c r="G295" s="8">
        <v>-1</v>
      </c>
      <c r="H295">
        <v>-1</v>
      </c>
      <c r="M295" t="b">
        <v>0</v>
      </c>
      <c r="N295" t="b">
        <v>0</v>
      </c>
      <c r="O295" t="b">
        <v>0</v>
      </c>
      <c r="P295" t="b">
        <v>1</v>
      </c>
      <c r="Q295">
        <v>-1</v>
      </c>
      <c r="R295">
        <v>-1</v>
      </c>
      <c r="T295">
        <v>2</v>
      </c>
      <c r="U295" s="20">
        <v>0</v>
      </c>
      <c r="V295">
        <v>0</v>
      </c>
      <c r="W295">
        <v>0</v>
      </c>
      <c r="X295">
        <v>3.97</v>
      </c>
      <c r="Y295">
        <v>3.97</v>
      </c>
      <c r="Z295">
        <v>22.5</v>
      </c>
      <c r="AB295">
        <v>11.25</v>
      </c>
      <c r="AC295" s="20">
        <v>0</v>
      </c>
      <c r="AD295" s="20"/>
      <c r="AE295" s="20"/>
      <c r="AF295">
        <v>0</v>
      </c>
      <c r="AI295">
        <v>0</v>
      </c>
      <c r="AL295">
        <v>3</v>
      </c>
      <c r="AM295">
        <v>18</v>
      </c>
      <c r="AN295" s="44">
        <f t="shared" si="34"/>
        <v>354.62025000000006</v>
      </c>
      <c r="AO295" s="46">
        <v>0</v>
      </c>
      <c r="AP295" s="44">
        <v>0</v>
      </c>
      <c r="AQ295" s="44">
        <v>0</v>
      </c>
      <c r="AR295" s="41">
        <f t="shared" si="37"/>
        <v>0.10151704534639518</v>
      </c>
      <c r="AS295" s="40"/>
      <c r="AT295" s="41"/>
      <c r="AU295" s="41"/>
      <c r="AV295" s="23">
        <v>1.8</v>
      </c>
      <c r="AW295" s="23">
        <v>2.4</v>
      </c>
      <c r="AX295" s="23">
        <v>1.1333333333333331</v>
      </c>
      <c r="AY295" s="23">
        <v>0</v>
      </c>
      <c r="AZ295" s="23">
        <v>0.33750000000000002</v>
      </c>
      <c r="BA295" s="23">
        <v>0.45</v>
      </c>
      <c r="BB295" s="23">
        <v>0.21249999999999999</v>
      </c>
      <c r="BC295" s="23">
        <v>0</v>
      </c>
      <c r="BD295" s="20">
        <v>0.79</v>
      </c>
      <c r="BE295" s="20">
        <v>3.44</v>
      </c>
      <c r="BF295" s="20">
        <v>2.65</v>
      </c>
      <c r="BG295" s="20">
        <v>2.5939999999999999</v>
      </c>
      <c r="BH295">
        <v>2.5939999999999999</v>
      </c>
      <c r="BI295">
        <v>5.870297050914334</v>
      </c>
      <c r="BJ295" s="64"/>
      <c r="BK295" s="64"/>
      <c r="BL295" s="64"/>
      <c r="BM295">
        <v>5.0758522673197588E-2</v>
      </c>
      <c r="BQ295">
        <v>0.1015170453463952</v>
      </c>
      <c r="BR295">
        <v>5.0758522673197588E-2</v>
      </c>
      <c r="BS295">
        <v>0</v>
      </c>
      <c r="BT295" s="68" t="s">
        <v>1264</v>
      </c>
      <c r="BU295" s="68">
        <v>1573</v>
      </c>
      <c r="BV295" s="68">
        <v>10</v>
      </c>
      <c r="BX295" s="68" t="s">
        <v>1268</v>
      </c>
      <c r="BY295" s="68" t="s">
        <v>863</v>
      </c>
      <c r="BZ295" s="68">
        <v>0.5</v>
      </c>
      <c r="CA295" s="68">
        <v>6.1</v>
      </c>
      <c r="CB295" s="68">
        <v>1.35</v>
      </c>
      <c r="CC295" s="68">
        <v>13.3</v>
      </c>
      <c r="CD295" s="68" t="s">
        <v>464</v>
      </c>
      <c r="CE295" s="68" t="s">
        <v>464</v>
      </c>
      <c r="CF295" s="68" t="s">
        <v>1266</v>
      </c>
      <c r="CG295" s="68">
        <v>400</v>
      </c>
      <c r="CI295" s="68" t="s">
        <v>1310</v>
      </c>
      <c r="CK295" s="70">
        <v>1242</v>
      </c>
    </row>
    <row r="296" spans="1:89" x14ac:dyDescent="0.3">
      <c r="A296" s="4" t="s">
        <v>167</v>
      </c>
      <c r="B296" t="s">
        <v>153</v>
      </c>
      <c r="C296" t="s">
        <v>4076</v>
      </c>
      <c r="D296" s="29"/>
      <c r="E296" s="4">
        <v>3.49</v>
      </c>
      <c r="F296" s="4" t="s">
        <v>164</v>
      </c>
      <c r="G296" s="30">
        <v>-2</v>
      </c>
      <c r="H296" s="4">
        <v>-1</v>
      </c>
      <c r="I296" s="4"/>
      <c r="J296" s="4"/>
      <c r="K296" s="4"/>
      <c r="L296" s="4"/>
      <c r="M296" t="b">
        <v>0</v>
      </c>
      <c r="N296" t="b">
        <v>0</v>
      </c>
      <c r="O296" t="b">
        <v>0</v>
      </c>
      <c r="P296" t="b">
        <v>1</v>
      </c>
      <c r="Q296">
        <v>-2</v>
      </c>
      <c r="R296">
        <v>-1</v>
      </c>
      <c r="T296" s="4"/>
      <c r="U296" s="31">
        <v>0</v>
      </c>
      <c r="V296">
        <v>0</v>
      </c>
      <c r="W296">
        <v>0</v>
      </c>
      <c r="X296" s="4"/>
      <c r="Y296" s="4"/>
      <c r="Z296" s="4"/>
      <c r="AA296" s="4"/>
      <c r="AB296" s="4"/>
      <c r="AC296" s="31">
        <v>0</v>
      </c>
      <c r="AD296" s="31"/>
      <c r="AE296" s="31"/>
      <c r="AF296">
        <v>0</v>
      </c>
      <c r="AI296">
        <v>0</v>
      </c>
      <c r="AL296" s="4"/>
      <c r="AM296" s="4">
        <v>18</v>
      </c>
      <c r="AN296" s="44">
        <f t="shared" ref="AN296:AN402" si="40">X296*Y296*Z296</f>
        <v>0</v>
      </c>
      <c r="AO296" s="46">
        <v>0</v>
      </c>
      <c r="AP296" s="44">
        <v>0</v>
      </c>
      <c r="AQ296" s="44">
        <v>0</v>
      </c>
      <c r="AR296" s="41"/>
      <c r="AS296" s="40"/>
      <c r="AT296" s="41"/>
      <c r="AU296" s="41"/>
      <c r="AV296" s="4">
        <v>1.8</v>
      </c>
      <c r="AW296" s="4">
        <v>2.4</v>
      </c>
      <c r="AX296" s="4">
        <v>1.1333333333333331</v>
      </c>
      <c r="AY296" s="4">
        <v>0</v>
      </c>
      <c r="AZ296" s="4">
        <v>0.33750000000000002</v>
      </c>
      <c r="BA296" s="4">
        <v>0.45</v>
      </c>
      <c r="BB296" s="4">
        <v>0.21249999999999999</v>
      </c>
      <c r="BC296" s="4">
        <v>0</v>
      </c>
      <c r="BD296" s="31">
        <v>0.95</v>
      </c>
      <c r="BE296" s="31">
        <v>3.44</v>
      </c>
      <c r="BF296" s="31">
        <v>2.4900000000000002</v>
      </c>
      <c r="BG296" s="31">
        <v>2.6880000000000011</v>
      </c>
      <c r="BH296" s="4">
        <v>2.6880000000000002</v>
      </c>
      <c r="BI296" s="4">
        <v>6.2032136049900668</v>
      </c>
      <c r="BJ296" s="64"/>
      <c r="BK296" s="64"/>
      <c r="BL296" s="64"/>
      <c r="BQ296">
        <v>0</v>
      </c>
      <c r="BR296">
        <v>0</v>
      </c>
      <c r="BS296">
        <v>0</v>
      </c>
      <c r="BT296" s="68" t="s">
        <v>1264</v>
      </c>
      <c r="BU296" s="68">
        <v>1573</v>
      </c>
      <c r="BV296" s="68">
        <v>10</v>
      </c>
      <c r="BX296" s="68" t="s">
        <v>1268</v>
      </c>
      <c r="BY296" s="68" t="s">
        <v>863</v>
      </c>
      <c r="BZ296" s="68">
        <v>0.5</v>
      </c>
      <c r="CA296" s="68">
        <v>26.7</v>
      </c>
      <c r="CB296" s="68">
        <v>1.35</v>
      </c>
      <c r="CC296" s="68">
        <v>13.3</v>
      </c>
      <c r="CD296" s="68" t="s">
        <v>464</v>
      </c>
      <c r="CE296" s="68" t="s">
        <v>464</v>
      </c>
      <c r="CF296" s="68" t="s">
        <v>1266</v>
      </c>
      <c r="CG296" s="68">
        <v>400</v>
      </c>
      <c r="CI296" s="68" t="s">
        <v>1310</v>
      </c>
      <c r="CK296" s="70">
        <v>15000</v>
      </c>
    </row>
    <row r="297" spans="1:89" x14ac:dyDescent="0.3">
      <c r="A297" t="s">
        <v>165</v>
      </c>
      <c r="C297" t="s">
        <v>4074</v>
      </c>
      <c r="D297" s="12"/>
      <c r="E297">
        <v>2.84</v>
      </c>
      <c r="F297" t="s">
        <v>164</v>
      </c>
      <c r="G297" s="8">
        <v>-1</v>
      </c>
      <c r="H297">
        <v>-1</v>
      </c>
      <c r="M297" t="b">
        <v>0</v>
      </c>
      <c r="N297" t="b">
        <v>0</v>
      </c>
      <c r="O297" t="b">
        <v>0</v>
      </c>
      <c r="P297" t="b">
        <v>1</v>
      </c>
      <c r="Q297">
        <v>-1</v>
      </c>
      <c r="R297">
        <v>-1</v>
      </c>
      <c r="U297" s="20">
        <v>0</v>
      </c>
      <c r="V297">
        <v>0</v>
      </c>
      <c r="W297">
        <v>0</v>
      </c>
      <c r="AC297" s="20">
        <v>0</v>
      </c>
      <c r="AD297" s="20"/>
      <c r="AE297" s="20"/>
      <c r="AF297">
        <v>0</v>
      </c>
      <c r="AI297">
        <v>0</v>
      </c>
      <c r="AM297">
        <v>18</v>
      </c>
      <c r="AN297" s="44">
        <f t="shared" si="40"/>
        <v>0</v>
      </c>
      <c r="AO297" s="46">
        <v>0</v>
      </c>
      <c r="AP297" s="44">
        <v>0</v>
      </c>
      <c r="AQ297" s="44">
        <v>0</v>
      </c>
      <c r="AR297" s="41" t="e">
        <f t="shared" ref="AR297:AR298" si="41">T297*AM297/AN297</f>
        <v>#DIV/0!</v>
      </c>
      <c r="AS297" s="40"/>
      <c r="AT297" s="41"/>
      <c r="AU297" s="41"/>
      <c r="AV297" s="23">
        <v>1.8</v>
      </c>
      <c r="AW297" s="23">
        <v>2.4</v>
      </c>
      <c r="AX297" s="23">
        <v>1.1333333333333331</v>
      </c>
      <c r="AY297" s="23">
        <v>0</v>
      </c>
      <c r="AZ297" s="23">
        <v>0.33750000000000002</v>
      </c>
      <c r="BA297" s="23">
        <v>0.45</v>
      </c>
      <c r="BB297" s="23">
        <v>0.21249999999999999</v>
      </c>
      <c r="BC297" s="23">
        <v>0</v>
      </c>
      <c r="BD297" s="20">
        <v>0.93</v>
      </c>
      <c r="BE297" s="20">
        <v>3.44</v>
      </c>
      <c r="BF297" s="20">
        <v>2.5099999999999998</v>
      </c>
      <c r="BG297" s="20">
        <v>2.6033333333333331</v>
      </c>
      <c r="BH297">
        <v>2.6033333333333331</v>
      </c>
      <c r="BI297">
        <v>5.9143459586666669</v>
      </c>
      <c r="BJ297" s="64"/>
      <c r="BK297" s="64"/>
      <c r="BL297" s="64"/>
      <c r="BM297">
        <v>5.0758522673197588E-2</v>
      </c>
      <c r="BQ297">
        <v>0.1015170453463952</v>
      </c>
      <c r="BR297">
        <v>5.0758522673197588E-2</v>
      </c>
      <c r="BS297">
        <v>0</v>
      </c>
      <c r="BT297" s="68" t="s">
        <v>1264</v>
      </c>
      <c r="BU297" s="68">
        <v>1573</v>
      </c>
      <c r="BV297" s="68">
        <v>10</v>
      </c>
      <c r="BX297" s="68" t="s">
        <v>1268</v>
      </c>
      <c r="BY297" s="68" t="s">
        <v>863</v>
      </c>
      <c r="BZ297" s="68">
        <v>0.5</v>
      </c>
      <c r="CA297" s="68">
        <v>1.3</v>
      </c>
      <c r="CB297" s="68">
        <v>1.35</v>
      </c>
      <c r="CC297" s="68">
        <v>13.3</v>
      </c>
      <c r="CD297" s="68" t="s">
        <v>464</v>
      </c>
      <c r="CE297" s="68" t="s">
        <v>464</v>
      </c>
      <c r="CF297" s="68" t="s">
        <v>1271</v>
      </c>
      <c r="CG297" s="68">
        <v>300</v>
      </c>
      <c r="CH297" s="68">
        <v>420</v>
      </c>
      <c r="CI297" s="68" t="s">
        <v>1310</v>
      </c>
      <c r="CK297" s="70">
        <v>0</v>
      </c>
    </row>
    <row r="298" spans="1:89" x14ac:dyDescent="0.3">
      <c r="A298" t="s">
        <v>166</v>
      </c>
      <c r="C298" t="s">
        <v>4075</v>
      </c>
      <c r="D298" s="12"/>
      <c r="E298">
        <v>3.48</v>
      </c>
      <c r="F298" t="s">
        <v>164</v>
      </c>
      <c r="G298" s="8">
        <v>-1</v>
      </c>
      <c r="H298">
        <v>-1</v>
      </c>
      <c r="M298" t="b">
        <v>0</v>
      </c>
      <c r="N298" t="b">
        <v>0</v>
      </c>
      <c r="O298" t="b">
        <v>0</v>
      </c>
      <c r="P298" t="b">
        <v>1</v>
      </c>
      <c r="Q298">
        <v>-1</v>
      </c>
      <c r="R298">
        <v>-1</v>
      </c>
      <c r="T298">
        <v>2</v>
      </c>
      <c r="U298" s="20">
        <v>0</v>
      </c>
      <c r="V298">
        <v>0</v>
      </c>
      <c r="W298">
        <v>0</v>
      </c>
      <c r="X298">
        <v>3.97</v>
      </c>
      <c r="Y298">
        <v>3.97</v>
      </c>
      <c r="Z298">
        <v>22.5</v>
      </c>
      <c r="AB298">
        <v>11.25</v>
      </c>
      <c r="AC298" s="20">
        <v>0</v>
      </c>
      <c r="AD298" s="20"/>
      <c r="AE298" s="20"/>
      <c r="AF298">
        <v>0</v>
      </c>
      <c r="AI298">
        <v>0</v>
      </c>
      <c r="AL298">
        <v>3</v>
      </c>
      <c r="AM298">
        <v>18</v>
      </c>
      <c r="AN298" s="44">
        <f t="shared" si="40"/>
        <v>354.62025000000006</v>
      </c>
      <c r="AO298" s="46">
        <v>0</v>
      </c>
      <c r="AP298" s="44">
        <v>0</v>
      </c>
      <c r="AQ298" s="44">
        <v>0</v>
      </c>
      <c r="AR298" s="41">
        <f t="shared" si="41"/>
        <v>0.10151704534639518</v>
      </c>
      <c r="AS298" s="40"/>
      <c r="AT298" s="41"/>
      <c r="AU298" s="41"/>
      <c r="AV298" s="23">
        <v>1.8</v>
      </c>
      <c r="AW298" s="23">
        <v>2.4</v>
      </c>
      <c r="AX298" s="23">
        <v>1.1333333333333331</v>
      </c>
      <c r="AY298" s="23">
        <v>0</v>
      </c>
      <c r="AZ298" s="23">
        <v>0.33750000000000002</v>
      </c>
      <c r="BA298" s="23">
        <v>0.45</v>
      </c>
      <c r="BB298" s="23">
        <v>0.21249999999999999</v>
      </c>
      <c r="BC298" s="23">
        <v>0</v>
      </c>
      <c r="BD298" s="20">
        <v>0.79</v>
      </c>
      <c r="BE298" s="20">
        <v>3.44</v>
      </c>
      <c r="BF298" s="20">
        <v>2.65</v>
      </c>
      <c r="BG298" s="20">
        <v>2.5939999999999999</v>
      </c>
      <c r="BH298">
        <v>2.5939999999999999</v>
      </c>
      <c r="BI298">
        <v>5.870297050914334</v>
      </c>
      <c r="BJ298" s="64"/>
      <c r="BK298" s="64"/>
      <c r="BL298" s="64"/>
      <c r="BM298">
        <v>5.0758522673197588E-2</v>
      </c>
      <c r="BQ298">
        <v>0.1015170453463952</v>
      </c>
      <c r="BR298">
        <v>5.0758522673197588E-2</v>
      </c>
      <c r="BS298">
        <v>0</v>
      </c>
      <c r="BT298" s="68" t="s">
        <v>1264</v>
      </c>
      <c r="BU298" s="68">
        <v>1573</v>
      </c>
      <c r="BV298" s="68">
        <v>10</v>
      </c>
      <c r="BX298" s="68" t="s">
        <v>1268</v>
      </c>
      <c r="BY298" s="68" t="s">
        <v>863</v>
      </c>
      <c r="BZ298" s="68">
        <v>0.5</v>
      </c>
      <c r="CA298" s="68">
        <v>6.1</v>
      </c>
      <c r="CB298" s="68">
        <v>1.35</v>
      </c>
      <c r="CC298" s="68">
        <v>13.3</v>
      </c>
      <c r="CD298" s="68" t="s">
        <v>464</v>
      </c>
      <c r="CE298" s="68" t="s">
        <v>464</v>
      </c>
      <c r="CF298" s="68" t="s">
        <v>1271</v>
      </c>
      <c r="CG298" s="68">
        <v>300</v>
      </c>
      <c r="CH298" s="68">
        <v>420</v>
      </c>
      <c r="CI298" s="68" t="s">
        <v>1310</v>
      </c>
      <c r="CK298" s="70">
        <v>0.6</v>
      </c>
    </row>
    <row r="299" spans="1:89" x14ac:dyDescent="0.3">
      <c r="A299" s="4" t="s">
        <v>167</v>
      </c>
      <c r="B299" t="s">
        <v>153</v>
      </c>
      <c r="C299" t="s">
        <v>4076</v>
      </c>
      <c r="D299" s="29"/>
      <c r="E299" s="4">
        <v>3.49</v>
      </c>
      <c r="F299" s="4" t="s">
        <v>164</v>
      </c>
      <c r="G299" s="30">
        <v>-2</v>
      </c>
      <c r="H299" s="4">
        <v>-1</v>
      </c>
      <c r="I299" s="4"/>
      <c r="J299" s="4"/>
      <c r="K299" s="4"/>
      <c r="L299" s="4"/>
      <c r="M299" t="b">
        <v>0</v>
      </c>
      <c r="N299" t="b">
        <v>0</v>
      </c>
      <c r="O299" t="b">
        <v>0</v>
      </c>
      <c r="P299" t="b">
        <v>1</v>
      </c>
      <c r="Q299">
        <v>-2</v>
      </c>
      <c r="R299">
        <v>-1</v>
      </c>
      <c r="T299" s="4"/>
      <c r="U299" s="31">
        <v>0</v>
      </c>
      <c r="V299">
        <v>0</v>
      </c>
      <c r="W299">
        <v>0</v>
      </c>
      <c r="X299" s="4"/>
      <c r="Y299" s="4"/>
      <c r="Z299" s="4"/>
      <c r="AA299" s="4"/>
      <c r="AB299" s="4"/>
      <c r="AC299" s="31">
        <v>0</v>
      </c>
      <c r="AD299" s="31"/>
      <c r="AE299" s="31"/>
      <c r="AF299">
        <v>0</v>
      </c>
      <c r="AI299">
        <v>0</v>
      </c>
      <c r="AL299" s="4"/>
      <c r="AM299" s="4">
        <v>18</v>
      </c>
      <c r="AN299" s="44">
        <f t="shared" ref="AN299" si="42">X299*Y299*Z299</f>
        <v>0</v>
      </c>
      <c r="AO299" s="46">
        <v>0</v>
      </c>
      <c r="AP299" s="44">
        <v>0</v>
      </c>
      <c r="AQ299" s="44">
        <v>0</v>
      </c>
      <c r="AR299" s="41"/>
      <c r="AS299" s="40"/>
      <c r="AT299" s="41"/>
      <c r="AU299" s="41"/>
      <c r="AV299" s="4">
        <v>1.8</v>
      </c>
      <c r="AW299" s="4">
        <v>2.4</v>
      </c>
      <c r="AX299" s="4">
        <v>1.1333333333333331</v>
      </c>
      <c r="AY299" s="4">
        <v>0</v>
      </c>
      <c r="AZ299" s="4">
        <v>0.33750000000000002</v>
      </c>
      <c r="BA299" s="4">
        <v>0.45</v>
      </c>
      <c r="BB299" s="4">
        <v>0.21249999999999999</v>
      </c>
      <c r="BC299" s="4">
        <v>0</v>
      </c>
      <c r="BD299" s="31">
        <v>0.95</v>
      </c>
      <c r="BE299" s="31">
        <v>3.44</v>
      </c>
      <c r="BF299" s="31">
        <v>2.4900000000000002</v>
      </c>
      <c r="BG299" s="31">
        <v>2.6880000000000011</v>
      </c>
      <c r="BH299" s="4">
        <v>2.6880000000000002</v>
      </c>
      <c r="BI299" s="4">
        <v>6.2032136049900668</v>
      </c>
      <c r="BJ299" s="64"/>
      <c r="BK299" s="64"/>
      <c r="BL299" s="64"/>
      <c r="BQ299">
        <v>0</v>
      </c>
      <c r="BR299">
        <v>0</v>
      </c>
      <c r="BS299">
        <v>0</v>
      </c>
      <c r="BT299" s="68" t="s">
        <v>1264</v>
      </c>
      <c r="BU299" s="68">
        <v>1573</v>
      </c>
      <c r="BV299" s="68">
        <v>10</v>
      </c>
      <c r="BX299" s="68" t="s">
        <v>1268</v>
      </c>
      <c r="BY299" s="68" t="s">
        <v>863</v>
      </c>
      <c r="BZ299" s="68">
        <v>0.5</v>
      </c>
      <c r="CA299" s="68">
        <v>26.7</v>
      </c>
      <c r="CB299" s="68">
        <v>1.35</v>
      </c>
      <c r="CC299" s="68">
        <v>13.3</v>
      </c>
      <c r="CD299" s="68" t="s">
        <v>464</v>
      </c>
      <c r="CE299" s="68" t="s">
        <v>464</v>
      </c>
      <c r="CF299" s="68" t="s">
        <v>1271</v>
      </c>
      <c r="CG299" s="68">
        <v>300</v>
      </c>
      <c r="CH299" s="68">
        <v>420</v>
      </c>
      <c r="CI299" s="68" t="s">
        <v>1310</v>
      </c>
      <c r="CK299" s="70">
        <v>3</v>
      </c>
    </row>
    <row r="300" spans="1:89" x14ac:dyDescent="0.3">
      <c r="A300" t="s">
        <v>63</v>
      </c>
      <c r="B300" t="s">
        <v>4</v>
      </c>
      <c r="C300" t="s">
        <v>3928</v>
      </c>
      <c r="D300" s="12"/>
      <c r="E300">
        <v>3.75</v>
      </c>
      <c r="F300" t="s">
        <v>168</v>
      </c>
      <c r="G300" s="101" t="s">
        <v>601</v>
      </c>
      <c r="H300" s="1" t="s">
        <v>672</v>
      </c>
      <c r="J300" t="s">
        <v>1801</v>
      </c>
      <c r="M300" t="b">
        <v>1</v>
      </c>
      <c r="N300" t="b">
        <v>0</v>
      </c>
      <c r="O300" t="b">
        <v>0</v>
      </c>
      <c r="P300" t="b">
        <v>0</v>
      </c>
      <c r="Q300" t="s">
        <v>1992</v>
      </c>
      <c r="R300" t="s">
        <v>672</v>
      </c>
      <c r="T300">
        <v>2</v>
      </c>
      <c r="U300" s="20">
        <v>0</v>
      </c>
      <c r="V300">
        <v>0</v>
      </c>
      <c r="W300">
        <v>0</v>
      </c>
      <c r="X300">
        <v>3.8530000000000002</v>
      </c>
      <c r="Y300">
        <v>3.8530000000000002</v>
      </c>
      <c r="Z300">
        <v>29</v>
      </c>
      <c r="AB300">
        <v>14.5</v>
      </c>
      <c r="AC300" s="20">
        <v>0</v>
      </c>
      <c r="AD300" s="20"/>
      <c r="AE300" s="20"/>
      <c r="AF300">
        <v>0</v>
      </c>
      <c r="AI300">
        <v>0</v>
      </c>
      <c r="AL300">
        <v>3</v>
      </c>
      <c r="AM300">
        <v>20</v>
      </c>
      <c r="AN300" s="44">
        <f t="shared" si="40"/>
        <v>430.52266100000003</v>
      </c>
      <c r="AO300" s="46">
        <v>0</v>
      </c>
      <c r="AP300" s="44">
        <v>0</v>
      </c>
      <c r="AQ300" s="44">
        <v>0</v>
      </c>
      <c r="AR300" s="41">
        <f t="shared" si="37"/>
        <v>9.2910324179195758E-2</v>
      </c>
      <c r="AS300" s="40"/>
      <c r="AT300" s="41"/>
      <c r="AU300" s="41"/>
      <c r="AV300" s="23">
        <v>1.75</v>
      </c>
      <c r="AW300" s="23">
        <v>2.5</v>
      </c>
      <c r="AX300" s="23">
        <v>0.75</v>
      </c>
      <c r="AY300" s="23">
        <v>0</v>
      </c>
      <c r="AZ300" s="23">
        <v>0.35</v>
      </c>
      <c r="BA300" s="23">
        <v>0.5</v>
      </c>
      <c r="BB300" s="23">
        <v>0.15</v>
      </c>
      <c r="BC300" s="23">
        <v>0</v>
      </c>
      <c r="BD300" s="20">
        <v>1</v>
      </c>
      <c r="BE300" s="20">
        <v>3.44</v>
      </c>
      <c r="BF300" s="20">
        <v>2.44</v>
      </c>
      <c r="BG300" s="20">
        <v>2.7124999999999999</v>
      </c>
      <c r="BH300">
        <v>2.7124999999999999</v>
      </c>
      <c r="BI300">
        <v>6.264025610615688</v>
      </c>
      <c r="BJ300" s="64"/>
      <c r="BK300" s="64"/>
      <c r="BL300" s="64"/>
      <c r="BM300">
        <v>4.6455162089597879E-2</v>
      </c>
      <c r="BQ300">
        <v>9.2910324179195758E-2</v>
      </c>
      <c r="BR300">
        <v>4.6455162089597879E-2</v>
      </c>
      <c r="BS300">
        <v>0</v>
      </c>
      <c r="BT300" s="68" t="s">
        <v>1264</v>
      </c>
      <c r="BU300" s="68">
        <f>1150+273</f>
        <v>1423</v>
      </c>
      <c r="BV300" s="68">
        <v>24</v>
      </c>
      <c r="BX300" s="68" t="s">
        <v>464</v>
      </c>
      <c r="BY300" s="68" t="s">
        <v>464</v>
      </c>
      <c r="BZ300" s="68">
        <v>0</v>
      </c>
      <c r="CA300" s="68">
        <v>2.83</v>
      </c>
      <c r="CB300" s="68">
        <v>2</v>
      </c>
      <c r="CC300" s="68">
        <v>10</v>
      </c>
      <c r="CD300" s="68" t="s">
        <v>464</v>
      </c>
      <c r="CE300" s="68" t="s">
        <v>464</v>
      </c>
      <c r="CF300" s="68" t="s">
        <v>1266</v>
      </c>
      <c r="CG300" s="68">
        <v>100</v>
      </c>
      <c r="CH300" s="68">
        <v>290</v>
      </c>
      <c r="CI300" s="68" t="s">
        <v>1310</v>
      </c>
      <c r="CJ300" s="68">
        <f>273+60</f>
        <v>333</v>
      </c>
      <c r="CK300" s="70">
        <v>928</v>
      </c>
    </row>
    <row r="301" spans="1:89" x14ac:dyDescent="0.3">
      <c r="A301" t="s">
        <v>232</v>
      </c>
      <c r="B301" t="s">
        <v>4</v>
      </c>
      <c r="C301" t="s">
        <v>4077</v>
      </c>
      <c r="D301" s="12"/>
      <c r="E301">
        <v>3.86</v>
      </c>
      <c r="F301" t="s">
        <v>168</v>
      </c>
      <c r="G301" s="25" t="s">
        <v>601</v>
      </c>
      <c r="H301" s="1" t="s">
        <v>672</v>
      </c>
      <c r="J301" t="s">
        <v>1802</v>
      </c>
      <c r="M301" t="b">
        <v>1</v>
      </c>
      <c r="N301" t="b">
        <v>0</v>
      </c>
      <c r="O301" t="b">
        <v>0</v>
      </c>
      <c r="P301" t="b">
        <v>0</v>
      </c>
      <c r="Q301" t="s">
        <v>1993</v>
      </c>
      <c r="R301" t="s">
        <v>672</v>
      </c>
      <c r="T301">
        <v>2</v>
      </c>
      <c r="U301" s="20">
        <v>0</v>
      </c>
      <c r="V301">
        <v>0</v>
      </c>
      <c r="W301">
        <v>0</v>
      </c>
      <c r="X301">
        <v>3.8530000000000002</v>
      </c>
      <c r="Y301">
        <v>3.8530000000000002</v>
      </c>
      <c r="Z301">
        <v>31.24</v>
      </c>
      <c r="AB301">
        <v>15.62</v>
      </c>
      <c r="AC301" s="20">
        <v>0</v>
      </c>
      <c r="AD301" s="20"/>
      <c r="AE301" s="20"/>
      <c r="AF301">
        <v>0</v>
      </c>
      <c r="AI301">
        <v>0</v>
      </c>
      <c r="AL301">
        <v>3</v>
      </c>
      <c r="AM301">
        <v>20</v>
      </c>
      <c r="AN301" s="44">
        <f t="shared" si="40"/>
        <v>463.77682516000004</v>
      </c>
      <c r="AO301" s="46">
        <v>0</v>
      </c>
      <c r="AP301" s="44">
        <v>0</v>
      </c>
      <c r="AQ301" s="44">
        <v>0</v>
      </c>
      <c r="AR301" s="41">
        <f t="shared" si="37"/>
        <v>8.6248380319996057E-2</v>
      </c>
      <c r="AS301" s="40"/>
      <c r="AT301" s="41"/>
      <c r="AU301" s="41"/>
      <c r="AV301" s="23">
        <v>1.8125</v>
      </c>
      <c r="AW301" s="23">
        <v>2.5</v>
      </c>
      <c r="AX301" s="23">
        <v>0.6875</v>
      </c>
      <c r="AY301" s="23">
        <v>0.875</v>
      </c>
      <c r="AZ301" s="23">
        <v>0.30851063829787229</v>
      </c>
      <c r="BA301" s="23">
        <v>0.42553191489361702</v>
      </c>
      <c r="BB301" s="23">
        <v>0.1170212765957447</v>
      </c>
      <c r="BC301" s="23">
        <v>0.14893617021276601</v>
      </c>
      <c r="BD301" s="20">
        <v>1</v>
      </c>
      <c r="BE301" s="20">
        <v>3.44</v>
      </c>
      <c r="BF301" s="20">
        <v>2.44</v>
      </c>
      <c r="BG301" s="20">
        <v>2.7062499999999998</v>
      </c>
      <c r="BH301">
        <v>2.7062499999999998</v>
      </c>
      <c r="BI301">
        <v>6.2701641731156874</v>
      </c>
      <c r="BJ301" s="64"/>
      <c r="BK301" s="64"/>
      <c r="BL301" s="64"/>
      <c r="BM301">
        <v>4.3124190159998028E-2</v>
      </c>
      <c r="BQ301">
        <v>8.6248380319996057E-2</v>
      </c>
      <c r="BR301">
        <v>4.3124190159998028E-2</v>
      </c>
      <c r="BS301">
        <v>0</v>
      </c>
      <c r="BT301" s="68" t="s">
        <v>1264</v>
      </c>
      <c r="BU301" s="68">
        <f>1150+273</f>
        <v>1423</v>
      </c>
      <c r="BV301" s="68">
        <v>24</v>
      </c>
      <c r="BX301" s="68" t="s">
        <v>464</v>
      </c>
      <c r="BY301" s="68" t="s">
        <v>464</v>
      </c>
      <c r="BZ301" s="68">
        <v>0</v>
      </c>
      <c r="CA301" s="68">
        <v>6.46</v>
      </c>
      <c r="CB301" s="68">
        <v>2</v>
      </c>
      <c r="CC301" s="68">
        <v>10</v>
      </c>
      <c r="CD301" s="68" t="s">
        <v>464</v>
      </c>
      <c r="CE301" s="68" t="s">
        <v>464</v>
      </c>
      <c r="CF301" s="68" t="s">
        <v>1266</v>
      </c>
      <c r="CG301" s="68">
        <v>100</v>
      </c>
      <c r="CH301" s="68">
        <v>290</v>
      </c>
      <c r="CI301" s="68" t="s">
        <v>1310</v>
      </c>
      <c r="CJ301" s="68">
        <f>273+60</f>
        <v>333</v>
      </c>
      <c r="CK301" s="70">
        <v>8500</v>
      </c>
    </row>
    <row r="302" spans="1:89" x14ac:dyDescent="0.3">
      <c r="A302" t="s">
        <v>1220</v>
      </c>
      <c r="B302" t="s">
        <v>4</v>
      </c>
      <c r="C302" t="s">
        <v>4078</v>
      </c>
      <c r="D302" s="12"/>
      <c r="E302">
        <v>4.01</v>
      </c>
      <c r="F302" t="s">
        <v>168</v>
      </c>
      <c r="G302" s="25" t="s">
        <v>601</v>
      </c>
      <c r="H302" s="1" t="s">
        <v>672</v>
      </c>
      <c r="J302" t="s">
        <v>1803</v>
      </c>
      <c r="M302" t="b">
        <v>1</v>
      </c>
      <c r="N302" t="b">
        <v>0</v>
      </c>
      <c r="O302" t="b">
        <v>0</v>
      </c>
      <c r="P302" t="b">
        <v>0</v>
      </c>
      <c r="Q302" t="s">
        <v>1995</v>
      </c>
      <c r="R302" t="s">
        <v>672</v>
      </c>
      <c r="T302">
        <v>2</v>
      </c>
      <c r="U302" s="20">
        <v>0</v>
      </c>
      <c r="V302">
        <v>0</v>
      </c>
      <c r="W302">
        <v>0</v>
      </c>
      <c r="X302">
        <v>3.8530000000000002</v>
      </c>
      <c r="Y302">
        <v>3.8530000000000002</v>
      </c>
      <c r="Z302">
        <v>31.54</v>
      </c>
      <c r="AB302">
        <v>15.77</v>
      </c>
      <c r="AC302" s="20">
        <v>0</v>
      </c>
      <c r="AD302" s="20"/>
      <c r="AE302" s="20"/>
      <c r="AF302">
        <v>0</v>
      </c>
      <c r="AI302">
        <v>0</v>
      </c>
      <c r="AL302">
        <v>3</v>
      </c>
      <c r="AM302">
        <v>20</v>
      </c>
      <c r="AN302" s="44">
        <f t="shared" si="40"/>
        <v>468.23050786000005</v>
      </c>
      <c r="AO302" s="46">
        <v>0</v>
      </c>
      <c r="AP302" s="44">
        <v>0</v>
      </c>
      <c r="AQ302" s="44">
        <v>0</v>
      </c>
      <c r="AR302" s="41">
        <f t="shared" si="37"/>
        <v>8.5428008915557282E-2</v>
      </c>
      <c r="AS302" s="40"/>
      <c r="AT302" s="41"/>
      <c r="AU302" s="41"/>
      <c r="AV302" s="23">
        <v>1.84375</v>
      </c>
      <c r="AW302" s="23">
        <v>2.5</v>
      </c>
      <c r="AX302" s="23">
        <v>0.65625</v>
      </c>
      <c r="AY302" s="23">
        <v>1.3125</v>
      </c>
      <c r="AZ302" s="23">
        <v>0.29207920792079212</v>
      </c>
      <c r="BA302" s="23">
        <v>0.39603960396039611</v>
      </c>
      <c r="BB302" s="23">
        <v>0.103960396039604</v>
      </c>
      <c r="BC302" s="23">
        <v>0.20792079207920791</v>
      </c>
      <c r="BD302" s="20">
        <v>1</v>
      </c>
      <c r="BE302" s="20">
        <v>3.44</v>
      </c>
      <c r="BF302" s="20">
        <v>2.44</v>
      </c>
      <c r="BG302" s="20">
        <v>2.703125</v>
      </c>
      <c r="BH302">
        <v>2.703125</v>
      </c>
      <c r="BI302">
        <v>6.2732334543656876</v>
      </c>
      <c r="BJ302" s="64"/>
      <c r="BK302" s="64"/>
      <c r="BL302" s="64"/>
      <c r="BM302">
        <v>4.2714004457778641E-2</v>
      </c>
      <c r="BQ302">
        <v>8.5428008915557282E-2</v>
      </c>
      <c r="BR302">
        <v>4.2714004457778641E-2</v>
      </c>
      <c r="BS302">
        <v>0</v>
      </c>
      <c r="BT302" s="68" t="s">
        <v>1264</v>
      </c>
      <c r="BU302" s="68">
        <f>1150+273</f>
        <v>1423</v>
      </c>
      <c r="BV302" s="68">
        <v>24</v>
      </c>
      <c r="BX302" s="68" t="s">
        <v>464</v>
      </c>
      <c r="BY302" s="68" t="s">
        <v>464</v>
      </c>
      <c r="BZ302" s="68">
        <v>0</v>
      </c>
      <c r="CA302" s="68">
        <v>6.64</v>
      </c>
      <c r="CB302" s="68">
        <v>2</v>
      </c>
      <c r="CC302" s="68">
        <v>10</v>
      </c>
      <c r="CD302" s="68" t="s">
        <v>464</v>
      </c>
      <c r="CE302" s="68" t="s">
        <v>464</v>
      </c>
      <c r="CF302" s="68" t="s">
        <v>1266</v>
      </c>
      <c r="CG302" s="68">
        <v>100</v>
      </c>
      <c r="CH302" s="68">
        <v>290</v>
      </c>
      <c r="CI302" s="68" t="s">
        <v>1310</v>
      </c>
      <c r="CJ302" s="68">
        <f>273+60</f>
        <v>333</v>
      </c>
      <c r="CK302" s="70">
        <v>4016</v>
      </c>
    </row>
    <row r="303" spans="1:89" x14ac:dyDescent="0.3">
      <c r="A303" t="s">
        <v>1221</v>
      </c>
      <c r="B303" t="s">
        <v>4</v>
      </c>
      <c r="C303" t="s">
        <v>4079</v>
      </c>
      <c r="D303" s="12"/>
      <c r="E303">
        <v>4.16</v>
      </c>
      <c r="F303" t="s">
        <v>168</v>
      </c>
      <c r="G303" s="25" t="s">
        <v>601</v>
      </c>
      <c r="H303" s="1" t="s">
        <v>672</v>
      </c>
      <c r="J303" t="s">
        <v>1804</v>
      </c>
      <c r="M303" t="b">
        <v>1</v>
      </c>
      <c r="N303" t="b">
        <v>0</v>
      </c>
      <c r="O303" t="b">
        <v>0</v>
      </c>
      <c r="P303" t="b">
        <v>0</v>
      </c>
      <c r="Q303" t="s">
        <v>1996</v>
      </c>
      <c r="R303" t="s">
        <v>672</v>
      </c>
      <c r="T303">
        <v>2</v>
      </c>
      <c r="U303" s="20">
        <v>0</v>
      </c>
      <c r="V303">
        <v>0</v>
      </c>
      <c r="W303">
        <v>0</v>
      </c>
      <c r="X303">
        <v>3.8530000000000002</v>
      </c>
      <c r="Y303">
        <v>3.8530000000000002</v>
      </c>
      <c r="Z303">
        <v>32.4</v>
      </c>
      <c r="AB303">
        <v>16.2</v>
      </c>
      <c r="AC303" s="20">
        <v>0</v>
      </c>
      <c r="AD303" s="20"/>
      <c r="AE303" s="20"/>
      <c r="AF303">
        <v>0</v>
      </c>
      <c r="AI303">
        <v>0</v>
      </c>
      <c r="AL303">
        <v>3</v>
      </c>
      <c r="AM303">
        <v>20</v>
      </c>
      <c r="AN303" s="44">
        <f t="shared" si="40"/>
        <v>480.99773160000001</v>
      </c>
      <c r="AO303" s="46">
        <v>0</v>
      </c>
      <c r="AP303" s="44">
        <v>0</v>
      </c>
      <c r="AQ303" s="44">
        <v>0</v>
      </c>
      <c r="AR303" s="41">
        <f t="shared" si="37"/>
        <v>8.3160475345576454E-2</v>
      </c>
      <c r="AS303" s="40"/>
      <c r="AT303" s="41"/>
      <c r="AU303" s="41"/>
      <c r="AV303" s="23">
        <v>1.875</v>
      </c>
      <c r="AW303" s="23">
        <v>2.5</v>
      </c>
      <c r="AX303" s="23">
        <v>0.625</v>
      </c>
      <c r="AY303" s="23">
        <v>1.75</v>
      </c>
      <c r="AZ303" s="23">
        <v>0.27777777777777779</v>
      </c>
      <c r="BA303" s="23">
        <v>0.37037037037037029</v>
      </c>
      <c r="BB303" s="23">
        <v>9.2592592592592587E-2</v>
      </c>
      <c r="BC303" s="23">
        <v>0.25925925925925919</v>
      </c>
      <c r="BD303" s="20">
        <v>1</v>
      </c>
      <c r="BE303" s="20">
        <v>3.44</v>
      </c>
      <c r="BF303" s="20">
        <v>2.44</v>
      </c>
      <c r="BG303" s="20">
        <v>2.7</v>
      </c>
      <c r="BH303">
        <v>2.7</v>
      </c>
      <c r="BI303">
        <v>6.2763027356156877</v>
      </c>
      <c r="BJ303" s="64"/>
      <c r="BK303" s="64"/>
      <c r="BL303" s="64"/>
      <c r="BM303">
        <v>4.1580237672788227E-2</v>
      </c>
      <c r="BQ303">
        <v>8.3160475345576454E-2</v>
      </c>
      <c r="BR303">
        <v>4.1580237672788227E-2</v>
      </c>
      <c r="BS303">
        <v>0</v>
      </c>
      <c r="BT303" s="68" t="s">
        <v>1264</v>
      </c>
      <c r="BU303" s="68">
        <f>1150+273</f>
        <v>1423</v>
      </c>
      <c r="BV303" s="68">
        <v>24</v>
      </c>
      <c r="BX303" s="68" t="s">
        <v>464</v>
      </c>
      <c r="BY303" s="68" t="s">
        <v>464</v>
      </c>
      <c r="BZ303" s="68">
        <v>0</v>
      </c>
      <c r="CA303" s="68">
        <v>5.75</v>
      </c>
      <c r="CB303" s="68">
        <v>2</v>
      </c>
      <c r="CC303" s="68">
        <v>10</v>
      </c>
      <c r="CD303" s="68" t="s">
        <v>464</v>
      </c>
      <c r="CE303" s="68" t="s">
        <v>464</v>
      </c>
      <c r="CF303" s="68" t="s">
        <v>1266</v>
      </c>
      <c r="CG303" s="68">
        <v>100</v>
      </c>
      <c r="CH303" s="68">
        <v>290</v>
      </c>
      <c r="CI303" s="68" t="s">
        <v>1310</v>
      </c>
      <c r="CJ303" s="68">
        <f>273+60</f>
        <v>333</v>
      </c>
      <c r="CK303" s="70">
        <v>3736</v>
      </c>
    </row>
    <row r="304" spans="1:89" x14ac:dyDescent="0.3">
      <c r="A304" t="s">
        <v>855</v>
      </c>
      <c r="B304" t="s">
        <v>4</v>
      </c>
      <c r="C304" t="s">
        <v>4080</v>
      </c>
      <c r="D304" s="12"/>
      <c r="E304">
        <v>4.59</v>
      </c>
      <c r="F304" t="s">
        <v>168</v>
      </c>
      <c r="G304" s="25" t="s">
        <v>601</v>
      </c>
      <c r="H304" s="1" t="s">
        <v>672</v>
      </c>
      <c r="J304" t="s">
        <v>1726</v>
      </c>
      <c r="M304" t="b">
        <v>1</v>
      </c>
      <c r="N304" t="b">
        <v>0</v>
      </c>
      <c r="O304" t="b">
        <v>0</v>
      </c>
      <c r="P304" t="b">
        <v>0</v>
      </c>
      <c r="Q304" t="s">
        <v>1997</v>
      </c>
      <c r="R304" t="s">
        <v>672</v>
      </c>
      <c r="T304">
        <v>2</v>
      </c>
      <c r="U304" s="20">
        <v>0</v>
      </c>
      <c r="V304">
        <v>0</v>
      </c>
      <c r="W304">
        <v>0</v>
      </c>
      <c r="X304">
        <v>3.8530000000000002</v>
      </c>
      <c r="Y304">
        <v>3.8530000000000002</v>
      </c>
      <c r="Z304">
        <v>32.64</v>
      </c>
      <c r="AA304" t="s">
        <v>496</v>
      </c>
      <c r="AB304">
        <v>16.32</v>
      </c>
      <c r="AC304" s="20">
        <v>0</v>
      </c>
      <c r="AD304" s="20"/>
      <c r="AE304" s="20"/>
      <c r="AF304">
        <v>0</v>
      </c>
      <c r="AI304">
        <v>0</v>
      </c>
      <c r="AL304">
        <v>3</v>
      </c>
      <c r="AM304">
        <v>20</v>
      </c>
      <c r="AN304" s="44">
        <f t="shared" si="40"/>
        <v>484.56067776000003</v>
      </c>
      <c r="AO304" s="46">
        <v>0</v>
      </c>
      <c r="AP304" s="44">
        <v>0</v>
      </c>
      <c r="AQ304" s="44">
        <v>0</v>
      </c>
      <c r="AR304" s="41">
        <f t="shared" si="37"/>
        <v>8.2549001262153088E-2</v>
      </c>
      <c r="AS304" s="40"/>
      <c r="AT304" s="41"/>
      <c r="AU304" s="41"/>
      <c r="AV304" s="23">
        <v>1.9375</v>
      </c>
      <c r="AW304" s="23">
        <v>2.5</v>
      </c>
      <c r="AX304" s="23">
        <v>0.5625</v>
      </c>
      <c r="AY304" s="23">
        <v>2.625</v>
      </c>
      <c r="AZ304" s="23">
        <v>0.25409836065573771</v>
      </c>
      <c r="BA304" s="23">
        <v>0.32786885245901642</v>
      </c>
      <c r="BB304" s="23">
        <v>7.3770491803278687E-2</v>
      </c>
      <c r="BC304" s="23">
        <v>0.34426229508196721</v>
      </c>
      <c r="BD304" s="20">
        <v>1</v>
      </c>
      <c r="BE304" s="20">
        <v>3.44</v>
      </c>
      <c r="BF304" s="20">
        <v>2.44</v>
      </c>
      <c r="BG304" s="20">
        <v>2.6937500000000001</v>
      </c>
      <c r="BH304">
        <v>2.6937500000000001</v>
      </c>
      <c r="BI304">
        <v>6.2824412981156881</v>
      </c>
      <c r="BJ304" s="64"/>
      <c r="BK304" s="64"/>
      <c r="BL304" s="64"/>
      <c r="BM304">
        <v>4.1274500631076537E-2</v>
      </c>
      <c r="BQ304">
        <v>8.2549001262153088E-2</v>
      </c>
      <c r="BR304">
        <v>4.1274500631076537E-2</v>
      </c>
      <c r="BS304">
        <v>0</v>
      </c>
      <c r="BT304" s="68" t="s">
        <v>1264</v>
      </c>
      <c r="BU304" s="68">
        <f>1150+273</f>
        <v>1423</v>
      </c>
      <c r="BV304" s="68">
        <v>24</v>
      </c>
      <c r="BX304" s="68" t="s">
        <v>464</v>
      </c>
      <c r="BY304" s="68" t="s">
        <v>464</v>
      </c>
      <c r="BZ304" s="68">
        <v>0</v>
      </c>
      <c r="CA304" s="68">
        <v>7.41</v>
      </c>
      <c r="CB304" s="68">
        <v>2</v>
      </c>
      <c r="CC304" s="68">
        <v>10</v>
      </c>
      <c r="CD304" s="68" t="s">
        <v>464</v>
      </c>
      <c r="CE304" s="68" t="s">
        <v>464</v>
      </c>
      <c r="CF304" s="68" t="s">
        <v>1266</v>
      </c>
      <c r="CG304" s="68">
        <v>100</v>
      </c>
      <c r="CH304" s="68">
        <v>290</v>
      </c>
      <c r="CI304" s="68" t="s">
        <v>1310</v>
      </c>
      <c r="CJ304" s="68">
        <f>273+60</f>
        <v>333</v>
      </c>
      <c r="CK304" s="70">
        <v>372</v>
      </c>
    </row>
    <row r="305" spans="1:89" x14ac:dyDescent="0.3">
      <c r="A305" t="s">
        <v>2</v>
      </c>
      <c r="B305" t="s">
        <v>153</v>
      </c>
      <c r="C305" t="s">
        <v>3919</v>
      </c>
      <c r="D305" s="12"/>
      <c r="E305">
        <v>3.3</v>
      </c>
      <c r="F305" t="s">
        <v>174</v>
      </c>
      <c r="G305" s="98" t="s">
        <v>525</v>
      </c>
      <c r="H305">
        <v>-1</v>
      </c>
      <c r="M305" t="b">
        <v>1</v>
      </c>
      <c r="N305" t="b">
        <v>0</v>
      </c>
      <c r="O305" t="b">
        <v>0</v>
      </c>
      <c r="P305" t="b">
        <v>0</v>
      </c>
      <c r="Q305" t="s">
        <v>525</v>
      </c>
      <c r="R305">
        <v>-1</v>
      </c>
      <c r="T305">
        <v>4</v>
      </c>
      <c r="U305" s="20">
        <v>2</v>
      </c>
      <c r="V305">
        <v>0</v>
      </c>
      <c r="W305">
        <v>0</v>
      </c>
      <c r="X305">
        <v>5.4763999999999999</v>
      </c>
      <c r="Y305">
        <v>5.1576000000000004</v>
      </c>
      <c r="Z305">
        <v>22.404199999999999</v>
      </c>
      <c r="AA305" t="s">
        <v>515</v>
      </c>
      <c r="AB305">
        <v>11.2021</v>
      </c>
      <c r="AC305" s="20">
        <v>11.92921406</v>
      </c>
      <c r="AD305" s="20">
        <v>11.92921406</v>
      </c>
      <c r="AE305" s="20">
        <v>11.92921406</v>
      </c>
      <c r="AF305">
        <v>0</v>
      </c>
      <c r="AI305">
        <v>0</v>
      </c>
      <c r="AM305">
        <v>14</v>
      </c>
      <c r="AN305" s="44">
        <f t="shared" si="40"/>
        <v>632.80843567468798</v>
      </c>
      <c r="AO305" s="46">
        <v>349.00875366799971</v>
      </c>
      <c r="AP305" s="44">
        <v>0</v>
      </c>
      <c r="AQ305" s="44">
        <v>0</v>
      </c>
      <c r="AR305" s="41"/>
      <c r="AS305" s="40">
        <v>8.0227214090553903E-2</v>
      </c>
      <c r="AT305" s="41"/>
      <c r="AU305" s="41"/>
      <c r="AV305" s="23">
        <v>1.7272727272727271</v>
      </c>
      <c r="AW305" s="23">
        <v>2.545454545454545</v>
      </c>
      <c r="AX305" s="23">
        <v>0.81818181818181823</v>
      </c>
      <c r="AY305" s="23">
        <v>0</v>
      </c>
      <c r="AZ305" s="23">
        <v>0.3392857142857143</v>
      </c>
      <c r="BA305" s="23">
        <v>0.5</v>
      </c>
      <c r="BB305" s="23">
        <v>0.1607142857142857</v>
      </c>
      <c r="BC305" s="23">
        <v>0</v>
      </c>
      <c r="BD305" s="20">
        <v>0.82</v>
      </c>
      <c r="BE305" s="20">
        <v>3.44</v>
      </c>
      <c r="BF305" s="20">
        <v>2.62</v>
      </c>
      <c r="BG305" s="20">
        <v>2.6545454545454539</v>
      </c>
      <c r="BH305">
        <v>2.6545454545454552</v>
      </c>
      <c r="BI305">
        <v>5.9865512095454543</v>
      </c>
      <c r="BJ305" s="64">
        <v>0.50734392504100967</v>
      </c>
      <c r="BK305" s="64"/>
      <c r="BL305" s="64"/>
      <c r="BN305">
        <v>4.0113607045276937E-2</v>
      </c>
      <c r="BQ305">
        <v>8.0227214090553903E-2</v>
      </c>
      <c r="BR305">
        <v>4.0113607045276937E-2</v>
      </c>
      <c r="BS305">
        <v>0.50734392504100967</v>
      </c>
      <c r="BT305" s="68" t="s">
        <v>1264</v>
      </c>
      <c r="BU305" s="68">
        <v>1373</v>
      </c>
      <c r="BV305" s="68">
        <v>24</v>
      </c>
      <c r="BX305" s="68" t="s">
        <v>1268</v>
      </c>
      <c r="BY305" s="68" t="s">
        <v>863</v>
      </c>
      <c r="BZ305" s="68">
        <v>1</v>
      </c>
      <c r="CA305" s="68">
        <v>1.2</v>
      </c>
      <c r="CB305" s="68">
        <v>1.67</v>
      </c>
      <c r="CC305" s="68">
        <v>20</v>
      </c>
      <c r="CD305" s="68" t="s">
        <v>464</v>
      </c>
      <c r="CE305" s="68" t="s">
        <v>464</v>
      </c>
      <c r="CF305" s="68" t="s">
        <v>1271</v>
      </c>
      <c r="CG305" s="68">
        <v>1000</v>
      </c>
      <c r="CH305" s="68">
        <v>230</v>
      </c>
      <c r="CI305" s="68" t="s">
        <v>1335</v>
      </c>
      <c r="CK305" s="70">
        <v>274</v>
      </c>
    </row>
    <row r="306" spans="1:89" x14ac:dyDescent="0.3">
      <c r="A306" t="s">
        <v>175</v>
      </c>
      <c r="B306" t="s">
        <v>153</v>
      </c>
      <c r="C306" t="s">
        <v>4081</v>
      </c>
      <c r="D306" s="12"/>
      <c r="E306">
        <v>2.98</v>
      </c>
      <c r="F306" t="s">
        <v>174</v>
      </c>
      <c r="G306" s="98" t="s">
        <v>579</v>
      </c>
      <c r="H306" t="s">
        <v>654</v>
      </c>
      <c r="M306" t="b">
        <v>1</v>
      </c>
      <c r="N306" t="b">
        <v>1</v>
      </c>
      <c r="O306" t="b">
        <v>0</v>
      </c>
      <c r="P306" t="b">
        <v>0</v>
      </c>
      <c r="Q306" t="s">
        <v>579</v>
      </c>
      <c r="R306" t="s">
        <v>654</v>
      </c>
      <c r="T306">
        <v>16</v>
      </c>
      <c r="U306" s="20">
        <v>1</v>
      </c>
      <c r="V306">
        <v>2</v>
      </c>
      <c r="W306">
        <v>0</v>
      </c>
      <c r="X306">
        <v>7.7803000000000004</v>
      </c>
      <c r="Y306">
        <v>7.7803000000000004</v>
      </c>
      <c r="Z306">
        <v>42.569200000000002</v>
      </c>
      <c r="AA306" t="s">
        <v>516</v>
      </c>
      <c r="AB306">
        <v>10.642300000000001</v>
      </c>
      <c r="AC306" s="20">
        <v>11.30538971</v>
      </c>
      <c r="AD306" s="20">
        <v>11.30538971</v>
      </c>
      <c r="AE306" s="20">
        <v>11.30538971</v>
      </c>
      <c r="AF306">
        <v>3.8996</v>
      </c>
      <c r="AG306">
        <v>3.8996</v>
      </c>
      <c r="AH306">
        <v>21.687999999999999</v>
      </c>
      <c r="AI306">
        <v>0</v>
      </c>
      <c r="AM306">
        <v>14</v>
      </c>
      <c r="AN306" s="44">
        <f t="shared" si="40"/>
        <v>2576.8442821368285</v>
      </c>
      <c r="AO306" s="46">
        <v>169.7295487154349</v>
      </c>
      <c r="AP306" s="44">
        <v>329.80681691007999</v>
      </c>
      <c r="AQ306" s="44">
        <v>0</v>
      </c>
      <c r="AR306" s="41"/>
      <c r="AS306" s="40">
        <v>8.248416440128592E-2</v>
      </c>
      <c r="AT306" s="41">
        <v>8.4898184526107132E-2</v>
      </c>
      <c r="AU306" s="41"/>
      <c r="AV306" s="23">
        <v>1.7272727272727271</v>
      </c>
      <c r="AW306" s="23">
        <v>2.545454545454545</v>
      </c>
      <c r="AX306" s="23">
        <v>1.7272727272727271</v>
      </c>
      <c r="AY306" s="23">
        <v>0</v>
      </c>
      <c r="AZ306" s="23">
        <v>0.2878787878787879</v>
      </c>
      <c r="BA306" s="23">
        <v>0.42424242424242431</v>
      </c>
      <c r="BB306" s="23">
        <v>0.2878787878787879</v>
      </c>
      <c r="BC306" s="23">
        <v>0</v>
      </c>
      <c r="BD306" s="20">
        <v>1.1000000000000001</v>
      </c>
      <c r="BE306" s="20">
        <v>3.44</v>
      </c>
      <c r="BF306" s="20">
        <v>2.34</v>
      </c>
      <c r="BG306" s="20">
        <v>2.7554545454545449</v>
      </c>
      <c r="BH306">
        <v>2.7554545454545449</v>
      </c>
      <c r="BI306">
        <v>6.1782631499999994</v>
      </c>
      <c r="BJ306" s="64">
        <v>0.46170510468104309</v>
      </c>
      <c r="BK306" s="64">
        <v>0</v>
      </c>
      <c r="BL306" s="64"/>
      <c r="BN306">
        <v>4.124208220064296E-2</v>
      </c>
      <c r="BO306">
        <v>4.2449092263053573E-2</v>
      </c>
      <c r="BQ306">
        <v>8.3691174463696533E-2</v>
      </c>
      <c r="BR306">
        <v>4.1845587231848273E-2</v>
      </c>
      <c r="BS306">
        <v>0.23085255234052149</v>
      </c>
      <c r="BT306" s="68" t="s">
        <v>1264</v>
      </c>
      <c r="BU306" s="68">
        <v>1373</v>
      </c>
      <c r="BV306" s="68">
        <v>24</v>
      </c>
      <c r="BX306" s="68" t="s">
        <v>1268</v>
      </c>
      <c r="BY306" s="68" t="s">
        <v>863</v>
      </c>
      <c r="BZ306" s="68">
        <v>1</v>
      </c>
      <c r="CA306" s="68">
        <v>3.8</v>
      </c>
      <c r="CB306" s="68">
        <v>1.67</v>
      </c>
      <c r="CC306" s="68">
        <v>20</v>
      </c>
      <c r="CD306" s="68" t="s">
        <v>464</v>
      </c>
      <c r="CE306" s="68" t="s">
        <v>464</v>
      </c>
      <c r="CF306" s="68" t="s">
        <v>1271</v>
      </c>
      <c r="CG306" s="68">
        <v>1000</v>
      </c>
      <c r="CH306" s="68">
        <v>230</v>
      </c>
      <c r="CI306" s="68" t="s">
        <v>1335</v>
      </c>
      <c r="CK306" s="70">
        <v>842</v>
      </c>
    </row>
    <row r="307" spans="1:89" x14ac:dyDescent="0.3">
      <c r="A307" t="s">
        <v>2</v>
      </c>
      <c r="B307" t="s">
        <v>153</v>
      </c>
      <c r="C307" t="s">
        <v>3919</v>
      </c>
      <c r="D307" s="12"/>
      <c r="E307">
        <v>3.3</v>
      </c>
      <c r="F307" t="s">
        <v>174</v>
      </c>
      <c r="G307" s="8" t="s">
        <v>525</v>
      </c>
      <c r="H307">
        <v>-1</v>
      </c>
      <c r="M307" t="b">
        <v>1</v>
      </c>
      <c r="N307" t="b">
        <v>0</v>
      </c>
      <c r="O307" t="b">
        <v>0</v>
      </c>
      <c r="P307" t="b">
        <v>0</v>
      </c>
      <c r="Q307" t="s">
        <v>525</v>
      </c>
      <c r="R307">
        <v>-1</v>
      </c>
      <c r="T307">
        <v>4</v>
      </c>
      <c r="U307" s="20">
        <v>2</v>
      </c>
      <c r="V307">
        <v>0</v>
      </c>
      <c r="W307">
        <v>0</v>
      </c>
      <c r="X307">
        <v>5.4763999999999999</v>
      </c>
      <c r="Y307">
        <v>5.1576000000000004</v>
      </c>
      <c r="Z307">
        <v>22.404199999999999</v>
      </c>
      <c r="AA307" t="s">
        <v>515</v>
      </c>
      <c r="AB307">
        <v>11.2021</v>
      </c>
      <c r="AC307" s="20">
        <v>11.92921406</v>
      </c>
      <c r="AD307" s="20">
        <v>11.92921406</v>
      </c>
      <c r="AE307" s="20">
        <v>11.92921406</v>
      </c>
      <c r="AF307">
        <v>0</v>
      </c>
      <c r="AI307">
        <v>0</v>
      </c>
      <c r="AM307">
        <v>14</v>
      </c>
      <c r="AN307" s="44">
        <f t="shared" ref="AN307:AN308" si="43">X307*Y307*Z307</f>
        <v>632.80843567468798</v>
      </c>
      <c r="AO307" s="46">
        <v>349.00875366799971</v>
      </c>
      <c r="AP307" s="44">
        <v>0</v>
      </c>
      <c r="AQ307" s="44">
        <v>0</v>
      </c>
      <c r="AR307" s="41"/>
      <c r="AS307" s="40">
        <v>8.0227214090553903E-2</v>
      </c>
      <c r="AT307" s="41"/>
      <c r="AU307" s="41"/>
      <c r="AV307" s="23">
        <v>1.7272727272727271</v>
      </c>
      <c r="AW307" s="23">
        <v>2.545454545454545</v>
      </c>
      <c r="AX307" s="23">
        <v>0.81818181818181823</v>
      </c>
      <c r="AY307" s="23">
        <v>0</v>
      </c>
      <c r="AZ307" s="23">
        <v>0.3392857142857143</v>
      </c>
      <c r="BA307" s="23">
        <v>0.5</v>
      </c>
      <c r="BB307" s="23">
        <v>0.1607142857142857</v>
      </c>
      <c r="BC307" s="23">
        <v>0</v>
      </c>
      <c r="BD307" s="20">
        <v>0.82</v>
      </c>
      <c r="BE307" s="20">
        <v>3.44</v>
      </c>
      <c r="BF307" s="20">
        <v>2.62</v>
      </c>
      <c r="BG307" s="20">
        <v>2.6545454545454539</v>
      </c>
      <c r="BH307">
        <v>2.6545454545454552</v>
      </c>
      <c r="BI307">
        <v>5.9865512095454543</v>
      </c>
      <c r="BJ307" s="64">
        <v>0.50734392504100967</v>
      </c>
      <c r="BK307" s="64"/>
      <c r="BL307" s="64"/>
      <c r="BN307">
        <v>4.0113607045276937E-2</v>
      </c>
      <c r="BQ307">
        <v>8.0227214090553903E-2</v>
      </c>
      <c r="BR307">
        <v>4.0113607045276937E-2</v>
      </c>
      <c r="BS307">
        <v>0.50734392504100967</v>
      </c>
      <c r="BT307" s="68" t="s">
        <v>1264</v>
      </c>
      <c r="BU307" s="68">
        <v>1373</v>
      </c>
      <c r="BV307" s="68">
        <v>24</v>
      </c>
      <c r="BX307" s="68" t="s">
        <v>1268</v>
      </c>
      <c r="BY307" s="68" t="s">
        <v>863</v>
      </c>
      <c r="BZ307" s="68">
        <v>1</v>
      </c>
      <c r="CA307" s="68">
        <v>1.2</v>
      </c>
      <c r="CB307" s="68">
        <v>1.67</v>
      </c>
      <c r="CC307" s="68">
        <v>20</v>
      </c>
      <c r="CD307" s="68" t="s">
        <v>464</v>
      </c>
      <c r="CE307" s="68" t="s">
        <v>464</v>
      </c>
      <c r="CF307" s="68" t="s">
        <v>1271</v>
      </c>
      <c r="CG307" s="68">
        <v>1000</v>
      </c>
      <c r="CH307" s="68">
        <v>400</v>
      </c>
      <c r="CI307" s="68" t="s">
        <v>1335</v>
      </c>
      <c r="CK307" s="70">
        <v>0</v>
      </c>
    </row>
    <row r="308" spans="1:89" x14ac:dyDescent="0.3">
      <c r="A308" t="s">
        <v>175</v>
      </c>
      <c r="B308" t="s">
        <v>153</v>
      </c>
      <c r="C308" t="s">
        <v>4081</v>
      </c>
      <c r="D308" s="12"/>
      <c r="E308">
        <v>2.98</v>
      </c>
      <c r="F308" t="s">
        <v>174</v>
      </c>
      <c r="G308" s="8" t="s">
        <v>579</v>
      </c>
      <c r="H308" t="s">
        <v>654</v>
      </c>
      <c r="M308" t="b">
        <v>1</v>
      </c>
      <c r="N308" t="b">
        <v>1</v>
      </c>
      <c r="O308" t="b">
        <v>0</v>
      </c>
      <c r="P308" t="b">
        <v>0</v>
      </c>
      <c r="Q308" t="s">
        <v>579</v>
      </c>
      <c r="R308" t="s">
        <v>654</v>
      </c>
      <c r="T308">
        <v>16</v>
      </c>
      <c r="U308" s="20">
        <v>1</v>
      </c>
      <c r="V308">
        <v>2</v>
      </c>
      <c r="W308">
        <v>0</v>
      </c>
      <c r="X308">
        <v>7.7803000000000004</v>
      </c>
      <c r="Y308">
        <v>7.7803000000000004</v>
      </c>
      <c r="Z308">
        <v>42.569200000000002</v>
      </c>
      <c r="AA308" t="s">
        <v>516</v>
      </c>
      <c r="AB308">
        <v>10.642300000000001</v>
      </c>
      <c r="AC308" s="20">
        <v>11.30538971</v>
      </c>
      <c r="AD308" s="20">
        <v>11.30538971</v>
      </c>
      <c r="AE308" s="20">
        <v>11.30538971</v>
      </c>
      <c r="AF308">
        <v>3.8996</v>
      </c>
      <c r="AG308">
        <v>3.8996</v>
      </c>
      <c r="AH308">
        <v>21.687999999999999</v>
      </c>
      <c r="AI308">
        <v>0</v>
      </c>
      <c r="AM308">
        <v>14</v>
      </c>
      <c r="AN308" s="44">
        <f t="shared" si="43"/>
        <v>2576.8442821368285</v>
      </c>
      <c r="AO308" s="46">
        <v>169.7295487154349</v>
      </c>
      <c r="AP308" s="44">
        <v>329.80681691007999</v>
      </c>
      <c r="AQ308" s="44">
        <v>0</v>
      </c>
      <c r="AR308" s="41"/>
      <c r="AS308" s="40">
        <v>8.248416440128592E-2</v>
      </c>
      <c r="AT308" s="41">
        <v>8.4898184526107132E-2</v>
      </c>
      <c r="AU308" s="41"/>
      <c r="AV308" s="23">
        <v>1.7272727272727271</v>
      </c>
      <c r="AW308" s="23">
        <v>2.545454545454545</v>
      </c>
      <c r="AX308" s="23">
        <v>1.7272727272727271</v>
      </c>
      <c r="AY308" s="23">
        <v>0</v>
      </c>
      <c r="AZ308" s="23">
        <v>0.2878787878787879</v>
      </c>
      <c r="BA308" s="23">
        <v>0.42424242424242431</v>
      </c>
      <c r="BB308" s="23">
        <v>0.2878787878787879</v>
      </c>
      <c r="BC308" s="23">
        <v>0</v>
      </c>
      <c r="BD308" s="20">
        <v>1.1000000000000001</v>
      </c>
      <c r="BE308" s="20">
        <v>3.44</v>
      </c>
      <c r="BF308" s="20">
        <v>2.34</v>
      </c>
      <c r="BG308" s="20">
        <v>2.7554545454545449</v>
      </c>
      <c r="BH308">
        <v>2.7554545454545449</v>
      </c>
      <c r="BI308">
        <v>6.1782631499999994</v>
      </c>
      <c r="BJ308" s="64">
        <v>0.46170510468104309</v>
      </c>
      <c r="BK308" s="64">
        <v>0</v>
      </c>
      <c r="BL308" s="64"/>
      <c r="BN308">
        <v>4.124208220064296E-2</v>
      </c>
      <c r="BO308">
        <v>4.2449092263053573E-2</v>
      </c>
      <c r="BQ308">
        <v>8.3691174463696533E-2</v>
      </c>
      <c r="BR308">
        <v>4.1845587231848273E-2</v>
      </c>
      <c r="BS308">
        <v>0.23085255234052149</v>
      </c>
      <c r="BT308" s="68" t="s">
        <v>1264</v>
      </c>
      <c r="BU308" s="68">
        <v>1373</v>
      </c>
      <c r="BV308" s="68">
        <v>24</v>
      </c>
      <c r="BX308" s="68" t="s">
        <v>1268</v>
      </c>
      <c r="BY308" s="68" t="s">
        <v>863</v>
      </c>
      <c r="BZ308" s="68">
        <v>1</v>
      </c>
      <c r="CA308" s="68">
        <v>3.8</v>
      </c>
      <c r="CB308" s="68">
        <v>1.67</v>
      </c>
      <c r="CC308" s="68">
        <v>20</v>
      </c>
      <c r="CD308" s="68" t="s">
        <v>464</v>
      </c>
      <c r="CE308" s="68" t="s">
        <v>464</v>
      </c>
      <c r="CF308" s="68" t="s">
        <v>1271</v>
      </c>
      <c r="CG308" s="68">
        <v>1000</v>
      </c>
      <c r="CH308" s="68">
        <v>400</v>
      </c>
      <c r="CI308" s="68" t="s">
        <v>1335</v>
      </c>
      <c r="CK308" s="70">
        <v>20</v>
      </c>
    </row>
    <row r="309" spans="1:89" x14ac:dyDescent="0.3">
      <c r="A309" t="s">
        <v>2</v>
      </c>
      <c r="B309" t="s">
        <v>153</v>
      </c>
      <c r="C309" t="s">
        <v>3919</v>
      </c>
      <c r="D309" s="12"/>
      <c r="E309">
        <v>3.3</v>
      </c>
      <c r="F309" t="s">
        <v>176</v>
      </c>
      <c r="G309" s="8" t="s">
        <v>525</v>
      </c>
      <c r="H309">
        <v>-1</v>
      </c>
      <c r="M309" t="b">
        <v>1</v>
      </c>
      <c r="N309" t="b">
        <v>0</v>
      </c>
      <c r="O309" t="b">
        <v>0</v>
      </c>
      <c r="P309" t="b">
        <v>0</v>
      </c>
      <c r="Q309" t="s">
        <v>525</v>
      </c>
      <c r="R309">
        <v>-1</v>
      </c>
      <c r="T309">
        <v>4</v>
      </c>
      <c r="U309" s="20">
        <v>2</v>
      </c>
      <c r="V309">
        <v>0</v>
      </c>
      <c r="W309">
        <v>0</v>
      </c>
      <c r="X309">
        <v>5.5339999999999998</v>
      </c>
      <c r="Y309">
        <v>5.5033000000000003</v>
      </c>
      <c r="Z309">
        <v>22.083300000000001</v>
      </c>
      <c r="AA309" t="s">
        <v>515</v>
      </c>
      <c r="AB309">
        <v>11.041650000000001</v>
      </c>
      <c r="AC309" s="20">
        <v>11.92921406</v>
      </c>
      <c r="AD309" s="20">
        <v>11.92921406</v>
      </c>
      <c r="AE309" s="20">
        <v>11.92921406</v>
      </c>
      <c r="AF309">
        <v>0</v>
      </c>
      <c r="AI309">
        <v>0</v>
      </c>
      <c r="AM309">
        <v>14</v>
      </c>
      <c r="AN309" s="44">
        <f t="shared" si="40"/>
        <v>672.55269174125999</v>
      </c>
      <c r="AO309" s="46">
        <v>349.00875366799971</v>
      </c>
      <c r="AP309" s="44">
        <v>0</v>
      </c>
      <c r="AQ309" s="44">
        <v>0</v>
      </c>
      <c r="AR309" s="41"/>
      <c r="AS309" s="40">
        <v>8.0227214090553903E-2</v>
      </c>
      <c r="AT309" s="41"/>
      <c r="AU309" s="41"/>
      <c r="AV309" s="23">
        <v>1.7272727272727271</v>
      </c>
      <c r="AW309" s="23">
        <v>2.545454545454545</v>
      </c>
      <c r="AX309" s="23">
        <v>0.81818181818181823</v>
      </c>
      <c r="AY309" s="23">
        <v>0</v>
      </c>
      <c r="AZ309" s="23">
        <v>0.3392857142857143</v>
      </c>
      <c r="BA309" s="23">
        <v>0.5</v>
      </c>
      <c r="BB309" s="23">
        <v>0.1607142857142857</v>
      </c>
      <c r="BC309" s="23">
        <v>0</v>
      </c>
      <c r="BD309" s="20">
        <v>0.82</v>
      </c>
      <c r="BE309" s="20">
        <v>3.44</v>
      </c>
      <c r="BF309" s="20">
        <v>2.62</v>
      </c>
      <c r="BG309" s="20">
        <v>2.6545454545454539</v>
      </c>
      <c r="BH309">
        <v>2.6545454545454552</v>
      </c>
      <c r="BI309">
        <v>5.9865512095454543</v>
      </c>
      <c r="BJ309" s="64">
        <v>0.50734392504100967</v>
      </c>
      <c r="BK309" s="64"/>
      <c r="BL309" s="64"/>
      <c r="BN309">
        <v>4.0113607045276937E-2</v>
      </c>
      <c r="BQ309">
        <v>8.0227214090553903E-2</v>
      </c>
      <c r="BR309">
        <v>4.0113607045276937E-2</v>
      </c>
      <c r="BS309">
        <v>0.50734392504100967</v>
      </c>
      <c r="BT309" s="68" t="s">
        <v>1264</v>
      </c>
      <c r="BU309" s="68">
        <v>1373</v>
      </c>
      <c r="BV309" s="68">
        <v>50</v>
      </c>
      <c r="BX309" s="68" t="s">
        <v>1268</v>
      </c>
      <c r="BY309" s="68" t="s">
        <v>863</v>
      </c>
      <c r="BZ309" s="68">
        <v>1</v>
      </c>
      <c r="CA309" s="68">
        <v>1.5</v>
      </c>
      <c r="CB309" s="68">
        <v>1.67</v>
      </c>
      <c r="CC309" s="68">
        <v>20</v>
      </c>
      <c r="CD309" s="68" t="s">
        <v>464</v>
      </c>
      <c r="CE309" s="68" t="s">
        <v>464</v>
      </c>
      <c r="CF309" s="68" t="s">
        <v>1271</v>
      </c>
      <c r="CG309" s="68">
        <v>1000</v>
      </c>
      <c r="CH309" s="68">
        <v>230</v>
      </c>
      <c r="CI309" s="68" t="s">
        <v>1335</v>
      </c>
      <c r="CK309" s="70">
        <v>331</v>
      </c>
    </row>
    <row r="310" spans="1:89" x14ac:dyDescent="0.3">
      <c r="A310" t="s">
        <v>175</v>
      </c>
      <c r="B310" t="s">
        <v>153</v>
      </c>
      <c r="C310" t="s">
        <v>4081</v>
      </c>
      <c r="D310" s="12"/>
      <c r="E310">
        <v>3.15</v>
      </c>
      <c r="F310" t="s">
        <v>176</v>
      </c>
      <c r="G310" s="8" t="s">
        <v>579</v>
      </c>
      <c r="H310" t="s">
        <v>654</v>
      </c>
      <c r="M310" t="b">
        <v>1</v>
      </c>
      <c r="N310" t="b">
        <v>1</v>
      </c>
      <c r="O310" t="b">
        <v>0</v>
      </c>
      <c r="P310" t="b">
        <v>0</v>
      </c>
      <c r="Q310" t="s">
        <v>579</v>
      </c>
      <c r="R310" t="s">
        <v>654</v>
      </c>
      <c r="T310">
        <v>2</v>
      </c>
      <c r="U310" s="20">
        <v>1</v>
      </c>
      <c r="V310">
        <v>2</v>
      </c>
      <c r="W310">
        <v>0</v>
      </c>
      <c r="X310">
        <v>3.9045000000000001</v>
      </c>
      <c r="Y310">
        <v>3.9045000000000001</v>
      </c>
      <c r="Z310">
        <v>21.652100000000001</v>
      </c>
      <c r="AA310" t="s">
        <v>516</v>
      </c>
      <c r="AB310">
        <v>10.82605</v>
      </c>
      <c r="AC310" s="20">
        <v>11.30538971</v>
      </c>
      <c r="AD310" s="20">
        <v>11.30538971</v>
      </c>
      <c r="AE310" s="20">
        <v>11.30538971</v>
      </c>
      <c r="AF310">
        <v>3.8996</v>
      </c>
      <c r="AG310">
        <v>3.8996</v>
      </c>
      <c r="AH310">
        <v>21.687999999999999</v>
      </c>
      <c r="AI310">
        <v>0</v>
      </c>
      <c r="AM310">
        <v>14</v>
      </c>
      <c r="AN310" s="44">
        <f t="shared" si="40"/>
        <v>330.08886816502502</v>
      </c>
      <c r="AO310" s="46">
        <v>169.7295487154349</v>
      </c>
      <c r="AP310" s="44">
        <v>329.80681691007999</v>
      </c>
      <c r="AQ310" s="44">
        <v>0</v>
      </c>
      <c r="AR310" s="41"/>
      <c r="AS310" s="40">
        <v>8.248416440128592E-2</v>
      </c>
      <c r="AT310" s="41">
        <v>8.4898184526107132E-2</v>
      </c>
      <c r="AU310" s="41"/>
      <c r="AV310" s="23">
        <v>1.7272727272727271</v>
      </c>
      <c r="AW310" s="23">
        <v>2.545454545454545</v>
      </c>
      <c r="AX310" s="23">
        <v>1.7272727272727271</v>
      </c>
      <c r="AY310" s="23">
        <v>0</v>
      </c>
      <c r="AZ310" s="23">
        <v>0.2878787878787879</v>
      </c>
      <c r="BA310" s="23">
        <v>0.42424242424242431</v>
      </c>
      <c r="BB310" s="23">
        <v>0.2878787878787879</v>
      </c>
      <c r="BC310" s="23">
        <v>0</v>
      </c>
      <c r="BD310" s="20">
        <v>1.1000000000000001</v>
      </c>
      <c r="BE310" s="20">
        <v>3.44</v>
      </c>
      <c r="BF310" s="20">
        <v>2.34</v>
      </c>
      <c r="BG310" s="20">
        <v>2.7554545454545449</v>
      </c>
      <c r="BH310">
        <v>2.7554545454545449</v>
      </c>
      <c r="BI310">
        <v>6.1782631499999994</v>
      </c>
      <c r="BJ310" s="64">
        <v>0.46170510468104309</v>
      </c>
      <c r="BK310" s="64">
        <v>0</v>
      </c>
      <c r="BL310" s="64"/>
      <c r="BN310">
        <v>4.124208220064296E-2</v>
      </c>
      <c r="BO310">
        <v>4.2449092263053573E-2</v>
      </c>
      <c r="BQ310">
        <v>8.3691174463696533E-2</v>
      </c>
      <c r="BR310">
        <v>4.1845587231848273E-2</v>
      </c>
      <c r="BS310">
        <v>0.23085255234052149</v>
      </c>
      <c r="BT310" s="68" t="s">
        <v>1264</v>
      </c>
      <c r="BU310" s="68">
        <v>1373</v>
      </c>
      <c r="BV310" s="68">
        <v>50</v>
      </c>
      <c r="BX310" s="68" t="s">
        <v>1268</v>
      </c>
      <c r="BY310" s="68" t="s">
        <v>863</v>
      </c>
      <c r="BZ310" s="68">
        <v>1</v>
      </c>
      <c r="CA310" s="68">
        <v>4.2</v>
      </c>
      <c r="CB310" s="68">
        <v>1.67</v>
      </c>
      <c r="CC310" s="68">
        <v>20</v>
      </c>
      <c r="CD310" s="68" t="s">
        <v>464</v>
      </c>
      <c r="CE310" s="68" t="s">
        <v>464</v>
      </c>
      <c r="CF310" s="68" t="s">
        <v>1271</v>
      </c>
      <c r="CG310" s="68">
        <v>1000</v>
      </c>
      <c r="CH310" s="68">
        <v>230</v>
      </c>
      <c r="CI310" s="68" t="s">
        <v>1335</v>
      </c>
      <c r="CK310" s="70">
        <v>1445</v>
      </c>
    </row>
    <row r="311" spans="1:89" x14ac:dyDescent="0.3">
      <c r="A311" t="s">
        <v>5</v>
      </c>
      <c r="B311" t="s">
        <v>4</v>
      </c>
      <c r="C311" t="s">
        <v>3922</v>
      </c>
      <c r="D311" s="12"/>
      <c r="E311">
        <v>3.5</v>
      </c>
      <c r="F311" t="s">
        <v>176</v>
      </c>
      <c r="G311" s="8" t="s">
        <v>528</v>
      </c>
      <c r="H311" t="s">
        <v>610</v>
      </c>
      <c r="M311" t="b">
        <v>1</v>
      </c>
      <c r="N311" t="b">
        <v>1</v>
      </c>
      <c r="O311" t="b">
        <v>0</v>
      </c>
      <c r="P311" t="b">
        <v>0</v>
      </c>
      <c r="Q311" t="s">
        <v>528</v>
      </c>
      <c r="R311" t="s">
        <v>610</v>
      </c>
      <c r="T311">
        <v>1</v>
      </c>
      <c r="U311" s="20">
        <v>1</v>
      </c>
      <c r="V311">
        <v>1</v>
      </c>
      <c r="W311">
        <v>0</v>
      </c>
      <c r="X311">
        <v>3.8650000000000002</v>
      </c>
      <c r="Y311">
        <v>3.8650000000000002</v>
      </c>
      <c r="Z311">
        <v>14.974299999999999</v>
      </c>
      <c r="AA311" t="s">
        <v>439</v>
      </c>
      <c r="AB311">
        <v>14.974299999999999</v>
      </c>
      <c r="AC311" s="20">
        <v>3.9661010000000001</v>
      </c>
      <c r="AD311" s="20">
        <v>3.9661010000000001</v>
      </c>
      <c r="AE311" s="20">
        <v>15.283337</v>
      </c>
      <c r="AF311">
        <v>3.8586499999999999</v>
      </c>
      <c r="AG311">
        <v>3.8586499999999999</v>
      </c>
      <c r="AH311">
        <v>14.9108</v>
      </c>
      <c r="AI311">
        <v>0</v>
      </c>
      <c r="AM311">
        <v>20</v>
      </c>
      <c r="AN311" s="44">
        <f t="shared" si="40"/>
        <v>223.6894626175</v>
      </c>
      <c r="AO311" s="46">
        <v>240.40623599981481</v>
      </c>
      <c r="AP311" s="44">
        <v>222.00958249733301</v>
      </c>
      <c r="AQ311" s="44">
        <v>0</v>
      </c>
      <c r="AR311" s="41"/>
      <c r="AS311" s="40">
        <v>8.3192517518619641E-2</v>
      </c>
      <c r="AT311" s="41">
        <v>9.0086201573034624E-2</v>
      </c>
      <c r="AU311" s="41"/>
      <c r="AV311" s="23">
        <v>1.75</v>
      </c>
      <c r="AW311" s="23">
        <v>2.5</v>
      </c>
      <c r="AX311" s="23">
        <v>0.75</v>
      </c>
      <c r="AY311" s="23">
        <v>0</v>
      </c>
      <c r="AZ311" s="23">
        <v>0.35</v>
      </c>
      <c r="BA311" s="23">
        <v>0.5</v>
      </c>
      <c r="BB311" s="23">
        <v>0.15</v>
      </c>
      <c r="BC311" s="23">
        <v>0</v>
      </c>
      <c r="BD311" s="20">
        <v>0.82</v>
      </c>
      <c r="BE311" s="20">
        <v>3.44</v>
      </c>
      <c r="BF311" s="20">
        <v>2.62</v>
      </c>
      <c r="BG311" s="20">
        <v>2.6262500000000002</v>
      </c>
      <c r="BH311">
        <v>2.6262500000000002</v>
      </c>
      <c r="BI311">
        <v>5.9612134765624996</v>
      </c>
      <c r="BJ311" s="64">
        <v>0.50467688585120674</v>
      </c>
      <c r="BK311" s="64">
        <v>0.54649654829675798</v>
      </c>
      <c r="BL311" s="64"/>
      <c r="BN311">
        <v>4.159625875930982E-2</v>
      </c>
      <c r="BO311">
        <v>4.5043100786517312E-2</v>
      </c>
      <c r="BQ311">
        <v>8.6639359545827133E-2</v>
      </c>
      <c r="BR311">
        <v>4.3319679772913573E-2</v>
      </c>
      <c r="BS311">
        <v>0.5255867170739823</v>
      </c>
      <c r="BT311" s="68" t="s">
        <v>1264</v>
      </c>
      <c r="BU311" s="68">
        <v>1373</v>
      </c>
      <c r="BV311" s="68">
        <v>50</v>
      </c>
      <c r="BX311" s="68" t="s">
        <v>1268</v>
      </c>
      <c r="BY311" s="68" t="s">
        <v>863</v>
      </c>
      <c r="BZ311" s="68">
        <v>1</v>
      </c>
      <c r="CA311" s="68">
        <v>1.9</v>
      </c>
      <c r="CB311" s="68">
        <v>1.67</v>
      </c>
      <c r="CC311" s="68">
        <v>20</v>
      </c>
      <c r="CD311" s="68" t="s">
        <v>464</v>
      </c>
      <c r="CE311" s="68" t="s">
        <v>464</v>
      </c>
      <c r="CF311" s="68" t="s">
        <v>1271</v>
      </c>
      <c r="CG311" s="68">
        <v>1000</v>
      </c>
      <c r="CH311" s="68">
        <v>230</v>
      </c>
      <c r="CI311" s="68" t="s">
        <v>1335</v>
      </c>
      <c r="CK311" s="70">
        <v>1418</v>
      </c>
    </row>
    <row r="312" spans="1:89" x14ac:dyDescent="0.3">
      <c r="A312" s="4" t="s">
        <v>177</v>
      </c>
      <c r="B312" t="s">
        <v>4</v>
      </c>
      <c r="C312" t="s">
        <v>4082</v>
      </c>
      <c r="D312" s="29"/>
      <c r="E312" s="4">
        <v>3.14</v>
      </c>
      <c r="F312" s="4" t="s">
        <v>176</v>
      </c>
      <c r="G312" s="101" t="s">
        <v>528</v>
      </c>
      <c r="H312" s="1" t="s">
        <v>610</v>
      </c>
      <c r="I312" s="4"/>
      <c r="J312" s="4" t="s">
        <v>1745</v>
      </c>
      <c r="K312" s="4" t="s">
        <v>1745</v>
      </c>
      <c r="L312" s="4"/>
      <c r="M312" t="b">
        <v>1</v>
      </c>
      <c r="N312" t="b">
        <v>1</v>
      </c>
      <c r="O312" t="b">
        <v>0</v>
      </c>
      <c r="P312" t="b">
        <v>0</v>
      </c>
      <c r="Q312" t="s">
        <v>1999</v>
      </c>
      <c r="R312" t="s">
        <v>2041</v>
      </c>
      <c r="T312" s="4"/>
      <c r="U312" s="31">
        <v>0</v>
      </c>
      <c r="V312">
        <v>0</v>
      </c>
      <c r="W312">
        <v>0</v>
      </c>
      <c r="X312" s="4"/>
      <c r="Y312" s="4"/>
      <c r="Z312" s="4"/>
      <c r="AA312" s="4"/>
      <c r="AB312" s="4"/>
      <c r="AC312" s="31">
        <v>0</v>
      </c>
      <c r="AD312" s="31"/>
      <c r="AE312" s="31"/>
      <c r="AF312">
        <v>0</v>
      </c>
      <c r="AI312">
        <v>0</v>
      </c>
      <c r="AL312" s="4"/>
      <c r="AM312" s="4">
        <v>20</v>
      </c>
      <c r="AN312" s="44">
        <f t="shared" si="40"/>
        <v>0</v>
      </c>
      <c r="AO312" s="46">
        <v>0</v>
      </c>
      <c r="AP312" s="44">
        <v>0</v>
      </c>
      <c r="AQ312" s="44">
        <v>0</v>
      </c>
      <c r="AR312" s="41"/>
      <c r="AS312" s="40"/>
      <c r="AT312" s="41"/>
      <c r="AU312" s="41"/>
      <c r="AV312" s="4">
        <v>1.75</v>
      </c>
      <c r="AW312" s="4">
        <v>2.5</v>
      </c>
      <c r="AX312" s="4">
        <v>1.375</v>
      </c>
      <c r="AY312" s="4">
        <v>0</v>
      </c>
      <c r="AZ312" s="4">
        <v>0.31111111111111112</v>
      </c>
      <c r="BA312" s="4">
        <v>0.44444444444444442</v>
      </c>
      <c r="BB312" s="4">
        <v>0.24444444444444441</v>
      </c>
      <c r="BC312" s="4">
        <v>0</v>
      </c>
      <c r="BD312" s="31">
        <v>1</v>
      </c>
      <c r="BE312" s="31">
        <v>3.44</v>
      </c>
      <c r="BF312" s="31">
        <v>2.44</v>
      </c>
      <c r="BG312" s="31">
        <v>2.6956250000000002</v>
      </c>
      <c r="BH312" s="4">
        <v>2.6956250000000002</v>
      </c>
      <c r="BI312" s="4">
        <v>6.0930154356250004</v>
      </c>
      <c r="BJ312" s="64"/>
      <c r="BK312" s="64"/>
      <c r="BL312" s="64"/>
      <c r="BQ312">
        <v>0</v>
      </c>
      <c r="BR312">
        <v>0</v>
      </c>
      <c r="BS312">
        <v>0</v>
      </c>
      <c r="BT312" s="68" t="s">
        <v>1264</v>
      </c>
      <c r="BU312" s="68">
        <v>1373</v>
      </c>
      <c r="BV312" s="68">
        <v>50</v>
      </c>
      <c r="BX312" s="68" t="s">
        <v>1268</v>
      </c>
      <c r="BY312" s="68" t="s">
        <v>863</v>
      </c>
      <c r="BZ312" s="68">
        <v>1</v>
      </c>
      <c r="CA312" s="68">
        <v>2.1</v>
      </c>
      <c r="CB312" s="68">
        <v>1.67</v>
      </c>
      <c r="CC312" s="68">
        <v>20</v>
      </c>
      <c r="CD312" s="68" t="s">
        <v>464</v>
      </c>
      <c r="CE312" s="68" t="s">
        <v>464</v>
      </c>
      <c r="CF312" s="68" t="s">
        <v>1271</v>
      </c>
      <c r="CG312" s="68">
        <v>1000</v>
      </c>
      <c r="CH312" s="68">
        <v>230</v>
      </c>
      <c r="CI312" s="68" t="s">
        <v>1335</v>
      </c>
      <c r="CK312" s="70">
        <v>13616</v>
      </c>
    </row>
    <row r="313" spans="1:89" x14ac:dyDescent="0.3">
      <c r="A313" t="s">
        <v>178</v>
      </c>
      <c r="B313" t="s">
        <v>4</v>
      </c>
      <c r="C313" t="s">
        <v>4083</v>
      </c>
      <c r="D313" s="12"/>
      <c r="E313">
        <v>3.1</v>
      </c>
      <c r="F313" t="s">
        <v>176</v>
      </c>
      <c r="G313" s="8" t="s">
        <v>580</v>
      </c>
      <c r="H313" t="s">
        <v>655</v>
      </c>
      <c r="M313" t="b">
        <v>1</v>
      </c>
      <c r="N313" t="b">
        <v>1</v>
      </c>
      <c r="O313" t="b">
        <v>0</v>
      </c>
      <c r="P313" t="b">
        <v>0</v>
      </c>
      <c r="Q313" t="s">
        <v>580</v>
      </c>
      <c r="R313" t="s">
        <v>655</v>
      </c>
      <c r="T313">
        <v>1</v>
      </c>
      <c r="U313" s="20">
        <v>1</v>
      </c>
      <c r="V313">
        <v>1</v>
      </c>
      <c r="W313">
        <v>0</v>
      </c>
      <c r="X313">
        <v>3.9007999999999998</v>
      </c>
      <c r="Y313">
        <v>3.9007999999999998</v>
      </c>
      <c r="Z313">
        <v>15.317</v>
      </c>
      <c r="AA313" t="s">
        <v>439</v>
      </c>
      <c r="AB313">
        <v>15.317</v>
      </c>
      <c r="AC313" s="20">
        <v>3.9860820000000001</v>
      </c>
      <c r="AD313" s="20">
        <v>3.9860820000000001</v>
      </c>
      <c r="AE313" s="20">
        <v>15.440419</v>
      </c>
      <c r="AF313">
        <v>3.8944000000000001</v>
      </c>
      <c r="AG313">
        <v>3.8944000000000001</v>
      </c>
      <c r="AH313">
        <v>15.271000000000001</v>
      </c>
      <c r="AI313">
        <v>0</v>
      </c>
      <c r="AM313">
        <v>20</v>
      </c>
      <c r="AN313" s="44">
        <f t="shared" si="40"/>
        <v>233.06715788288</v>
      </c>
      <c r="AO313" s="46">
        <v>245.33049696160739</v>
      </c>
      <c r="AP313" s="44">
        <v>231.60535161856001</v>
      </c>
      <c r="AQ313" s="44">
        <v>0</v>
      </c>
      <c r="AR313" s="41"/>
      <c r="AS313" s="40">
        <v>8.1522681638434333E-2</v>
      </c>
      <c r="AT313" s="41">
        <v>8.6353790446685313E-2</v>
      </c>
      <c r="AU313" s="41"/>
      <c r="AV313" s="23">
        <v>1.75</v>
      </c>
      <c r="AW313" s="23">
        <v>2.5</v>
      </c>
      <c r="AX313" s="23">
        <v>0.75</v>
      </c>
      <c r="AY313" s="23">
        <v>0</v>
      </c>
      <c r="AZ313" s="23">
        <v>0.35</v>
      </c>
      <c r="BA313" s="23">
        <v>0.5</v>
      </c>
      <c r="BB313" s="23">
        <v>0.15</v>
      </c>
      <c r="BC313" s="23">
        <v>0</v>
      </c>
      <c r="BD313" s="20">
        <v>0.82</v>
      </c>
      <c r="BE313" s="20">
        <v>3.44</v>
      </c>
      <c r="BF313" s="20">
        <v>2.62</v>
      </c>
      <c r="BG313" s="20">
        <v>2.62</v>
      </c>
      <c r="BH313">
        <v>2.62</v>
      </c>
      <c r="BI313">
        <v>5.9367901628125006</v>
      </c>
      <c r="BJ313" s="64">
        <v>0.52249469585014929</v>
      </c>
      <c r="BK313" s="64">
        <v>0.55345821025686881</v>
      </c>
      <c r="BL313" s="64"/>
      <c r="BN313">
        <v>4.0761340819217173E-2</v>
      </c>
      <c r="BO313">
        <v>4.3176895223342657E-2</v>
      </c>
      <c r="BQ313">
        <v>8.3938236042559816E-2</v>
      </c>
      <c r="BR313">
        <v>4.1969118021279922E-2</v>
      </c>
      <c r="BS313">
        <v>0.53797645305350905</v>
      </c>
      <c r="BT313" s="68" t="s">
        <v>1264</v>
      </c>
      <c r="BU313" s="68">
        <v>1373</v>
      </c>
      <c r="BV313" s="68">
        <v>50</v>
      </c>
      <c r="BX313" s="68" t="s">
        <v>1268</v>
      </c>
      <c r="BY313" s="68" t="s">
        <v>863</v>
      </c>
      <c r="BZ313" s="68">
        <v>1</v>
      </c>
      <c r="CA313" s="68">
        <v>2.7</v>
      </c>
      <c r="CB313" s="68">
        <v>1.67</v>
      </c>
      <c r="CC313" s="68">
        <v>20</v>
      </c>
      <c r="CD313" s="68" t="s">
        <v>464</v>
      </c>
      <c r="CE313" s="68" t="s">
        <v>464</v>
      </c>
      <c r="CF313" s="68" t="s">
        <v>1271</v>
      </c>
      <c r="CG313" s="68">
        <v>1000</v>
      </c>
      <c r="CH313" s="68">
        <v>230</v>
      </c>
      <c r="CI313" s="68" t="s">
        <v>1335</v>
      </c>
      <c r="CK313" s="70">
        <v>1929</v>
      </c>
    </row>
    <row r="314" spans="1:89" x14ac:dyDescent="0.3">
      <c r="A314" s="4" t="s">
        <v>179</v>
      </c>
      <c r="B314" t="s">
        <v>4</v>
      </c>
      <c r="C314" t="s">
        <v>4084</v>
      </c>
      <c r="D314" s="29"/>
      <c r="E314" s="4">
        <v>3.22</v>
      </c>
      <c r="F314" s="4" t="s">
        <v>176</v>
      </c>
      <c r="G314" s="25" t="s">
        <v>528</v>
      </c>
      <c r="H314" s="1" t="s">
        <v>610</v>
      </c>
      <c r="I314" s="4"/>
      <c r="J314" s="4" t="s">
        <v>1805</v>
      </c>
      <c r="K314" s="4" t="s">
        <v>1805</v>
      </c>
      <c r="L314" s="4"/>
      <c r="M314" t="b">
        <v>1</v>
      </c>
      <c r="N314" t="b">
        <v>1</v>
      </c>
      <c r="O314" t="b">
        <v>0</v>
      </c>
      <c r="P314" t="b">
        <v>0</v>
      </c>
      <c r="Q314" t="s">
        <v>2000</v>
      </c>
      <c r="R314" t="s">
        <v>2043</v>
      </c>
      <c r="T314" s="4"/>
      <c r="U314" s="31">
        <v>0</v>
      </c>
      <c r="V314">
        <v>0</v>
      </c>
      <c r="W314">
        <v>0</v>
      </c>
      <c r="X314" s="4"/>
      <c r="Y314" s="4"/>
      <c r="Z314" s="4"/>
      <c r="AA314" s="4"/>
      <c r="AB314" s="4"/>
      <c r="AC314" s="31">
        <v>0</v>
      </c>
      <c r="AD314" s="31"/>
      <c r="AE314" s="31"/>
      <c r="AF314">
        <v>0</v>
      </c>
      <c r="AI314">
        <v>0</v>
      </c>
      <c r="AL314" s="4"/>
      <c r="AM314" s="4">
        <v>20</v>
      </c>
      <c r="AN314" s="44">
        <f t="shared" si="40"/>
        <v>0</v>
      </c>
      <c r="AO314" s="46">
        <v>0</v>
      </c>
      <c r="AP314" s="44">
        <v>0</v>
      </c>
      <c r="AQ314" s="44">
        <v>0</v>
      </c>
      <c r="AR314" s="41"/>
      <c r="AS314" s="40"/>
      <c r="AT314" s="41"/>
      <c r="AU314" s="41"/>
      <c r="AV314" s="4">
        <v>1.75</v>
      </c>
      <c r="AW314" s="4">
        <v>2.5</v>
      </c>
      <c r="AX314" s="4">
        <v>1.375</v>
      </c>
      <c r="AY314" s="4">
        <v>0</v>
      </c>
      <c r="AZ314" s="4">
        <v>0.31111111111111112</v>
      </c>
      <c r="BA314" s="4">
        <v>0.44444444444444442</v>
      </c>
      <c r="BB314" s="4">
        <v>0.24444444444444441</v>
      </c>
      <c r="BC314" s="4">
        <v>0</v>
      </c>
      <c r="BD314" s="31">
        <v>0.95</v>
      </c>
      <c r="BE314" s="31">
        <v>3.44</v>
      </c>
      <c r="BF314" s="31">
        <v>2.4900000000000002</v>
      </c>
      <c r="BG314" s="31">
        <v>2.6893750000000001</v>
      </c>
      <c r="BH314" s="4">
        <v>2.6893750000000001</v>
      </c>
      <c r="BI314" s="4">
        <v>6.0685921218750014</v>
      </c>
      <c r="BJ314" s="64"/>
      <c r="BK314" s="64"/>
      <c r="BL314" s="64"/>
      <c r="BQ314">
        <v>0</v>
      </c>
      <c r="BR314">
        <v>0</v>
      </c>
      <c r="BS314">
        <v>0</v>
      </c>
      <c r="BT314" s="68" t="s">
        <v>1264</v>
      </c>
      <c r="BU314" s="68">
        <v>1373</v>
      </c>
      <c r="BV314" s="68">
        <v>50</v>
      </c>
      <c r="BX314" s="68" t="s">
        <v>1268</v>
      </c>
      <c r="BY314" s="68" t="s">
        <v>863</v>
      </c>
      <c r="BZ314" s="68">
        <v>1</v>
      </c>
      <c r="CA314" s="68">
        <v>3</v>
      </c>
      <c r="CB314" s="68">
        <v>1.67</v>
      </c>
      <c r="CC314" s="68">
        <v>20</v>
      </c>
      <c r="CD314" s="68" t="s">
        <v>464</v>
      </c>
      <c r="CE314" s="68" t="s">
        <v>464</v>
      </c>
      <c r="CF314" s="68" t="s">
        <v>1271</v>
      </c>
      <c r="CG314" s="68">
        <v>1000</v>
      </c>
      <c r="CH314" s="68">
        <v>230</v>
      </c>
      <c r="CI314" s="68" t="s">
        <v>1335</v>
      </c>
      <c r="CK314" s="70">
        <v>3265</v>
      </c>
    </row>
    <row r="315" spans="1:89" x14ac:dyDescent="0.3">
      <c r="A315" t="s">
        <v>180</v>
      </c>
      <c r="B315" t="s">
        <v>2776</v>
      </c>
      <c r="C315" t="s">
        <v>4085</v>
      </c>
      <c r="D315" s="12"/>
      <c r="E315">
        <v>3.6</v>
      </c>
      <c r="F315" t="s">
        <v>176</v>
      </c>
      <c r="G315" s="8" t="s">
        <v>581</v>
      </c>
      <c r="H315" t="s">
        <v>656</v>
      </c>
      <c r="J315" s="4" t="s">
        <v>2240</v>
      </c>
      <c r="K315" s="4" t="s">
        <v>2240</v>
      </c>
      <c r="M315" t="b">
        <v>1</v>
      </c>
      <c r="N315" t="b">
        <v>1</v>
      </c>
      <c r="O315" t="b">
        <v>0</v>
      </c>
      <c r="P315" t="b">
        <v>0</v>
      </c>
      <c r="Q315" t="s">
        <v>2001</v>
      </c>
      <c r="R315" t="s">
        <v>2045</v>
      </c>
      <c r="T315">
        <v>2</v>
      </c>
      <c r="U315" s="20">
        <v>0</v>
      </c>
      <c r="V315">
        <v>0</v>
      </c>
      <c r="W315">
        <v>0</v>
      </c>
      <c r="X315">
        <v>3.9287999999999998</v>
      </c>
      <c r="Y315">
        <v>3.9287999999999998</v>
      </c>
      <c r="Z315">
        <v>30.2698</v>
      </c>
      <c r="AA315" t="s">
        <v>439</v>
      </c>
      <c r="AB315">
        <v>15.1349</v>
      </c>
      <c r="AC315" s="20">
        <v>0</v>
      </c>
      <c r="AD315" s="20"/>
      <c r="AE315" s="20"/>
      <c r="AF315">
        <v>0</v>
      </c>
      <c r="AI315">
        <v>0</v>
      </c>
      <c r="AM315">
        <v>20</v>
      </c>
      <c r="AN315" s="44">
        <f t="shared" si="40"/>
        <v>467.22857285491193</v>
      </c>
      <c r="AO315" s="46">
        <v>0</v>
      </c>
      <c r="AP315" s="44">
        <v>0</v>
      </c>
      <c r="AQ315" s="44">
        <v>0</v>
      </c>
      <c r="AR315" s="41">
        <f t="shared" ref="AR315:AR316" si="44">T315*AM315/AN315</f>
        <v>8.5611202576048706E-2</v>
      </c>
      <c r="AS315" s="40"/>
      <c r="AT315" s="41"/>
      <c r="AU315" s="41"/>
      <c r="AV315" s="23">
        <v>1.882352941176471</v>
      </c>
      <c r="AW315" s="23">
        <v>2.3529411764705879</v>
      </c>
      <c r="AX315" s="23">
        <v>0.47058823529411759</v>
      </c>
      <c r="AY315" s="23">
        <v>0</v>
      </c>
      <c r="AZ315" s="23">
        <v>0.4</v>
      </c>
      <c r="BA315" s="23">
        <v>0.5</v>
      </c>
      <c r="BB315" s="23">
        <v>9.9999999999999992E-2</v>
      </c>
      <c r="BC315" s="23">
        <v>0</v>
      </c>
      <c r="BD315" s="20">
        <v>0.82</v>
      </c>
      <c r="BE315" s="20">
        <v>3.44</v>
      </c>
      <c r="BF315" s="20">
        <v>2.62</v>
      </c>
      <c r="BG315" s="20">
        <v>2.5211764705882351</v>
      </c>
      <c r="BH315">
        <v>2.521176470588236</v>
      </c>
      <c r="BI315">
        <v>5.6793405594117647</v>
      </c>
      <c r="BJ315" s="64"/>
      <c r="BK315" s="64"/>
      <c r="BL315" s="64"/>
      <c r="BM315">
        <v>4.2805601288024353E-2</v>
      </c>
      <c r="BQ315">
        <v>8.5611202576048706E-2</v>
      </c>
      <c r="BR315">
        <v>4.2805601288024353E-2</v>
      </c>
      <c r="BS315">
        <v>0</v>
      </c>
      <c r="BT315" s="68" t="s">
        <v>1264</v>
      </c>
      <c r="BU315" s="68">
        <v>1373</v>
      </c>
      <c r="BV315" s="68">
        <v>50</v>
      </c>
      <c r="BX315" s="68" t="s">
        <v>1268</v>
      </c>
      <c r="BY315" s="68" t="s">
        <v>863</v>
      </c>
      <c r="BZ315" s="68">
        <v>1</v>
      </c>
      <c r="CA315" s="68">
        <v>2.2999999999999998</v>
      </c>
      <c r="CB315" s="68">
        <v>1.67</v>
      </c>
      <c r="CC315" s="68">
        <v>20</v>
      </c>
      <c r="CD315" s="68" t="s">
        <v>464</v>
      </c>
      <c r="CE315" s="68" t="s">
        <v>464</v>
      </c>
      <c r="CF315" s="68" t="s">
        <v>1271</v>
      </c>
      <c r="CG315" s="68">
        <v>1000</v>
      </c>
      <c r="CH315" s="68">
        <v>230</v>
      </c>
      <c r="CI315" s="68" t="s">
        <v>1335</v>
      </c>
      <c r="CK315" s="70">
        <v>3618</v>
      </c>
    </row>
    <row r="316" spans="1:89" x14ac:dyDescent="0.3">
      <c r="A316" t="s">
        <v>181</v>
      </c>
      <c r="B316" t="s">
        <v>2776</v>
      </c>
      <c r="C316" t="s">
        <v>4086</v>
      </c>
      <c r="D316" s="12"/>
      <c r="E316">
        <v>3.42</v>
      </c>
      <c r="F316" t="s">
        <v>176</v>
      </c>
      <c r="G316" s="8" t="s">
        <v>581</v>
      </c>
      <c r="H316" t="s">
        <v>656</v>
      </c>
      <c r="M316" t="b">
        <v>1</v>
      </c>
      <c r="N316" t="b">
        <v>1</v>
      </c>
      <c r="O316" t="b">
        <v>0</v>
      </c>
      <c r="P316" t="b">
        <v>0</v>
      </c>
      <c r="Q316" t="s">
        <v>581</v>
      </c>
      <c r="R316" t="s">
        <v>656</v>
      </c>
      <c r="T316">
        <v>2</v>
      </c>
      <c r="U316" s="20">
        <v>1</v>
      </c>
      <c r="V316">
        <v>2</v>
      </c>
      <c r="W316">
        <v>0</v>
      </c>
      <c r="X316">
        <v>3.8313999999999999</v>
      </c>
      <c r="Y316">
        <v>3.8313999999999999</v>
      </c>
      <c r="Z316">
        <v>28.871400000000001</v>
      </c>
      <c r="AA316" t="s">
        <v>440</v>
      </c>
      <c r="AB316">
        <v>14.435700000000001</v>
      </c>
      <c r="AC316" s="20">
        <v>14.88329339</v>
      </c>
      <c r="AD316" s="20">
        <v>14.88329339</v>
      </c>
      <c r="AE316" s="20">
        <v>14.88329339</v>
      </c>
      <c r="AF316">
        <v>3.8250999999999999</v>
      </c>
      <c r="AG316">
        <v>3.8250999999999999</v>
      </c>
      <c r="AH316">
        <v>28.884</v>
      </c>
      <c r="AI316">
        <v>0</v>
      </c>
      <c r="AM316">
        <v>20</v>
      </c>
      <c r="AN316" s="44">
        <f t="shared" si="40"/>
        <v>423.82135294154398</v>
      </c>
      <c r="AO316" s="46">
        <v>218.43262216091571</v>
      </c>
      <c r="AP316" s="44">
        <v>422.61306904883998</v>
      </c>
      <c r="AQ316" s="44">
        <v>0</v>
      </c>
      <c r="AR316" s="41">
        <f t="shared" si="44"/>
        <v>9.4379388207741013E-2</v>
      </c>
      <c r="AS316" s="40">
        <v>9.1561415150097566E-2</v>
      </c>
      <c r="AT316" s="41">
        <v>9.4649226276950119E-2</v>
      </c>
      <c r="AU316" s="41"/>
      <c r="AV316" s="23">
        <v>1.882352941176471</v>
      </c>
      <c r="AW316" s="23">
        <v>2.3529411764705879</v>
      </c>
      <c r="AX316" s="23">
        <v>1.6470588235294119</v>
      </c>
      <c r="AY316" s="23">
        <v>0</v>
      </c>
      <c r="AZ316" s="23">
        <v>0.32</v>
      </c>
      <c r="BA316" s="23">
        <v>0.4</v>
      </c>
      <c r="BB316" s="23">
        <v>0.28000000000000003</v>
      </c>
      <c r="BC316" s="23">
        <v>0</v>
      </c>
      <c r="BD316" s="20">
        <v>1.1000000000000001</v>
      </c>
      <c r="BE316" s="20">
        <v>3.44</v>
      </c>
      <c r="BF316" s="20">
        <v>2.34</v>
      </c>
      <c r="BG316" s="20">
        <v>2.651764705882353</v>
      </c>
      <c r="BH316">
        <v>2.651764705882353</v>
      </c>
      <c r="BI316">
        <v>5.9274383647058819</v>
      </c>
      <c r="BJ316" s="64">
        <v>0.55146660057091235</v>
      </c>
      <c r="BK316" s="64">
        <v>0.57006422384419775</v>
      </c>
      <c r="BL316" s="64"/>
      <c r="BM316">
        <v>4.7189694103870507E-2</v>
      </c>
      <c r="BN316">
        <v>4.5780707575048769E-2</v>
      </c>
      <c r="BO316">
        <v>4.7324613138475059E-2</v>
      </c>
      <c r="BQ316">
        <v>9.353000987826289E-2</v>
      </c>
      <c r="BR316">
        <v>4.6765004939131452E-2</v>
      </c>
      <c r="BS316">
        <v>0.56076541220755505</v>
      </c>
      <c r="BT316" s="68" t="s">
        <v>1264</v>
      </c>
      <c r="BU316" s="68">
        <v>1373</v>
      </c>
      <c r="BV316" s="68">
        <v>50</v>
      </c>
      <c r="BX316" s="68" t="s">
        <v>1268</v>
      </c>
      <c r="BY316" s="68" t="s">
        <v>863</v>
      </c>
      <c r="BZ316" s="68">
        <v>1</v>
      </c>
      <c r="CA316" s="68">
        <v>3.1</v>
      </c>
      <c r="CB316" s="68">
        <v>1.67</v>
      </c>
      <c r="CC316" s="68">
        <v>20</v>
      </c>
      <c r="CD316" s="68" t="s">
        <v>464</v>
      </c>
      <c r="CE316" s="68" t="s">
        <v>464</v>
      </c>
      <c r="CF316" s="68" t="s">
        <v>1271</v>
      </c>
      <c r="CG316" s="68">
        <v>1000</v>
      </c>
      <c r="CH316" s="68">
        <v>230</v>
      </c>
      <c r="CI316" s="68" t="s">
        <v>1335</v>
      </c>
      <c r="CK316" s="70">
        <v>763</v>
      </c>
    </row>
    <row r="317" spans="1:89" x14ac:dyDescent="0.3">
      <c r="A317" t="s">
        <v>2</v>
      </c>
      <c r="B317" t="s">
        <v>153</v>
      </c>
      <c r="C317" t="s">
        <v>3919</v>
      </c>
      <c r="D317" s="12"/>
      <c r="E317">
        <v>3.3</v>
      </c>
      <c r="F317" t="s">
        <v>176</v>
      </c>
      <c r="G317" s="8" t="s">
        <v>525</v>
      </c>
      <c r="H317">
        <v>-1</v>
      </c>
      <c r="M317" t="b">
        <v>1</v>
      </c>
      <c r="N317" t="b">
        <v>0</v>
      </c>
      <c r="O317" t="b">
        <v>0</v>
      </c>
      <c r="P317" t="b">
        <v>0</v>
      </c>
      <c r="Q317" t="s">
        <v>525</v>
      </c>
      <c r="R317">
        <v>-1</v>
      </c>
      <c r="T317">
        <v>4</v>
      </c>
      <c r="U317" s="20">
        <v>2</v>
      </c>
      <c r="V317">
        <v>0</v>
      </c>
      <c r="W317">
        <v>0</v>
      </c>
      <c r="X317">
        <v>5.5339999999999998</v>
      </c>
      <c r="Y317">
        <v>5.5033000000000003</v>
      </c>
      <c r="Z317">
        <v>22.083300000000001</v>
      </c>
      <c r="AA317" t="s">
        <v>515</v>
      </c>
      <c r="AB317">
        <v>11.041650000000001</v>
      </c>
      <c r="AC317" s="20">
        <v>11.92921406</v>
      </c>
      <c r="AD317" s="20">
        <v>11.92921406</v>
      </c>
      <c r="AE317" s="20">
        <v>11.92921406</v>
      </c>
      <c r="AF317">
        <v>0</v>
      </c>
      <c r="AI317">
        <v>0</v>
      </c>
      <c r="AM317">
        <v>14</v>
      </c>
      <c r="AN317" s="44">
        <f t="shared" ref="AN317:AN324" si="45">X317*Y317*Z317</f>
        <v>672.55269174125999</v>
      </c>
      <c r="AO317" s="46">
        <v>349.00875366799971</v>
      </c>
      <c r="AP317" s="44">
        <v>0</v>
      </c>
      <c r="AQ317" s="44">
        <v>0</v>
      </c>
      <c r="AR317" s="41"/>
      <c r="AS317" s="40">
        <v>8.0227214090553903E-2</v>
      </c>
      <c r="AT317" s="41"/>
      <c r="AU317" s="41"/>
      <c r="AV317" s="23">
        <v>1.7272727272727271</v>
      </c>
      <c r="AW317" s="23">
        <v>2.545454545454545</v>
      </c>
      <c r="AX317" s="23">
        <v>0.81818181818181823</v>
      </c>
      <c r="AY317" s="23">
        <v>0</v>
      </c>
      <c r="AZ317" s="23">
        <v>0.3392857142857143</v>
      </c>
      <c r="BA317" s="23">
        <v>0.5</v>
      </c>
      <c r="BB317" s="23">
        <v>0.1607142857142857</v>
      </c>
      <c r="BC317" s="23">
        <v>0</v>
      </c>
      <c r="BD317" s="20">
        <v>0.82</v>
      </c>
      <c r="BE317" s="20">
        <v>3.44</v>
      </c>
      <c r="BF317" s="20">
        <v>2.62</v>
      </c>
      <c r="BG317" s="20">
        <v>2.6545454545454539</v>
      </c>
      <c r="BH317">
        <v>2.6545454545454552</v>
      </c>
      <c r="BI317">
        <v>5.9865512095454543</v>
      </c>
      <c r="BJ317" s="64">
        <v>0.50734392504100967</v>
      </c>
      <c r="BK317" s="64"/>
      <c r="BL317" s="64"/>
      <c r="BN317">
        <v>4.0113607045276937E-2</v>
      </c>
      <c r="BQ317">
        <v>8.0227214090553903E-2</v>
      </c>
      <c r="BR317">
        <v>4.0113607045276937E-2</v>
      </c>
      <c r="BS317">
        <v>0.50734392504100967</v>
      </c>
      <c r="BT317" s="68" t="s">
        <v>1264</v>
      </c>
      <c r="BU317" s="68">
        <v>1373</v>
      </c>
      <c r="BV317" s="68">
        <v>50</v>
      </c>
      <c r="BX317" s="68" t="s">
        <v>464</v>
      </c>
      <c r="BY317" s="68" t="s">
        <v>464</v>
      </c>
      <c r="BZ317" s="68">
        <v>0</v>
      </c>
      <c r="CA317" s="68">
        <v>1.5</v>
      </c>
      <c r="CB317" s="68">
        <v>1.67</v>
      </c>
      <c r="CC317" s="68">
        <v>20</v>
      </c>
      <c r="CD317" s="68" t="s">
        <v>464</v>
      </c>
      <c r="CE317" s="68" t="s">
        <v>464</v>
      </c>
      <c r="CF317" s="68" t="s">
        <v>1271</v>
      </c>
      <c r="CG317" s="68">
        <v>1000</v>
      </c>
      <c r="CH317" s="68">
        <v>230</v>
      </c>
      <c r="CI317" s="68" t="s">
        <v>1335</v>
      </c>
      <c r="CK317" s="70">
        <v>0</v>
      </c>
    </row>
    <row r="318" spans="1:89" x14ac:dyDescent="0.3">
      <c r="A318" t="s">
        <v>175</v>
      </c>
      <c r="B318" t="s">
        <v>153</v>
      </c>
      <c r="C318" t="s">
        <v>4081</v>
      </c>
      <c r="D318" s="12"/>
      <c r="E318">
        <v>2.96</v>
      </c>
      <c r="F318" t="s">
        <v>176</v>
      </c>
      <c r="G318" s="8" t="s">
        <v>579</v>
      </c>
      <c r="H318" t="s">
        <v>654</v>
      </c>
      <c r="M318" t="b">
        <v>1</v>
      </c>
      <c r="N318" t="b">
        <v>1</v>
      </c>
      <c r="O318" t="b">
        <v>0</v>
      </c>
      <c r="P318" t="b">
        <v>0</v>
      </c>
      <c r="Q318" t="s">
        <v>579</v>
      </c>
      <c r="R318" t="s">
        <v>654</v>
      </c>
      <c r="T318">
        <v>2</v>
      </c>
      <c r="U318" s="20">
        <v>1</v>
      </c>
      <c r="V318">
        <v>2</v>
      </c>
      <c r="W318">
        <v>0</v>
      </c>
      <c r="X318">
        <v>3.9045000000000001</v>
      </c>
      <c r="Y318">
        <v>3.9045000000000001</v>
      </c>
      <c r="Z318">
        <v>21.652100000000001</v>
      </c>
      <c r="AA318" t="s">
        <v>516</v>
      </c>
      <c r="AB318">
        <v>10.82605</v>
      </c>
      <c r="AC318" s="20">
        <v>11.30538971</v>
      </c>
      <c r="AD318" s="20">
        <v>11.30538971</v>
      </c>
      <c r="AE318" s="20">
        <v>11.30538971</v>
      </c>
      <c r="AF318">
        <v>3.8996</v>
      </c>
      <c r="AG318">
        <v>3.8996</v>
      </c>
      <c r="AH318">
        <v>21.687999999999999</v>
      </c>
      <c r="AI318">
        <v>0</v>
      </c>
      <c r="AM318">
        <v>14</v>
      </c>
      <c r="AN318" s="44">
        <f t="shared" si="45"/>
        <v>330.08886816502502</v>
      </c>
      <c r="AO318" s="46">
        <v>169.7295487154349</v>
      </c>
      <c r="AP318" s="44">
        <v>329.80681691007999</v>
      </c>
      <c r="AQ318" s="44">
        <v>0</v>
      </c>
      <c r="AR318" s="41"/>
      <c r="AS318" s="40">
        <v>8.248416440128592E-2</v>
      </c>
      <c r="AT318" s="41">
        <v>8.4898184526107132E-2</v>
      </c>
      <c r="AU318" s="41"/>
      <c r="AV318" s="23">
        <v>1.7272727272727271</v>
      </c>
      <c r="AW318" s="23">
        <v>2.545454545454545</v>
      </c>
      <c r="AX318" s="23">
        <v>1.7272727272727271</v>
      </c>
      <c r="AY318" s="23">
        <v>0</v>
      </c>
      <c r="AZ318" s="23">
        <v>0.2878787878787879</v>
      </c>
      <c r="BA318" s="23">
        <v>0.42424242424242431</v>
      </c>
      <c r="BB318" s="23">
        <v>0.2878787878787879</v>
      </c>
      <c r="BC318" s="23">
        <v>0</v>
      </c>
      <c r="BD318" s="20">
        <v>1.1000000000000001</v>
      </c>
      <c r="BE318" s="20">
        <v>3.44</v>
      </c>
      <c r="BF318" s="20">
        <v>2.34</v>
      </c>
      <c r="BG318" s="20">
        <v>2.7554545454545449</v>
      </c>
      <c r="BH318">
        <v>2.7554545454545449</v>
      </c>
      <c r="BI318">
        <v>6.1782631499999994</v>
      </c>
      <c r="BJ318" s="64">
        <v>0.46170510468104309</v>
      </c>
      <c r="BK318" s="64">
        <v>0</v>
      </c>
      <c r="BL318" s="64"/>
      <c r="BN318">
        <v>4.124208220064296E-2</v>
      </c>
      <c r="BO318">
        <v>4.2449092263053573E-2</v>
      </c>
      <c r="BQ318">
        <v>8.3691174463696533E-2</v>
      </c>
      <c r="BR318">
        <v>4.1845587231848273E-2</v>
      </c>
      <c r="BS318">
        <v>0.23085255234052149</v>
      </c>
      <c r="BT318" s="68" t="s">
        <v>1264</v>
      </c>
      <c r="BU318" s="68">
        <v>1373</v>
      </c>
      <c r="BV318" s="68">
        <v>50</v>
      </c>
      <c r="BX318" s="68" t="s">
        <v>464</v>
      </c>
      <c r="BY318" s="68" t="s">
        <v>464</v>
      </c>
      <c r="BZ318" s="68">
        <v>0</v>
      </c>
      <c r="CA318" s="68">
        <v>4.2</v>
      </c>
      <c r="CB318" s="68">
        <v>1.67</v>
      </c>
      <c r="CC318" s="68">
        <v>20</v>
      </c>
      <c r="CD318" s="68" t="s">
        <v>464</v>
      </c>
      <c r="CE318" s="68" t="s">
        <v>464</v>
      </c>
      <c r="CF318" s="68" t="s">
        <v>1271</v>
      </c>
      <c r="CG318" s="68">
        <v>1000</v>
      </c>
      <c r="CH318" s="68">
        <v>230</v>
      </c>
      <c r="CI318" s="68" t="s">
        <v>1335</v>
      </c>
      <c r="CK318" s="70">
        <v>208</v>
      </c>
    </row>
    <row r="319" spans="1:89" x14ac:dyDescent="0.3">
      <c r="A319" t="s">
        <v>5</v>
      </c>
      <c r="B319" t="s">
        <v>4</v>
      </c>
      <c r="C319" t="s">
        <v>3922</v>
      </c>
      <c r="D319" s="12"/>
      <c r="E319">
        <v>3.5</v>
      </c>
      <c r="F319" t="s">
        <v>176</v>
      </c>
      <c r="G319" s="8" t="s">
        <v>528</v>
      </c>
      <c r="H319" t="s">
        <v>610</v>
      </c>
      <c r="M319" t="b">
        <v>1</v>
      </c>
      <c r="N319" t="b">
        <v>1</v>
      </c>
      <c r="O319" t="b">
        <v>0</v>
      </c>
      <c r="P319" t="b">
        <v>0</v>
      </c>
      <c r="Q319" t="s">
        <v>528</v>
      </c>
      <c r="R319" t="s">
        <v>610</v>
      </c>
      <c r="T319">
        <v>1</v>
      </c>
      <c r="U319" s="20">
        <v>1</v>
      </c>
      <c r="V319">
        <v>1</v>
      </c>
      <c r="W319">
        <v>0</v>
      </c>
      <c r="X319">
        <v>3.8650000000000002</v>
      </c>
      <c r="Y319">
        <v>3.8650000000000002</v>
      </c>
      <c r="Z319">
        <v>14.974299999999999</v>
      </c>
      <c r="AA319" t="s">
        <v>439</v>
      </c>
      <c r="AB319">
        <v>14.974299999999999</v>
      </c>
      <c r="AC319" s="20">
        <v>3.9661010000000001</v>
      </c>
      <c r="AD319" s="20">
        <v>3.9661010000000001</v>
      </c>
      <c r="AE319" s="20">
        <v>15.283337</v>
      </c>
      <c r="AF319">
        <v>3.8586499999999999</v>
      </c>
      <c r="AG319">
        <v>3.8586499999999999</v>
      </c>
      <c r="AH319">
        <v>14.9108</v>
      </c>
      <c r="AI319">
        <v>0</v>
      </c>
      <c r="AM319">
        <v>20</v>
      </c>
      <c r="AN319" s="44">
        <f t="shared" si="45"/>
        <v>223.6894626175</v>
      </c>
      <c r="AO319" s="46">
        <v>240.40623599981481</v>
      </c>
      <c r="AP319" s="44">
        <v>222.00958249733301</v>
      </c>
      <c r="AQ319" s="44">
        <v>0</v>
      </c>
      <c r="AR319" s="41"/>
      <c r="AS319" s="40">
        <v>8.3192517518619641E-2</v>
      </c>
      <c r="AT319" s="41">
        <v>9.0086201573034624E-2</v>
      </c>
      <c r="AU319" s="41"/>
      <c r="AV319" s="23">
        <v>1.75</v>
      </c>
      <c r="AW319" s="23">
        <v>2.5</v>
      </c>
      <c r="AX319" s="23">
        <v>0.75</v>
      </c>
      <c r="AY319" s="23">
        <v>0</v>
      </c>
      <c r="AZ319" s="23">
        <v>0.35</v>
      </c>
      <c r="BA319" s="23">
        <v>0.5</v>
      </c>
      <c r="BB319" s="23">
        <v>0.15</v>
      </c>
      <c r="BC319" s="23">
        <v>0</v>
      </c>
      <c r="BD319" s="20">
        <v>0.82</v>
      </c>
      <c r="BE319" s="20">
        <v>3.44</v>
      </c>
      <c r="BF319" s="20">
        <v>2.62</v>
      </c>
      <c r="BG319" s="20">
        <v>2.6262500000000002</v>
      </c>
      <c r="BH319">
        <v>2.6262500000000002</v>
      </c>
      <c r="BI319">
        <v>5.9612134765624996</v>
      </c>
      <c r="BJ319" s="64">
        <v>0.50467688585120674</v>
      </c>
      <c r="BK319" s="64">
        <v>0.54649654829675798</v>
      </c>
      <c r="BL319" s="64"/>
      <c r="BN319">
        <v>4.159625875930982E-2</v>
      </c>
      <c r="BO319">
        <v>4.5043100786517312E-2</v>
      </c>
      <c r="BQ319">
        <v>8.6639359545827133E-2</v>
      </c>
      <c r="BR319">
        <v>4.3319679772913573E-2</v>
      </c>
      <c r="BS319">
        <v>0.5255867170739823</v>
      </c>
      <c r="BT319" s="68" t="s">
        <v>1264</v>
      </c>
      <c r="BU319" s="68">
        <v>1373</v>
      </c>
      <c r="BV319" s="68">
        <v>50</v>
      </c>
      <c r="BX319" s="68" t="s">
        <v>464</v>
      </c>
      <c r="BY319" s="68" t="s">
        <v>464</v>
      </c>
      <c r="BZ319" s="68">
        <v>0</v>
      </c>
      <c r="CA319" s="68">
        <v>1.9</v>
      </c>
      <c r="CB319" s="68">
        <v>1.67</v>
      </c>
      <c r="CC319" s="68">
        <v>20</v>
      </c>
      <c r="CD319" s="68" t="s">
        <v>464</v>
      </c>
      <c r="CE319" s="68" t="s">
        <v>464</v>
      </c>
      <c r="CF319" s="68" t="s">
        <v>1271</v>
      </c>
      <c r="CG319" s="68">
        <v>1000</v>
      </c>
      <c r="CH319" s="68">
        <v>230</v>
      </c>
      <c r="CI319" s="68" t="s">
        <v>1335</v>
      </c>
      <c r="CK319" s="70">
        <v>0</v>
      </c>
    </row>
    <row r="320" spans="1:89" x14ac:dyDescent="0.3">
      <c r="A320" s="4" t="s">
        <v>177</v>
      </c>
      <c r="B320" t="s">
        <v>4</v>
      </c>
      <c r="C320" t="s">
        <v>4082</v>
      </c>
      <c r="D320" s="29"/>
      <c r="E320" s="4">
        <v>2.86</v>
      </c>
      <c r="F320" s="4" t="s">
        <v>176</v>
      </c>
      <c r="G320" s="25" t="s">
        <v>528</v>
      </c>
      <c r="H320" s="1" t="s">
        <v>610</v>
      </c>
      <c r="I320" s="4"/>
      <c r="J320" s="4" t="s">
        <v>1745</v>
      </c>
      <c r="K320" s="4" t="s">
        <v>1745</v>
      </c>
      <c r="L320" s="4"/>
      <c r="M320" t="b">
        <v>1</v>
      </c>
      <c r="N320" t="b">
        <v>1</v>
      </c>
      <c r="O320" t="b">
        <v>0</v>
      </c>
      <c r="P320" t="b">
        <v>0</v>
      </c>
      <c r="Q320" t="s">
        <v>2003</v>
      </c>
      <c r="R320" t="s">
        <v>2047</v>
      </c>
      <c r="T320" s="4"/>
      <c r="U320" s="31">
        <v>0</v>
      </c>
      <c r="V320">
        <v>0</v>
      </c>
      <c r="W320">
        <v>0</v>
      </c>
      <c r="X320" s="4"/>
      <c r="Y320" s="4"/>
      <c r="Z320" s="4"/>
      <c r="AA320" s="4"/>
      <c r="AB320" s="4"/>
      <c r="AC320" s="31">
        <v>0</v>
      </c>
      <c r="AD320" s="31"/>
      <c r="AE320" s="31"/>
      <c r="AF320">
        <v>0</v>
      </c>
      <c r="AI320">
        <v>0</v>
      </c>
      <c r="AL320" s="4"/>
      <c r="AM320" s="4">
        <v>20</v>
      </c>
      <c r="AN320" s="44">
        <f t="shared" si="45"/>
        <v>0</v>
      </c>
      <c r="AO320" s="46">
        <v>0</v>
      </c>
      <c r="AP320" s="44">
        <v>0</v>
      </c>
      <c r="AQ320" s="44">
        <v>0</v>
      </c>
      <c r="AR320" s="41"/>
      <c r="AS320" s="40"/>
      <c r="AT320" s="41"/>
      <c r="AU320" s="41"/>
      <c r="AV320" s="4">
        <v>1.75</v>
      </c>
      <c r="AW320" s="4">
        <v>2.5</v>
      </c>
      <c r="AX320" s="4">
        <v>1.375</v>
      </c>
      <c r="AY320" s="4">
        <v>0</v>
      </c>
      <c r="AZ320" s="4">
        <v>0.31111111111111112</v>
      </c>
      <c r="BA320" s="4">
        <v>0.44444444444444442</v>
      </c>
      <c r="BB320" s="4">
        <v>0.24444444444444441</v>
      </c>
      <c r="BC320" s="4">
        <v>0</v>
      </c>
      <c r="BD320" s="31">
        <v>1</v>
      </c>
      <c r="BE320" s="31">
        <v>3.44</v>
      </c>
      <c r="BF320" s="31">
        <v>2.44</v>
      </c>
      <c r="BG320" s="31">
        <v>2.6956250000000002</v>
      </c>
      <c r="BH320" s="4">
        <v>2.6956250000000002</v>
      </c>
      <c r="BI320" s="4">
        <v>6.0930154356250004</v>
      </c>
      <c r="BJ320" s="64"/>
      <c r="BK320" s="64"/>
      <c r="BL320" s="64"/>
      <c r="BQ320">
        <v>0</v>
      </c>
      <c r="BR320">
        <v>0</v>
      </c>
      <c r="BS320">
        <v>0</v>
      </c>
      <c r="BT320" s="68" t="s">
        <v>1264</v>
      </c>
      <c r="BU320" s="68">
        <v>1373</v>
      </c>
      <c r="BV320" s="68">
        <v>50</v>
      </c>
      <c r="BX320" s="68" t="s">
        <v>464</v>
      </c>
      <c r="BY320" s="68" t="s">
        <v>464</v>
      </c>
      <c r="BZ320" s="68">
        <v>0</v>
      </c>
      <c r="CA320" s="68">
        <v>2.1</v>
      </c>
      <c r="CB320" s="68">
        <v>1.67</v>
      </c>
      <c r="CC320" s="68">
        <v>20</v>
      </c>
      <c r="CD320" s="68" t="s">
        <v>464</v>
      </c>
      <c r="CE320" s="68" t="s">
        <v>464</v>
      </c>
      <c r="CF320" s="68" t="s">
        <v>1271</v>
      </c>
      <c r="CG320" s="68">
        <v>1000</v>
      </c>
      <c r="CH320" s="68">
        <v>230</v>
      </c>
      <c r="CI320" s="68" t="s">
        <v>1335</v>
      </c>
      <c r="CK320" s="70">
        <v>2030</v>
      </c>
    </row>
    <row r="321" spans="1:89" x14ac:dyDescent="0.3">
      <c r="A321" t="s">
        <v>178</v>
      </c>
      <c r="B321" t="s">
        <v>4</v>
      </c>
      <c r="C321" t="s">
        <v>4083</v>
      </c>
      <c r="D321" s="12"/>
      <c r="E321">
        <v>3.1</v>
      </c>
      <c r="F321" t="s">
        <v>176</v>
      </c>
      <c r="G321" s="8" t="s">
        <v>580</v>
      </c>
      <c r="H321" t="s">
        <v>655</v>
      </c>
      <c r="M321" t="b">
        <v>1</v>
      </c>
      <c r="N321" t="b">
        <v>1</v>
      </c>
      <c r="O321" t="b">
        <v>0</v>
      </c>
      <c r="P321" t="b">
        <v>0</v>
      </c>
      <c r="Q321" t="s">
        <v>580</v>
      </c>
      <c r="R321" t="s">
        <v>655</v>
      </c>
      <c r="T321">
        <v>1</v>
      </c>
      <c r="U321" s="20">
        <v>1</v>
      </c>
      <c r="V321">
        <v>1</v>
      </c>
      <c r="W321">
        <v>0</v>
      </c>
      <c r="X321">
        <v>3.9007999999999998</v>
      </c>
      <c r="Y321">
        <v>3.9007999999999998</v>
      </c>
      <c r="Z321">
        <v>15.317</v>
      </c>
      <c r="AA321" t="s">
        <v>439</v>
      </c>
      <c r="AB321">
        <v>15.317</v>
      </c>
      <c r="AC321" s="20">
        <v>3.9860820000000001</v>
      </c>
      <c r="AD321" s="20">
        <v>3.9860820000000001</v>
      </c>
      <c r="AE321" s="20">
        <v>15.440419</v>
      </c>
      <c r="AF321">
        <v>3.8944000000000001</v>
      </c>
      <c r="AG321">
        <v>3.8944000000000001</v>
      </c>
      <c r="AH321">
        <v>15.271000000000001</v>
      </c>
      <c r="AI321">
        <v>0</v>
      </c>
      <c r="AM321">
        <v>20</v>
      </c>
      <c r="AN321" s="44">
        <f t="shared" si="45"/>
        <v>233.06715788288</v>
      </c>
      <c r="AO321" s="46">
        <v>245.33049696160739</v>
      </c>
      <c r="AP321" s="44">
        <v>231.60535161856001</v>
      </c>
      <c r="AQ321" s="44">
        <v>0</v>
      </c>
      <c r="AR321" s="41"/>
      <c r="AS321" s="40">
        <v>8.1522681638434333E-2</v>
      </c>
      <c r="AT321" s="41">
        <v>8.6353790446685313E-2</v>
      </c>
      <c r="AU321" s="41"/>
      <c r="AV321" s="23">
        <v>1.75</v>
      </c>
      <c r="AW321" s="23">
        <v>2.5</v>
      </c>
      <c r="AX321" s="23">
        <v>0.75</v>
      </c>
      <c r="AY321" s="23">
        <v>0</v>
      </c>
      <c r="AZ321" s="23">
        <v>0.35</v>
      </c>
      <c r="BA321" s="23">
        <v>0.5</v>
      </c>
      <c r="BB321" s="23">
        <v>0.15</v>
      </c>
      <c r="BC321" s="23">
        <v>0</v>
      </c>
      <c r="BD321" s="20">
        <v>0.82</v>
      </c>
      <c r="BE321" s="20">
        <v>3.44</v>
      </c>
      <c r="BF321" s="20">
        <v>2.62</v>
      </c>
      <c r="BG321" s="20">
        <v>2.62</v>
      </c>
      <c r="BH321">
        <v>2.62</v>
      </c>
      <c r="BI321">
        <v>5.9367901628125006</v>
      </c>
      <c r="BJ321" s="64">
        <v>0.52249469585014929</v>
      </c>
      <c r="BK321" s="64">
        <v>0.55345821025686881</v>
      </c>
      <c r="BL321" s="64"/>
      <c r="BN321">
        <v>4.0761340819217173E-2</v>
      </c>
      <c r="BO321">
        <v>4.3176895223342657E-2</v>
      </c>
      <c r="BQ321">
        <v>8.3938236042559816E-2</v>
      </c>
      <c r="BR321">
        <v>4.1969118021279922E-2</v>
      </c>
      <c r="BS321">
        <v>0.53797645305350905</v>
      </c>
      <c r="BT321" s="68" t="s">
        <v>1264</v>
      </c>
      <c r="BU321" s="68">
        <v>1373</v>
      </c>
      <c r="BV321" s="68">
        <v>50</v>
      </c>
      <c r="BX321" s="68" t="s">
        <v>464</v>
      </c>
      <c r="BY321" s="68" t="s">
        <v>464</v>
      </c>
      <c r="BZ321" s="68">
        <v>0</v>
      </c>
      <c r="CA321" s="68">
        <v>2.7</v>
      </c>
      <c r="CB321" s="68">
        <v>1.67</v>
      </c>
      <c r="CC321" s="68">
        <v>20</v>
      </c>
      <c r="CD321" s="68" t="s">
        <v>464</v>
      </c>
      <c r="CE321" s="68" t="s">
        <v>464</v>
      </c>
      <c r="CF321" s="68" t="s">
        <v>1271</v>
      </c>
      <c r="CG321" s="68">
        <v>1000</v>
      </c>
      <c r="CH321" s="68">
        <v>230</v>
      </c>
      <c r="CI321" s="68" t="s">
        <v>1335</v>
      </c>
      <c r="CK321" s="70">
        <v>0</v>
      </c>
    </row>
    <row r="322" spans="1:89" x14ac:dyDescent="0.3">
      <c r="A322" s="4" t="s">
        <v>179</v>
      </c>
      <c r="B322" t="s">
        <v>4</v>
      </c>
      <c r="C322" t="s">
        <v>4084</v>
      </c>
      <c r="D322" s="29"/>
      <c r="E322" s="4">
        <v>2.85</v>
      </c>
      <c r="F322" s="4" t="s">
        <v>176</v>
      </c>
      <c r="G322" s="25" t="s">
        <v>528</v>
      </c>
      <c r="H322" s="1" t="s">
        <v>610</v>
      </c>
      <c r="I322" s="4"/>
      <c r="J322" s="4" t="s">
        <v>1805</v>
      </c>
      <c r="K322" s="4" t="s">
        <v>1805</v>
      </c>
      <c r="L322" s="4"/>
      <c r="M322" t="b">
        <v>1</v>
      </c>
      <c r="N322" t="b">
        <v>1</v>
      </c>
      <c r="O322" t="b">
        <v>0</v>
      </c>
      <c r="P322" t="b">
        <v>0</v>
      </c>
      <c r="Q322" t="s">
        <v>2004</v>
      </c>
      <c r="R322" t="s">
        <v>2049</v>
      </c>
      <c r="T322" s="4"/>
      <c r="U322" s="31">
        <v>0</v>
      </c>
      <c r="V322">
        <v>0</v>
      </c>
      <c r="W322">
        <v>0</v>
      </c>
      <c r="X322" s="4"/>
      <c r="Y322" s="4"/>
      <c r="Z322" s="4"/>
      <c r="AA322" s="4"/>
      <c r="AB322" s="4"/>
      <c r="AC322" s="31">
        <v>0</v>
      </c>
      <c r="AD322" s="31"/>
      <c r="AE322" s="31"/>
      <c r="AF322">
        <v>0</v>
      </c>
      <c r="AI322">
        <v>0</v>
      </c>
      <c r="AL322" s="4"/>
      <c r="AM322" s="4">
        <v>20</v>
      </c>
      <c r="AN322" s="44">
        <f t="shared" si="45"/>
        <v>0</v>
      </c>
      <c r="AO322" s="46">
        <v>0</v>
      </c>
      <c r="AP322" s="44">
        <v>0</v>
      </c>
      <c r="AQ322" s="44">
        <v>0</v>
      </c>
      <c r="AR322" s="41"/>
      <c r="AS322" s="40"/>
      <c r="AT322" s="41"/>
      <c r="AU322" s="41"/>
      <c r="AV322" s="4">
        <v>1.75</v>
      </c>
      <c r="AW322" s="4">
        <v>2.5</v>
      </c>
      <c r="AX322" s="4">
        <v>1.375</v>
      </c>
      <c r="AY322" s="4">
        <v>0</v>
      </c>
      <c r="AZ322" s="4">
        <v>0.31111111111111112</v>
      </c>
      <c r="BA322" s="4">
        <v>0.44444444444444442</v>
      </c>
      <c r="BB322" s="4">
        <v>0.24444444444444441</v>
      </c>
      <c r="BC322" s="4">
        <v>0</v>
      </c>
      <c r="BD322" s="31">
        <v>0.95</v>
      </c>
      <c r="BE322" s="31">
        <v>3.44</v>
      </c>
      <c r="BF322" s="31">
        <v>2.4900000000000002</v>
      </c>
      <c r="BG322" s="31">
        <v>2.6893750000000001</v>
      </c>
      <c r="BH322" s="4">
        <v>2.6893750000000001</v>
      </c>
      <c r="BI322" s="4">
        <v>6.0685921218750014</v>
      </c>
      <c r="BJ322" s="64"/>
      <c r="BK322" s="64"/>
      <c r="BL322" s="64"/>
      <c r="BQ322">
        <v>0</v>
      </c>
      <c r="BR322">
        <v>0</v>
      </c>
      <c r="BS322">
        <v>0</v>
      </c>
      <c r="BT322" s="68" t="s">
        <v>1264</v>
      </c>
      <c r="BU322" s="68">
        <v>1373</v>
      </c>
      <c r="BV322" s="68">
        <v>50</v>
      </c>
      <c r="BX322" s="68" t="s">
        <v>464</v>
      </c>
      <c r="BY322" s="68" t="s">
        <v>464</v>
      </c>
      <c r="BZ322" s="68">
        <v>0</v>
      </c>
      <c r="CA322" s="68">
        <v>3</v>
      </c>
      <c r="CB322" s="68">
        <v>1.67</v>
      </c>
      <c r="CC322" s="68">
        <v>20</v>
      </c>
      <c r="CD322" s="68" t="s">
        <v>464</v>
      </c>
      <c r="CE322" s="68" t="s">
        <v>464</v>
      </c>
      <c r="CF322" s="68" t="s">
        <v>1271</v>
      </c>
      <c r="CG322" s="68">
        <v>1000</v>
      </c>
      <c r="CH322" s="68">
        <v>230</v>
      </c>
      <c r="CI322" s="68" t="s">
        <v>1335</v>
      </c>
      <c r="CK322" s="70">
        <v>1256</v>
      </c>
    </row>
    <row r="323" spans="1:89" x14ac:dyDescent="0.3">
      <c r="A323" t="s">
        <v>180</v>
      </c>
      <c r="B323" t="s">
        <v>2776</v>
      </c>
      <c r="C323" t="s">
        <v>4085</v>
      </c>
      <c r="D323" s="12"/>
      <c r="E323">
        <v>3.6</v>
      </c>
      <c r="F323" t="s">
        <v>176</v>
      </c>
      <c r="G323" s="8" t="s">
        <v>581</v>
      </c>
      <c r="H323" t="s">
        <v>656</v>
      </c>
      <c r="J323" s="4" t="s">
        <v>2240</v>
      </c>
      <c r="K323" s="4" t="s">
        <v>2240</v>
      </c>
      <c r="M323" t="b">
        <v>1</v>
      </c>
      <c r="N323" t="b">
        <v>1</v>
      </c>
      <c r="O323" t="b">
        <v>0</v>
      </c>
      <c r="P323" t="b">
        <v>0</v>
      </c>
      <c r="Q323" t="s">
        <v>2005</v>
      </c>
      <c r="R323" t="s">
        <v>2053</v>
      </c>
      <c r="T323">
        <v>2</v>
      </c>
      <c r="U323" s="20">
        <v>0</v>
      </c>
      <c r="V323">
        <v>0</v>
      </c>
      <c r="W323">
        <v>0</v>
      </c>
      <c r="X323">
        <v>3.9287999999999998</v>
      </c>
      <c r="Y323">
        <v>3.9287999999999998</v>
      </c>
      <c r="Z323">
        <v>30.2698</v>
      </c>
      <c r="AA323" t="s">
        <v>439</v>
      </c>
      <c r="AB323">
        <v>15.1349</v>
      </c>
      <c r="AC323" s="20">
        <v>0</v>
      </c>
      <c r="AD323" s="20"/>
      <c r="AE323" s="20"/>
      <c r="AF323">
        <v>0</v>
      </c>
      <c r="AI323">
        <v>0</v>
      </c>
      <c r="AM323">
        <v>20</v>
      </c>
      <c r="AN323" s="44">
        <f t="shared" si="45"/>
        <v>467.22857285491193</v>
      </c>
      <c r="AO323" s="46">
        <v>0</v>
      </c>
      <c r="AP323" s="44">
        <v>0</v>
      </c>
      <c r="AQ323" s="44">
        <v>0</v>
      </c>
      <c r="AR323" s="41">
        <f t="shared" ref="AR323:AR324" si="46">T323*AM323/AN323</f>
        <v>8.5611202576048706E-2</v>
      </c>
      <c r="AS323" s="40"/>
      <c r="AT323" s="41"/>
      <c r="AU323" s="41"/>
      <c r="AV323" s="23">
        <v>1.882352941176471</v>
      </c>
      <c r="AW323" s="23">
        <v>2.3529411764705879</v>
      </c>
      <c r="AX323" s="23">
        <v>0.47058823529411759</v>
      </c>
      <c r="AY323" s="23">
        <v>0</v>
      </c>
      <c r="AZ323" s="23">
        <v>0.4</v>
      </c>
      <c r="BA323" s="23">
        <v>0.5</v>
      </c>
      <c r="BB323" s="23">
        <v>9.9999999999999992E-2</v>
      </c>
      <c r="BC323" s="23">
        <v>0</v>
      </c>
      <c r="BD323" s="20">
        <v>0.82</v>
      </c>
      <c r="BE323" s="20">
        <v>3.44</v>
      </c>
      <c r="BF323" s="20">
        <v>2.62</v>
      </c>
      <c r="BG323" s="20">
        <v>2.5211764705882351</v>
      </c>
      <c r="BH323">
        <v>2.521176470588236</v>
      </c>
      <c r="BI323">
        <v>5.6793405594117647</v>
      </c>
      <c r="BJ323" s="64"/>
      <c r="BK323" s="64"/>
      <c r="BL323" s="64"/>
      <c r="BM323">
        <v>4.2805601288024353E-2</v>
      </c>
      <c r="BQ323">
        <v>8.5611202576048706E-2</v>
      </c>
      <c r="BR323">
        <v>4.2805601288024353E-2</v>
      </c>
      <c r="BS323">
        <v>0</v>
      </c>
      <c r="BT323" s="68" t="s">
        <v>1264</v>
      </c>
      <c r="BU323" s="68">
        <v>1373</v>
      </c>
      <c r="BV323" s="68">
        <v>50</v>
      </c>
      <c r="BX323" s="68" t="s">
        <v>464</v>
      </c>
      <c r="BY323" s="68" t="s">
        <v>464</v>
      </c>
      <c r="BZ323" s="68">
        <v>0</v>
      </c>
      <c r="CA323" s="68">
        <v>2.2999999999999998</v>
      </c>
      <c r="CB323" s="68">
        <v>1.67</v>
      </c>
      <c r="CC323" s="68">
        <v>20</v>
      </c>
      <c r="CD323" s="68" t="s">
        <v>464</v>
      </c>
      <c r="CE323" s="68" t="s">
        <v>464</v>
      </c>
      <c r="CF323" s="68" t="s">
        <v>1271</v>
      </c>
      <c r="CG323" s="68">
        <v>1000</v>
      </c>
      <c r="CH323" s="68">
        <v>230</v>
      </c>
      <c r="CI323" s="68" t="s">
        <v>1335</v>
      </c>
      <c r="CK323" s="70">
        <v>0</v>
      </c>
    </row>
    <row r="324" spans="1:89" x14ac:dyDescent="0.3">
      <c r="A324" t="s">
        <v>181</v>
      </c>
      <c r="B324" t="s">
        <v>2776</v>
      </c>
      <c r="C324" t="s">
        <v>4086</v>
      </c>
      <c r="D324" s="12"/>
      <c r="E324">
        <v>2.65</v>
      </c>
      <c r="F324" t="s">
        <v>176</v>
      </c>
      <c r="G324" s="8" t="s">
        <v>581</v>
      </c>
      <c r="H324" t="s">
        <v>656</v>
      </c>
      <c r="M324" t="b">
        <v>1</v>
      </c>
      <c r="N324" t="b">
        <v>1</v>
      </c>
      <c r="O324" t="b">
        <v>0</v>
      </c>
      <c r="P324" t="b">
        <v>0</v>
      </c>
      <c r="Q324" t="s">
        <v>581</v>
      </c>
      <c r="R324" t="s">
        <v>656</v>
      </c>
      <c r="T324">
        <v>2</v>
      </c>
      <c r="U324" s="20">
        <v>1</v>
      </c>
      <c r="V324">
        <v>2</v>
      </c>
      <c r="W324">
        <v>0</v>
      </c>
      <c r="X324">
        <v>3.8313999999999999</v>
      </c>
      <c r="Y324">
        <v>3.8313999999999999</v>
      </c>
      <c r="Z324">
        <v>28.871400000000001</v>
      </c>
      <c r="AA324" t="s">
        <v>440</v>
      </c>
      <c r="AB324">
        <v>14.435700000000001</v>
      </c>
      <c r="AC324" s="20">
        <v>14.88329339</v>
      </c>
      <c r="AD324" s="20">
        <v>14.88329339</v>
      </c>
      <c r="AE324" s="20">
        <v>14.88329339</v>
      </c>
      <c r="AF324">
        <v>3.8250999999999999</v>
      </c>
      <c r="AG324">
        <v>3.8250999999999999</v>
      </c>
      <c r="AH324">
        <v>28.884</v>
      </c>
      <c r="AI324">
        <v>0</v>
      </c>
      <c r="AM324">
        <v>20</v>
      </c>
      <c r="AN324" s="44">
        <f t="shared" si="45"/>
        <v>423.82135294154398</v>
      </c>
      <c r="AO324" s="46">
        <v>218.43262216091571</v>
      </c>
      <c r="AP324" s="44">
        <v>422.61306904883998</v>
      </c>
      <c r="AQ324" s="44">
        <v>0</v>
      </c>
      <c r="AR324" s="41">
        <f t="shared" si="46"/>
        <v>9.4379388207741013E-2</v>
      </c>
      <c r="AS324" s="40">
        <v>9.1561415150097566E-2</v>
      </c>
      <c r="AT324" s="41">
        <v>9.4649226276950119E-2</v>
      </c>
      <c r="AU324" s="41"/>
      <c r="AV324" s="23">
        <v>1.882352941176471</v>
      </c>
      <c r="AW324" s="23">
        <v>2.3529411764705879</v>
      </c>
      <c r="AX324" s="23">
        <v>1.6470588235294119</v>
      </c>
      <c r="AY324" s="23">
        <v>0</v>
      </c>
      <c r="AZ324" s="23">
        <v>0.32</v>
      </c>
      <c r="BA324" s="23">
        <v>0.4</v>
      </c>
      <c r="BB324" s="23">
        <v>0.28000000000000003</v>
      </c>
      <c r="BC324" s="23">
        <v>0</v>
      </c>
      <c r="BD324" s="20">
        <v>1.1000000000000001</v>
      </c>
      <c r="BE324" s="20">
        <v>3.44</v>
      </c>
      <c r="BF324" s="20">
        <v>2.34</v>
      </c>
      <c r="BG324" s="20">
        <v>2.651764705882353</v>
      </c>
      <c r="BH324">
        <v>2.651764705882353</v>
      </c>
      <c r="BI324">
        <v>5.9274383647058819</v>
      </c>
      <c r="BJ324" s="64">
        <v>0.55146660057091235</v>
      </c>
      <c r="BK324" s="64">
        <v>0.57006422384419775</v>
      </c>
      <c r="BL324" s="64"/>
      <c r="BM324">
        <v>4.7189694103870507E-2</v>
      </c>
      <c r="BN324">
        <v>4.5780707575048769E-2</v>
      </c>
      <c r="BO324">
        <v>4.7324613138475059E-2</v>
      </c>
      <c r="BQ324">
        <v>9.353000987826289E-2</v>
      </c>
      <c r="BR324">
        <v>4.6765004939131452E-2</v>
      </c>
      <c r="BS324">
        <v>0.56076541220755505</v>
      </c>
      <c r="BT324" s="68" t="s">
        <v>1264</v>
      </c>
      <c r="BU324" s="68">
        <v>1373</v>
      </c>
      <c r="BV324" s="68">
        <v>50</v>
      </c>
      <c r="BX324" s="68" t="s">
        <v>464</v>
      </c>
      <c r="BY324" s="68" t="s">
        <v>464</v>
      </c>
      <c r="BZ324" s="68">
        <v>0</v>
      </c>
      <c r="CA324" s="68">
        <v>3.1</v>
      </c>
      <c r="CB324" s="68">
        <v>1.67</v>
      </c>
      <c r="CC324" s="68">
        <v>20</v>
      </c>
      <c r="CD324" s="68" t="s">
        <v>464</v>
      </c>
      <c r="CE324" s="68" t="s">
        <v>464</v>
      </c>
      <c r="CF324" s="68" t="s">
        <v>1271</v>
      </c>
      <c r="CG324" s="68">
        <v>1000</v>
      </c>
      <c r="CH324" s="68">
        <v>230</v>
      </c>
      <c r="CI324" s="68" t="s">
        <v>1335</v>
      </c>
      <c r="CK324" s="70">
        <v>230</v>
      </c>
    </row>
    <row r="325" spans="1:89" x14ac:dyDescent="0.3">
      <c r="A325" t="s">
        <v>38</v>
      </c>
      <c r="C325" t="s">
        <v>714</v>
      </c>
      <c r="D325" s="12"/>
      <c r="E325">
        <v>3.9</v>
      </c>
      <c r="F325" t="s">
        <v>182</v>
      </c>
      <c r="G325" s="8" t="s">
        <v>545</v>
      </c>
      <c r="H325" t="s">
        <v>626</v>
      </c>
      <c r="M325" t="b">
        <v>1</v>
      </c>
      <c r="N325" t="b">
        <v>1</v>
      </c>
      <c r="O325" t="b">
        <v>0</v>
      </c>
      <c r="P325" t="b">
        <v>0</v>
      </c>
      <c r="Q325" t="s">
        <v>545</v>
      </c>
      <c r="R325" t="s">
        <v>626</v>
      </c>
      <c r="U325" s="20">
        <v>1</v>
      </c>
      <c r="V325">
        <v>1</v>
      </c>
      <c r="W325">
        <v>0</v>
      </c>
      <c r="AC325" s="20">
        <v>5.8532381300000003</v>
      </c>
      <c r="AD325" s="20">
        <v>5.8532371599999999</v>
      </c>
      <c r="AE325" s="20">
        <v>11.912811489999999</v>
      </c>
      <c r="AF325">
        <v>5.7946</v>
      </c>
      <c r="AG325">
        <v>5.7946</v>
      </c>
      <c r="AH325">
        <v>11.787599999999999</v>
      </c>
      <c r="AI325">
        <v>0</v>
      </c>
      <c r="AM325">
        <v>30</v>
      </c>
      <c r="AN325" s="44">
        <f t="shared" si="40"/>
        <v>0</v>
      </c>
      <c r="AO325" s="46">
        <v>353.45760058531442</v>
      </c>
      <c r="AP325" s="44">
        <v>342.77011164986573</v>
      </c>
      <c r="AQ325" s="44">
        <v>0</v>
      </c>
      <c r="AR325" s="41"/>
      <c r="AS325" s="40">
        <v>8.487580957467307E-2</v>
      </c>
      <c r="AT325" s="41">
        <v>8.752221672887435E-2</v>
      </c>
      <c r="AU325" s="41"/>
      <c r="AV325" s="23">
        <v>1.833333333333333</v>
      </c>
      <c r="AW325" s="23">
        <v>2.5</v>
      </c>
      <c r="AX325" s="23">
        <v>0.66666666666666663</v>
      </c>
      <c r="AY325" s="23">
        <v>0</v>
      </c>
      <c r="AZ325" s="23">
        <v>0.36666666666666659</v>
      </c>
      <c r="BA325" s="23">
        <v>0.5</v>
      </c>
      <c r="BB325" s="23">
        <v>0.1333333333333333</v>
      </c>
      <c r="BC325" s="23">
        <v>0</v>
      </c>
      <c r="BD325" s="20">
        <v>0.89</v>
      </c>
      <c r="BE325" s="20">
        <v>3.44</v>
      </c>
      <c r="BF325" s="20">
        <v>2.5499999999999998</v>
      </c>
      <c r="BG325" s="20">
        <v>2.6020833333333329</v>
      </c>
      <c r="BH325">
        <v>2.6020833333333329</v>
      </c>
      <c r="BI325">
        <v>5.9098726145833336</v>
      </c>
      <c r="BJ325" s="64">
        <v>0.57410011132036598</v>
      </c>
      <c r="BK325" s="64">
        <v>0.59200041353179045</v>
      </c>
      <c r="BL325" s="64"/>
      <c r="BN325">
        <v>4.2437904787336528E-2</v>
      </c>
      <c r="BO325">
        <v>4.3761108364437168E-2</v>
      </c>
      <c r="BQ325">
        <v>8.619901315177371E-2</v>
      </c>
      <c r="BR325">
        <v>4.3099506575886848E-2</v>
      </c>
      <c r="BS325">
        <v>0.58305026242607827</v>
      </c>
      <c r="BT325" s="68" t="s">
        <v>1264</v>
      </c>
      <c r="BU325" s="68">
        <v>1473</v>
      </c>
      <c r="BV325" s="68">
        <v>10</v>
      </c>
      <c r="BX325" s="68" t="s">
        <v>464</v>
      </c>
      <c r="BY325" s="68" t="s">
        <v>464</v>
      </c>
      <c r="BZ325" s="68">
        <v>0</v>
      </c>
      <c r="CA325" s="68">
        <v>0.7</v>
      </c>
      <c r="CB325" s="68">
        <v>1.32</v>
      </c>
      <c r="CC325" s="68">
        <v>0</v>
      </c>
      <c r="CD325" s="68" t="s">
        <v>464</v>
      </c>
      <c r="CE325" s="68" t="s">
        <v>464</v>
      </c>
      <c r="CF325" s="68" t="s">
        <v>1266</v>
      </c>
      <c r="CG325" s="68">
        <v>400</v>
      </c>
      <c r="CI325" s="68" t="s">
        <v>1287</v>
      </c>
      <c r="CK325" s="70">
        <f>20</f>
        <v>20</v>
      </c>
    </row>
    <row r="326" spans="1:89" x14ac:dyDescent="0.3">
      <c r="A326" t="s">
        <v>38</v>
      </c>
      <c r="C326" t="s">
        <v>714</v>
      </c>
      <c r="D326" s="12"/>
      <c r="E326">
        <v>3.9</v>
      </c>
      <c r="F326" t="s">
        <v>182</v>
      </c>
      <c r="G326" s="8" t="s">
        <v>545</v>
      </c>
      <c r="H326" t="s">
        <v>626</v>
      </c>
      <c r="M326" t="b">
        <v>1</v>
      </c>
      <c r="N326" t="b">
        <v>1</v>
      </c>
      <c r="O326" t="b">
        <v>0</v>
      </c>
      <c r="P326" t="b">
        <v>0</v>
      </c>
      <c r="Q326" t="s">
        <v>545</v>
      </c>
      <c r="R326" t="s">
        <v>626</v>
      </c>
      <c r="U326" s="20">
        <v>1</v>
      </c>
      <c r="V326">
        <v>1</v>
      </c>
      <c r="W326">
        <v>0</v>
      </c>
      <c r="AC326" s="20">
        <v>5.8532381300000003</v>
      </c>
      <c r="AD326" s="20">
        <v>5.8532371599999999</v>
      </c>
      <c r="AE326" s="20">
        <v>11.912811489999999</v>
      </c>
      <c r="AF326">
        <v>5.7946</v>
      </c>
      <c r="AG326">
        <v>5.7946</v>
      </c>
      <c r="AH326">
        <v>11.787599999999999</v>
      </c>
      <c r="AI326">
        <v>0</v>
      </c>
      <c r="AM326">
        <v>30</v>
      </c>
      <c r="AN326" s="44">
        <f t="shared" ref="AN326" si="47">X326*Y326*Z326</f>
        <v>0</v>
      </c>
      <c r="AO326" s="46">
        <v>353.45760058531442</v>
      </c>
      <c r="AP326" s="44">
        <v>342.77011164986573</v>
      </c>
      <c r="AQ326" s="44">
        <v>0</v>
      </c>
      <c r="AR326" s="41"/>
      <c r="AS326" s="40">
        <v>8.487580957467307E-2</v>
      </c>
      <c r="AT326" s="41">
        <v>8.752221672887435E-2</v>
      </c>
      <c r="AU326" s="41"/>
      <c r="AV326" s="23">
        <v>1.833333333333333</v>
      </c>
      <c r="AW326" s="23">
        <v>2.5</v>
      </c>
      <c r="AX326" s="23">
        <v>0.66666666666666663</v>
      </c>
      <c r="AY326" s="23">
        <v>0</v>
      </c>
      <c r="AZ326" s="23">
        <v>0.36666666666666659</v>
      </c>
      <c r="BA326" s="23">
        <v>0.5</v>
      </c>
      <c r="BB326" s="23">
        <v>0.1333333333333333</v>
      </c>
      <c r="BC326" s="23">
        <v>0</v>
      </c>
      <c r="BD326" s="20">
        <v>0.89</v>
      </c>
      <c r="BE326" s="20">
        <v>3.44</v>
      </c>
      <c r="BF326" s="20">
        <v>2.5499999999999998</v>
      </c>
      <c r="BG326" s="20">
        <v>2.6020833333333329</v>
      </c>
      <c r="BH326">
        <v>2.6020833333333329</v>
      </c>
      <c r="BI326">
        <v>5.9098726145833336</v>
      </c>
      <c r="BJ326" s="64">
        <v>0.57410011132036598</v>
      </c>
      <c r="BK326" s="64">
        <v>0.59200041353179045</v>
      </c>
      <c r="BL326" s="64"/>
      <c r="BN326">
        <v>4.2437904787336528E-2</v>
      </c>
      <c r="BO326">
        <v>4.3761108364437168E-2</v>
      </c>
      <c r="BQ326">
        <v>8.619901315177371E-2</v>
      </c>
      <c r="BR326">
        <v>4.3099506575886848E-2</v>
      </c>
      <c r="BS326">
        <v>0.58305026242607827</v>
      </c>
      <c r="BT326" s="68" t="s">
        <v>1264</v>
      </c>
      <c r="BU326" s="68">
        <v>1473</v>
      </c>
      <c r="BV326" s="68">
        <v>10</v>
      </c>
      <c r="BX326" s="68" t="s">
        <v>1275</v>
      </c>
      <c r="BY326" s="68" t="s">
        <v>56</v>
      </c>
      <c r="BZ326" s="68">
        <v>0.2</v>
      </c>
      <c r="CA326" s="68">
        <v>0.7</v>
      </c>
      <c r="CB326" s="68">
        <v>1.32</v>
      </c>
      <c r="CC326" s="68">
        <v>0</v>
      </c>
      <c r="CD326" s="68" t="s">
        <v>464</v>
      </c>
      <c r="CE326" s="68" t="s">
        <v>464</v>
      </c>
      <c r="CF326" s="68" t="s">
        <v>1266</v>
      </c>
      <c r="CG326" s="68">
        <v>400</v>
      </c>
      <c r="CI326" s="68" t="s">
        <v>1287</v>
      </c>
      <c r="CK326" s="70">
        <v>140</v>
      </c>
    </row>
    <row r="327" spans="1:89" x14ac:dyDescent="0.3">
      <c r="A327" t="s">
        <v>38</v>
      </c>
      <c r="C327" t="s">
        <v>714</v>
      </c>
      <c r="D327" s="12"/>
      <c r="E327">
        <v>3.9</v>
      </c>
      <c r="F327" t="s">
        <v>182</v>
      </c>
      <c r="G327" s="8" t="s">
        <v>545</v>
      </c>
      <c r="H327" t="s">
        <v>626</v>
      </c>
      <c r="M327" t="b">
        <v>1</v>
      </c>
      <c r="N327" t="b">
        <v>1</v>
      </c>
      <c r="O327" t="b">
        <v>0</v>
      </c>
      <c r="P327" t="b">
        <v>0</v>
      </c>
      <c r="Q327" t="s">
        <v>545</v>
      </c>
      <c r="R327" t="s">
        <v>626</v>
      </c>
      <c r="U327" s="20">
        <v>1</v>
      </c>
      <c r="V327">
        <v>1</v>
      </c>
      <c r="W327">
        <v>0</v>
      </c>
      <c r="AC327" s="20">
        <v>5.8532381300000003</v>
      </c>
      <c r="AD327" s="20">
        <v>5.8532371599999999</v>
      </c>
      <c r="AE327" s="20">
        <v>11.912811489999999</v>
      </c>
      <c r="AF327">
        <v>5.7946</v>
      </c>
      <c r="AG327">
        <v>5.7946</v>
      </c>
      <c r="AH327">
        <v>11.787599999999999</v>
      </c>
      <c r="AI327">
        <v>0</v>
      </c>
      <c r="AM327">
        <v>30</v>
      </c>
      <c r="AN327" s="44">
        <f t="shared" ref="AN327" si="48">X327*Y327*Z327</f>
        <v>0</v>
      </c>
      <c r="AO327" s="46">
        <v>353.45760058531442</v>
      </c>
      <c r="AP327" s="44">
        <v>342.77011164986573</v>
      </c>
      <c r="AQ327" s="44">
        <v>0</v>
      </c>
      <c r="AR327" s="41"/>
      <c r="AS327" s="40">
        <v>8.487580957467307E-2</v>
      </c>
      <c r="AT327" s="41">
        <v>8.752221672887435E-2</v>
      </c>
      <c r="AU327" s="41"/>
      <c r="AV327" s="23">
        <v>1.833333333333333</v>
      </c>
      <c r="AW327" s="23">
        <v>2.5</v>
      </c>
      <c r="AX327" s="23">
        <v>0.66666666666666663</v>
      </c>
      <c r="AY327" s="23">
        <v>0</v>
      </c>
      <c r="AZ327" s="23">
        <v>0.36666666666666659</v>
      </c>
      <c r="BA327" s="23">
        <v>0.5</v>
      </c>
      <c r="BB327" s="23">
        <v>0.1333333333333333</v>
      </c>
      <c r="BC327" s="23">
        <v>0</v>
      </c>
      <c r="BD327" s="20">
        <v>0.89</v>
      </c>
      <c r="BE327" s="20">
        <v>3.44</v>
      </c>
      <c r="BF327" s="20">
        <v>2.5499999999999998</v>
      </c>
      <c r="BG327" s="20">
        <v>2.6020833333333329</v>
      </c>
      <c r="BH327">
        <v>2.6020833333333329</v>
      </c>
      <c r="BI327">
        <v>5.9098726145833336</v>
      </c>
      <c r="BJ327" s="64">
        <v>0.57410011132036598</v>
      </c>
      <c r="BK327" s="64">
        <v>0.59200041353179045</v>
      </c>
      <c r="BL327" s="64"/>
      <c r="BN327">
        <v>4.2437904787336528E-2</v>
      </c>
      <c r="BO327">
        <v>4.3761108364437168E-2</v>
      </c>
      <c r="BQ327">
        <v>8.619901315177371E-2</v>
      </c>
      <c r="BR327">
        <v>4.3099506575886848E-2</v>
      </c>
      <c r="BS327">
        <v>0.58305026242607827</v>
      </c>
      <c r="BT327" s="68" t="s">
        <v>1305</v>
      </c>
      <c r="BU327" s="68">
        <v>973</v>
      </c>
      <c r="BV327" s="68">
        <v>10</v>
      </c>
      <c r="BX327" s="68" t="s">
        <v>464</v>
      </c>
      <c r="BY327" s="68" t="s">
        <v>464</v>
      </c>
      <c r="BZ327" s="68">
        <v>0</v>
      </c>
      <c r="CA327" s="68">
        <v>0.7</v>
      </c>
      <c r="CB327" s="68">
        <v>1.32</v>
      </c>
      <c r="CC327" s="68">
        <v>0</v>
      </c>
      <c r="CD327" s="68" t="s">
        <v>464</v>
      </c>
      <c r="CE327" s="68" t="s">
        <v>464</v>
      </c>
      <c r="CF327" s="68" t="s">
        <v>1266</v>
      </c>
      <c r="CG327" s="68">
        <v>400</v>
      </c>
      <c r="CI327" s="68" t="s">
        <v>1287</v>
      </c>
      <c r="CK327" s="70">
        <v>6</v>
      </c>
    </row>
    <row r="328" spans="1:89" x14ac:dyDescent="0.3">
      <c r="A328" t="s">
        <v>48</v>
      </c>
      <c r="B328" t="s">
        <v>153</v>
      </c>
      <c r="C328" t="s">
        <v>724</v>
      </c>
      <c r="D328" s="12"/>
      <c r="E328">
        <v>4.3</v>
      </c>
      <c r="F328" t="s">
        <v>183</v>
      </c>
      <c r="G328" s="8" t="s">
        <v>552</v>
      </c>
      <c r="H328" t="s">
        <v>630</v>
      </c>
      <c r="M328" t="b">
        <v>1</v>
      </c>
      <c r="N328" t="b">
        <v>1</v>
      </c>
      <c r="O328" t="b">
        <v>0</v>
      </c>
      <c r="P328" t="b">
        <v>0</v>
      </c>
      <c r="Q328" t="s">
        <v>552</v>
      </c>
      <c r="R328" t="s">
        <v>630</v>
      </c>
      <c r="U328" s="20">
        <v>2</v>
      </c>
      <c r="V328">
        <v>8</v>
      </c>
      <c r="W328">
        <v>0</v>
      </c>
      <c r="AC328" s="20">
        <v>7.4836094600000003</v>
      </c>
      <c r="AD328" s="20">
        <v>7.4836094600000003</v>
      </c>
      <c r="AE328" s="20">
        <v>7.4836094600000003</v>
      </c>
      <c r="AF328">
        <v>10.34</v>
      </c>
      <c r="AG328">
        <v>10.34</v>
      </c>
      <c r="AH328">
        <v>10.34</v>
      </c>
      <c r="AI328">
        <v>0</v>
      </c>
      <c r="AM328">
        <v>14</v>
      </c>
      <c r="AN328" s="44">
        <f t="shared" si="40"/>
        <v>0</v>
      </c>
      <c r="AO328" s="46">
        <v>296.35915518228359</v>
      </c>
      <c r="AP328" s="44">
        <v>1105.507304</v>
      </c>
      <c r="AQ328" s="44">
        <v>0</v>
      </c>
      <c r="AR328" s="41"/>
      <c r="AS328" s="40">
        <v>9.4479956196318104E-2</v>
      </c>
      <c r="AT328" s="41">
        <v>0.1013109543417363</v>
      </c>
      <c r="AU328" s="41"/>
      <c r="AV328" s="23">
        <v>1.8181818181818179</v>
      </c>
      <c r="AW328" s="23">
        <v>2.545454545454545</v>
      </c>
      <c r="AX328" s="23">
        <v>0.72727272727272729</v>
      </c>
      <c r="AY328" s="23">
        <v>0</v>
      </c>
      <c r="AZ328" s="23">
        <v>0.35714285714285721</v>
      </c>
      <c r="BA328" s="23">
        <v>0.5</v>
      </c>
      <c r="BB328" s="23">
        <v>0.1428571428571429</v>
      </c>
      <c r="BC328" s="23">
        <v>0</v>
      </c>
      <c r="BD328" s="20">
        <v>1</v>
      </c>
      <c r="BE328" s="20">
        <v>3.44</v>
      </c>
      <c r="BF328" s="20">
        <v>2.44</v>
      </c>
      <c r="BG328" s="20">
        <v>2.6618181818181821</v>
      </c>
      <c r="BH328">
        <v>2.6618181818181821</v>
      </c>
      <c r="BI328">
        <v>6.0537295018181814</v>
      </c>
      <c r="BJ328" s="64">
        <v>0.50642227837041764</v>
      </c>
      <c r="BK328" s="64">
        <v>0.5430371307011983</v>
      </c>
      <c r="BL328" s="64"/>
      <c r="BN328">
        <v>4.7239978098159073E-2</v>
      </c>
      <c r="BO328">
        <v>5.0655477170868157E-2</v>
      </c>
      <c r="BQ328">
        <v>9.789545526902721E-2</v>
      </c>
      <c r="BR328">
        <v>4.8947727634513619E-2</v>
      </c>
      <c r="BS328">
        <v>0.52472970453580792</v>
      </c>
      <c r="BT328" s="68" t="s">
        <v>1264</v>
      </c>
      <c r="BU328" s="68">
        <v>1173</v>
      </c>
      <c r="BV328" s="68">
        <v>6</v>
      </c>
      <c r="BX328" s="68" t="s">
        <v>1275</v>
      </c>
      <c r="BY328" s="68" t="s">
        <v>56</v>
      </c>
      <c r="BZ328" s="68">
        <v>1</v>
      </c>
      <c r="CA328" s="68">
        <v>4.2</v>
      </c>
      <c r="CB328" s="68">
        <v>2.86</v>
      </c>
      <c r="CC328" s="68">
        <v>0</v>
      </c>
      <c r="CD328" s="68" t="s">
        <v>464</v>
      </c>
      <c r="CE328" s="68" t="s">
        <v>464</v>
      </c>
      <c r="CF328" s="68" t="s">
        <v>1266</v>
      </c>
      <c r="CG328" s="68">
        <v>450</v>
      </c>
      <c r="CK328" s="70">
        <v>101</v>
      </c>
    </row>
    <row r="329" spans="1:89" x14ac:dyDescent="0.3">
      <c r="A329" t="s">
        <v>49</v>
      </c>
      <c r="C329" t="s">
        <v>3967</v>
      </c>
      <c r="D329" s="12"/>
      <c r="E329">
        <v>4.0999999999999996</v>
      </c>
      <c r="F329" t="s">
        <v>183</v>
      </c>
      <c r="G329" s="8" t="s">
        <v>553</v>
      </c>
      <c r="H329" t="s">
        <v>631</v>
      </c>
      <c r="M329" t="b">
        <v>1</v>
      </c>
      <c r="N329" t="b">
        <v>1</v>
      </c>
      <c r="O329" t="b">
        <v>0</v>
      </c>
      <c r="P329" t="b">
        <v>0</v>
      </c>
      <c r="Q329" t="s">
        <v>553</v>
      </c>
      <c r="R329" t="s">
        <v>631</v>
      </c>
      <c r="U329" s="20">
        <v>8</v>
      </c>
      <c r="V329">
        <v>8</v>
      </c>
      <c r="W329">
        <v>0</v>
      </c>
      <c r="AB329" s="1">
        <v>0</v>
      </c>
      <c r="AC329" s="20">
        <v>5.8017180100000001</v>
      </c>
      <c r="AD329" s="20">
        <v>7.9756520899999996</v>
      </c>
      <c r="AE329" s="20">
        <v>27.352093400000001</v>
      </c>
      <c r="AF329">
        <v>26.646989999999999</v>
      </c>
      <c r="AG329">
        <v>7.9359999999999999</v>
      </c>
      <c r="AH329">
        <v>5.7050000000000001</v>
      </c>
      <c r="AI329">
        <v>0</v>
      </c>
      <c r="AM329">
        <v>14</v>
      </c>
      <c r="AN329" s="44">
        <f t="shared" si="40"/>
        <v>0</v>
      </c>
      <c r="AO329" s="46">
        <v>1265.6493143942739</v>
      </c>
      <c r="AP329" s="44">
        <v>1206.4392746112001</v>
      </c>
      <c r="AQ329" s="44">
        <v>0</v>
      </c>
      <c r="AR329" s="41"/>
      <c r="AS329" s="40">
        <v>8.8492127105210025E-2</v>
      </c>
      <c r="AT329" s="41">
        <v>9.2835174017436004E-2</v>
      </c>
      <c r="AU329" s="41"/>
      <c r="AV329" s="23">
        <v>1.8181818181818179</v>
      </c>
      <c r="AW329" s="23">
        <v>2.545454545454545</v>
      </c>
      <c r="AX329" s="23">
        <v>0.72727272727272729</v>
      </c>
      <c r="AY329" s="23">
        <v>0</v>
      </c>
      <c r="AZ329" s="23">
        <v>0.35714285714285721</v>
      </c>
      <c r="BA329" s="23">
        <v>0.5</v>
      </c>
      <c r="BB329" s="23">
        <v>0.1428571428571429</v>
      </c>
      <c r="BC329" s="23">
        <v>0</v>
      </c>
      <c r="BD329" s="20">
        <v>0.95</v>
      </c>
      <c r="BE329" s="20">
        <v>3.44</v>
      </c>
      <c r="BF329" s="20">
        <v>2.4900000000000002</v>
      </c>
      <c r="BG329" s="20">
        <v>2.6527272727272719</v>
      </c>
      <c r="BH329">
        <v>2.6527272727272728</v>
      </c>
      <c r="BI329">
        <v>6.0182046818181814</v>
      </c>
      <c r="BJ329" s="64">
        <v>0.5176653673612065</v>
      </c>
      <c r="BK329" s="64">
        <v>0.54307152550012683</v>
      </c>
      <c r="BL329" s="64"/>
      <c r="BN329">
        <v>4.4246063552605013E-2</v>
      </c>
      <c r="BO329">
        <v>4.6417587008717988E-2</v>
      </c>
      <c r="BQ329">
        <v>9.0663650561323014E-2</v>
      </c>
      <c r="BR329">
        <v>4.53318252806615E-2</v>
      </c>
      <c r="BS329">
        <v>0.53036844643066661</v>
      </c>
      <c r="BT329" s="68" t="s">
        <v>1264</v>
      </c>
      <c r="BU329" s="68">
        <v>1173</v>
      </c>
      <c r="BV329" s="68">
        <v>6</v>
      </c>
      <c r="BX329" s="68" t="s">
        <v>1275</v>
      </c>
      <c r="BY329" s="68" t="s">
        <v>56</v>
      </c>
      <c r="BZ329" s="68">
        <v>1</v>
      </c>
      <c r="CA329" s="68">
        <v>5.0999999999999996</v>
      </c>
      <c r="CB329" s="68">
        <v>2.86</v>
      </c>
      <c r="CC329" s="68">
        <v>0</v>
      </c>
      <c r="CD329" s="68" t="s">
        <v>464</v>
      </c>
      <c r="CE329" s="68" t="s">
        <v>464</v>
      </c>
      <c r="CF329" s="68" t="s">
        <v>1266</v>
      </c>
      <c r="CG329" s="68">
        <v>450</v>
      </c>
      <c r="CK329" s="70">
        <v>402</v>
      </c>
    </row>
    <row r="330" spans="1:89" x14ac:dyDescent="0.3">
      <c r="A330" t="s">
        <v>46</v>
      </c>
      <c r="B330" t="s">
        <v>46</v>
      </c>
      <c r="C330" t="s">
        <v>4087</v>
      </c>
      <c r="D330" s="12"/>
      <c r="E330">
        <v>3.2</v>
      </c>
      <c r="F330" t="s">
        <v>183</v>
      </c>
      <c r="G330" s="8" t="s">
        <v>551</v>
      </c>
      <c r="H330" t="s">
        <v>629</v>
      </c>
      <c r="M330" t="b">
        <v>1</v>
      </c>
      <c r="N330" t="b">
        <v>1</v>
      </c>
      <c r="O330" t="b">
        <v>0</v>
      </c>
      <c r="P330" t="b">
        <v>0</v>
      </c>
      <c r="Q330" t="s">
        <v>551</v>
      </c>
      <c r="R330" t="s">
        <v>629</v>
      </c>
      <c r="U330" s="20">
        <v>2</v>
      </c>
      <c r="V330">
        <v>4</v>
      </c>
      <c r="W330">
        <v>0</v>
      </c>
      <c r="AC330" s="20">
        <v>7.41544296</v>
      </c>
      <c r="AD330" s="20">
        <v>7.4154429599999991</v>
      </c>
      <c r="AE330" s="20">
        <v>7.41544296</v>
      </c>
      <c r="AF330">
        <v>7.8</v>
      </c>
      <c r="AG330">
        <v>13.010999999999999</v>
      </c>
      <c r="AH330">
        <v>5.5460000000000003</v>
      </c>
      <c r="AI330">
        <v>0</v>
      </c>
      <c r="AM330">
        <v>14</v>
      </c>
      <c r="AN330" s="44">
        <f t="shared" si="40"/>
        <v>0</v>
      </c>
      <c r="AO330" s="46">
        <v>288.33429290182369</v>
      </c>
      <c r="AP330" s="44">
        <v>556.51188553357167</v>
      </c>
      <c r="AQ330" s="44">
        <v>0</v>
      </c>
      <c r="AR330" s="41"/>
      <c r="AS330" s="40">
        <v>9.7109503410799117E-2</v>
      </c>
      <c r="AT330" s="41">
        <v>0.10062678166578309</v>
      </c>
      <c r="AU330" s="41"/>
      <c r="AV330" s="23">
        <v>2</v>
      </c>
      <c r="AW330" s="23">
        <v>2.545454545454545</v>
      </c>
      <c r="AX330" s="23">
        <v>0.54545454545454541</v>
      </c>
      <c r="AY330" s="23">
        <v>0</v>
      </c>
      <c r="AZ330" s="23">
        <v>0.39285714285714279</v>
      </c>
      <c r="BA330" s="23">
        <v>0.5</v>
      </c>
      <c r="BB330" s="23">
        <v>0.1071428571428571</v>
      </c>
      <c r="BC330" s="23">
        <v>0</v>
      </c>
      <c r="BD330" s="20">
        <v>1.1000000000000001</v>
      </c>
      <c r="BE330" s="20">
        <v>3.44</v>
      </c>
      <c r="BF330" s="20">
        <v>2.34</v>
      </c>
      <c r="BG330" s="20">
        <v>2.669090909090909</v>
      </c>
      <c r="BH330">
        <v>2.669090909090909</v>
      </c>
      <c r="BI330">
        <v>5.9831974772727277</v>
      </c>
      <c r="BJ330" s="64">
        <v>0.52442413903612473</v>
      </c>
      <c r="BK330" s="64">
        <v>0.54341863036636606</v>
      </c>
      <c r="BL330" s="64"/>
      <c r="BN330">
        <v>4.8554751705399558E-2</v>
      </c>
      <c r="BO330">
        <v>5.0313390832891547E-2</v>
      </c>
      <c r="BQ330">
        <v>9.8868142538291098E-2</v>
      </c>
      <c r="BR330">
        <v>4.9434071269145549E-2</v>
      </c>
      <c r="BS330">
        <v>0.53392138470124539</v>
      </c>
      <c r="BT330" s="68" t="s">
        <v>1264</v>
      </c>
      <c r="BU330" s="68">
        <v>1173</v>
      </c>
      <c r="BV330" s="68">
        <v>6</v>
      </c>
      <c r="BX330" s="68" t="s">
        <v>1275</v>
      </c>
      <c r="BY330" s="68" t="s">
        <v>56</v>
      </c>
      <c r="BZ330" s="68">
        <v>1</v>
      </c>
      <c r="CA330" s="68">
        <v>5.2</v>
      </c>
      <c r="CB330" s="68">
        <v>2.86</v>
      </c>
      <c r="CC330" s="68">
        <v>0</v>
      </c>
      <c r="CD330" s="68" t="s">
        <v>464</v>
      </c>
      <c r="CE330" s="68" t="s">
        <v>464</v>
      </c>
      <c r="CF330" s="68" t="s">
        <v>1266</v>
      </c>
      <c r="CG330" s="68">
        <v>450</v>
      </c>
      <c r="CK330" s="70">
        <v>441</v>
      </c>
    </row>
    <row r="331" spans="1:89" x14ac:dyDescent="0.3">
      <c r="A331" t="s">
        <v>47</v>
      </c>
      <c r="C331" t="s">
        <v>4088</v>
      </c>
      <c r="D331" s="12"/>
      <c r="E331">
        <v>3.8</v>
      </c>
      <c r="F331" t="s">
        <v>183</v>
      </c>
      <c r="G331" s="8">
        <v>-1</v>
      </c>
      <c r="H331">
        <v>-1</v>
      </c>
      <c r="I331" t="s">
        <v>1152</v>
      </c>
      <c r="M331" t="b">
        <v>0</v>
      </c>
      <c r="N331" t="b">
        <v>0</v>
      </c>
      <c r="O331" t="b">
        <v>1</v>
      </c>
      <c r="P331" t="b">
        <v>0</v>
      </c>
      <c r="Q331">
        <v>-1</v>
      </c>
      <c r="R331">
        <v>-1</v>
      </c>
      <c r="S331" t="s">
        <v>1152</v>
      </c>
      <c r="U331" s="20">
        <v>0</v>
      </c>
      <c r="V331">
        <v>0</v>
      </c>
      <c r="W331">
        <v>2</v>
      </c>
      <c r="AC331" s="20">
        <v>0</v>
      </c>
      <c r="AD331" s="20"/>
      <c r="AE331" s="20"/>
      <c r="AF331">
        <v>0</v>
      </c>
      <c r="AI331">
        <v>5.5170000000000003</v>
      </c>
      <c r="AJ331">
        <v>31.274999999999999</v>
      </c>
      <c r="AK331">
        <v>3.8942000000000001</v>
      </c>
      <c r="AM331">
        <v>34</v>
      </c>
      <c r="AN331" s="44">
        <f t="shared" si="40"/>
        <v>0</v>
      </c>
      <c r="AO331" s="46">
        <v>0</v>
      </c>
      <c r="AP331" s="44">
        <v>0</v>
      </c>
      <c r="AQ331" s="44">
        <v>671.92152628500003</v>
      </c>
      <c r="AR331" s="41"/>
      <c r="AS331" s="40"/>
      <c r="AT331" s="41"/>
      <c r="AU331" s="41">
        <v>0.1012022942261822</v>
      </c>
      <c r="AV331" s="23">
        <v>2</v>
      </c>
      <c r="AW331" s="23">
        <v>2.518518518518519</v>
      </c>
      <c r="AX331" s="23">
        <v>0.51851851851851849</v>
      </c>
      <c r="AY331" s="23">
        <v>0</v>
      </c>
      <c r="AZ331" s="23">
        <v>0.39705882352941169</v>
      </c>
      <c r="BA331" s="23">
        <v>0.5</v>
      </c>
      <c r="BB331" s="23">
        <v>0.1029411764705882</v>
      </c>
      <c r="BC331" s="23">
        <v>0</v>
      </c>
      <c r="BD331" s="20">
        <v>1</v>
      </c>
      <c r="BE331" s="20">
        <v>3.44</v>
      </c>
      <c r="BF331" s="20">
        <v>2.44</v>
      </c>
      <c r="BG331" s="20">
        <v>2.6511111111111112</v>
      </c>
      <c r="BH331">
        <v>2.6511111111111112</v>
      </c>
      <c r="BI331">
        <v>5.9544359512962952</v>
      </c>
      <c r="BJ331" s="64"/>
      <c r="BK331" s="64"/>
      <c r="BL331" s="64"/>
      <c r="BP331">
        <v>5.0601147113091112E-2</v>
      </c>
      <c r="BQ331">
        <v>0.1012022942261822</v>
      </c>
      <c r="BR331">
        <v>5.0601147113091112E-2</v>
      </c>
      <c r="BS331">
        <v>0</v>
      </c>
      <c r="BT331" s="68" t="s">
        <v>1264</v>
      </c>
      <c r="BU331" s="68">
        <v>1173</v>
      </c>
      <c r="BV331" s="68">
        <v>6</v>
      </c>
      <c r="BX331" s="68" t="s">
        <v>1275</v>
      </c>
      <c r="BY331" s="68" t="s">
        <v>56</v>
      </c>
      <c r="BZ331" s="68">
        <v>1</v>
      </c>
      <c r="CA331" s="68">
        <v>4.9000000000000004</v>
      </c>
      <c r="CB331" s="68">
        <v>2.86</v>
      </c>
      <c r="CC331" s="68">
        <v>0</v>
      </c>
      <c r="CD331" s="68" t="s">
        <v>464</v>
      </c>
      <c r="CE331" s="68" t="s">
        <v>464</v>
      </c>
      <c r="CF331" s="68" t="s">
        <v>1266</v>
      </c>
      <c r="CG331" s="68">
        <v>450</v>
      </c>
      <c r="CK331" s="70">
        <v>499</v>
      </c>
    </row>
    <row r="332" spans="1:89" x14ac:dyDescent="0.3">
      <c r="A332" t="s">
        <v>8</v>
      </c>
      <c r="B332" t="s">
        <v>2777</v>
      </c>
      <c r="C332" t="s">
        <v>3926</v>
      </c>
      <c r="D332" s="12"/>
      <c r="E332">
        <v>3.1</v>
      </c>
      <c r="F332" t="s">
        <v>183</v>
      </c>
      <c r="G332" s="8" t="s">
        <v>530</v>
      </c>
      <c r="H332" t="s">
        <v>612</v>
      </c>
      <c r="M332" t="b">
        <v>1</v>
      </c>
      <c r="N332" t="b">
        <v>1</v>
      </c>
      <c r="O332" t="b">
        <v>0</v>
      </c>
      <c r="P332" t="b">
        <v>0</v>
      </c>
      <c r="Q332" t="s">
        <v>530</v>
      </c>
      <c r="R332" t="s">
        <v>612</v>
      </c>
      <c r="U332" s="20">
        <v>30</v>
      </c>
      <c r="V332">
        <v>4</v>
      </c>
      <c r="W332">
        <v>0</v>
      </c>
      <c r="AB332">
        <v>0</v>
      </c>
      <c r="AC332" s="20">
        <v>10.59112378</v>
      </c>
      <c r="AD332" s="20">
        <v>10.784736629999999</v>
      </c>
      <c r="AE332" s="20">
        <v>10.486176179999999</v>
      </c>
      <c r="AF332">
        <v>3.73</v>
      </c>
      <c r="AG332">
        <v>3.73</v>
      </c>
      <c r="AH332">
        <v>9.3699999999999992</v>
      </c>
      <c r="AI332">
        <v>0</v>
      </c>
      <c r="AM332">
        <v>4</v>
      </c>
      <c r="AN332" s="44">
        <f t="shared" si="40"/>
        <v>0</v>
      </c>
      <c r="AO332" s="46">
        <v>1182.741260108548</v>
      </c>
      <c r="AP332" s="44">
        <v>130.36387300000001</v>
      </c>
      <c r="AQ332" s="44">
        <v>0</v>
      </c>
      <c r="AR332" s="41"/>
      <c r="AS332" s="40">
        <v>0.1014592151701775</v>
      </c>
      <c r="AT332" s="41">
        <v>0.1227333894874388</v>
      </c>
      <c r="AU332" s="41"/>
      <c r="AV332" s="23">
        <v>2</v>
      </c>
      <c r="AW332" s="23">
        <v>2.666666666666667</v>
      </c>
      <c r="AX332" s="23">
        <v>0.66666666666666663</v>
      </c>
      <c r="AY332" s="23">
        <v>0</v>
      </c>
      <c r="AZ332" s="23">
        <v>0.375</v>
      </c>
      <c r="BA332" s="23">
        <v>0.5</v>
      </c>
      <c r="BB332" s="23">
        <v>0.125</v>
      </c>
      <c r="BC332" s="23">
        <v>0</v>
      </c>
      <c r="BD332" s="20">
        <v>1.54</v>
      </c>
      <c r="BE332" s="20">
        <v>3.44</v>
      </c>
      <c r="BF332" s="20">
        <v>1.9</v>
      </c>
      <c r="BG332" s="20">
        <v>2.8066666666666671</v>
      </c>
      <c r="BH332">
        <v>2.8066666666666662</v>
      </c>
      <c r="BI332">
        <v>6.1769976</v>
      </c>
      <c r="BJ332" s="64">
        <v>0.46900407026869628</v>
      </c>
      <c r="BK332" s="64">
        <v>0.56734579634715776</v>
      </c>
      <c r="BL332" s="64"/>
      <c r="BN332">
        <v>5.072960758508873E-2</v>
      </c>
      <c r="BO332">
        <v>6.136669474371937E-2</v>
      </c>
      <c r="BQ332">
        <v>0.1120963023288082</v>
      </c>
      <c r="BR332">
        <v>5.604815116440405E-2</v>
      </c>
      <c r="BS332">
        <v>0.51817493330792708</v>
      </c>
      <c r="BT332" s="68" t="s">
        <v>1264</v>
      </c>
      <c r="BU332" s="68">
        <v>1173</v>
      </c>
      <c r="BV332" s="68">
        <v>6</v>
      </c>
      <c r="BX332" s="68" t="s">
        <v>1275</v>
      </c>
      <c r="BY332" s="68" t="s">
        <v>56</v>
      </c>
      <c r="BZ332" s="68">
        <v>1</v>
      </c>
      <c r="CA332" s="68">
        <v>50</v>
      </c>
      <c r="CB332" s="68">
        <v>2.86</v>
      </c>
      <c r="CC332" s="68">
        <v>0</v>
      </c>
      <c r="CD332" s="68" t="s">
        <v>464</v>
      </c>
      <c r="CE332" s="68" t="s">
        <v>464</v>
      </c>
      <c r="CF332" s="68" t="s">
        <v>1266</v>
      </c>
      <c r="CG332" s="68">
        <v>450</v>
      </c>
      <c r="CK332" s="70">
        <v>0.3</v>
      </c>
    </row>
    <row r="333" spans="1:89" x14ac:dyDescent="0.3">
      <c r="A333" t="s">
        <v>0</v>
      </c>
      <c r="B333" t="s">
        <v>0</v>
      </c>
      <c r="C333" t="s">
        <v>685</v>
      </c>
      <c r="D333" s="12"/>
      <c r="E333">
        <v>3.3</v>
      </c>
      <c r="F333" t="s">
        <v>183</v>
      </c>
      <c r="G333" s="8" t="s">
        <v>523</v>
      </c>
      <c r="H333" t="s">
        <v>606</v>
      </c>
      <c r="M333" t="b">
        <v>1</v>
      </c>
      <c r="N333" t="b">
        <v>1</v>
      </c>
      <c r="O333" t="b">
        <v>0</v>
      </c>
      <c r="P333" t="b">
        <v>0</v>
      </c>
      <c r="Q333" t="s">
        <v>523</v>
      </c>
      <c r="R333" t="s">
        <v>606</v>
      </c>
      <c r="T333" s="81">
        <v>4</v>
      </c>
      <c r="U333" s="20">
        <v>4</v>
      </c>
      <c r="V333">
        <v>4</v>
      </c>
      <c r="W333">
        <v>0</v>
      </c>
      <c r="X333" s="1">
        <v>6.6</v>
      </c>
      <c r="Y333" s="1">
        <v>7.94</v>
      </c>
      <c r="Z333" s="1">
        <v>33.700000000000003</v>
      </c>
      <c r="AB333" s="1">
        <v>16.850000000000001</v>
      </c>
      <c r="AC333" s="20">
        <v>6.6040679999999998</v>
      </c>
      <c r="AD333" s="20">
        <v>7.9389519999999996</v>
      </c>
      <c r="AE333" s="20">
        <v>33.703336</v>
      </c>
      <c r="AF333">
        <v>7.83</v>
      </c>
      <c r="AG333">
        <v>33.209989999999998</v>
      </c>
      <c r="AH333">
        <v>6.46</v>
      </c>
      <c r="AI333">
        <v>0</v>
      </c>
      <c r="AM333">
        <v>34</v>
      </c>
      <c r="AN333" s="44">
        <f t="shared" si="40"/>
        <v>1766.0147999999999</v>
      </c>
      <c r="AO333" s="46">
        <v>1767.0449718798691</v>
      </c>
      <c r="AP333" s="44">
        <v>1679.8210721820001</v>
      </c>
      <c r="AQ333" s="44">
        <v>0</v>
      </c>
      <c r="AR333" s="41"/>
      <c r="AS333" s="40">
        <v>7.6964651247849417E-2</v>
      </c>
      <c r="AT333" s="41">
        <v>8.0961003676030277E-2</v>
      </c>
      <c r="AU333" s="41"/>
      <c r="AV333" s="23">
        <v>1.62962962962963</v>
      </c>
      <c r="AW333" s="23">
        <v>2.518518518518519</v>
      </c>
      <c r="AX333" s="23">
        <v>0.88888888888888884</v>
      </c>
      <c r="AY333" s="23">
        <v>0</v>
      </c>
      <c r="AZ333" s="23">
        <v>0.32352941176470579</v>
      </c>
      <c r="BA333" s="23">
        <v>0.5</v>
      </c>
      <c r="BB333" s="23">
        <v>0.1764705882352941</v>
      </c>
      <c r="BC333" s="23">
        <v>0</v>
      </c>
      <c r="BD333" s="20">
        <v>0.82</v>
      </c>
      <c r="BE333" s="20">
        <v>3.44</v>
      </c>
      <c r="BF333" s="20">
        <v>2.62</v>
      </c>
      <c r="BG333" s="20">
        <v>2.642962962962963</v>
      </c>
      <c r="BH333">
        <v>2.642962962962963</v>
      </c>
      <c r="BI333">
        <v>5.9587362692592576</v>
      </c>
      <c r="BJ333" s="64">
        <v>0.48264383878002159</v>
      </c>
      <c r="BK333" s="64">
        <v>0.50770488753139842</v>
      </c>
      <c r="BL333" s="64"/>
      <c r="BN333">
        <v>3.8482325623924708E-2</v>
      </c>
      <c r="BO333">
        <v>4.0480501838015132E-2</v>
      </c>
      <c r="BQ333">
        <v>7.8962827461939847E-2</v>
      </c>
      <c r="BR333">
        <v>3.9481413730969923E-2</v>
      </c>
      <c r="BS333">
        <v>0.49517436315571001</v>
      </c>
      <c r="BT333" s="68" t="s">
        <v>1264</v>
      </c>
      <c r="BU333" s="68">
        <v>1173</v>
      </c>
      <c r="BV333" s="68">
        <v>6</v>
      </c>
      <c r="BX333" s="68" t="s">
        <v>1275</v>
      </c>
      <c r="BY333" s="68" t="s">
        <v>56</v>
      </c>
      <c r="BZ333" s="68">
        <v>0.1</v>
      </c>
      <c r="CA333" s="68">
        <v>4.5</v>
      </c>
      <c r="CB333" s="68">
        <v>2.86</v>
      </c>
      <c r="CC333" s="68">
        <v>0</v>
      </c>
      <c r="CD333" s="68" t="s">
        <v>464</v>
      </c>
      <c r="CE333" s="68" t="s">
        <v>464</v>
      </c>
      <c r="CF333" s="68" t="s">
        <v>1266</v>
      </c>
      <c r="CG333" s="68">
        <v>450</v>
      </c>
      <c r="CK333" s="70">
        <v>210</v>
      </c>
    </row>
    <row r="334" spans="1:89" x14ac:dyDescent="0.3">
      <c r="A334" s="4" t="s">
        <v>184</v>
      </c>
      <c r="B334" t="s">
        <v>4</v>
      </c>
      <c r="C334" t="s">
        <v>4089</v>
      </c>
      <c r="D334" s="29"/>
      <c r="E334" s="4">
        <v>3.5</v>
      </c>
      <c r="F334" s="4" t="s">
        <v>183</v>
      </c>
      <c r="G334" s="8" t="s">
        <v>528</v>
      </c>
      <c r="H334" t="s">
        <v>610</v>
      </c>
      <c r="I334" s="4"/>
      <c r="J334" s="4" t="s">
        <v>2276</v>
      </c>
      <c r="K334" s="4" t="s">
        <v>2276</v>
      </c>
      <c r="L334" s="4"/>
      <c r="M334" t="b">
        <v>1</v>
      </c>
      <c r="N334" t="b">
        <v>1</v>
      </c>
      <c r="O334" t="b">
        <v>0</v>
      </c>
      <c r="P334" t="b">
        <v>0</v>
      </c>
      <c r="Q334" t="s">
        <v>2007</v>
      </c>
      <c r="R334" t="s">
        <v>2055</v>
      </c>
      <c r="T334" s="4"/>
      <c r="U334" s="31">
        <v>0</v>
      </c>
      <c r="V334">
        <v>0</v>
      </c>
      <c r="W334">
        <v>0</v>
      </c>
      <c r="X334" s="4"/>
      <c r="Y334" s="4"/>
      <c r="Z334" s="4"/>
      <c r="AA334" s="4"/>
      <c r="AB334" s="4"/>
      <c r="AC334" s="31">
        <v>0</v>
      </c>
      <c r="AD334" s="31"/>
      <c r="AE334" s="31"/>
      <c r="AF334">
        <v>0</v>
      </c>
      <c r="AI334">
        <v>0</v>
      </c>
      <c r="AL334" s="4"/>
      <c r="AM334" s="4">
        <v>20</v>
      </c>
      <c r="AN334" s="44">
        <f t="shared" si="40"/>
        <v>0</v>
      </c>
      <c r="AO334" s="46">
        <v>0</v>
      </c>
      <c r="AP334" s="44">
        <v>0</v>
      </c>
      <c r="AQ334" s="44">
        <v>0</v>
      </c>
      <c r="AR334" s="41"/>
      <c r="AS334" s="40"/>
      <c r="AT334" s="41"/>
      <c r="AU334" s="41"/>
      <c r="AV334" s="4">
        <v>1.9375</v>
      </c>
      <c r="AW334" s="4">
        <v>2.5</v>
      </c>
      <c r="AX334" s="4">
        <v>0.5625</v>
      </c>
      <c r="AY334" s="4">
        <v>2.625</v>
      </c>
      <c r="AZ334" s="4">
        <v>0.25409836065573771</v>
      </c>
      <c r="BA334" s="4">
        <v>0.32786885245901642</v>
      </c>
      <c r="BB334" s="4">
        <v>7.3770491803278687E-2</v>
      </c>
      <c r="BC334" s="4">
        <v>0.34426229508196721</v>
      </c>
      <c r="BD334" s="31">
        <v>0.82</v>
      </c>
      <c r="BE334" s="31">
        <v>3.44</v>
      </c>
      <c r="BF334" s="31">
        <v>2.62</v>
      </c>
      <c r="BG334" s="31">
        <v>2.59375</v>
      </c>
      <c r="BH334" s="4">
        <v>2.59375</v>
      </c>
      <c r="BI334" s="4">
        <v>5.9363868768750008</v>
      </c>
      <c r="BJ334" s="64"/>
      <c r="BK334" s="64"/>
      <c r="BL334" s="64"/>
      <c r="BQ334">
        <v>0</v>
      </c>
      <c r="BR334">
        <v>0</v>
      </c>
      <c r="BS334">
        <v>0</v>
      </c>
      <c r="BT334" s="68" t="s">
        <v>1264</v>
      </c>
      <c r="BU334" s="68">
        <v>1173</v>
      </c>
      <c r="BV334" s="68">
        <v>6</v>
      </c>
      <c r="BX334" s="68" t="s">
        <v>1275</v>
      </c>
      <c r="BY334" s="68" t="s">
        <v>56</v>
      </c>
      <c r="BZ334" s="68">
        <v>0.1</v>
      </c>
      <c r="CA334" s="68">
        <v>4.2</v>
      </c>
      <c r="CB334" s="68">
        <v>2.86</v>
      </c>
      <c r="CC334" s="68">
        <v>0</v>
      </c>
      <c r="CD334" s="68" t="s">
        <v>464</v>
      </c>
      <c r="CE334" s="68" t="s">
        <v>464</v>
      </c>
      <c r="CF334" s="68" t="s">
        <v>1266</v>
      </c>
      <c r="CG334" s="68">
        <v>450</v>
      </c>
      <c r="CK334" s="70">
        <v>150</v>
      </c>
    </row>
    <row r="335" spans="1:89" x14ac:dyDescent="0.3">
      <c r="A335" t="s">
        <v>185</v>
      </c>
      <c r="C335" t="s">
        <v>3966</v>
      </c>
      <c r="D335" s="12"/>
      <c r="E335">
        <v>4.55</v>
      </c>
      <c r="F335" t="s">
        <v>192</v>
      </c>
      <c r="G335" s="8" t="s">
        <v>556</v>
      </c>
      <c r="H335" t="s">
        <v>633</v>
      </c>
      <c r="M335" t="b">
        <v>1</v>
      </c>
      <c r="N335" t="b">
        <v>1</v>
      </c>
      <c r="O335" t="b">
        <v>0</v>
      </c>
      <c r="P335" t="b">
        <v>0</v>
      </c>
      <c r="Q335" t="s">
        <v>556</v>
      </c>
      <c r="R335" t="s">
        <v>633</v>
      </c>
      <c r="T335">
        <v>4</v>
      </c>
      <c r="U335" s="20">
        <v>2</v>
      </c>
      <c r="V335">
        <v>4</v>
      </c>
      <c r="W335">
        <v>0</v>
      </c>
      <c r="X335">
        <v>3.9369999999999998</v>
      </c>
      <c r="Y335">
        <v>27.198</v>
      </c>
      <c r="Z335">
        <v>5.6920000000000002</v>
      </c>
      <c r="AB335" s="1">
        <v>0</v>
      </c>
      <c r="AC335" s="20">
        <v>13.81974189</v>
      </c>
      <c r="AD335" s="20">
        <v>13.81974189</v>
      </c>
      <c r="AE335" s="20">
        <v>5.7110870199999999</v>
      </c>
      <c r="AF335">
        <v>3.94</v>
      </c>
      <c r="AG335">
        <v>27.15</v>
      </c>
      <c r="AH335">
        <v>5.6920000000000002</v>
      </c>
      <c r="AI335">
        <v>0</v>
      </c>
      <c r="AM335">
        <v>14</v>
      </c>
      <c r="AN335" s="44">
        <f t="shared" si="40"/>
        <v>609.49096999200003</v>
      </c>
      <c r="AO335" s="46">
        <v>309.44138863753989</v>
      </c>
      <c r="AP335" s="44">
        <v>608.87893199999996</v>
      </c>
      <c r="AQ335" s="44">
        <v>0</v>
      </c>
      <c r="AR335" s="41">
        <f t="shared" ref="AR335:AR348" si="49">T335*AM335/AN335</f>
        <v>9.1879950248869205E-2</v>
      </c>
      <c r="AS335" s="40">
        <v>9.0485633235046756E-2</v>
      </c>
      <c r="AT335" s="41">
        <v>9.1972306901891634E-2</v>
      </c>
      <c r="AU335" s="41"/>
      <c r="AV335" s="23">
        <v>2</v>
      </c>
      <c r="AW335" s="23">
        <v>2.545454545454545</v>
      </c>
      <c r="AX335" s="23">
        <v>0.54545454545454541</v>
      </c>
      <c r="AY335" s="23">
        <v>2.545454545454545</v>
      </c>
      <c r="AZ335" s="23">
        <v>0.26190476190476192</v>
      </c>
      <c r="BA335" s="23">
        <v>0.33333333333333331</v>
      </c>
      <c r="BB335" s="23">
        <v>7.1428571428571425E-2</v>
      </c>
      <c r="BC335" s="23">
        <v>0.33333333333333331</v>
      </c>
      <c r="BD335" s="20">
        <v>0.95</v>
      </c>
      <c r="BE335" s="20">
        <v>3.44</v>
      </c>
      <c r="BF335" s="20">
        <v>2.4900000000000002</v>
      </c>
      <c r="BG335" s="20">
        <v>2.6345454545454539</v>
      </c>
      <c r="BH335">
        <v>2.6345454545454552</v>
      </c>
      <c r="BI335">
        <v>6.036062318181818</v>
      </c>
      <c r="BJ335" s="64">
        <v>0.52932707238284982</v>
      </c>
      <c r="BK335" s="64">
        <v>0.53802388525275069</v>
      </c>
      <c r="BL335" s="64"/>
      <c r="BM335">
        <v>4.5939975124434602E-2</v>
      </c>
      <c r="BN335">
        <v>4.5242816617523378E-2</v>
      </c>
      <c r="BO335">
        <v>4.5986153450945817E-2</v>
      </c>
      <c r="BQ335">
        <v>9.1445963461935856E-2</v>
      </c>
      <c r="BR335">
        <v>4.5722981730967928E-2</v>
      </c>
      <c r="BS335">
        <v>0.5336754788178002</v>
      </c>
      <c r="BT335" s="68" t="s">
        <v>1264</v>
      </c>
      <c r="BU335" s="68">
        <v>1450</v>
      </c>
      <c r="BV335" s="68">
        <v>200</v>
      </c>
      <c r="BX335" s="68" t="s">
        <v>1275</v>
      </c>
      <c r="BY335" s="68" t="s">
        <v>56</v>
      </c>
      <c r="BZ335" s="68">
        <v>0.15</v>
      </c>
      <c r="CA335" s="68">
        <v>0.9</v>
      </c>
      <c r="CB335" s="68">
        <v>2.56</v>
      </c>
      <c r="CC335" s="68">
        <v>0</v>
      </c>
      <c r="CD335" s="68" t="s">
        <v>464</v>
      </c>
      <c r="CE335" s="68" t="s">
        <v>464</v>
      </c>
      <c r="CF335" s="68" t="s">
        <v>1266</v>
      </c>
      <c r="CG335" s="68">
        <v>400</v>
      </c>
      <c r="CI335" s="68" t="s">
        <v>1287</v>
      </c>
      <c r="CK335" s="70">
        <v>1000</v>
      </c>
    </row>
    <row r="336" spans="1:89" x14ac:dyDescent="0.3">
      <c r="A336" t="s">
        <v>1227</v>
      </c>
      <c r="C336" t="s">
        <v>4090</v>
      </c>
      <c r="D336" s="12"/>
      <c r="E336">
        <v>4.43</v>
      </c>
      <c r="F336" t="s">
        <v>192</v>
      </c>
      <c r="G336" s="25" t="s">
        <v>556</v>
      </c>
      <c r="H336" s="1" t="s">
        <v>633</v>
      </c>
      <c r="J336" t="s">
        <v>1806</v>
      </c>
      <c r="M336" t="b">
        <v>1</v>
      </c>
      <c r="N336" t="b">
        <v>1</v>
      </c>
      <c r="O336" t="b">
        <v>0</v>
      </c>
      <c r="P336" t="b">
        <v>0</v>
      </c>
      <c r="Q336" t="s">
        <v>2008</v>
      </c>
      <c r="R336" t="s">
        <v>633</v>
      </c>
      <c r="T336">
        <v>4</v>
      </c>
      <c r="U336" s="20">
        <v>0</v>
      </c>
      <c r="V336">
        <v>0</v>
      </c>
      <c r="W336">
        <v>0</v>
      </c>
      <c r="X336" s="1">
        <v>3.9369999999999998</v>
      </c>
      <c r="Y336" s="1">
        <v>27.198</v>
      </c>
      <c r="Z336" s="1">
        <v>5.6920000000000002</v>
      </c>
      <c r="AB336" s="1">
        <v>0</v>
      </c>
      <c r="AC336" s="20">
        <v>0</v>
      </c>
      <c r="AD336" s="20"/>
      <c r="AE336" s="20"/>
      <c r="AF336">
        <v>0</v>
      </c>
      <c r="AI336">
        <v>0</v>
      </c>
      <c r="AM336">
        <v>14</v>
      </c>
      <c r="AN336" s="44">
        <f t="shared" si="40"/>
        <v>609.49096999200003</v>
      </c>
      <c r="AO336" s="46">
        <v>0</v>
      </c>
      <c r="AP336" s="44">
        <v>0</v>
      </c>
      <c r="AQ336" s="44">
        <v>0</v>
      </c>
      <c r="AR336" s="41">
        <f t="shared" si="49"/>
        <v>9.1879950248869205E-2</v>
      </c>
      <c r="AS336" s="40"/>
      <c r="AT336" s="41"/>
      <c r="AU336" s="41"/>
      <c r="AV336" s="23">
        <v>1.9950000000000001</v>
      </c>
      <c r="AW336" s="23">
        <v>2.8</v>
      </c>
      <c r="AX336" s="23">
        <v>0.30499999999999999</v>
      </c>
      <c r="AY336" s="23">
        <v>1.33</v>
      </c>
      <c r="AZ336" s="23">
        <v>0.31026438569206838</v>
      </c>
      <c r="BA336" s="23">
        <v>0.43545878693623641</v>
      </c>
      <c r="BB336" s="23">
        <v>4.7433903576982892E-2</v>
      </c>
      <c r="BC336" s="23">
        <v>0.20684292379471231</v>
      </c>
      <c r="BD336" s="20">
        <v>0.95</v>
      </c>
      <c r="BE336" s="20">
        <v>3.44</v>
      </c>
      <c r="BF336" s="20">
        <v>2.4900000000000002</v>
      </c>
      <c r="BG336" s="20">
        <v>2.7484999999999991</v>
      </c>
      <c r="BH336">
        <v>2.7484999999999999</v>
      </c>
      <c r="BI336">
        <v>6.2455429149999997</v>
      </c>
      <c r="BJ336" s="64"/>
      <c r="BK336" s="64"/>
      <c r="BL336" s="64"/>
      <c r="BM336">
        <v>4.5939975124434602E-2</v>
      </c>
      <c r="BQ336">
        <v>9.1879950248869205E-2</v>
      </c>
      <c r="BR336">
        <v>4.5939975124434602E-2</v>
      </c>
      <c r="BS336">
        <v>0</v>
      </c>
      <c r="BT336" s="68" t="s">
        <v>1264</v>
      </c>
      <c r="BU336" s="68">
        <v>1450</v>
      </c>
      <c r="BV336" s="68">
        <v>200</v>
      </c>
      <c r="BX336" s="68" t="s">
        <v>1275</v>
      </c>
      <c r="BY336" s="68" t="s">
        <v>56</v>
      </c>
      <c r="BZ336" s="68">
        <v>0.15</v>
      </c>
      <c r="CA336" s="68">
        <v>1.2</v>
      </c>
      <c r="CB336" s="68">
        <v>2.56</v>
      </c>
      <c r="CC336" s="68">
        <v>0</v>
      </c>
      <c r="CD336" s="68" t="s">
        <v>464</v>
      </c>
      <c r="CE336" s="68" t="s">
        <v>464</v>
      </c>
      <c r="CF336" s="68" t="s">
        <v>1266</v>
      </c>
      <c r="CG336" s="68">
        <v>400</v>
      </c>
      <c r="CI336" s="68" t="s">
        <v>1287</v>
      </c>
      <c r="CK336" s="70">
        <v>190</v>
      </c>
    </row>
    <row r="337" spans="1:89" x14ac:dyDescent="0.3">
      <c r="A337" t="s">
        <v>1228</v>
      </c>
      <c r="C337" t="s">
        <v>4091</v>
      </c>
      <c r="D337" s="12"/>
      <c r="E337">
        <v>4.34</v>
      </c>
      <c r="F337" t="s">
        <v>192</v>
      </c>
      <c r="G337" s="25" t="s">
        <v>556</v>
      </c>
      <c r="H337" s="1" t="s">
        <v>633</v>
      </c>
      <c r="J337" t="s">
        <v>1807</v>
      </c>
      <c r="M337" t="b">
        <v>1</v>
      </c>
      <c r="N337" t="b">
        <v>1</v>
      </c>
      <c r="O337" t="b">
        <v>0</v>
      </c>
      <c r="P337" t="b">
        <v>0</v>
      </c>
      <c r="Q337" t="s">
        <v>2009</v>
      </c>
      <c r="R337" t="s">
        <v>633</v>
      </c>
      <c r="T337">
        <v>4</v>
      </c>
      <c r="U337" s="20">
        <v>0</v>
      </c>
      <c r="V337">
        <v>0</v>
      </c>
      <c r="W337">
        <v>0</v>
      </c>
      <c r="X337" s="1">
        <v>3.9369999999999998</v>
      </c>
      <c r="Y337" s="1">
        <v>27.198</v>
      </c>
      <c r="Z337" s="1">
        <v>5.6920000000000002</v>
      </c>
      <c r="AB337" s="1">
        <v>0</v>
      </c>
      <c r="AC337" s="20">
        <v>0</v>
      </c>
      <c r="AD337" s="20"/>
      <c r="AE337" s="20"/>
      <c r="AF337">
        <v>0</v>
      </c>
      <c r="AI337">
        <v>0</v>
      </c>
      <c r="AM337">
        <v>14</v>
      </c>
      <c r="AN337" s="44">
        <f t="shared" si="40"/>
        <v>609.49096999200003</v>
      </c>
      <c r="AO337" s="46">
        <v>0</v>
      </c>
      <c r="AP337" s="44">
        <v>0</v>
      </c>
      <c r="AQ337" s="44">
        <v>0</v>
      </c>
      <c r="AR337" s="41">
        <f t="shared" si="49"/>
        <v>9.1879950248869205E-2</v>
      </c>
      <c r="AS337" s="40"/>
      <c r="AT337" s="41"/>
      <c r="AU337" s="41"/>
      <c r="AV337" s="23">
        <v>1.99</v>
      </c>
      <c r="AW337" s="23">
        <v>2.8</v>
      </c>
      <c r="AX337" s="23">
        <v>0.31</v>
      </c>
      <c r="AY337" s="23">
        <v>1.26</v>
      </c>
      <c r="AZ337" s="23">
        <v>0.31289308176100628</v>
      </c>
      <c r="BA337" s="23">
        <v>0.44025157232704398</v>
      </c>
      <c r="BB337" s="23">
        <v>4.874213836477987E-2</v>
      </c>
      <c r="BC337" s="23">
        <v>0.1981132075471698</v>
      </c>
      <c r="BD337" s="20">
        <v>0.95</v>
      </c>
      <c r="BE337" s="20">
        <v>3.44</v>
      </c>
      <c r="BF337" s="20">
        <v>2.4900000000000002</v>
      </c>
      <c r="BG337" s="20">
        <v>2.7490000000000001</v>
      </c>
      <c r="BH337">
        <v>2.7490000000000001</v>
      </c>
      <c r="BI337">
        <v>6.2450518300000004</v>
      </c>
      <c r="BJ337" s="64"/>
      <c r="BK337" s="64"/>
      <c r="BL337" s="64"/>
      <c r="BM337">
        <v>4.5939975124434602E-2</v>
      </c>
      <c r="BQ337">
        <v>9.1879950248869205E-2</v>
      </c>
      <c r="BR337">
        <v>4.5939975124434602E-2</v>
      </c>
      <c r="BS337">
        <v>0</v>
      </c>
      <c r="BT337" s="68" t="s">
        <v>1264</v>
      </c>
      <c r="BU337" s="68">
        <v>1450</v>
      </c>
      <c r="BV337" s="68">
        <v>200</v>
      </c>
      <c r="BX337" s="68" t="s">
        <v>1275</v>
      </c>
      <c r="BY337" s="68" t="s">
        <v>56</v>
      </c>
      <c r="BZ337" s="68">
        <v>0.15</v>
      </c>
      <c r="CA337" s="68">
        <v>1.3</v>
      </c>
      <c r="CB337" s="68">
        <v>2.56</v>
      </c>
      <c r="CC337" s="68">
        <v>0</v>
      </c>
      <c r="CD337" s="68" t="s">
        <v>464</v>
      </c>
      <c r="CE337" s="68" t="s">
        <v>464</v>
      </c>
      <c r="CF337" s="68" t="s">
        <v>1266</v>
      </c>
      <c r="CG337" s="68">
        <v>400</v>
      </c>
      <c r="CI337" s="68" t="s">
        <v>1287</v>
      </c>
      <c r="CK337" s="70">
        <v>130</v>
      </c>
    </row>
    <row r="338" spans="1:89" x14ac:dyDescent="0.3">
      <c r="A338" t="s">
        <v>2241</v>
      </c>
      <c r="C338" t="s">
        <v>4092</v>
      </c>
      <c r="D338" s="12"/>
      <c r="E338">
        <v>4.2699999999999996</v>
      </c>
      <c r="F338" t="s">
        <v>192</v>
      </c>
      <c r="G338" s="25" t="s">
        <v>556</v>
      </c>
      <c r="H338" s="1" t="s">
        <v>633</v>
      </c>
      <c r="J338" t="s">
        <v>1808</v>
      </c>
      <c r="M338" t="b">
        <v>1</v>
      </c>
      <c r="N338" t="b">
        <v>1</v>
      </c>
      <c r="O338" t="b">
        <v>0</v>
      </c>
      <c r="P338" t="b">
        <v>0</v>
      </c>
      <c r="Q338" t="s">
        <v>2011</v>
      </c>
      <c r="R338" t="s">
        <v>633</v>
      </c>
      <c r="T338">
        <v>4</v>
      </c>
      <c r="U338" s="20">
        <v>0</v>
      </c>
      <c r="V338">
        <v>0</v>
      </c>
      <c r="W338">
        <v>0</v>
      </c>
      <c r="X338" s="1">
        <v>3.9369999999999998</v>
      </c>
      <c r="Y338" s="1">
        <v>27.198</v>
      </c>
      <c r="Z338" s="1">
        <v>5.6920000000000002</v>
      </c>
      <c r="AB338" s="1">
        <v>0</v>
      </c>
      <c r="AC338" s="20">
        <v>0</v>
      </c>
      <c r="AD338" s="20"/>
      <c r="AE338" s="20"/>
      <c r="AF338">
        <v>0</v>
      </c>
      <c r="AI338">
        <v>0</v>
      </c>
      <c r="AM338">
        <v>14</v>
      </c>
      <c r="AN338" s="44">
        <f t="shared" si="40"/>
        <v>609.49096999200003</v>
      </c>
      <c r="AO338" s="46">
        <v>0</v>
      </c>
      <c r="AP338" s="44">
        <v>0</v>
      </c>
      <c r="AQ338" s="44">
        <v>0</v>
      </c>
      <c r="AR338" s="41">
        <f t="shared" si="49"/>
        <v>9.1879950248869205E-2</v>
      </c>
      <c r="AS338" s="40"/>
      <c r="AT338" s="41"/>
      <c r="AU338" s="41"/>
      <c r="AV338" s="23">
        <v>1.9850000000000001</v>
      </c>
      <c r="AW338" s="23">
        <v>2.8</v>
      </c>
      <c r="AX338" s="23">
        <v>0.315</v>
      </c>
      <c r="AY338" s="23">
        <v>1.19</v>
      </c>
      <c r="AZ338" s="23">
        <v>0.31558028616852152</v>
      </c>
      <c r="BA338" s="23">
        <v>0.4451510333863275</v>
      </c>
      <c r="BB338" s="23">
        <v>5.0079491255961853E-2</v>
      </c>
      <c r="BC338" s="23">
        <v>0.1891891891891892</v>
      </c>
      <c r="BD338" s="20">
        <v>0.95</v>
      </c>
      <c r="BE338" s="20">
        <v>3.44</v>
      </c>
      <c r="BF338" s="20">
        <v>2.4900000000000002</v>
      </c>
      <c r="BG338" s="20">
        <v>2.7494999999999989</v>
      </c>
      <c r="BH338">
        <v>2.7494999999999998</v>
      </c>
      <c r="BI338">
        <v>6.2445607449999994</v>
      </c>
      <c r="BJ338" s="64"/>
      <c r="BK338" s="64"/>
      <c r="BL338" s="64"/>
      <c r="BM338">
        <v>4.5939975124434602E-2</v>
      </c>
      <c r="BQ338">
        <v>9.1879950248869205E-2</v>
      </c>
      <c r="BR338">
        <v>4.5939975124434602E-2</v>
      </c>
      <c r="BS338">
        <v>0</v>
      </c>
      <c r="BT338" s="68" t="s">
        <v>1264</v>
      </c>
      <c r="BU338" s="68">
        <v>1450</v>
      </c>
      <c r="BV338" s="68">
        <v>200</v>
      </c>
      <c r="BX338" s="68" t="s">
        <v>1275</v>
      </c>
      <c r="BY338" s="68" t="s">
        <v>56</v>
      </c>
      <c r="BZ338" s="68">
        <v>0.15</v>
      </c>
      <c r="CA338" s="68">
        <v>1</v>
      </c>
      <c r="CB338" s="68">
        <v>2.56</v>
      </c>
      <c r="CC338" s="68">
        <v>0</v>
      </c>
      <c r="CD338" s="68" t="s">
        <v>464</v>
      </c>
      <c r="CE338" s="68" t="s">
        <v>464</v>
      </c>
      <c r="CF338" s="68" t="s">
        <v>1266</v>
      </c>
      <c r="CG338" s="68">
        <v>400</v>
      </c>
      <c r="CI338" s="68" t="s">
        <v>1287</v>
      </c>
      <c r="CK338" s="70">
        <v>200</v>
      </c>
    </row>
    <row r="339" spans="1:89" x14ac:dyDescent="0.3">
      <c r="A339" t="s">
        <v>1230</v>
      </c>
      <c r="C339" t="s">
        <v>4093</v>
      </c>
      <c r="D339" s="12"/>
      <c r="E339">
        <v>4.13</v>
      </c>
      <c r="F339" t="s">
        <v>192</v>
      </c>
      <c r="G339" s="25" t="s">
        <v>556</v>
      </c>
      <c r="H339" s="1" t="s">
        <v>633</v>
      </c>
      <c r="J339" t="s">
        <v>1809</v>
      </c>
      <c r="M339" t="b">
        <v>1</v>
      </c>
      <c r="N339" t="b">
        <v>1</v>
      </c>
      <c r="O339" t="b">
        <v>0</v>
      </c>
      <c r="P339" t="b">
        <v>0</v>
      </c>
      <c r="Q339" t="s">
        <v>2012</v>
      </c>
      <c r="R339" t="s">
        <v>633</v>
      </c>
      <c r="T339">
        <v>4</v>
      </c>
      <c r="U339" s="20">
        <v>0</v>
      </c>
      <c r="V339">
        <v>0</v>
      </c>
      <c r="W339">
        <v>0</v>
      </c>
      <c r="X339" s="1">
        <v>3.9369999999999998</v>
      </c>
      <c r="Y339" s="1">
        <v>27.198</v>
      </c>
      <c r="Z339" s="1">
        <v>5.6920000000000002</v>
      </c>
      <c r="AB339" s="1">
        <v>0</v>
      </c>
      <c r="AC339" s="20">
        <v>0</v>
      </c>
      <c r="AD339" s="20"/>
      <c r="AE339" s="20"/>
      <c r="AF339">
        <v>0</v>
      </c>
      <c r="AI339">
        <v>0</v>
      </c>
      <c r="AM339">
        <v>14</v>
      </c>
      <c r="AN339" s="44">
        <f t="shared" si="40"/>
        <v>609.49096999200003</v>
      </c>
      <c r="AO339" s="46">
        <v>0</v>
      </c>
      <c r="AP339" s="44">
        <v>0</v>
      </c>
      <c r="AQ339" s="44">
        <v>0</v>
      </c>
      <c r="AR339" s="41">
        <f t="shared" si="49"/>
        <v>9.1879950248869205E-2</v>
      </c>
      <c r="AS339" s="40"/>
      <c r="AT339" s="41"/>
      <c r="AU339" s="41"/>
      <c r="AV339" s="23">
        <v>1.9750000000000001</v>
      </c>
      <c r="AW339" s="23">
        <v>2.8</v>
      </c>
      <c r="AX339" s="23">
        <v>0.32500000000000001</v>
      </c>
      <c r="AY339" s="23">
        <v>1.05</v>
      </c>
      <c r="AZ339" s="23">
        <v>0.32113821138211379</v>
      </c>
      <c r="BA339" s="23">
        <v>0.45528455284552838</v>
      </c>
      <c r="BB339" s="23">
        <v>5.2845528455284549E-2</v>
      </c>
      <c r="BC339" s="23">
        <v>0.17073170731707321</v>
      </c>
      <c r="BD339" s="20">
        <v>0.95</v>
      </c>
      <c r="BE339" s="20">
        <v>3.44</v>
      </c>
      <c r="BF339" s="20">
        <v>2.4900000000000002</v>
      </c>
      <c r="BG339" s="20">
        <v>2.7505000000000002</v>
      </c>
      <c r="BH339">
        <v>2.7505000000000002</v>
      </c>
      <c r="BI339">
        <v>6.2435785749999999</v>
      </c>
      <c r="BJ339" s="64"/>
      <c r="BK339" s="64"/>
      <c r="BL339" s="64"/>
      <c r="BM339">
        <v>4.5939975124434602E-2</v>
      </c>
      <c r="BQ339">
        <v>9.1879950248869205E-2</v>
      </c>
      <c r="BR339">
        <v>4.5939975124434602E-2</v>
      </c>
      <c r="BS339">
        <v>0</v>
      </c>
      <c r="BT339" s="68" t="s">
        <v>1264</v>
      </c>
      <c r="BU339" s="68">
        <v>1450</v>
      </c>
      <c r="BV339" s="68">
        <v>200</v>
      </c>
      <c r="BX339" s="68" t="s">
        <v>1275</v>
      </c>
      <c r="BY339" s="68" t="s">
        <v>56</v>
      </c>
      <c r="BZ339" s="68">
        <v>0.15</v>
      </c>
      <c r="CA339" s="68">
        <v>1.2</v>
      </c>
      <c r="CB339" s="68">
        <v>2.56</v>
      </c>
      <c r="CC339" s="68">
        <v>0</v>
      </c>
      <c r="CD339" s="68" t="s">
        <v>464</v>
      </c>
      <c r="CE339" s="68" t="s">
        <v>464</v>
      </c>
      <c r="CF339" s="68" t="s">
        <v>1266</v>
      </c>
      <c r="CG339" s="68">
        <v>400</v>
      </c>
      <c r="CI339" s="68" t="s">
        <v>1287</v>
      </c>
      <c r="CK339" s="70">
        <v>240</v>
      </c>
    </row>
    <row r="340" spans="1:89" x14ac:dyDescent="0.3">
      <c r="A340" t="s">
        <v>1231</v>
      </c>
      <c r="C340" t="s">
        <v>4094</v>
      </c>
      <c r="D340" s="12"/>
      <c r="E340">
        <v>4.07</v>
      </c>
      <c r="F340" t="s">
        <v>192</v>
      </c>
      <c r="G340" s="25" t="s">
        <v>556</v>
      </c>
      <c r="H340" s="1" t="s">
        <v>633</v>
      </c>
      <c r="J340" t="s">
        <v>1810</v>
      </c>
      <c r="M340" t="b">
        <v>1</v>
      </c>
      <c r="N340" t="b">
        <v>1</v>
      </c>
      <c r="O340" t="b">
        <v>0</v>
      </c>
      <c r="P340" t="b">
        <v>0</v>
      </c>
      <c r="Q340" t="s">
        <v>2013</v>
      </c>
      <c r="R340" t="s">
        <v>633</v>
      </c>
      <c r="T340">
        <v>4</v>
      </c>
      <c r="U340" s="20">
        <v>0</v>
      </c>
      <c r="V340">
        <v>0</v>
      </c>
      <c r="W340">
        <v>0</v>
      </c>
      <c r="X340" s="1">
        <v>3.9369999999999998</v>
      </c>
      <c r="Y340" s="1">
        <v>27.198</v>
      </c>
      <c r="Z340" s="1">
        <v>5.6920000000000002</v>
      </c>
      <c r="AB340" s="1">
        <v>0</v>
      </c>
      <c r="AC340" s="20">
        <v>0</v>
      </c>
      <c r="AD340" s="20"/>
      <c r="AE340" s="20"/>
      <c r="AF340">
        <v>0</v>
      </c>
      <c r="AI340">
        <v>0</v>
      </c>
      <c r="AM340">
        <v>14</v>
      </c>
      <c r="AN340" s="44">
        <f t="shared" si="40"/>
        <v>609.49096999200003</v>
      </c>
      <c r="AO340" s="46">
        <v>0</v>
      </c>
      <c r="AP340" s="44">
        <v>0</v>
      </c>
      <c r="AQ340" s="44">
        <v>0</v>
      </c>
      <c r="AR340" s="41">
        <f t="shared" si="49"/>
        <v>9.1879950248869205E-2</v>
      </c>
      <c r="AS340" s="40"/>
      <c r="AT340" s="41"/>
      <c r="AU340" s="41"/>
      <c r="AV340" s="23">
        <v>1.9650000000000001</v>
      </c>
      <c r="AW340" s="23">
        <v>2.8</v>
      </c>
      <c r="AX340" s="23">
        <v>0.33500000000000002</v>
      </c>
      <c r="AY340" s="23">
        <v>0.90999999999999992</v>
      </c>
      <c r="AZ340" s="23">
        <v>0.32695507487520797</v>
      </c>
      <c r="BA340" s="23">
        <v>0.46589018302828622</v>
      </c>
      <c r="BB340" s="23">
        <v>5.5740432612312818E-2</v>
      </c>
      <c r="BC340" s="23">
        <v>0.15141430948419299</v>
      </c>
      <c r="BD340" s="20">
        <v>0.95</v>
      </c>
      <c r="BE340" s="20">
        <v>3.44</v>
      </c>
      <c r="BF340" s="20">
        <v>2.4900000000000002</v>
      </c>
      <c r="BG340" s="20">
        <v>2.7515000000000001</v>
      </c>
      <c r="BH340">
        <v>2.7515000000000001</v>
      </c>
      <c r="BI340">
        <v>6.2425964049999996</v>
      </c>
      <c r="BJ340" s="64"/>
      <c r="BK340" s="64"/>
      <c r="BL340" s="64"/>
      <c r="BM340">
        <v>4.5939975124434602E-2</v>
      </c>
      <c r="BQ340">
        <v>9.1879950248869205E-2</v>
      </c>
      <c r="BR340">
        <v>4.5939975124434602E-2</v>
      </c>
      <c r="BS340">
        <v>0</v>
      </c>
      <c r="BT340" s="68" t="s">
        <v>1264</v>
      </c>
      <c r="BU340" s="68">
        <v>1450</v>
      </c>
      <c r="BV340" s="68">
        <v>200</v>
      </c>
      <c r="BX340" s="68" t="s">
        <v>1275</v>
      </c>
      <c r="BY340" s="68" t="s">
        <v>56</v>
      </c>
      <c r="BZ340" s="68">
        <v>0.15</v>
      </c>
      <c r="CA340" s="68">
        <v>1</v>
      </c>
      <c r="CB340" s="68">
        <v>2.56</v>
      </c>
      <c r="CC340" s="68">
        <v>0</v>
      </c>
      <c r="CD340" s="68" t="s">
        <v>464</v>
      </c>
      <c r="CE340" s="68" t="s">
        <v>464</v>
      </c>
      <c r="CF340" s="68" t="s">
        <v>1266</v>
      </c>
      <c r="CG340" s="68">
        <v>400</v>
      </c>
      <c r="CI340" s="68" t="s">
        <v>1287</v>
      </c>
      <c r="CK340" s="70">
        <v>160</v>
      </c>
    </row>
    <row r="341" spans="1:89" x14ac:dyDescent="0.3">
      <c r="A341" t="s">
        <v>1232</v>
      </c>
      <c r="C341" t="s">
        <v>4095</v>
      </c>
      <c r="D341" s="12"/>
      <c r="E341">
        <v>4.03</v>
      </c>
      <c r="F341" t="s">
        <v>192</v>
      </c>
      <c r="G341" s="25" t="s">
        <v>556</v>
      </c>
      <c r="H341" s="1" t="s">
        <v>633</v>
      </c>
      <c r="J341" t="s">
        <v>2275</v>
      </c>
      <c r="M341" t="b">
        <v>1</v>
      </c>
      <c r="N341" t="b">
        <v>0</v>
      </c>
      <c r="O341" t="b">
        <v>0</v>
      </c>
      <c r="P341" t="b">
        <v>0</v>
      </c>
      <c r="Q341" t="s">
        <v>2014</v>
      </c>
      <c r="R341" t="s">
        <v>633</v>
      </c>
      <c r="T341">
        <v>4</v>
      </c>
      <c r="U341" s="20">
        <v>0</v>
      </c>
      <c r="V341">
        <v>0</v>
      </c>
      <c r="W341">
        <v>0</v>
      </c>
      <c r="X341" s="1">
        <v>3.9369999999999998</v>
      </c>
      <c r="Y341" s="1">
        <v>27.198</v>
      </c>
      <c r="Z341" s="1">
        <v>5.6920000000000002</v>
      </c>
      <c r="AB341" s="1">
        <v>0</v>
      </c>
      <c r="AC341" s="20">
        <v>0</v>
      </c>
      <c r="AD341" s="20"/>
      <c r="AE341" s="20"/>
      <c r="AF341">
        <v>0</v>
      </c>
      <c r="AI341">
        <v>0</v>
      </c>
      <c r="AM341">
        <v>14</v>
      </c>
      <c r="AN341" s="44">
        <f t="shared" si="40"/>
        <v>609.49096999200003</v>
      </c>
      <c r="AO341" s="46">
        <v>0</v>
      </c>
      <c r="AP341" s="44">
        <v>0</v>
      </c>
      <c r="AQ341" s="44">
        <v>0</v>
      </c>
      <c r="AR341" s="41">
        <f t="shared" si="49"/>
        <v>9.1879950248869205E-2</v>
      </c>
      <c r="AS341" s="40"/>
      <c r="AT341" s="41"/>
      <c r="AU341" s="41"/>
      <c r="AV341" s="23">
        <v>1.95</v>
      </c>
      <c r="AW341" s="23">
        <v>2.8</v>
      </c>
      <c r="AX341" s="23">
        <v>0.35</v>
      </c>
      <c r="AY341" s="23">
        <v>0.7</v>
      </c>
      <c r="AZ341" s="23">
        <v>0.33620689655172409</v>
      </c>
      <c r="BA341" s="23">
        <v>0.48275862068965508</v>
      </c>
      <c r="BB341" s="23">
        <v>6.0344827586206892E-2</v>
      </c>
      <c r="BC341" s="23">
        <v>0.1206896551724138</v>
      </c>
      <c r="BD341" s="20">
        <v>0.95</v>
      </c>
      <c r="BE341" s="20">
        <v>3.44</v>
      </c>
      <c r="BF341" s="20">
        <v>2.4900000000000002</v>
      </c>
      <c r="BG341" s="20">
        <v>2.7530000000000001</v>
      </c>
      <c r="BH341">
        <v>2.7530000000000001</v>
      </c>
      <c r="BI341">
        <v>6.24112315</v>
      </c>
      <c r="BJ341" s="64"/>
      <c r="BK341" s="64"/>
      <c r="BL341" s="64"/>
      <c r="BM341">
        <v>4.5939975124434602E-2</v>
      </c>
      <c r="BQ341">
        <v>9.1879950248869205E-2</v>
      </c>
      <c r="BR341">
        <v>4.5939975124434602E-2</v>
      </c>
      <c r="BS341">
        <v>0</v>
      </c>
      <c r="BT341" s="68" t="s">
        <v>1264</v>
      </c>
      <c r="BU341" s="68">
        <v>1450</v>
      </c>
      <c r="BV341" s="68">
        <v>200</v>
      </c>
      <c r="BX341" s="68" t="s">
        <v>1275</v>
      </c>
      <c r="BY341" s="68" t="s">
        <v>56</v>
      </c>
      <c r="BZ341" s="68">
        <v>0.15</v>
      </c>
      <c r="CA341" s="68">
        <v>1.2</v>
      </c>
      <c r="CB341" s="68">
        <v>2.56</v>
      </c>
      <c r="CC341" s="68">
        <v>0</v>
      </c>
      <c r="CD341" s="68" t="s">
        <v>464</v>
      </c>
      <c r="CE341" s="68" t="s">
        <v>464</v>
      </c>
      <c r="CF341" s="68" t="s">
        <v>1266</v>
      </c>
      <c r="CG341" s="68">
        <v>400</v>
      </c>
      <c r="CI341" s="68" t="s">
        <v>1287</v>
      </c>
      <c r="CK341" s="70">
        <v>110</v>
      </c>
    </row>
    <row r="342" spans="1:89" x14ac:dyDescent="0.3">
      <c r="A342" t="s">
        <v>1233</v>
      </c>
      <c r="C342" t="s">
        <v>4096</v>
      </c>
      <c r="D342" s="12"/>
      <c r="E342">
        <v>3.96</v>
      </c>
      <c r="F342" t="s">
        <v>192</v>
      </c>
      <c r="G342" s="25" t="s">
        <v>556</v>
      </c>
      <c r="H342" s="1" t="s">
        <v>633</v>
      </c>
      <c r="J342" t="s">
        <v>1811</v>
      </c>
      <c r="M342" t="b">
        <v>1</v>
      </c>
      <c r="N342" t="b">
        <v>0</v>
      </c>
      <c r="O342" t="b">
        <v>0</v>
      </c>
      <c r="P342" t="b">
        <v>0</v>
      </c>
      <c r="Q342" t="s">
        <v>2016</v>
      </c>
      <c r="R342" t="s">
        <v>633</v>
      </c>
      <c r="T342">
        <v>4</v>
      </c>
      <c r="U342" s="20">
        <v>0</v>
      </c>
      <c r="V342">
        <v>0</v>
      </c>
      <c r="W342">
        <v>0</v>
      </c>
      <c r="X342" s="1">
        <v>3.9369999999999998</v>
      </c>
      <c r="Y342" s="1">
        <v>27.198</v>
      </c>
      <c r="Z342" s="1">
        <v>5.6920000000000002</v>
      </c>
      <c r="AB342" s="1">
        <v>0</v>
      </c>
      <c r="AC342" s="20">
        <v>0</v>
      </c>
      <c r="AD342" s="20"/>
      <c r="AE342" s="20"/>
      <c r="AF342">
        <v>0</v>
      </c>
      <c r="AI342">
        <v>0</v>
      </c>
      <c r="AM342">
        <v>14</v>
      </c>
      <c r="AN342" s="44">
        <f t="shared" si="40"/>
        <v>609.49096999200003</v>
      </c>
      <c r="AO342" s="46">
        <v>0</v>
      </c>
      <c r="AP342" s="44">
        <v>0</v>
      </c>
      <c r="AQ342" s="44">
        <v>0</v>
      </c>
      <c r="AR342" s="41">
        <f t="shared" si="49"/>
        <v>9.1879950248869205E-2</v>
      </c>
      <c r="AS342" s="40"/>
      <c r="AT342" s="41"/>
      <c r="AU342" s="41"/>
      <c r="AV342" s="23">
        <v>1.92</v>
      </c>
      <c r="AW342" s="23">
        <v>2.8</v>
      </c>
      <c r="AX342" s="23">
        <v>0.38</v>
      </c>
      <c r="AY342" s="23">
        <v>0.28000000000000003</v>
      </c>
      <c r="AZ342" s="23">
        <v>0.35687732342007428</v>
      </c>
      <c r="BA342" s="23">
        <v>0.5204460966542751</v>
      </c>
      <c r="BB342" s="23">
        <v>7.0631970260223054E-2</v>
      </c>
      <c r="BC342" s="23">
        <v>5.2044609665427517E-2</v>
      </c>
      <c r="BD342" s="20">
        <v>0.95</v>
      </c>
      <c r="BE342" s="20">
        <v>3.44</v>
      </c>
      <c r="BF342" s="20">
        <v>2.4900000000000002</v>
      </c>
      <c r="BG342" s="20">
        <v>2.7559999999999998</v>
      </c>
      <c r="BH342">
        <v>2.7559999999999998</v>
      </c>
      <c r="BI342">
        <v>6.2381766400000007</v>
      </c>
      <c r="BJ342" s="64"/>
      <c r="BK342" s="64"/>
      <c r="BL342" s="64"/>
      <c r="BM342">
        <v>4.5939975124434602E-2</v>
      </c>
      <c r="BQ342">
        <v>9.1879950248869205E-2</v>
      </c>
      <c r="BR342">
        <v>4.5939975124434602E-2</v>
      </c>
      <c r="BS342">
        <v>0</v>
      </c>
      <c r="BT342" s="68" t="s">
        <v>1264</v>
      </c>
      <c r="BU342" s="68">
        <v>1450</v>
      </c>
      <c r="BV342" s="68">
        <v>200</v>
      </c>
      <c r="BX342" s="68" t="s">
        <v>1275</v>
      </c>
      <c r="BY342" s="68" t="s">
        <v>56</v>
      </c>
      <c r="BZ342" s="68">
        <v>0.15</v>
      </c>
      <c r="CA342" s="68">
        <v>0.8</v>
      </c>
      <c r="CB342" s="68">
        <v>2.56</v>
      </c>
      <c r="CC342" s="68">
        <v>0</v>
      </c>
      <c r="CD342" s="68" t="s">
        <v>464</v>
      </c>
      <c r="CE342" s="68" t="s">
        <v>464</v>
      </c>
      <c r="CF342" s="68" t="s">
        <v>1266</v>
      </c>
      <c r="CG342" s="68">
        <v>400</v>
      </c>
      <c r="CI342" s="68" t="s">
        <v>1287</v>
      </c>
      <c r="CK342" s="70">
        <v>50</v>
      </c>
    </row>
    <row r="343" spans="1:89" x14ac:dyDescent="0.3">
      <c r="A343" t="s">
        <v>49</v>
      </c>
      <c r="C343" t="s">
        <v>3967</v>
      </c>
      <c r="D343" s="12"/>
      <c r="E343">
        <v>3.92</v>
      </c>
      <c r="F343" t="s">
        <v>192</v>
      </c>
      <c r="G343" s="112" t="s">
        <v>553</v>
      </c>
      <c r="H343">
        <v>2002850</v>
      </c>
      <c r="M343" t="b">
        <v>1</v>
      </c>
      <c r="N343" t="b">
        <v>1</v>
      </c>
      <c r="O343" t="b">
        <v>0</v>
      </c>
      <c r="P343" t="b">
        <v>0</v>
      </c>
      <c r="Q343" t="s">
        <v>553</v>
      </c>
      <c r="R343">
        <v>2002850</v>
      </c>
      <c r="U343" s="20">
        <v>8</v>
      </c>
      <c r="V343">
        <v>8</v>
      </c>
      <c r="W343">
        <v>0</v>
      </c>
      <c r="X343">
        <v>3.9329999999999998</v>
      </c>
      <c r="Y343">
        <v>26.725999999999999</v>
      </c>
      <c r="Z343">
        <v>5.8630000000000004</v>
      </c>
      <c r="AA343" t="s">
        <v>1095</v>
      </c>
      <c r="AB343" s="1">
        <v>0</v>
      </c>
      <c r="AC343" s="20">
        <v>5.8017180100000001</v>
      </c>
      <c r="AD343" s="20">
        <v>7.9756520899999996</v>
      </c>
      <c r="AE343" s="20">
        <v>27.352093400000001</v>
      </c>
      <c r="AF343">
        <v>26.646989999999999</v>
      </c>
      <c r="AG343">
        <v>7.9359999999999999</v>
      </c>
      <c r="AH343">
        <v>5.7050000000000001</v>
      </c>
      <c r="AI343">
        <v>0</v>
      </c>
      <c r="AM343">
        <v>14</v>
      </c>
      <c r="AN343" s="44">
        <f t="shared" si="40"/>
        <v>616.27961795399995</v>
      </c>
      <c r="AO343" s="46">
        <v>1265.6493143942739</v>
      </c>
      <c r="AP343" s="44">
        <v>1206.4392746112001</v>
      </c>
      <c r="AQ343" s="44">
        <v>0</v>
      </c>
      <c r="AR343" s="41"/>
      <c r="AS343" s="40">
        <v>8.8492127105210025E-2</v>
      </c>
      <c r="AT343" s="41">
        <v>9.2835174017436004E-2</v>
      </c>
      <c r="AU343" s="41"/>
      <c r="AV343" s="23">
        <v>1.8181818181818179</v>
      </c>
      <c r="AW343" s="23">
        <v>2.545454545454545</v>
      </c>
      <c r="AX343" s="23">
        <v>0.72727272727272729</v>
      </c>
      <c r="AY343" s="23">
        <v>0</v>
      </c>
      <c r="AZ343" s="23">
        <v>0.35714285714285721</v>
      </c>
      <c r="BA343" s="23">
        <v>0.5</v>
      </c>
      <c r="BB343" s="23">
        <v>0.1428571428571429</v>
      </c>
      <c r="BC343" s="23">
        <v>0</v>
      </c>
      <c r="BD343" s="20">
        <v>0.95</v>
      </c>
      <c r="BE343" s="20">
        <v>3.44</v>
      </c>
      <c r="BF343" s="20">
        <v>2.4900000000000002</v>
      </c>
      <c r="BG343" s="20">
        <v>2.6527272727272719</v>
      </c>
      <c r="BH343">
        <v>2.6527272727272728</v>
      </c>
      <c r="BI343">
        <v>6.0182046818181814</v>
      </c>
      <c r="BJ343" s="64">
        <v>0.5176653673612065</v>
      </c>
      <c r="BK343" s="64">
        <v>0.54307152550012683</v>
      </c>
      <c r="BL343" s="64"/>
      <c r="BN343">
        <v>4.4246063552605013E-2</v>
      </c>
      <c r="BO343">
        <v>4.6417587008717988E-2</v>
      </c>
      <c r="BQ343">
        <v>9.0663650561323014E-2</v>
      </c>
      <c r="BR343">
        <v>4.53318252806615E-2</v>
      </c>
      <c r="BS343">
        <v>0.53036844643066661</v>
      </c>
      <c r="BT343" s="68" t="s">
        <v>1264</v>
      </c>
      <c r="BU343" s="68">
        <v>1450</v>
      </c>
      <c r="BV343" s="68">
        <v>200</v>
      </c>
      <c r="BX343" s="68" t="s">
        <v>1275</v>
      </c>
      <c r="BY343" s="68" t="s">
        <v>56</v>
      </c>
      <c r="BZ343" s="68">
        <v>0.15</v>
      </c>
      <c r="CA343" s="68">
        <v>0.6</v>
      </c>
      <c r="CB343" s="68">
        <v>2.56</v>
      </c>
      <c r="CC343" s="68">
        <v>0</v>
      </c>
      <c r="CD343" s="68" t="s">
        <v>464</v>
      </c>
      <c r="CE343" s="68" t="s">
        <v>464</v>
      </c>
      <c r="CF343" s="68" t="s">
        <v>1266</v>
      </c>
      <c r="CG343" s="68">
        <v>400</v>
      </c>
      <c r="CI343" s="68" t="s">
        <v>1287</v>
      </c>
      <c r="CK343" s="70">
        <v>39</v>
      </c>
    </row>
    <row r="344" spans="1:89" x14ac:dyDescent="0.3">
      <c r="A344" t="s">
        <v>46</v>
      </c>
      <c r="B344" t="s">
        <v>46</v>
      </c>
      <c r="C344" t="s">
        <v>4087</v>
      </c>
      <c r="D344" s="12"/>
      <c r="E344">
        <v>3.82</v>
      </c>
      <c r="F344" t="s">
        <v>197</v>
      </c>
      <c r="G344" s="112" t="s">
        <v>551</v>
      </c>
      <c r="H344">
        <v>1001022</v>
      </c>
      <c r="M344" t="b">
        <v>1</v>
      </c>
      <c r="N344" t="b">
        <v>1</v>
      </c>
      <c r="O344" t="b">
        <v>0</v>
      </c>
      <c r="P344" t="b">
        <v>0</v>
      </c>
      <c r="Q344" t="s">
        <v>551</v>
      </c>
      <c r="R344">
        <v>1001022</v>
      </c>
      <c r="T344">
        <v>4</v>
      </c>
      <c r="U344" s="20">
        <v>2</v>
      </c>
      <c r="V344">
        <v>4</v>
      </c>
      <c r="W344">
        <v>0</v>
      </c>
      <c r="X344">
        <v>13.01</v>
      </c>
      <c r="Y344">
        <v>5.5439999999999996</v>
      </c>
      <c r="Z344">
        <v>7.81</v>
      </c>
      <c r="AA344" t="s">
        <v>1095</v>
      </c>
      <c r="AB344" s="1">
        <f>X344</f>
        <v>13.01</v>
      </c>
      <c r="AC344" s="20">
        <v>7.41544296</v>
      </c>
      <c r="AD344" s="20">
        <v>7.4154429599999991</v>
      </c>
      <c r="AE344" s="20">
        <v>7.41544296</v>
      </c>
      <c r="AF344">
        <v>7.8</v>
      </c>
      <c r="AG344">
        <v>13.010999999999999</v>
      </c>
      <c r="AH344">
        <v>5.5460000000000003</v>
      </c>
      <c r="AI344">
        <v>0</v>
      </c>
      <c r="AM344">
        <v>14</v>
      </c>
      <c r="AN344" s="44">
        <f t="shared" si="40"/>
        <v>563.31530639999994</v>
      </c>
      <c r="AO344" s="46">
        <v>288.33429290182369</v>
      </c>
      <c r="AP344" s="44">
        <v>556.51188553357167</v>
      </c>
      <c r="AQ344" s="44">
        <v>0</v>
      </c>
      <c r="AR344" s="41">
        <f t="shared" si="49"/>
        <v>9.9411465237614932E-2</v>
      </c>
      <c r="AS344" s="40">
        <v>9.7109503410799117E-2</v>
      </c>
      <c r="AT344" s="41">
        <v>0.10062678166578309</v>
      </c>
      <c r="AU344" s="41"/>
      <c r="AV344" s="23">
        <v>2</v>
      </c>
      <c r="AW344" s="23">
        <v>2.545454545454545</v>
      </c>
      <c r="AX344" s="23">
        <v>0.54545454545454541</v>
      </c>
      <c r="AY344" s="23">
        <v>0</v>
      </c>
      <c r="AZ344" s="23">
        <v>0.39285714285714279</v>
      </c>
      <c r="BA344" s="23">
        <v>0.5</v>
      </c>
      <c r="BB344" s="23">
        <v>0.1071428571428571</v>
      </c>
      <c r="BC344" s="23">
        <v>0</v>
      </c>
      <c r="BD344" s="20">
        <v>1.1000000000000001</v>
      </c>
      <c r="BE344" s="20">
        <v>3.44</v>
      </c>
      <c r="BF344" s="20">
        <v>2.34</v>
      </c>
      <c r="BG344" s="20">
        <v>2.669090909090909</v>
      </c>
      <c r="BH344">
        <v>2.669090909090909</v>
      </c>
      <c r="BI344">
        <v>5.9831974772727277</v>
      </c>
      <c r="BJ344" s="64">
        <v>0.52442413903612473</v>
      </c>
      <c r="BK344" s="64">
        <v>0.54341863036636606</v>
      </c>
      <c r="BL344" s="64"/>
      <c r="BM344">
        <v>4.9705732618807473E-2</v>
      </c>
      <c r="BN344">
        <v>4.8554751705399558E-2</v>
      </c>
      <c r="BO344">
        <v>5.0313390832891547E-2</v>
      </c>
      <c r="BQ344">
        <v>9.9049250104732381E-2</v>
      </c>
      <c r="BR344">
        <v>4.952462505236619E-2</v>
      </c>
      <c r="BS344">
        <v>0.53392138470124539</v>
      </c>
      <c r="BT344" s="68" t="s">
        <v>1264</v>
      </c>
      <c r="BU344" s="68">
        <v>1423</v>
      </c>
      <c r="BV344" s="68">
        <v>10</v>
      </c>
      <c r="BX344" s="68" t="s">
        <v>464</v>
      </c>
      <c r="BY344" s="68" t="s">
        <v>464</v>
      </c>
      <c r="BZ344" s="68">
        <v>0</v>
      </c>
      <c r="CB344" s="68">
        <v>2</v>
      </c>
      <c r="CC344" s="68">
        <v>0</v>
      </c>
      <c r="CD344" s="68" t="s">
        <v>464</v>
      </c>
      <c r="CE344" s="68" t="s">
        <v>464</v>
      </c>
      <c r="CF344" s="68" t="s">
        <v>1266</v>
      </c>
      <c r="CG344" s="68">
        <v>450</v>
      </c>
      <c r="CH344" s="68">
        <v>200</v>
      </c>
      <c r="CI344" s="68" t="s">
        <v>1287</v>
      </c>
      <c r="CK344" s="70">
        <v>10</v>
      </c>
    </row>
    <row r="345" spans="1:89" x14ac:dyDescent="0.3">
      <c r="A345" t="s">
        <v>193</v>
      </c>
      <c r="B345" t="s">
        <v>46</v>
      </c>
      <c r="C345" t="s">
        <v>4097</v>
      </c>
      <c r="D345" s="12"/>
      <c r="E345">
        <v>3.68</v>
      </c>
      <c r="F345" t="s">
        <v>197</v>
      </c>
      <c r="G345" s="25" t="s">
        <v>551</v>
      </c>
      <c r="H345" s="1" t="s">
        <v>629</v>
      </c>
      <c r="J345" t="s">
        <v>1812</v>
      </c>
      <c r="M345" t="b">
        <v>1</v>
      </c>
      <c r="N345" t="b">
        <v>1</v>
      </c>
      <c r="O345" t="b">
        <v>0</v>
      </c>
      <c r="P345" t="b">
        <v>0</v>
      </c>
      <c r="Q345" t="s">
        <v>2018</v>
      </c>
      <c r="R345" t="s">
        <v>629</v>
      </c>
      <c r="T345">
        <v>4</v>
      </c>
      <c r="U345" s="20">
        <v>0</v>
      </c>
      <c r="V345">
        <v>0</v>
      </c>
      <c r="W345">
        <v>0</v>
      </c>
      <c r="X345">
        <v>13.02</v>
      </c>
      <c r="Y345">
        <v>5.5119999999999996</v>
      </c>
      <c r="Z345">
        <v>7.7450000000000001</v>
      </c>
      <c r="AA345" t="s">
        <v>1095</v>
      </c>
      <c r="AB345" s="1">
        <f t="shared" ref="AB345:AB373" si="50">X345</f>
        <v>13.02</v>
      </c>
      <c r="AC345" s="20">
        <v>0</v>
      </c>
      <c r="AD345" s="20"/>
      <c r="AE345" s="20"/>
      <c r="AF345">
        <v>0</v>
      </c>
      <c r="AI345">
        <v>0</v>
      </c>
      <c r="AM345">
        <v>14</v>
      </c>
      <c r="AN345" s="44">
        <f t="shared" si="40"/>
        <v>555.82952879999993</v>
      </c>
      <c r="AO345" s="46">
        <v>0</v>
      </c>
      <c r="AP345" s="44">
        <v>0</v>
      </c>
      <c r="AQ345" s="44">
        <v>0</v>
      </c>
      <c r="AR345" s="41">
        <f t="shared" si="49"/>
        <v>0.10075031479687735</v>
      </c>
      <c r="AS345" s="40"/>
      <c r="AT345" s="41"/>
      <c r="AU345" s="41"/>
      <c r="AV345" s="23">
        <v>2</v>
      </c>
      <c r="AW345" s="23">
        <v>2.545454545454545</v>
      </c>
      <c r="AX345" s="23">
        <v>0.45454545454545447</v>
      </c>
      <c r="AY345" s="23">
        <v>0.36363636363636359</v>
      </c>
      <c r="AZ345" s="23">
        <v>0.3728813559322034</v>
      </c>
      <c r="BA345" s="23">
        <v>0.47457627118644069</v>
      </c>
      <c r="BB345" s="23">
        <v>8.4745762711864403E-2</v>
      </c>
      <c r="BC345" s="23">
        <v>6.7796610169491525E-2</v>
      </c>
      <c r="BD345" s="20">
        <v>1.1000000000000001</v>
      </c>
      <c r="BE345" s="20">
        <v>3.44</v>
      </c>
      <c r="BF345" s="20">
        <v>2.34</v>
      </c>
      <c r="BG345" s="20">
        <v>2.672727272727272</v>
      </c>
      <c r="BH345">
        <v>2.6727272727272728</v>
      </c>
      <c r="BI345">
        <v>5.9599268909090908</v>
      </c>
      <c r="BJ345" s="64"/>
      <c r="BK345" s="64"/>
      <c r="BL345" s="64"/>
      <c r="BM345">
        <v>5.0375157398438668E-2</v>
      </c>
      <c r="BQ345">
        <v>0.10075031479687729</v>
      </c>
      <c r="BR345">
        <v>5.0375157398438668E-2</v>
      </c>
      <c r="BS345">
        <v>0</v>
      </c>
      <c r="BT345" s="68" t="s">
        <v>1264</v>
      </c>
      <c r="BU345" s="68">
        <v>1423</v>
      </c>
      <c r="BV345" s="68">
        <v>10</v>
      </c>
      <c r="BX345" s="68" t="s">
        <v>464</v>
      </c>
      <c r="BY345" s="68" t="s">
        <v>464</v>
      </c>
      <c r="BZ345" s="68">
        <v>0</v>
      </c>
      <c r="CB345" s="68">
        <v>2</v>
      </c>
      <c r="CC345" s="68">
        <v>0</v>
      </c>
      <c r="CD345" s="68" t="s">
        <v>464</v>
      </c>
      <c r="CE345" s="68" t="s">
        <v>464</v>
      </c>
      <c r="CF345" s="68" t="s">
        <v>1266</v>
      </c>
      <c r="CG345" s="68">
        <v>450</v>
      </c>
      <c r="CH345" s="68">
        <v>200</v>
      </c>
      <c r="CI345" s="68" t="s">
        <v>1287</v>
      </c>
      <c r="CK345" s="70">
        <v>6</v>
      </c>
    </row>
    <row r="346" spans="1:89" x14ac:dyDescent="0.3">
      <c r="A346" t="s">
        <v>194</v>
      </c>
      <c r="B346" t="s">
        <v>46</v>
      </c>
      <c r="C346" t="s">
        <v>4098</v>
      </c>
      <c r="D346" s="12"/>
      <c r="E346">
        <v>3.65</v>
      </c>
      <c r="F346" t="s">
        <v>197</v>
      </c>
      <c r="G346" s="112" t="s">
        <v>582</v>
      </c>
      <c r="H346" t="s">
        <v>657</v>
      </c>
      <c r="M346" t="b">
        <v>1</v>
      </c>
      <c r="N346" t="b">
        <v>1</v>
      </c>
      <c r="O346" t="b">
        <v>0</v>
      </c>
      <c r="P346" t="b">
        <v>0</v>
      </c>
      <c r="Q346" t="s">
        <v>582</v>
      </c>
      <c r="R346" t="s">
        <v>657</v>
      </c>
      <c r="T346">
        <v>4</v>
      </c>
      <c r="U346" s="20">
        <v>2</v>
      </c>
      <c r="V346">
        <v>8</v>
      </c>
      <c r="W346">
        <v>0</v>
      </c>
      <c r="X346">
        <v>13.02</v>
      </c>
      <c r="Y346">
        <v>5.48</v>
      </c>
      <c r="Z346">
        <v>7.68</v>
      </c>
      <c r="AA346" t="s">
        <v>1095</v>
      </c>
      <c r="AB346" s="1">
        <f t="shared" si="50"/>
        <v>13.02</v>
      </c>
      <c r="AC346" s="20">
        <v>7.2854997800000012</v>
      </c>
      <c r="AD346" s="20">
        <v>7.2855000099999998</v>
      </c>
      <c r="AE346" s="20">
        <v>7.28550129</v>
      </c>
      <c r="AF346">
        <v>7.6769999999999996</v>
      </c>
      <c r="AG346">
        <v>5.4560000000000004</v>
      </c>
      <c r="AH346">
        <v>26.012989999999999</v>
      </c>
      <c r="AI346">
        <v>0</v>
      </c>
      <c r="AM346">
        <v>14</v>
      </c>
      <c r="AN346" s="44">
        <f t="shared" si="40"/>
        <v>547.9649280000001</v>
      </c>
      <c r="AO346" s="46">
        <v>273.44070809730869</v>
      </c>
      <c r="AP346" s="44">
        <v>1077.884035254056</v>
      </c>
      <c r="AQ346" s="44">
        <v>0</v>
      </c>
      <c r="AR346" s="41">
        <f t="shared" si="49"/>
        <v>0.10219632158647933</v>
      </c>
      <c r="AS346" s="40">
        <v>0.1023987986091511</v>
      </c>
      <c r="AT346" s="41">
        <v>0.1039072816155049</v>
      </c>
      <c r="AU346" s="41"/>
      <c r="AV346" s="23">
        <v>2</v>
      </c>
      <c r="AW346" s="23">
        <v>2.545454545454545</v>
      </c>
      <c r="AX346" s="23">
        <v>0.36363636363636359</v>
      </c>
      <c r="AY346" s="23">
        <v>0.72727272727272729</v>
      </c>
      <c r="AZ346" s="23">
        <v>0.35483870967741932</v>
      </c>
      <c r="BA346" s="23">
        <v>0.45161290322580638</v>
      </c>
      <c r="BB346" s="23">
        <v>6.4516129032258063E-2</v>
      </c>
      <c r="BC346" s="23">
        <v>0.1290322580645161</v>
      </c>
      <c r="BD346" s="20">
        <v>1.1399999999999999</v>
      </c>
      <c r="BE346" s="20">
        <v>3.44</v>
      </c>
      <c r="BF346" s="20">
        <v>2.2999999999999998</v>
      </c>
      <c r="BG346" s="20">
        <v>2.6763636363636358</v>
      </c>
      <c r="BH346">
        <v>2.6763636363636358</v>
      </c>
      <c r="BI346">
        <v>5.9366563045454548</v>
      </c>
      <c r="BJ346" s="64">
        <v>0.5411256777060568</v>
      </c>
      <c r="BK346" s="64">
        <v>0.54909724475770694</v>
      </c>
      <c r="BL346" s="64"/>
      <c r="BM346">
        <v>5.1098160793239672E-2</v>
      </c>
      <c r="BN346">
        <v>5.119939930457558E-2</v>
      </c>
      <c r="BO346">
        <v>5.1953640807752437E-2</v>
      </c>
      <c r="BQ346">
        <v>0.1028341339370451</v>
      </c>
      <c r="BR346">
        <v>5.1417066968522558E-2</v>
      </c>
      <c r="BS346">
        <v>0.54511146123188192</v>
      </c>
      <c r="BT346" s="68" t="s">
        <v>1264</v>
      </c>
      <c r="BU346" s="68">
        <v>1423</v>
      </c>
      <c r="BV346" s="68">
        <v>10</v>
      </c>
      <c r="BX346" s="68" t="s">
        <v>464</v>
      </c>
      <c r="BY346" s="68" t="s">
        <v>464</v>
      </c>
      <c r="BZ346" s="68">
        <v>0</v>
      </c>
      <c r="CB346" s="68">
        <v>2</v>
      </c>
      <c r="CC346" s="68">
        <v>0</v>
      </c>
      <c r="CD346" s="68" t="s">
        <v>464</v>
      </c>
      <c r="CE346" s="68" t="s">
        <v>464</v>
      </c>
      <c r="CF346" s="68" t="s">
        <v>1266</v>
      </c>
      <c r="CG346" s="68">
        <v>450</v>
      </c>
      <c r="CH346" s="68">
        <v>200</v>
      </c>
      <c r="CI346" s="68" t="s">
        <v>1287</v>
      </c>
      <c r="CK346" s="70">
        <v>4</v>
      </c>
    </row>
    <row r="347" spans="1:89" x14ac:dyDescent="0.3">
      <c r="A347" t="s">
        <v>195</v>
      </c>
      <c r="B347" t="s">
        <v>46</v>
      </c>
      <c r="C347" t="s">
        <v>4099</v>
      </c>
      <c r="D347" s="12"/>
      <c r="E347">
        <v>2.99</v>
      </c>
      <c r="F347" t="s">
        <v>197</v>
      </c>
      <c r="G347" s="8" t="s">
        <v>582</v>
      </c>
      <c r="H347">
        <v>2002197</v>
      </c>
      <c r="J347" t="s">
        <v>1742</v>
      </c>
      <c r="K347" t="s">
        <v>1742</v>
      </c>
      <c r="M347" t="b">
        <v>1</v>
      </c>
      <c r="N347" t="b">
        <v>1</v>
      </c>
      <c r="O347" t="b">
        <v>0</v>
      </c>
      <c r="P347" t="b">
        <v>0</v>
      </c>
      <c r="Q347" t="s">
        <v>2020</v>
      </c>
      <c r="R347" t="s">
        <v>2057</v>
      </c>
      <c r="T347">
        <v>4</v>
      </c>
      <c r="U347" s="20">
        <v>4</v>
      </c>
      <c r="V347">
        <v>0</v>
      </c>
      <c r="W347">
        <v>0</v>
      </c>
      <c r="X347">
        <v>12.996</v>
      </c>
      <c r="Y347">
        <v>5.4850000000000003</v>
      </c>
      <c r="Z347">
        <v>7.7039999999999997</v>
      </c>
      <c r="AA347" t="s">
        <v>1095</v>
      </c>
      <c r="AB347" s="1">
        <f t="shared" si="50"/>
        <v>12.996</v>
      </c>
      <c r="AC347" s="20">
        <v>5.5191434299999997</v>
      </c>
      <c r="AD347" s="20">
        <v>7.7203982699999987</v>
      </c>
      <c r="AE347" s="20">
        <v>13.117043880000001</v>
      </c>
      <c r="AF347">
        <v>0</v>
      </c>
      <c r="AI347">
        <v>0</v>
      </c>
      <c r="AM347">
        <v>14</v>
      </c>
      <c r="AN347" s="44">
        <f t="shared" si="40"/>
        <v>549.16469424000002</v>
      </c>
      <c r="AO347" s="46">
        <v>552.74712386171507</v>
      </c>
      <c r="AP347" s="44">
        <v>0</v>
      </c>
      <c r="AQ347" s="44">
        <v>0</v>
      </c>
      <c r="AR347" s="41">
        <f t="shared" si="49"/>
        <v>0.1019730521414883</v>
      </c>
      <c r="AS347" s="40">
        <v>0.1013121508598025</v>
      </c>
      <c r="AT347" s="41"/>
      <c r="AU347" s="41"/>
      <c r="AV347" s="23">
        <v>2</v>
      </c>
      <c r="AW347" s="23">
        <v>2.545454545454545</v>
      </c>
      <c r="AX347" s="23">
        <v>0.36363636363636359</v>
      </c>
      <c r="AY347" s="23">
        <v>0.54545454545454541</v>
      </c>
      <c r="AZ347" s="23">
        <v>0.3666666666666667</v>
      </c>
      <c r="BA347" s="23">
        <v>0.46666666666666667</v>
      </c>
      <c r="BB347" s="23">
        <v>6.666666666666668E-2</v>
      </c>
      <c r="BC347" s="23">
        <v>0.1</v>
      </c>
      <c r="BD347" s="20">
        <v>1.1299999999999999</v>
      </c>
      <c r="BE347" s="20">
        <v>3.44</v>
      </c>
      <c r="BF347" s="20">
        <v>2.31</v>
      </c>
      <c r="BG347" s="20">
        <v>2.6745454545454539</v>
      </c>
      <c r="BH347">
        <v>2.6745454545454548</v>
      </c>
      <c r="BI347">
        <v>5.9327418772727274</v>
      </c>
      <c r="BJ347" s="64">
        <v>0.53699890088551772</v>
      </c>
      <c r="BK347" s="64"/>
      <c r="BL347" s="64"/>
      <c r="BM347">
        <v>5.0986526070744151E-2</v>
      </c>
      <c r="BN347">
        <v>5.0656075429901228E-2</v>
      </c>
      <c r="BQ347">
        <v>0.1016426015006454</v>
      </c>
      <c r="BR347">
        <v>5.0821300750322693E-2</v>
      </c>
      <c r="BS347">
        <v>0.53699890088551772</v>
      </c>
      <c r="BT347" s="68" t="s">
        <v>1264</v>
      </c>
      <c r="BU347" s="68">
        <v>1423</v>
      </c>
      <c r="BV347" s="68">
        <v>10</v>
      </c>
      <c r="BX347" s="68" t="s">
        <v>464</v>
      </c>
      <c r="BY347" s="68" t="s">
        <v>464</v>
      </c>
      <c r="BZ347" s="68">
        <v>0</v>
      </c>
      <c r="CB347" s="68">
        <v>2</v>
      </c>
      <c r="CC347" s="68">
        <v>0</v>
      </c>
      <c r="CD347" s="68" t="s">
        <v>464</v>
      </c>
      <c r="CE347" s="68" t="s">
        <v>464</v>
      </c>
      <c r="CF347" s="68" t="s">
        <v>1266</v>
      </c>
      <c r="CG347" s="68">
        <v>450</v>
      </c>
      <c r="CH347" s="68">
        <v>200</v>
      </c>
      <c r="CI347" s="68" t="s">
        <v>1287</v>
      </c>
      <c r="CK347" s="70">
        <v>5</v>
      </c>
    </row>
    <row r="348" spans="1:89" x14ac:dyDescent="0.3">
      <c r="A348" t="s">
        <v>196</v>
      </c>
      <c r="B348" t="s">
        <v>46</v>
      </c>
      <c r="C348" t="s">
        <v>4100</v>
      </c>
      <c r="D348" s="12"/>
      <c r="E348">
        <v>2.98</v>
      </c>
      <c r="F348" t="s">
        <v>197</v>
      </c>
      <c r="G348" s="8" t="s">
        <v>551</v>
      </c>
      <c r="H348" t="s">
        <v>629</v>
      </c>
      <c r="J348" t="s">
        <v>1813</v>
      </c>
      <c r="M348" t="b">
        <v>1</v>
      </c>
      <c r="N348" t="b">
        <v>1</v>
      </c>
      <c r="O348" t="b">
        <v>0</v>
      </c>
      <c r="P348" t="b">
        <v>0</v>
      </c>
      <c r="Q348" t="s">
        <v>2021</v>
      </c>
      <c r="R348" t="s">
        <v>629</v>
      </c>
      <c r="T348">
        <v>4</v>
      </c>
      <c r="U348" s="20">
        <v>0</v>
      </c>
      <c r="V348">
        <v>0</v>
      </c>
      <c r="W348">
        <v>0</v>
      </c>
      <c r="X348">
        <v>13.003</v>
      </c>
      <c r="Y348">
        <v>5.5149999999999997</v>
      </c>
      <c r="Z348">
        <v>7.7569999999999997</v>
      </c>
      <c r="AA348" t="s">
        <v>1095</v>
      </c>
      <c r="AB348" s="1">
        <f t="shared" si="50"/>
        <v>13.003</v>
      </c>
      <c r="AC348" s="20">
        <v>0</v>
      </c>
      <c r="AD348" s="20"/>
      <c r="AE348" s="20"/>
      <c r="AF348">
        <v>0</v>
      </c>
      <c r="AI348">
        <v>0</v>
      </c>
      <c r="AM348">
        <v>14</v>
      </c>
      <c r="AN348" s="44">
        <f t="shared" si="40"/>
        <v>556.266454565</v>
      </c>
      <c r="AO348" s="46">
        <v>0</v>
      </c>
      <c r="AP348" s="44">
        <v>0</v>
      </c>
      <c r="AQ348" s="44">
        <v>0</v>
      </c>
      <c r="AR348" s="41">
        <f t="shared" si="49"/>
        <v>0.10067117932500884</v>
      </c>
      <c r="AS348" s="40"/>
      <c r="AT348" s="41"/>
      <c r="AU348" s="41"/>
      <c r="AV348" s="23">
        <v>2</v>
      </c>
      <c r="AW348" s="23">
        <v>2.545454545454545</v>
      </c>
      <c r="AX348" s="23">
        <v>0.45454545454545447</v>
      </c>
      <c r="AY348" s="23">
        <v>0.27272727272727271</v>
      </c>
      <c r="AZ348" s="23">
        <v>0.37931034482758619</v>
      </c>
      <c r="BA348" s="23">
        <v>0.48275862068965519</v>
      </c>
      <c r="BB348" s="23">
        <v>8.6206896551724144E-2</v>
      </c>
      <c r="BC348" s="23">
        <v>5.1724137931034482E-2</v>
      </c>
      <c r="BD348" s="20">
        <v>1.1000000000000001</v>
      </c>
      <c r="BE348" s="20">
        <v>3.44</v>
      </c>
      <c r="BF348" s="20">
        <v>2.34</v>
      </c>
      <c r="BG348" s="20">
        <v>2.6718181818181819</v>
      </c>
      <c r="BH348">
        <v>2.6718181818181819</v>
      </c>
      <c r="BI348">
        <v>5.9579696772727271</v>
      </c>
      <c r="BJ348" s="64"/>
      <c r="BK348" s="64"/>
      <c r="BL348" s="64"/>
      <c r="BM348">
        <v>5.0335589662504419E-2</v>
      </c>
      <c r="BQ348">
        <v>0.1006711793250088</v>
      </c>
      <c r="BR348">
        <v>5.0335589662504419E-2</v>
      </c>
      <c r="BS348">
        <v>0</v>
      </c>
      <c r="BT348" s="68" t="s">
        <v>1264</v>
      </c>
      <c r="BU348" s="68">
        <v>1423</v>
      </c>
      <c r="BV348" s="68">
        <v>10</v>
      </c>
      <c r="BX348" s="68" t="s">
        <v>464</v>
      </c>
      <c r="BY348" s="68" t="s">
        <v>464</v>
      </c>
      <c r="BZ348" s="68">
        <v>0</v>
      </c>
      <c r="CB348" s="68">
        <v>2</v>
      </c>
      <c r="CC348" s="68">
        <v>0</v>
      </c>
      <c r="CD348" s="68" t="s">
        <v>464</v>
      </c>
      <c r="CE348" s="68" t="s">
        <v>464</v>
      </c>
      <c r="CF348" s="68" t="s">
        <v>1266</v>
      </c>
      <c r="CG348" s="68">
        <v>450</v>
      </c>
      <c r="CH348" s="68">
        <v>200</v>
      </c>
      <c r="CI348" s="68" t="s">
        <v>1287</v>
      </c>
      <c r="CK348" s="70">
        <v>8</v>
      </c>
    </row>
    <row r="349" spans="1:89" x14ac:dyDescent="0.3">
      <c r="A349" t="s">
        <v>46</v>
      </c>
      <c r="B349" t="s">
        <v>46</v>
      </c>
      <c r="C349" t="s">
        <v>4087</v>
      </c>
      <c r="D349" s="12"/>
      <c r="E349">
        <v>3.82</v>
      </c>
      <c r="F349" t="s">
        <v>197</v>
      </c>
      <c r="G349" s="8" t="s">
        <v>551</v>
      </c>
      <c r="H349" t="s">
        <v>629</v>
      </c>
      <c r="M349" t="b">
        <v>1</v>
      </c>
      <c r="N349" t="b">
        <v>1</v>
      </c>
      <c r="O349" t="b">
        <v>0</v>
      </c>
      <c r="P349" t="b">
        <v>0</v>
      </c>
      <c r="Q349" t="s">
        <v>551</v>
      </c>
      <c r="R349" t="s">
        <v>629</v>
      </c>
      <c r="T349">
        <v>4</v>
      </c>
      <c r="U349" s="20">
        <v>2</v>
      </c>
      <c r="V349">
        <v>4</v>
      </c>
      <c r="W349">
        <v>0</v>
      </c>
      <c r="X349">
        <v>13.01</v>
      </c>
      <c r="Y349">
        <v>5.5439999999999996</v>
      </c>
      <c r="Z349">
        <v>7.81</v>
      </c>
      <c r="AA349" t="s">
        <v>1095</v>
      </c>
      <c r="AB349" s="1">
        <f t="shared" si="50"/>
        <v>13.01</v>
      </c>
      <c r="AC349" s="20">
        <v>7.41544296</v>
      </c>
      <c r="AD349" s="20">
        <v>7.4154429599999991</v>
      </c>
      <c r="AE349" s="20">
        <v>7.41544296</v>
      </c>
      <c r="AF349">
        <v>7.8</v>
      </c>
      <c r="AG349">
        <v>13.010999999999999</v>
      </c>
      <c r="AH349">
        <v>5.5460000000000003</v>
      </c>
      <c r="AI349">
        <v>0</v>
      </c>
      <c r="AM349">
        <v>14</v>
      </c>
      <c r="AN349" s="44">
        <f t="shared" ref="AN349:AN358" si="51">X349*Y349*Z349</f>
        <v>563.31530639999994</v>
      </c>
      <c r="AO349" s="46">
        <v>288.33429290182369</v>
      </c>
      <c r="AP349" s="44">
        <v>556.51188553357167</v>
      </c>
      <c r="AQ349" s="44">
        <v>0</v>
      </c>
      <c r="AR349" s="41">
        <f t="shared" ref="AR349:AR358" si="52">T349*AM349/AN349</f>
        <v>9.9411465237614932E-2</v>
      </c>
      <c r="AS349" s="40">
        <v>9.7109503410799117E-2</v>
      </c>
      <c r="AT349" s="41">
        <v>0.10062678166578309</v>
      </c>
      <c r="AU349" s="41"/>
      <c r="AV349" s="23">
        <v>2</v>
      </c>
      <c r="AW349" s="23">
        <v>2.545454545454545</v>
      </c>
      <c r="AX349" s="23">
        <v>0.54545454545454541</v>
      </c>
      <c r="AY349" s="23">
        <v>0</v>
      </c>
      <c r="AZ349" s="23">
        <v>0.39285714285714279</v>
      </c>
      <c r="BA349" s="23">
        <v>0.5</v>
      </c>
      <c r="BB349" s="23">
        <v>0.1071428571428571</v>
      </c>
      <c r="BC349" s="23">
        <v>0</v>
      </c>
      <c r="BD349" s="20">
        <v>1.1000000000000001</v>
      </c>
      <c r="BE349" s="20">
        <v>3.44</v>
      </c>
      <c r="BF349" s="20">
        <v>2.34</v>
      </c>
      <c r="BG349" s="20">
        <v>2.669090909090909</v>
      </c>
      <c r="BH349">
        <v>2.669090909090909</v>
      </c>
      <c r="BI349">
        <v>5.9831974772727277</v>
      </c>
      <c r="BJ349" s="64">
        <v>0.52442413903612473</v>
      </c>
      <c r="BK349" s="64">
        <v>0.54341863036636606</v>
      </c>
      <c r="BL349" s="64"/>
      <c r="BM349">
        <v>4.9705732618807473E-2</v>
      </c>
      <c r="BN349">
        <v>4.8554751705399558E-2</v>
      </c>
      <c r="BO349">
        <v>5.0313390832891547E-2</v>
      </c>
      <c r="BQ349">
        <v>9.9049250104732381E-2</v>
      </c>
      <c r="BR349">
        <v>4.952462505236619E-2</v>
      </c>
      <c r="BS349">
        <v>0.53392138470124539</v>
      </c>
      <c r="BT349" s="68" t="s">
        <v>1264</v>
      </c>
      <c r="BU349" s="68">
        <v>1423</v>
      </c>
      <c r="BV349" s="68">
        <v>10</v>
      </c>
      <c r="BX349" s="68" t="s">
        <v>1275</v>
      </c>
      <c r="BY349" s="68" t="s">
        <v>56</v>
      </c>
      <c r="BZ349" s="68">
        <v>1</v>
      </c>
      <c r="CB349" s="68">
        <v>2</v>
      </c>
      <c r="CC349" s="68">
        <v>0</v>
      </c>
      <c r="CD349" s="68" t="s">
        <v>464</v>
      </c>
      <c r="CE349" s="68" t="s">
        <v>464</v>
      </c>
      <c r="CF349" s="68" t="s">
        <v>1266</v>
      </c>
      <c r="CG349" s="68">
        <v>450</v>
      </c>
      <c r="CH349" s="68">
        <v>200</v>
      </c>
      <c r="CI349" s="68" t="s">
        <v>1287</v>
      </c>
      <c r="CK349" s="70">
        <v>400</v>
      </c>
    </row>
    <row r="350" spans="1:89" x14ac:dyDescent="0.3">
      <c r="A350" t="s">
        <v>193</v>
      </c>
      <c r="B350" t="s">
        <v>46</v>
      </c>
      <c r="C350" t="s">
        <v>4097</v>
      </c>
      <c r="D350" s="12"/>
      <c r="E350">
        <v>3.68</v>
      </c>
      <c r="F350" t="s">
        <v>197</v>
      </c>
      <c r="G350" s="25" t="s">
        <v>551</v>
      </c>
      <c r="H350" s="1" t="s">
        <v>629</v>
      </c>
      <c r="J350" t="s">
        <v>1812</v>
      </c>
      <c r="M350" t="b">
        <v>1</v>
      </c>
      <c r="N350" t="b">
        <v>1</v>
      </c>
      <c r="O350" t="b">
        <v>0</v>
      </c>
      <c r="P350" t="b">
        <v>0</v>
      </c>
      <c r="Q350" t="s">
        <v>2022</v>
      </c>
      <c r="R350" t="s">
        <v>629</v>
      </c>
      <c r="T350">
        <v>4</v>
      </c>
      <c r="U350" s="20">
        <v>0</v>
      </c>
      <c r="V350">
        <v>0</v>
      </c>
      <c r="W350">
        <v>0</v>
      </c>
      <c r="X350">
        <v>13.02</v>
      </c>
      <c r="Y350">
        <v>5.5119999999999996</v>
      </c>
      <c r="Z350">
        <v>7.7450000000000001</v>
      </c>
      <c r="AA350" t="s">
        <v>1095</v>
      </c>
      <c r="AB350" s="1">
        <f t="shared" si="50"/>
        <v>13.02</v>
      </c>
      <c r="AC350" s="20">
        <v>0</v>
      </c>
      <c r="AD350" s="20"/>
      <c r="AE350" s="20"/>
      <c r="AF350">
        <v>0</v>
      </c>
      <c r="AI350">
        <v>0</v>
      </c>
      <c r="AM350">
        <v>14</v>
      </c>
      <c r="AN350" s="44">
        <f t="shared" si="51"/>
        <v>555.82952879999993</v>
      </c>
      <c r="AO350" s="46">
        <v>0</v>
      </c>
      <c r="AP350" s="44">
        <v>0</v>
      </c>
      <c r="AQ350" s="44">
        <v>0</v>
      </c>
      <c r="AR350" s="41">
        <f t="shared" si="52"/>
        <v>0.10075031479687735</v>
      </c>
      <c r="AS350" s="40"/>
      <c r="AT350" s="41"/>
      <c r="AU350" s="41"/>
      <c r="AV350" s="23">
        <v>2</v>
      </c>
      <c r="AW350" s="23">
        <v>2.545454545454545</v>
      </c>
      <c r="AX350" s="23">
        <v>0.45454545454545447</v>
      </c>
      <c r="AY350" s="23">
        <v>0.36363636363636359</v>
      </c>
      <c r="AZ350" s="23">
        <v>0.3728813559322034</v>
      </c>
      <c r="BA350" s="23">
        <v>0.47457627118644069</v>
      </c>
      <c r="BB350" s="23">
        <v>8.4745762711864403E-2</v>
      </c>
      <c r="BC350" s="23">
        <v>6.7796610169491525E-2</v>
      </c>
      <c r="BD350" s="20">
        <v>1.1000000000000001</v>
      </c>
      <c r="BE350" s="20">
        <v>3.44</v>
      </c>
      <c r="BF350" s="20">
        <v>2.34</v>
      </c>
      <c r="BG350" s="20">
        <v>2.672727272727272</v>
      </c>
      <c r="BH350">
        <v>2.6727272727272728</v>
      </c>
      <c r="BI350">
        <v>5.9599268909090908</v>
      </c>
      <c r="BJ350" s="64"/>
      <c r="BK350" s="64"/>
      <c r="BL350" s="64"/>
      <c r="BM350">
        <v>5.0375157398438668E-2</v>
      </c>
      <c r="BQ350">
        <v>0.10075031479687729</v>
      </c>
      <c r="BR350">
        <v>5.0375157398438668E-2</v>
      </c>
      <c r="BS350">
        <v>0</v>
      </c>
      <c r="BT350" s="68" t="s">
        <v>1264</v>
      </c>
      <c r="BU350" s="68">
        <v>1423</v>
      </c>
      <c r="BV350" s="68">
        <v>10</v>
      </c>
      <c r="BX350" s="68" t="s">
        <v>1275</v>
      </c>
      <c r="BY350" s="68" t="s">
        <v>56</v>
      </c>
      <c r="BZ350" s="68">
        <v>1</v>
      </c>
      <c r="CB350" s="68">
        <v>2</v>
      </c>
      <c r="CC350" s="68">
        <v>0</v>
      </c>
      <c r="CD350" s="68" t="s">
        <v>464</v>
      </c>
      <c r="CE350" s="68" t="s">
        <v>464</v>
      </c>
      <c r="CF350" s="68" t="s">
        <v>1266</v>
      </c>
      <c r="CG350" s="68">
        <v>450</v>
      </c>
      <c r="CH350" s="68">
        <v>200</v>
      </c>
      <c r="CI350" s="68" t="s">
        <v>1287</v>
      </c>
      <c r="CK350" s="70">
        <v>131</v>
      </c>
    </row>
    <row r="351" spans="1:89" x14ac:dyDescent="0.3">
      <c r="A351" t="s">
        <v>194</v>
      </c>
      <c r="B351" t="s">
        <v>46</v>
      </c>
      <c r="C351" t="s">
        <v>4098</v>
      </c>
      <c r="D351" s="12"/>
      <c r="E351">
        <v>3.65</v>
      </c>
      <c r="F351" t="s">
        <v>197</v>
      </c>
      <c r="G351" s="8" t="s">
        <v>582</v>
      </c>
      <c r="H351" t="s">
        <v>657</v>
      </c>
      <c r="M351" t="b">
        <v>1</v>
      </c>
      <c r="N351" t="b">
        <v>1</v>
      </c>
      <c r="O351" t="b">
        <v>0</v>
      </c>
      <c r="P351" t="b">
        <v>0</v>
      </c>
      <c r="Q351" t="s">
        <v>582</v>
      </c>
      <c r="R351" t="s">
        <v>657</v>
      </c>
      <c r="T351">
        <v>4</v>
      </c>
      <c r="U351" s="20">
        <v>2</v>
      </c>
      <c r="V351">
        <v>8</v>
      </c>
      <c r="W351">
        <v>0</v>
      </c>
      <c r="X351">
        <v>13.02</v>
      </c>
      <c r="Y351">
        <v>5.48</v>
      </c>
      <c r="Z351">
        <v>7.68</v>
      </c>
      <c r="AA351" t="s">
        <v>1095</v>
      </c>
      <c r="AB351" s="1">
        <f t="shared" si="50"/>
        <v>13.02</v>
      </c>
      <c r="AC351" s="20">
        <v>7.2854997800000012</v>
      </c>
      <c r="AD351" s="20">
        <v>7.2855000099999998</v>
      </c>
      <c r="AE351" s="20">
        <v>7.28550129</v>
      </c>
      <c r="AF351">
        <v>7.6769999999999996</v>
      </c>
      <c r="AG351">
        <v>5.4560000000000004</v>
      </c>
      <c r="AH351">
        <v>26.012989999999999</v>
      </c>
      <c r="AI351">
        <v>0</v>
      </c>
      <c r="AM351">
        <v>14</v>
      </c>
      <c r="AN351" s="44">
        <f t="shared" si="51"/>
        <v>547.9649280000001</v>
      </c>
      <c r="AO351" s="46">
        <v>273.44070809730869</v>
      </c>
      <c r="AP351" s="44">
        <v>1077.884035254056</v>
      </c>
      <c r="AQ351" s="44">
        <v>0</v>
      </c>
      <c r="AR351" s="41">
        <f t="shared" si="52"/>
        <v>0.10219632158647933</v>
      </c>
      <c r="AS351" s="40">
        <v>0.1023987986091511</v>
      </c>
      <c r="AT351" s="41">
        <v>0.1039072816155049</v>
      </c>
      <c r="AU351" s="41"/>
      <c r="AV351" s="23">
        <v>2</v>
      </c>
      <c r="AW351" s="23">
        <v>2.545454545454545</v>
      </c>
      <c r="AX351" s="23">
        <v>0.36363636363636359</v>
      </c>
      <c r="AY351" s="23">
        <v>0.72727272727272729</v>
      </c>
      <c r="AZ351" s="23">
        <v>0.35483870967741932</v>
      </c>
      <c r="BA351" s="23">
        <v>0.45161290322580638</v>
      </c>
      <c r="BB351" s="23">
        <v>6.4516129032258063E-2</v>
      </c>
      <c r="BC351" s="23">
        <v>0.1290322580645161</v>
      </c>
      <c r="BD351" s="20">
        <v>1.1399999999999999</v>
      </c>
      <c r="BE351" s="20">
        <v>3.44</v>
      </c>
      <c r="BF351" s="20">
        <v>2.2999999999999998</v>
      </c>
      <c r="BG351" s="20">
        <v>2.6763636363636358</v>
      </c>
      <c r="BH351">
        <v>2.6763636363636358</v>
      </c>
      <c r="BI351">
        <v>5.9366563045454548</v>
      </c>
      <c r="BJ351" s="64">
        <v>0.5411256777060568</v>
      </c>
      <c r="BK351" s="64">
        <v>0.54909724475770694</v>
      </c>
      <c r="BL351" s="64"/>
      <c r="BM351">
        <v>5.1098160793239672E-2</v>
      </c>
      <c r="BN351">
        <v>5.119939930457558E-2</v>
      </c>
      <c r="BO351">
        <v>5.1953640807752437E-2</v>
      </c>
      <c r="BQ351">
        <v>0.1028341339370451</v>
      </c>
      <c r="BR351">
        <v>5.1417066968522558E-2</v>
      </c>
      <c r="BS351">
        <v>0.54511146123188192</v>
      </c>
      <c r="BT351" s="68" t="s">
        <v>1264</v>
      </c>
      <c r="BU351" s="68">
        <v>1423</v>
      </c>
      <c r="BV351" s="68">
        <v>10</v>
      </c>
      <c r="BX351" s="68" t="s">
        <v>1275</v>
      </c>
      <c r="BY351" s="68" t="s">
        <v>56</v>
      </c>
      <c r="BZ351" s="68">
        <v>1</v>
      </c>
      <c r="CB351" s="68">
        <v>2</v>
      </c>
      <c r="CC351" s="68">
        <v>0</v>
      </c>
      <c r="CD351" s="68" t="s">
        <v>464</v>
      </c>
      <c r="CE351" s="68" t="s">
        <v>464</v>
      </c>
      <c r="CF351" s="68" t="s">
        <v>1266</v>
      </c>
      <c r="CG351" s="68">
        <v>450</v>
      </c>
      <c r="CH351" s="68">
        <v>200</v>
      </c>
      <c r="CI351" s="68" t="s">
        <v>1287</v>
      </c>
      <c r="CK351" s="70">
        <v>99</v>
      </c>
    </row>
    <row r="352" spans="1:89" x14ac:dyDescent="0.3">
      <c r="A352" t="s">
        <v>195</v>
      </c>
      <c r="B352" t="s">
        <v>46</v>
      </c>
      <c r="C352" t="s">
        <v>4099</v>
      </c>
      <c r="D352" s="12"/>
      <c r="E352">
        <v>2.99</v>
      </c>
      <c r="F352" t="s">
        <v>197</v>
      </c>
      <c r="G352" s="8" t="s">
        <v>582</v>
      </c>
      <c r="H352" t="s">
        <v>657</v>
      </c>
      <c r="J352" t="s">
        <v>1742</v>
      </c>
      <c r="K352" t="s">
        <v>1742</v>
      </c>
      <c r="M352" t="b">
        <v>1</v>
      </c>
      <c r="N352" t="b">
        <v>1</v>
      </c>
      <c r="O352" t="b">
        <v>0</v>
      </c>
      <c r="P352" t="b">
        <v>0</v>
      </c>
      <c r="Q352" t="s">
        <v>2023</v>
      </c>
      <c r="R352" t="s">
        <v>2059</v>
      </c>
      <c r="T352">
        <v>4</v>
      </c>
      <c r="U352" s="20">
        <v>4</v>
      </c>
      <c r="V352">
        <v>0</v>
      </c>
      <c r="W352">
        <v>0</v>
      </c>
      <c r="X352">
        <v>12.996</v>
      </c>
      <c r="Y352">
        <v>5.4850000000000003</v>
      </c>
      <c r="Z352">
        <v>7.7039999999999997</v>
      </c>
      <c r="AA352" t="s">
        <v>1095</v>
      </c>
      <c r="AB352" s="1">
        <f t="shared" si="50"/>
        <v>12.996</v>
      </c>
      <c r="AC352" s="20">
        <v>5.5191434299999997</v>
      </c>
      <c r="AD352" s="20">
        <v>7.7203982699999987</v>
      </c>
      <c r="AE352" s="20">
        <v>13.117043880000001</v>
      </c>
      <c r="AF352">
        <v>0</v>
      </c>
      <c r="AI352">
        <v>0</v>
      </c>
      <c r="AM352">
        <v>14</v>
      </c>
      <c r="AN352" s="44">
        <f t="shared" si="51"/>
        <v>549.16469424000002</v>
      </c>
      <c r="AO352" s="46">
        <v>552.74712386171507</v>
      </c>
      <c r="AP352" s="44">
        <v>0</v>
      </c>
      <c r="AQ352" s="44">
        <v>0</v>
      </c>
      <c r="AR352" s="41">
        <f t="shared" si="52"/>
        <v>0.1019730521414883</v>
      </c>
      <c r="AS352" s="40">
        <v>0.1013121508598025</v>
      </c>
      <c r="AT352" s="41"/>
      <c r="AU352" s="41"/>
      <c r="AV352" s="23">
        <v>2</v>
      </c>
      <c r="AW352" s="23">
        <v>2.545454545454545</v>
      </c>
      <c r="AX352" s="23">
        <v>0.36363636363636359</v>
      </c>
      <c r="AY352" s="23">
        <v>0.54545454545454541</v>
      </c>
      <c r="AZ352" s="23">
        <v>0.3666666666666667</v>
      </c>
      <c r="BA352" s="23">
        <v>0.46666666666666667</v>
      </c>
      <c r="BB352" s="23">
        <v>6.666666666666668E-2</v>
      </c>
      <c r="BC352" s="23">
        <v>0.1</v>
      </c>
      <c r="BD352" s="20">
        <v>1.1299999999999999</v>
      </c>
      <c r="BE352" s="20">
        <v>3.44</v>
      </c>
      <c r="BF352" s="20">
        <v>2.31</v>
      </c>
      <c r="BG352" s="20">
        <v>2.6745454545454539</v>
      </c>
      <c r="BH352">
        <v>2.6745454545454548</v>
      </c>
      <c r="BI352">
        <v>5.9327418772727274</v>
      </c>
      <c r="BJ352" s="64">
        <v>0.53699890088551772</v>
      </c>
      <c r="BK352" s="64"/>
      <c r="BL352" s="64"/>
      <c r="BM352">
        <v>5.0986526070744151E-2</v>
      </c>
      <c r="BN352">
        <v>5.0656075429901228E-2</v>
      </c>
      <c r="BQ352">
        <v>0.1016426015006454</v>
      </c>
      <c r="BR352">
        <v>5.0821300750322693E-2</v>
      </c>
      <c r="BS352">
        <v>0.53699890088551772</v>
      </c>
      <c r="BT352" s="68" t="s">
        <v>1264</v>
      </c>
      <c r="BU352" s="68">
        <v>1423</v>
      </c>
      <c r="BV352" s="68">
        <v>10</v>
      </c>
      <c r="BX352" s="68" t="s">
        <v>1275</v>
      </c>
      <c r="BY352" s="68" t="s">
        <v>56</v>
      </c>
      <c r="BZ352" s="68">
        <v>1</v>
      </c>
      <c r="CB352" s="68">
        <v>2</v>
      </c>
      <c r="CC352" s="68">
        <v>0</v>
      </c>
      <c r="CD352" s="68" t="s">
        <v>464</v>
      </c>
      <c r="CE352" s="68" t="s">
        <v>464</v>
      </c>
      <c r="CF352" s="68" t="s">
        <v>1266</v>
      </c>
      <c r="CG352" s="68">
        <v>450</v>
      </c>
      <c r="CH352" s="68">
        <v>200</v>
      </c>
      <c r="CI352" s="68" t="s">
        <v>1287</v>
      </c>
      <c r="CK352" s="70">
        <v>150</v>
      </c>
    </row>
    <row r="353" spans="1:89" x14ac:dyDescent="0.3">
      <c r="A353" t="s">
        <v>196</v>
      </c>
      <c r="B353" t="s">
        <v>46</v>
      </c>
      <c r="C353" t="s">
        <v>4100</v>
      </c>
      <c r="D353" s="12"/>
      <c r="E353">
        <v>2.98</v>
      </c>
      <c r="F353" t="s">
        <v>197</v>
      </c>
      <c r="G353" s="8" t="s">
        <v>551</v>
      </c>
      <c r="H353" t="s">
        <v>629</v>
      </c>
      <c r="J353" t="s">
        <v>1813</v>
      </c>
      <c r="M353" t="b">
        <v>1</v>
      </c>
      <c r="N353" t="b">
        <v>1</v>
      </c>
      <c r="O353" t="b">
        <v>0</v>
      </c>
      <c r="P353" t="b">
        <v>0</v>
      </c>
      <c r="Q353" t="s">
        <v>2024</v>
      </c>
      <c r="R353" t="s">
        <v>629</v>
      </c>
      <c r="T353">
        <v>4</v>
      </c>
      <c r="U353" s="20">
        <v>0</v>
      </c>
      <c r="V353">
        <v>0</v>
      </c>
      <c r="W353">
        <v>0</v>
      </c>
      <c r="X353">
        <v>13.003</v>
      </c>
      <c r="Y353">
        <v>5.5149999999999997</v>
      </c>
      <c r="Z353">
        <v>7.7569999999999997</v>
      </c>
      <c r="AA353" t="s">
        <v>1095</v>
      </c>
      <c r="AB353" s="1">
        <f t="shared" si="50"/>
        <v>13.003</v>
      </c>
      <c r="AC353" s="20">
        <v>0</v>
      </c>
      <c r="AD353" s="20"/>
      <c r="AE353" s="20"/>
      <c r="AF353">
        <v>0</v>
      </c>
      <c r="AI353">
        <v>0</v>
      </c>
      <c r="AM353">
        <v>14</v>
      </c>
      <c r="AN353" s="44">
        <f t="shared" si="51"/>
        <v>556.266454565</v>
      </c>
      <c r="AO353" s="46">
        <v>0</v>
      </c>
      <c r="AP353" s="44">
        <v>0</v>
      </c>
      <c r="AQ353" s="44">
        <v>0</v>
      </c>
      <c r="AR353" s="41">
        <f t="shared" si="52"/>
        <v>0.10067117932500884</v>
      </c>
      <c r="AS353" s="40"/>
      <c r="AT353" s="41"/>
      <c r="AU353" s="41"/>
      <c r="AV353" s="23">
        <v>2</v>
      </c>
      <c r="AW353" s="23">
        <v>2.545454545454545</v>
      </c>
      <c r="AX353" s="23">
        <v>0.45454545454545447</v>
      </c>
      <c r="AY353" s="23">
        <v>0.27272727272727271</v>
      </c>
      <c r="AZ353" s="23">
        <v>0.37931034482758619</v>
      </c>
      <c r="BA353" s="23">
        <v>0.48275862068965519</v>
      </c>
      <c r="BB353" s="23">
        <v>8.6206896551724144E-2</v>
      </c>
      <c r="BC353" s="23">
        <v>5.1724137931034482E-2</v>
      </c>
      <c r="BD353" s="20">
        <v>1.1000000000000001</v>
      </c>
      <c r="BE353" s="20">
        <v>3.44</v>
      </c>
      <c r="BF353" s="20">
        <v>2.34</v>
      </c>
      <c r="BG353" s="20">
        <v>2.6718181818181819</v>
      </c>
      <c r="BH353">
        <v>2.6718181818181819</v>
      </c>
      <c r="BI353">
        <v>5.9579696772727271</v>
      </c>
      <c r="BJ353" s="64"/>
      <c r="BK353" s="64"/>
      <c r="BL353" s="64"/>
      <c r="BM353">
        <v>5.0335589662504419E-2</v>
      </c>
      <c r="BQ353">
        <v>0.1006711793250088</v>
      </c>
      <c r="BR353">
        <v>5.0335589662504419E-2</v>
      </c>
      <c r="BS353">
        <v>0</v>
      </c>
      <c r="BT353" s="68" t="s">
        <v>1264</v>
      </c>
      <c r="BU353" s="68">
        <v>1423</v>
      </c>
      <c r="BV353" s="68">
        <v>10</v>
      </c>
      <c r="BX353" s="68" t="s">
        <v>1275</v>
      </c>
      <c r="BY353" s="68" t="s">
        <v>56</v>
      </c>
      <c r="BZ353" s="68">
        <v>1</v>
      </c>
      <c r="CB353" s="68">
        <v>2</v>
      </c>
      <c r="CC353" s="68">
        <v>0</v>
      </c>
      <c r="CD353" s="68" t="s">
        <v>464</v>
      </c>
      <c r="CE353" s="68" t="s">
        <v>464</v>
      </c>
      <c r="CF353" s="68" t="s">
        <v>1266</v>
      </c>
      <c r="CG353" s="68">
        <v>450</v>
      </c>
      <c r="CH353" s="68">
        <v>200</v>
      </c>
      <c r="CI353" s="68" t="s">
        <v>1287</v>
      </c>
      <c r="CK353" s="70">
        <v>220</v>
      </c>
    </row>
    <row r="354" spans="1:89" x14ac:dyDescent="0.3">
      <c r="A354" t="s">
        <v>46</v>
      </c>
      <c r="B354" t="s">
        <v>46</v>
      </c>
      <c r="C354" t="s">
        <v>4087</v>
      </c>
      <c r="D354" s="12"/>
      <c r="E354">
        <v>3.82</v>
      </c>
      <c r="F354" t="s">
        <v>197</v>
      </c>
      <c r="G354" s="8" t="s">
        <v>551</v>
      </c>
      <c r="H354" t="s">
        <v>629</v>
      </c>
      <c r="M354" t="b">
        <v>1</v>
      </c>
      <c r="N354" t="b">
        <v>1</v>
      </c>
      <c r="O354" t="b">
        <v>0</v>
      </c>
      <c r="P354" t="b">
        <v>0</v>
      </c>
      <c r="Q354" t="s">
        <v>551</v>
      </c>
      <c r="R354" t="s">
        <v>629</v>
      </c>
      <c r="T354">
        <v>4</v>
      </c>
      <c r="U354" s="20">
        <v>2</v>
      </c>
      <c r="V354">
        <v>4</v>
      </c>
      <c r="W354">
        <v>0</v>
      </c>
      <c r="X354">
        <v>13.01</v>
      </c>
      <c r="Y354">
        <v>5.5439999999999996</v>
      </c>
      <c r="Z354">
        <v>7.81</v>
      </c>
      <c r="AA354" t="s">
        <v>1095</v>
      </c>
      <c r="AB354" s="1">
        <f t="shared" si="50"/>
        <v>13.01</v>
      </c>
      <c r="AC354" s="20">
        <v>7.41544296</v>
      </c>
      <c r="AD354" s="20">
        <v>7.4154429599999991</v>
      </c>
      <c r="AE354" s="20">
        <v>7.41544296</v>
      </c>
      <c r="AF354">
        <v>7.8</v>
      </c>
      <c r="AG354">
        <v>13.010999999999999</v>
      </c>
      <c r="AH354">
        <v>5.5460000000000003</v>
      </c>
      <c r="AI354">
        <v>0</v>
      </c>
      <c r="AM354">
        <v>14</v>
      </c>
      <c r="AN354" s="44">
        <f t="shared" si="51"/>
        <v>563.31530639999994</v>
      </c>
      <c r="AO354" s="46">
        <v>288.33429290182369</v>
      </c>
      <c r="AP354" s="44">
        <v>556.51188553357167</v>
      </c>
      <c r="AQ354" s="44">
        <v>0</v>
      </c>
      <c r="AR354" s="41">
        <f t="shared" si="52"/>
        <v>9.9411465237614932E-2</v>
      </c>
      <c r="AS354" s="40">
        <v>9.7109503410799117E-2</v>
      </c>
      <c r="AT354" s="41">
        <v>0.10062678166578309</v>
      </c>
      <c r="AU354" s="41"/>
      <c r="AV354" s="23">
        <v>2</v>
      </c>
      <c r="AW354" s="23">
        <v>2.545454545454545</v>
      </c>
      <c r="AX354" s="23">
        <v>0.54545454545454541</v>
      </c>
      <c r="AY354" s="23">
        <v>0</v>
      </c>
      <c r="AZ354" s="23">
        <v>0.39285714285714279</v>
      </c>
      <c r="BA354" s="23">
        <v>0.5</v>
      </c>
      <c r="BB354" s="23">
        <v>0.1071428571428571</v>
      </c>
      <c r="BC354" s="23">
        <v>0</v>
      </c>
      <c r="BD354" s="20">
        <v>1.1000000000000001</v>
      </c>
      <c r="BE354" s="20">
        <v>3.44</v>
      </c>
      <c r="BF354" s="20">
        <v>2.34</v>
      </c>
      <c r="BG354" s="20">
        <v>2.669090909090909</v>
      </c>
      <c r="BH354">
        <v>2.669090909090909</v>
      </c>
      <c r="BI354">
        <v>5.9831974772727277</v>
      </c>
      <c r="BJ354" s="64">
        <v>0.52442413903612473</v>
      </c>
      <c r="BK354" s="64">
        <v>0.54341863036636606</v>
      </c>
      <c r="BL354" s="64"/>
      <c r="BM354">
        <v>4.9705732618807473E-2</v>
      </c>
      <c r="BN354">
        <v>4.8554751705399558E-2</v>
      </c>
      <c r="BO354">
        <v>5.0313390832891547E-2</v>
      </c>
      <c r="BQ354">
        <v>9.9049250104732381E-2</v>
      </c>
      <c r="BR354">
        <v>4.952462505236619E-2</v>
      </c>
      <c r="BS354">
        <v>0.53392138470124539</v>
      </c>
      <c r="BT354" s="68" t="s">
        <v>1264</v>
      </c>
      <c r="BU354" s="68">
        <v>1423</v>
      </c>
      <c r="BV354" s="68">
        <v>10</v>
      </c>
      <c r="BX354" s="68" t="s">
        <v>464</v>
      </c>
      <c r="BY354" s="68" t="s">
        <v>464</v>
      </c>
      <c r="BZ354" s="68">
        <v>0</v>
      </c>
      <c r="CB354" s="68">
        <v>6.67</v>
      </c>
      <c r="CC354" s="68">
        <v>0</v>
      </c>
      <c r="CD354" s="68" t="s">
        <v>464</v>
      </c>
      <c r="CE354" s="68" t="s">
        <v>464</v>
      </c>
      <c r="CF354" s="68" t="s">
        <v>1266</v>
      </c>
      <c r="CG354" s="68">
        <v>500</v>
      </c>
      <c r="CH354" s="68">
        <v>360</v>
      </c>
      <c r="CI354" s="68" t="s">
        <v>1287</v>
      </c>
      <c r="CK354" s="70">
        <v>0</v>
      </c>
    </row>
    <row r="355" spans="1:89" x14ac:dyDescent="0.3">
      <c r="A355" t="s">
        <v>193</v>
      </c>
      <c r="B355" t="s">
        <v>46</v>
      </c>
      <c r="C355" t="s">
        <v>4097</v>
      </c>
      <c r="D355" s="12"/>
      <c r="E355">
        <v>3.68</v>
      </c>
      <c r="F355" t="s">
        <v>197</v>
      </c>
      <c r="G355" s="25" t="s">
        <v>551</v>
      </c>
      <c r="H355" s="1" t="s">
        <v>629</v>
      </c>
      <c r="J355" t="s">
        <v>1812</v>
      </c>
      <c r="M355" t="b">
        <v>1</v>
      </c>
      <c r="N355" t="b">
        <v>1</v>
      </c>
      <c r="O355" t="b">
        <v>0</v>
      </c>
      <c r="P355" t="b">
        <v>0</v>
      </c>
      <c r="Q355" t="s">
        <v>2025</v>
      </c>
      <c r="R355" t="s">
        <v>629</v>
      </c>
      <c r="T355">
        <v>4</v>
      </c>
      <c r="U355" s="20">
        <v>0</v>
      </c>
      <c r="V355">
        <v>0</v>
      </c>
      <c r="W355">
        <v>0</v>
      </c>
      <c r="X355">
        <v>13.02</v>
      </c>
      <c r="Y355">
        <v>5.5119999999999996</v>
      </c>
      <c r="Z355">
        <v>7.7450000000000001</v>
      </c>
      <c r="AA355" t="s">
        <v>1095</v>
      </c>
      <c r="AB355" s="1">
        <f t="shared" si="50"/>
        <v>13.02</v>
      </c>
      <c r="AC355" s="20">
        <v>0</v>
      </c>
      <c r="AD355" s="20"/>
      <c r="AE355" s="20"/>
      <c r="AF355">
        <v>0</v>
      </c>
      <c r="AI355">
        <v>0</v>
      </c>
      <c r="AM355">
        <v>14</v>
      </c>
      <c r="AN355" s="44">
        <f t="shared" si="51"/>
        <v>555.82952879999993</v>
      </c>
      <c r="AO355" s="46">
        <v>0</v>
      </c>
      <c r="AP355" s="44">
        <v>0</v>
      </c>
      <c r="AQ355" s="44">
        <v>0</v>
      </c>
      <c r="AR355" s="41">
        <f t="shared" si="52"/>
        <v>0.10075031479687735</v>
      </c>
      <c r="AS355" s="40"/>
      <c r="AT355" s="41"/>
      <c r="AU355" s="41"/>
      <c r="AV355" s="23">
        <v>2</v>
      </c>
      <c r="AW355" s="23">
        <v>2.545454545454545</v>
      </c>
      <c r="AX355" s="23">
        <v>0.45454545454545447</v>
      </c>
      <c r="AY355" s="23">
        <v>0.36363636363636359</v>
      </c>
      <c r="AZ355" s="23">
        <v>0.3728813559322034</v>
      </c>
      <c r="BA355" s="23">
        <v>0.47457627118644069</v>
      </c>
      <c r="BB355" s="23">
        <v>8.4745762711864403E-2</v>
      </c>
      <c r="BC355" s="23">
        <v>6.7796610169491525E-2</v>
      </c>
      <c r="BD355" s="20">
        <v>1.1000000000000001</v>
      </c>
      <c r="BE355" s="20">
        <v>3.44</v>
      </c>
      <c r="BF355" s="20">
        <v>2.34</v>
      </c>
      <c r="BG355" s="20">
        <v>2.672727272727272</v>
      </c>
      <c r="BH355">
        <v>2.6727272727272728</v>
      </c>
      <c r="BI355">
        <v>5.9599268909090908</v>
      </c>
      <c r="BJ355" s="64"/>
      <c r="BK355" s="64"/>
      <c r="BL355" s="64"/>
      <c r="BM355">
        <v>5.0375157398438668E-2</v>
      </c>
      <c r="BQ355">
        <v>0.10075031479687729</v>
      </c>
      <c r="BR355">
        <v>5.0375157398438668E-2</v>
      </c>
      <c r="BS355">
        <v>0</v>
      </c>
      <c r="BT355" s="68" t="s">
        <v>1264</v>
      </c>
      <c r="BU355" s="68">
        <v>1423</v>
      </c>
      <c r="BV355" s="68">
        <v>10</v>
      </c>
      <c r="BX355" s="68" t="s">
        <v>464</v>
      </c>
      <c r="BY355" s="68" t="s">
        <v>464</v>
      </c>
      <c r="BZ355" s="68">
        <v>0</v>
      </c>
      <c r="CB355" s="68">
        <v>6.67</v>
      </c>
      <c r="CC355" s="68">
        <v>0</v>
      </c>
      <c r="CD355" s="68" t="s">
        <v>464</v>
      </c>
      <c r="CE355" s="68" t="s">
        <v>464</v>
      </c>
      <c r="CF355" s="68" t="s">
        <v>1266</v>
      </c>
      <c r="CG355" s="68">
        <v>500</v>
      </c>
      <c r="CH355" s="68">
        <v>360</v>
      </c>
      <c r="CI355" s="68" t="s">
        <v>1287</v>
      </c>
      <c r="CK355" s="70">
        <v>0</v>
      </c>
    </row>
    <row r="356" spans="1:89" x14ac:dyDescent="0.3">
      <c r="A356" t="s">
        <v>194</v>
      </c>
      <c r="B356" t="s">
        <v>46</v>
      </c>
      <c r="C356" t="s">
        <v>4098</v>
      </c>
      <c r="D356" s="12"/>
      <c r="E356">
        <v>3.65</v>
      </c>
      <c r="F356" t="s">
        <v>197</v>
      </c>
      <c r="G356" s="8" t="s">
        <v>582</v>
      </c>
      <c r="H356" t="s">
        <v>657</v>
      </c>
      <c r="M356" t="b">
        <v>1</v>
      </c>
      <c r="N356" t="b">
        <v>1</v>
      </c>
      <c r="O356" t="b">
        <v>0</v>
      </c>
      <c r="P356" t="b">
        <v>0</v>
      </c>
      <c r="Q356" t="s">
        <v>582</v>
      </c>
      <c r="R356" t="s">
        <v>657</v>
      </c>
      <c r="T356">
        <v>4</v>
      </c>
      <c r="U356" s="20">
        <v>2</v>
      </c>
      <c r="V356">
        <v>8</v>
      </c>
      <c r="W356">
        <v>0</v>
      </c>
      <c r="X356">
        <v>13.02</v>
      </c>
      <c r="Y356">
        <v>5.48</v>
      </c>
      <c r="Z356">
        <v>7.68</v>
      </c>
      <c r="AA356" t="s">
        <v>1095</v>
      </c>
      <c r="AB356" s="1">
        <f t="shared" si="50"/>
        <v>13.02</v>
      </c>
      <c r="AC356" s="20">
        <v>7.2854997800000012</v>
      </c>
      <c r="AD356" s="20">
        <v>7.2855000099999998</v>
      </c>
      <c r="AE356" s="20">
        <v>7.28550129</v>
      </c>
      <c r="AF356">
        <v>7.6769999999999996</v>
      </c>
      <c r="AG356">
        <v>5.4560000000000004</v>
      </c>
      <c r="AH356">
        <v>26.012989999999999</v>
      </c>
      <c r="AI356">
        <v>0</v>
      </c>
      <c r="AM356">
        <v>14</v>
      </c>
      <c r="AN356" s="44">
        <f t="shared" si="51"/>
        <v>547.9649280000001</v>
      </c>
      <c r="AO356" s="46">
        <v>273.44070809730869</v>
      </c>
      <c r="AP356" s="44">
        <v>1077.884035254056</v>
      </c>
      <c r="AQ356" s="44">
        <v>0</v>
      </c>
      <c r="AR356" s="41">
        <f t="shared" si="52"/>
        <v>0.10219632158647933</v>
      </c>
      <c r="AS356" s="40">
        <v>0.1023987986091511</v>
      </c>
      <c r="AT356" s="41">
        <v>0.1039072816155049</v>
      </c>
      <c r="AU356" s="41"/>
      <c r="AV356" s="23">
        <v>2</v>
      </c>
      <c r="AW356" s="23">
        <v>2.545454545454545</v>
      </c>
      <c r="AX356" s="23">
        <v>0.36363636363636359</v>
      </c>
      <c r="AY356" s="23">
        <v>0.72727272727272729</v>
      </c>
      <c r="AZ356" s="23">
        <v>0.35483870967741932</v>
      </c>
      <c r="BA356" s="23">
        <v>0.45161290322580638</v>
      </c>
      <c r="BB356" s="23">
        <v>6.4516129032258063E-2</v>
      </c>
      <c r="BC356" s="23">
        <v>0.1290322580645161</v>
      </c>
      <c r="BD356" s="20">
        <v>1.1399999999999999</v>
      </c>
      <c r="BE356" s="20">
        <v>3.44</v>
      </c>
      <c r="BF356" s="20">
        <v>2.2999999999999998</v>
      </c>
      <c r="BG356" s="20">
        <v>2.6763636363636358</v>
      </c>
      <c r="BH356">
        <v>2.6763636363636358</v>
      </c>
      <c r="BI356">
        <v>5.9366563045454548</v>
      </c>
      <c r="BJ356" s="64">
        <v>0.5411256777060568</v>
      </c>
      <c r="BK356" s="64">
        <v>0.54909724475770694</v>
      </c>
      <c r="BL356" s="64"/>
      <c r="BM356">
        <v>5.1098160793239672E-2</v>
      </c>
      <c r="BN356">
        <v>5.119939930457558E-2</v>
      </c>
      <c r="BO356">
        <v>5.1953640807752437E-2</v>
      </c>
      <c r="BQ356">
        <v>0.1028341339370451</v>
      </c>
      <c r="BR356">
        <v>5.1417066968522558E-2</v>
      </c>
      <c r="BS356">
        <v>0.54511146123188192</v>
      </c>
      <c r="BT356" s="68" t="s">
        <v>1264</v>
      </c>
      <c r="BU356" s="68">
        <v>1423</v>
      </c>
      <c r="BV356" s="68">
        <v>10</v>
      </c>
      <c r="BX356" s="68" t="s">
        <v>464</v>
      </c>
      <c r="BY356" s="68" t="s">
        <v>464</v>
      </c>
      <c r="BZ356" s="68">
        <v>0</v>
      </c>
      <c r="CB356" s="68">
        <v>6.67</v>
      </c>
      <c r="CC356" s="68">
        <v>0</v>
      </c>
      <c r="CD356" s="68" t="s">
        <v>464</v>
      </c>
      <c r="CE356" s="68" t="s">
        <v>464</v>
      </c>
      <c r="CF356" s="68" t="s">
        <v>1266</v>
      </c>
      <c r="CG356" s="68">
        <v>500</v>
      </c>
      <c r="CH356" s="68">
        <v>360</v>
      </c>
      <c r="CI356" s="68" t="s">
        <v>1287</v>
      </c>
      <c r="CK356" s="70">
        <v>0</v>
      </c>
    </row>
    <row r="357" spans="1:89" x14ac:dyDescent="0.3">
      <c r="A357" t="s">
        <v>195</v>
      </c>
      <c r="B357" t="s">
        <v>46</v>
      </c>
      <c r="C357" t="s">
        <v>4099</v>
      </c>
      <c r="D357" s="12"/>
      <c r="E357">
        <v>2.99</v>
      </c>
      <c r="F357" t="s">
        <v>197</v>
      </c>
      <c r="G357" s="8" t="s">
        <v>582</v>
      </c>
      <c r="H357" t="s">
        <v>657</v>
      </c>
      <c r="J357" t="s">
        <v>1742</v>
      </c>
      <c r="K357" t="s">
        <v>1742</v>
      </c>
      <c r="M357" t="b">
        <v>1</v>
      </c>
      <c r="N357" t="b">
        <v>1</v>
      </c>
      <c r="O357" t="b">
        <v>0</v>
      </c>
      <c r="P357" t="b">
        <v>0</v>
      </c>
      <c r="Q357" t="s">
        <v>2026</v>
      </c>
      <c r="R357" t="s">
        <v>2061</v>
      </c>
      <c r="T357">
        <v>4</v>
      </c>
      <c r="U357" s="20">
        <v>4</v>
      </c>
      <c r="V357">
        <v>0</v>
      </c>
      <c r="W357">
        <v>0</v>
      </c>
      <c r="X357">
        <v>12.996</v>
      </c>
      <c r="Y357">
        <v>5.4850000000000003</v>
      </c>
      <c r="Z357">
        <v>7.7039999999999997</v>
      </c>
      <c r="AA357" t="s">
        <v>1095</v>
      </c>
      <c r="AB357" s="1">
        <f t="shared" si="50"/>
        <v>12.996</v>
      </c>
      <c r="AC357" s="20">
        <v>5.5191434299999997</v>
      </c>
      <c r="AD357" s="20">
        <v>7.7203982699999987</v>
      </c>
      <c r="AE357" s="20">
        <v>13.117043880000001</v>
      </c>
      <c r="AF357">
        <v>0</v>
      </c>
      <c r="AI357">
        <v>0</v>
      </c>
      <c r="AM357">
        <v>14</v>
      </c>
      <c r="AN357" s="44">
        <f t="shared" si="51"/>
        <v>549.16469424000002</v>
      </c>
      <c r="AO357" s="46">
        <v>552.74712386171507</v>
      </c>
      <c r="AP357" s="44">
        <v>0</v>
      </c>
      <c r="AQ357" s="44">
        <v>0</v>
      </c>
      <c r="AR357" s="41">
        <f t="shared" si="52"/>
        <v>0.1019730521414883</v>
      </c>
      <c r="AS357" s="40">
        <v>0.1013121508598025</v>
      </c>
      <c r="AT357" s="41"/>
      <c r="AU357" s="41"/>
      <c r="AV357" s="23">
        <v>2</v>
      </c>
      <c r="AW357" s="23">
        <v>2.545454545454545</v>
      </c>
      <c r="AX357" s="23">
        <v>0.36363636363636359</v>
      </c>
      <c r="AY357" s="23">
        <v>0.54545454545454541</v>
      </c>
      <c r="AZ357" s="23">
        <v>0.3666666666666667</v>
      </c>
      <c r="BA357" s="23">
        <v>0.46666666666666667</v>
      </c>
      <c r="BB357" s="23">
        <v>6.666666666666668E-2</v>
      </c>
      <c r="BC357" s="23">
        <v>0.1</v>
      </c>
      <c r="BD357" s="20">
        <v>1.1299999999999999</v>
      </c>
      <c r="BE357" s="20">
        <v>3.44</v>
      </c>
      <c r="BF357" s="20">
        <v>2.31</v>
      </c>
      <c r="BG357" s="20">
        <v>2.6745454545454539</v>
      </c>
      <c r="BH357">
        <v>2.6745454545454548</v>
      </c>
      <c r="BI357">
        <v>5.9327418772727274</v>
      </c>
      <c r="BJ357" s="64">
        <v>0.53699890088551772</v>
      </c>
      <c r="BK357" s="64"/>
      <c r="BL357" s="64"/>
      <c r="BM357">
        <v>5.0986526070744151E-2</v>
      </c>
      <c r="BN357">
        <v>5.0656075429901228E-2</v>
      </c>
      <c r="BQ357">
        <v>0.1016426015006454</v>
      </c>
      <c r="BR357">
        <v>5.0821300750322693E-2</v>
      </c>
      <c r="BS357">
        <v>0.53699890088551772</v>
      </c>
      <c r="BT357" s="68" t="s">
        <v>1264</v>
      </c>
      <c r="BU357" s="68">
        <v>1423</v>
      </c>
      <c r="BV357" s="68">
        <v>10</v>
      </c>
      <c r="BX357" s="68" t="s">
        <v>464</v>
      </c>
      <c r="BY357" s="68" t="s">
        <v>464</v>
      </c>
      <c r="BZ357" s="68">
        <v>0</v>
      </c>
      <c r="CB357" s="68">
        <v>6.67</v>
      </c>
      <c r="CC357" s="68">
        <v>0</v>
      </c>
      <c r="CD357" s="68" t="s">
        <v>464</v>
      </c>
      <c r="CE357" s="68" t="s">
        <v>464</v>
      </c>
      <c r="CF357" s="68" t="s">
        <v>1266</v>
      </c>
      <c r="CG357" s="68">
        <v>500</v>
      </c>
      <c r="CH357" s="68">
        <v>360</v>
      </c>
      <c r="CI357" s="68" t="s">
        <v>1287</v>
      </c>
      <c r="CK357" s="70">
        <v>0</v>
      </c>
    </row>
    <row r="358" spans="1:89" x14ac:dyDescent="0.3">
      <c r="A358" t="s">
        <v>196</v>
      </c>
      <c r="B358" t="s">
        <v>46</v>
      </c>
      <c r="C358" t="s">
        <v>4100</v>
      </c>
      <c r="D358" s="12"/>
      <c r="E358">
        <v>2.98</v>
      </c>
      <c r="F358" t="s">
        <v>197</v>
      </c>
      <c r="G358" s="8" t="s">
        <v>551</v>
      </c>
      <c r="H358" t="s">
        <v>629</v>
      </c>
      <c r="J358" t="s">
        <v>1813</v>
      </c>
      <c r="M358" t="b">
        <v>1</v>
      </c>
      <c r="N358" t="b">
        <v>1</v>
      </c>
      <c r="O358" t="b">
        <v>0</v>
      </c>
      <c r="P358" t="b">
        <v>0</v>
      </c>
      <c r="Q358" t="s">
        <v>2027</v>
      </c>
      <c r="R358" t="s">
        <v>629</v>
      </c>
      <c r="T358">
        <v>4</v>
      </c>
      <c r="U358" s="20">
        <v>0</v>
      </c>
      <c r="V358">
        <v>0</v>
      </c>
      <c r="W358">
        <v>0</v>
      </c>
      <c r="X358">
        <v>13.003</v>
      </c>
      <c r="Y358">
        <v>5.5149999999999997</v>
      </c>
      <c r="Z358">
        <v>7.7569999999999997</v>
      </c>
      <c r="AA358" t="s">
        <v>1095</v>
      </c>
      <c r="AB358" s="1">
        <f t="shared" si="50"/>
        <v>13.003</v>
      </c>
      <c r="AC358" s="20">
        <v>0</v>
      </c>
      <c r="AD358" s="20"/>
      <c r="AE358" s="20"/>
      <c r="AF358">
        <v>0</v>
      </c>
      <c r="AI358">
        <v>0</v>
      </c>
      <c r="AM358">
        <v>14</v>
      </c>
      <c r="AN358" s="44">
        <f t="shared" si="51"/>
        <v>556.266454565</v>
      </c>
      <c r="AO358" s="46">
        <v>0</v>
      </c>
      <c r="AP358" s="44">
        <v>0</v>
      </c>
      <c r="AQ358" s="44">
        <v>0</v>
      </c>
      <c r="AR358" s="41">
        <f t="shared" si="52"/>
        <v>0.10067117932500884</v>
      </c>
      <c r="AS358" s="40"/>
      <c r="AT358" s="41"/>
      <c r="AU358" s="41"/>
      <c r="AV358" s="23">
        <v>2</v>
      </c>
      <c r="AW358" s="23">
        <v>2.545454545454545</v>
      </c>
      <c r="AX358" s="23">
        <v>0.45454545454545447</v>
      </c>
      <c r="AY358" s="23">
        <v>0.27272727272727271</v>
      </c>
      <c r="AZ358" s="23">
        <v>0.37931034482758619</v>
      </c>
      <c r="BA358" s="23">
        <v>0.48275862068965519</v>
      </c>
      <c r="BB358" s="23">
        <v>8.6206896551724144E-2</v>
      </c>
      <c r="BC358" s="23">
        <v>5.1724137931034482E-2</v>
      </c>
      <c r="BD358" s="20">
        <v>1.1000000000000001</v>
      </c>
      <c r="BE358" s="20">
        <v>3.44</v>
      </c>
      <c r="BF358" s="20">
        <v>2.34</v>
      </c>
      <c r="BG358" s="20">
        <v>2.6718181818181819</v>
      </c>
      <c r="BH358">
        <v>2.6718181818181819</v>
      </c>
      <c r="BI358">
        <v>5.9579696772727271</v>
      </c>
      <c r="BJ358" s="64"/>
      <c r="BK358" s="64"/>
      <c r="BL358" s="64"/>
      <c r="BM358">
        <v>5.0335589662504419E-2</v>
      </c>
      <c r="BQ358">
        <v>0.1006711793250088</v>
      </c>
      <c r="BR358">
        <v>5.0335589662504419E-2</v>
      </c>
      <c r="BS358">
        <v>0</v>
      </c>
      <c r="BT358" s="68" t="s">
        <v>1264</v>
      </c>
      <c r="BU358" s="68">
        <v>1423</v>
      </c>
      <c r="BV358" s="68">
        <v>10</v>
      </c>
      <c r="BX358" s="68" t="s">
        <v>464</v>
      </c>
      <c r="BY358" s="68" t="s">
        <v>464</v>
      </c>
      <c r="BZ358" s="68">
        <v>0</v>
      </c>
      <c r="CB358" s="68">
        <v>6.67</v>
      </c>
      <c r="CC358" s="68">
        <v>0</v>
      </c>
      <c r="CD358" s="68" t="s">
        <v>464</v>
      </c>
      <c r="CE358" s="68" t="s">
        <v>464</v>
      </c>
      <c r="CF358" s="68" t="s">
        <v>1266</v>
      </c>
      <c r="CG358" s="68">
        <v>500</v>
      </c>
      <c r="CH358" s="68">
        <v>360</v>
      </c>
      <c r="CI358" s="68" t="s">
        <v>1287</v>
      </c>
      <c r="CK358" s="70">
        <v>0</v>
      </c>
    </row>
    <row r="359" spans="1:89" x14ac:dyDescent="0.3">
      <c r="A359" t="s">
        <v>46</v>
      </c>
      <c r="B359" t="s">
        <v>46</v>
      </c>
      <c r="C359" t="s">
        <v>4087</v>
      </c>
      <c r="D359" s="12"/>
      <c r="E359">
        <v>3.82</v>
      </c>
      <c r="F359" t="s">
        <v>197</v>
      </c>
      <c r="G359" s="8" t="s">
        <v>551</v>
      </c>
      <c r="H359" t="s">
        <v>629</v>
      </c>
      <c r="M359" t="b">
        <v>1</v>
      </c>
      <c r="N359" t="b">
        <v>1</v>
      </c>
      <c r="O359" t="b">
        <v>0</v>
      </c>
      <c r="P359" t="b">
        <v>0</v>
      </c>
      <c r="Q359" t="s">
        <v>551</v>
      </c>
      <c r="R359" t="s">
        <v>629</v>
      </c>
      <c r="T359">
        <v>4</v>
      </c>
      <c r="U359" s="20">
        <v>2</v>
      </c>
      <c r="V359">
        <v>4</v>
      </c>
      <c r="W359">
        <v>0</v>
      </c>
      <c r="X359">
        <v>13.01</v>
      </c>
      <c r="Y359">
        <v>5.5439999999999996</v>
      </c>
      <c r="Z359">
        <v>7.81</v>
      </c>
      <c r="AA359" t="s">
        <v>1095</v>
      </c>
      <c r="AB359" s="1">
        <f t="shared" si="50"/>
        <v>13.01</v>
      </c>
      <c r="AC359" s="20">
        <v>7.41544296</v>
      </c>
      <c r="AD359" s="20">
        <v>7.4154429599999991</v>
      </c>
      <c r="AE359" s="20">
        <v>7.41544296</v>
      </c>
      <c r="AF359">
        <v>7.8</v>
      </c>
      <c r="AG359">
        <v>13.010999999999999</v>
      </c>
      <c r="AH359">
        <v>5.5460000000000003</v>
      </c>
      <c r="AI359">
        <v>0</v>
      </c>
      <c r="AM359">
        <v>14</v>
      </c>
      <c r="AN359" s="44">
        <f t="shared" ref="AN359:AN368" si="53">X359*Y359*Z359</f>
        <v>563.31530639999994</v>
      </c>
      <c r="AO359" s="46">
        <v>288.33429290182369</v>
      </c>
      <c r="AP359" s="44">
        <v>556.51188553357167</v>
      </c>
      <c r="AQ359" s="44">
        <v>0</v>
      </c>
      <c r="AR359" s="41">
        <f t="shared" ref="AR359:AR368" si="54">T359*AM359/AN359</f>
        <v>9.9411465237614932E-2</v>
      </c>
      <c r="AS359" s="40">
        <v>9.7109503410799117E-2</v>
      </c>
      <c r="AT359" s="41">
        <v>0.10062678166578309</v>
      </c>
      <c r="AU359" s="41"/>
      <c r="AV359" s="23">
        <v>2</v>
      </c>
      <c r="AW359" s="23">
        <v>2.545454545454545</v>
      </c>
      <c r="AX359" s="23">
        <v>0.54545454545454541</v>
      </c>
      <c r="AY359" s="23">
        <v>0</v>
      </c>
      <c r="AZ359" s="23">
        <v>0.39285714285714279</v>
      </c>
      <c r="BA359" s="23">
        <v>0.5</v>
      </c>
      <c r="BB359" s="23">
        <v>0.1071428571428571</v>
      </c>
      <c r="BC359" s="23">
        <v>0</v>
      </c>
      <c r="BD359" s="20">
        <v>1.1000000000000001</v>
      </c>
      <c r="BE359" s="20">
        <v>3.44</v>
      </c>
      <c r="BF359" s="20">
        <v>2.34</v>
      </c>
      <c r="BG359" s="20">
        <v>2.669090909090909</v>
      </c>
      <c r="BH359">
        <v>2.669090909090909</v>
      </c>
      <c r="BI359">
        <v>5.9831974772727277</v>
      </c>
      <c r="BJ359" s="64">
        <v>0.52442413903612473</v>
      </c>
      <c r="BK359" s="64">
        <v>0.54341863036636606</v>
      </c>
      <c r="BL359" s="64"/>
      <c r="BM359">
        <v>4.9705732618807473E-2</v>
      </c>
      <c r="BN359">
        <v>4.8554751705399558E-2</v>
      </c>
      <c r="BO359">
        <v>5.0313390832891547E-2</v>
      </c>
      <c r="BQ359">
        <v>9.9049250104732381E-2</v>
      </c>
      <c r="BR359">
        <v>4.952462505236619E-2</v>
      </c>
      <c r="BS359">
        <v>0.53392138470124539</v>
      </c>
      <c r="BT359" s="68" t="s">
        <v>1264</v>
      </c>
      <c r="BU359" s="68">
        <v>1423</v>
      </c>
      <c r="BV359" s="68">
        <v>10</v>
      </c>
      <c r="BX359" s="68" t="s">
        <v>1275</v>
      </c>
      <c r="BY359" s="68" t="s">
        <v>56</v>
      </c>
      <c r="BZ359" s="68">
        <v>1</v>
      </c>
      <c r="CB359" s="68">
        <v>6.67</v>
      </c>
      <c r="CC359" s="68">
        <v>0</v>
      </c>
      <c r="CD359" s="68" t="s">
        <v>464</v>
      </c>
      <c r="CE359" s="68" t="s">
        <v>464</v>
      </c>
      <c r="CF359" s="68" t="s">
        <v>1266</v>
      </c>
      <c r="CG359" s="68">
        <v>500</v>
      </c>
      <c r="CH359" s="68">
        <v>360</v>
      </c>
      <c r="CI359" s="68" t="s">
        <v>1287</v>
      </c>
      <c r="CK359" s="70">
        <v>0</v>
      </c>
    </row>
    <row r="360" spans="1:89" x14ac:dyDescent="0.3">
      <c r="A360" t="s">
        <v>193</v>
      </c>
      <c r="B360" t="s">
        <v>46</v>
      </c>
      <c r="C360" t="s">
        <v>4097</v>
      </c>
      <c r="D360" s="12"/>
      <c r="E360">
        <v>3.68</v>
      </c>
      <c r="F360" t="s">
        <v>197</v>
      </c>
      <c r="G360" s="25" t="s">
        <v>551</v>
      </c>
      <c r="H360" s="1" t="s">
        <v>629</v>
      </c>
      <c r="J360" t="s">
        <v>1812</v>
      </c>
      <c r="M360" t="b">
        <v>1</v>
      </c>
      <c r="N360" t="b">
        <v>1</v>
      </c>
      <c r="O360" t="b">
        <v>0</v>
      </c>
      <c r="P360" t="b">
        <v>0</v>
      </c>
      <c r="Q360" t="s">
        <v>2028</v>
      </c>
      <c r="R360" t="s">
        <v>629</v>
      </c>
      <c r="T360">
        <v>4</v>
      </c>
      <c r="U360" s="20">
        <v>0</v>
      </c>
      <c r="V360">
        <v>0</v>
      </c>
      <c r="W360">
        <v>0</v>
      </c>
      <c r="X360">
        <v>13.02</v>
      </c>
      <c r="Y360">
        <v>5.5119999999999996</v>
      </c>
      <c r="Z360">
        <v>7.7450000000000001</v>
      </c>
      <c r="AA360" t="s">
        <v>1095</v>
      </c>
      <c r="AB360" s="1">
        <f t="shared" si="50"/>
        <v>13.02</v>
      </c>
      <c r="AC360" s="20">
        <v>0</v>
      </c>
      <c r="AD360" s="20"/>
      <c r="AE360" s="20"/>
      <c r="AF360">
        <v>0</v>
      </c>
      <c r="AI360">
        <v>0</v>
      </c>
      <c r="AM360">
        <v>14</v>
      </c>
      <c r="AN360" s="44">
        <f t="shared" si="53"/>
        <v>555.82952879999993</v>
      </c>
      <c r="AO360" s="46">
        <v>0</v>
      </c>
      <c r="AP360" s="44">
        <v>0</v>
      </c>
      <c r="AQ360" s="44">
        <v>0</v>
      </c>
      <c r="AR360" s="41">
        <f t="shared" si="54"/>
        <v>0.10075031479687735</v>
      </c>
      <c r="AS360" s="40"/>
      <c r="AT360" s="41"/>
      <c r="AU360" s="41"/>
      <c r="AV360" s="23">
        <v>2</v>
      </c>
      <c r="AW360" s="23">
        <v>2.545454545454545</v>
      </c>
      <c r="AX360" s="23">
        <v>0.45454545454545447</v>
      </c>
      <c r="AY360" s="23">
        <v>0.36363636363636359</v>
      </c>
      <c r="AZ360" s="23">
        <v>0.3728813559322034</v>
      </c>
      <c r="BA360" s="23">
        <v>0.47457627118644069</v>
      </c>
      <c r="BB360" s="23">
        <v>8.4745762711864403E-2</v>
      </c>
      <c r="BC360" s="23">
        <v>6.7796610169491525E-2</v>
      </c>
      <c r="BD360" s="20">
        <v>1.1000000000000001</v>
      </c>
      <c r="BE360" s="20">
        <v>3.44</v>
      </c>
      <c r="BF360" s="20">
        <v>2.34</v>
      </c>
      <c r="BG360" s="20">
        <v>2.672727272727272</v>
      </c>
      <c r="BH360">
        <v>2.6727272727272728</v>
      </c>
      <c r="BI360">
        <v>5.9599268909090908</v>
      </c>
      <c r="BJ360" s="64"/>
      <c r="BK360" s="64"/>
      <c r="BL360" s="64"/>
      <c r="BM360">
        <v>5.0375157398438668E-2</v>
      </c>
      <c r="BQ360">
        <v>0.10075031479687729</v>
      </c>
      <c r="BR360">
        <v>5.0375157398438668E-2</v>
      </c>
      <c r="BS360">
        <v>0</v>
      </c>
      <c r="BT360" s="68" t="s">
        <v>1264</v>
      </c>
      <c r="BU360" s="68">
        <v>1423</v>
      </c>
      <c r="BV360" s="68">
        <v>10</v>
      </c>
      <c r="BX360" s="68" t="s">
        <v>1275</v>
      </c>
      <c r="BY360" s="68" t="s">
        <v>56</v>
      </c>
      <c r="BZ360" s="68">
        <v>1</v>
      </c>
      <c r="CB360" s="68">
        <v>6.67</v>
      </c>
      <c r="CC360" s="68">
        <v>0</v>
      </c>
      <c r="CD360" s="68" t="s">
        <v>464</v>
      </c>
      <c r="CE360" s="68" t="s">
        <v>464</v>
      </c>
      <c r="CF360" s="68" t="s">
        <v>1266</v>
      </c>
      <c r="CG360" s="68">
        <v>500</v>
      </c>
      <c r="CH360" s="68">
        <v>360</v>
      </c>
      <c r="CI360" s="68" t="s">
        <v>1287</v>
      </c>
      <c r="CK360" s="70">
        <v>0</v>
      </c>
    </row>
    <row r="361" spans="1:89" x14ac:dyDescent="0.3">
      <c r="A361" t="s">
        <v>194</v>
      </c>
      <c r="B361" t="s">
        <v>46</v>
      </c>
      <c r="C361" t="s">
        <v>4098</v>
      </c>
      <c r="D361" s="12"/>
      <c r="E361">
        <v>3.65</v>
      </c>
      <c r="F361" t="s">
        <v>197</v>
      </c>
      <c r="G361" s="8" t="s">
        <v>582</v>
      </c>
      <c r="H361" t="s">
        <v>657</v>
      </c>
      <c r="M361" t="b">
        <v>1</v>
      </c>
      <c r="N361" t="b">
        <v>1</v>
      </c>
      <c r="O361" t="b">
        <v>0</v>
      </c>
      <c r="P361" t="b">
        <v>0</v>
      </c>
      <c r="Q361" t="s">
        <v>582</v>
      </c>
      <c r="R361" t="s">
        <v>657</v>
      </c>
      <c r="T361">
        <v>4</v>
      </c>
      <c r="U361" s="20">
        <v>2</v>
      </c>
      <c r="V361">
        <v>8</v>
      </c>
      <c r="W361">
        <v>0</v>
      </c>
      <c r="X361">
        <v>13.02</v>
      </c>
      <c r="Y361">
        <v>5.48</v>
      </c>
      <c r="Z361">
        <v>7.68</v>
      </c>
      <c r="AA361" t="s">
        <v>1095</v>
      </c>
      <c r="AB361" s="1">
        <f t="shared" si="50"/>
        <v>13.02</v>
      </c>
      <c r="AC361" s="20">
        <v>7.2854997800000012</v>
      </c>
      <c r="AD361" s="20">
        <v>7.2855000099999998</v>
      </c>
      <c r="AE361" s="20">
        <v>7.28550129</v>
      </c>
      <c r="AF361">
        <v>7.6769999999999996</v>
      </c>
      <c r="AG361">
        <v>5.4560000000000004</v>
      </c>
      <c r="AH361">
        <v>26.012989999999999</v>
      </c>
      <c r="AI361">
        <v>0</v>
      </c>
      <c r="AM361">
        <v>14</v>
      </c>
      <c r="AN361" s="44">
        <f t="shared" si="53"/>
        <v>547.9649280000001</v>
      </c>
      <c r="AO361" s="46">
        <v>273.44070809730869</v>
      </c>
      <c r="AP361" s="44">
        <v>1077.884035254056</v>
      </c>
      <c r="AQ361" s="44">
        <v>0</v>
      </c>
      <c r="AR361" s="41">
        <f t="shared" si="54"/>
        <v>0.10219632158647933</v>
      </c>
      <c r="AS361" s="40">
        <v>0.1023987986091511</v>
      </c>
      <c r="AT361" s="41">
        <v>0.1039072816155049</v>
      </c>
      <c r="AU361" s="41"/>
      <c r="AV361" s="23">
        <v>2</v>
      </c>
      <c r="AW361" s="23">
        <v>2.545454545454545</v>
      </c>
      <c r="AX361" s="23">
        <v>0.36363636363636359</v>
      </c>
      <c r="AY361" s="23">
        <v>0.72727272727272729</v>
      </c>
      <c r="AZ361" s="23">
        <v>0.35483870967741932</v>
      </c>
      <c r="BA361" s="23">
        <v>0.45161290322580638</v>
      </c>
      <c r="BB361" s="23">
        <v>6.4516129032258063E-2</v>
      </c>
      <c r="BC361" s="23">
        <v>0.1290322580645161</v>
      </c>
      <c r="BD361" s="20">
        <v>1.1399999999999999</v>
      </c>
      <c r="BE361" s="20">
        <v>3.44</v>
      </c>
      <c r="BF361" s="20">
        <v>2.2999999999999998</v>
      </c>
      <c r="BG361" s="20">
        <v>2.6763636363636358</v>
      </c>
      <c r="BH361">
        <v>2.6763636363636358</v>
      </c>
      <c r="BI361">
        <v>5.9366563045454548</v>
      </c>
      <c r="BJ361" s="64">
        <v>0.5411256777060568</v>
      </c>
      <c r="BK361" s="64">
        <v>0.54909724475770694</v>
      </c>
      <c r="BL361" s="64"/>
      <c r="BM361">
        <v>5.1098160793239672E-2</v>
      </c>
      <c r="BN361">
        <v>5.119939930457558E-2</v>
      </c>
      <c r="BO361">
        <v>5.1953640807752437E-2</v>
      </c>
      <c r="BQ361">
        <v>0.1028341339370451</v>
      </c>
      <c r="BR361">
        <v>5.1417066968522558E-2</v>
      </c>
      <c r="BS361">
        <v>0.54511146123188192</v>
      </c>
      <c r="BT361" s="68" t="s">
        <v>1264</v>
      </c>
      <c r="BU361" s="68">
        <v>1423</v>
      </c>
      <c r="BV361" s="68">
        <v>10</v>
      </c>
      <c r="BX361" s="68" t="s">
        <v>1275</v>
      </c>
      <c r="BY361" s="68" t="s">
        <v>56</v>
      </c>
      <c r="BZ361" s="68">
        <v>1</v>
      </c>
      <c r="CB361" s="68">
        <v>6.67</v>
      </c>
      <c r="CC361" s="68">
        <v>0</v>
      </c>
      <c r="CD361" s="68" t="s">
        <v>464</v>
      </c>
      <c r="CE361" s="68" t="s">
        <v>464</v>
      </c>
      <c r="CF361" s="68" t="s">
        <v>1266</v>
      </c>
      <c r="CG361" s="68">
        <v>500</v>
      </c>
      <c r="CH361" s="68">
        <v>360</v>
      </c>
      <c r="CI361" s="68" t="s">
        <v>1287</v>
      </c>
      <c r="CK361" s="70">
        <v>0</v>
      </c>
    </row>
    <row r="362" spans="1:89" x14ac:dyDescent="0.3">
      <c r="A362" t="s">
        <v>195</v>
      </c>
      <c r="B362" t="s">
        <v>46</v>
      </c>
      <c r="C362" t="s">
        <v>4099</v>
      </c>
      <c r="D362" s="12"/>
      <c r="E362">
        <v>2.99</v>
      </c>
      <c r="F362" t="s">
        <v>197</v>
      </c>
      <c r="G362" s="8" t="s">
        <v>582</v>
      </c>
      <c r="H362" t="s">
        <v>657</v>
      </c>
      <c r="J362" t="s">
        <v>1742</v>
      </c>
      <c r="K362" t="s">
        <v>1742</v>
      </c>
      <c r="M362" t="b">
        <v>1</v>
      </c>
      <c r="N362" t="b">
        <v>1</v>
      </c>
      <c r="O362" t="b">
        <v>0</v>
      </c>
      <c r="P362" t="b">
        <v>0</v>
      </c>
      <c r="Q362" t="s">
        <v>2030</v>
      </c>
      <c r="R362" t="s">
        <v>2064</v>
      </c>
      <c r="T362">
        <v>4</v>
      </c>
      <c r="U362" s="20">
        <v>4</v>
      </c>
      <c r="V362">
        <v>0</v>
      </c>
      <c r="W362">
        <v>0</v>
      </c>
      <c r="X362">
        <v>12.996</v>
      </c>
      <c r="Y362">
        <v>5.4850000000000003</v>
      </c>
      <c r="Z362">
        <v>7.7039999999999997</v>
      </c>
      <c r="AA362" t="s">
        <v>1095</v>
      </c>
      <c r="AB362" s="1">
        <f t="shared" si="50"/>
        <v>12.996</v>
      </c>
      <c r="AC362" s="20">
        <v>5.5191434299999997</v>
      </c>
      <c r="AD362" s="20">
        <v>7.7203982699999987</v>
      </c>
      <c r="AE362" s="20">
        <v>13.117043880000001</v>
      </c>
      <c r="AF362">
        <v>0</v>
      </c>
      <c r="AI362">
        <v>0</v>
      </c>
      <c r="AM362">
        <v>14</v>
      </c>
      <c r="AN362" s="44">
        <f t="shared" si="53"/>
        <v>549.16469424000002</v>
      </c>
      <c r="AO362" s="46">
        <v>552.74712386171507</v>
      </c>
      <c r="AP362" s="44">
        <v>0</v>
      </c>
      <c r="AQ362" s="44">
        <v>0</v>
      </c>
      <c r="AR362" s="41">
        <f t="shared" si="54"/>
        <v>0.1019730521414883</v>
      </c>
      <c r="AS362" s="40">
        <v>0.1013121508598025</v>
      </c>
      <c r="AT362" s="41"/>
      <c r="AU362" s="41"/>
      <c r="AV362" s="23">
        <v>2</v>
      </c>
      <c r="AW362" s="23">
        <v>2.545454545454545</v>
      </c>
      <c r="AX362" s="23">
        <v>0.36363636363636359</v>
      </c>
      <c r="AY362" s="23">
        <v>0.54545454545454541</v>
      </c>
      <c r="AZ362" s="23">
        <v>0.3666666666666667</v>
      </c>
      <c r="BA362" s="23">
        <v>0.46666666666666667</v>
      </c>
      <c r="BB362" s="23">
        <v>6.666666666666668E-2</v>
      </c>
      <c r="BC362" s="23">
        <v>0.1</v>
      </c>
      <c r="BD362" s="20">
        <v>1.1299999999999999</v>
      </c>
      <c r="BE362" s="20">
        <v>3.44</v>
      </c>
      <c r="BF362" s="20">
        <v>2.31</v>
      </c>
      <c r="BG362" s="20">
        <v>2.6745454545454539</v>
      </c>
      <c r="BH362">
        <v>2.6745454545454548</v>
      </c>
      <c r="BI362">
        <v>5.9327418772727274</v>
      </c>
      <c r="BJ362" s="64">
        <v>0.53699890088551772</v>
      </c>
      <c r="BK362" s="64"/>
      <c r="BL362" s="64"/>
      <c r="BM362">
        <v>5.0986526070744151E-2</v>
      </c>
      <c r="BN362">
        <v>5.0656075429901228E-2</v>
      </c>
      <c r="BQ362">
        <v>0.1016426015006454</v>
      </c>
      <c r="BR362">
        <v>5.0821300750322693E-2</v>
      </c>
      <c r="BS362">
        <v>0.53699890088551772</v>
      </c>
      <c r="BT362" s="68" t="s">
        <v>1264</v>
      </c>
      <c r="BU362" s="68">
        <v>1423</v>
      </c>
      <c r="BV362" s="68">
        <v>10</v>
      </c>
      <c r="BX362" s="68" t="s">
        <v>1275</v>
      </c>
      <c r="BY362" s="68" t="s">
        <v>56</v>
      </c>
      <c r="BZ362" s="68">
        <v>1</v>
      </c>
      <c r="CB362" s="68">
        <v>6.67</v>
      </c>
      <c r="CC362" s="68">
        <v>0</v>
      </c>
      <c r="CD362" s="68" t="s">
        <v>464</v>
      </c>
      <c r="CE362" s="68" t="s">
        <v>464</v>
      </c>
      <c r="CF362" s="68" t="s">
        <v>1266</v>
      </c>
      <c r="CG362" s="68">
        <v>500</v>
      </c>
      <c r="CH362" s="68">
        <v>360</v>
      </c>
      <c r="CI362" s="68" t="s">
        <v>1287</v>
      </c>
      <c r="CK362" s="70">
        <v>30</v>
      </c>
    </row>
    <row r="363" spans="1:89" x14ac:dyDescent="0.3">
      <c r="A363" t="s">
        <v>196</v>
      </c>
      <c r="B363" t="s">
        <v>46</v>
      </c>
      <c r="C363" t="s">
        <v>4100</v>
      </c>
      <c r="D363" s="12"/>
      <c r="E363">
        <v>2.98</v>
      </c>
      <c r="F363" t="s">
        <v>197</v>
      </c>
      <c r="G363" s="8" t="s">
        <v>551</v>
      </c>
      <c r="H363" t="s">
        <v>629</v>
      </c>
      <c r="J363" t="s">
        <v>1813</v>
      </c>
      <c r="M363" t="b">
        <v>1</v>
      </c>
      <c r="N363" t="b">
        <v>1</v>
      </c>
      <c r="O363" t="b">
        <v>0</v>
      </c>
      <c r="P363" t="b">
        <v>0</v>
      </c>
      <c r="Q363" t="s">
        <v>2032</v>
      </c>
      <c r="R363" t="s">
        <v>629</v>
      </c>
      <c r="T363">
        <v>4</v>
      </c>
      <c r="U363" s="20">
        <v>0</v>
      </c>
      <c r="V363">
        <v>0</v>
      </c>
      <c r="W363">
        <v>0</v>
      </c>
      <c r="X363">
        <v>13.003</v>
      </c>
      <c r="Y363">
        <v>5.5149999999999997</v>
      </c>
      <c r="Z363">
        <v>7.7569999999999997</v>
      </c>
      <c r="AA363" t="s">
        <v>1095</v>
      </c>
      <c r="AB363" s="1">
        <f t="shared" si="50"/>
        <v>13.003</v>
      </c>
      <c r="AC363" s="20">
        <v>0</v>
      </c>
      <c r="AD363" s="20"/>
      <c r="AE363" s="20"/>
      <c r="AF363">
        <v>0</v>
      </c>
      <c r="AI363">
        <v>0</v>
      </c>
      <c r="AM363">
        <v>14</v>
      </c>
      <c r="AN363" s="44">
        <f t="shared" si="53"/>
        <v>556.266454565</v>
      </c>
      <c r="AO363" s="46">
        <v>0</v>
      </c>
      <c r="AP363" s="44">
        <v>0</v>
      </c>
      <c r="AQ363" s="44">
        <v>0</v>
      </c>
      <c r="AR363" s="41">
        <f t="shared" si="54"/>
        <v>0.10067117932500884</v>
      </c>
      <c r="AS363" s="40"/>
      <c r="AT363" s="41"/>
      <c r="AU363" s="41"/>
      <c r="AV363" s="23">
        <v>2</v>
      </c>
      <c r="AW363" s="23">
        <v>2.545454545454545</v>
      </c>
      <c r="AX363" s="23">
        <v>0.45454545454545447</v>
      </c>
      <c r="AY363" s="23">
        <v>0.27272727272727271</v>
      </c>
      <c r="AZ363" s="23">
        <v>0.37931034482758619</v>
      </c>
      <c r="BA363" s="23">
        <v>0.48275862068965519</v>
      </c>
      <c r="BB363" s="23">
        <v>8.6206896551724144E-2</v>
      </c>
      <c r="BC363" s="23">
        <v>5.1724137931034482E-2</v>
      </c>
      <c r="BD363" s="20">
        <v>1.1000000000000001</v>
      </c>
      <c r="BE363" s="20">
        <v>3.44</v>
      </c>
      <c r="BF363" s="20">
        <v>2.34</v>
      </c>
      <c r="BG363" s="20">
        <v>2.6718181818181819</v>
      </c>
      <c r="BH363">
        <v>2.6718181818181819</v>
      </c>
      <c r="BI363">
        <v>5.9579696772727271</v>
      </c>
      <c r="BJ363" s="64"/>
      <c r="BK363" s="64"/>
      <c r="BL363" s="64"/>
      <c r="BM363">
        <v>5.0335589662504419E-2</v>
      </c>
      <c r="BQ363">
        <v>0.1006711793250088</v>
      </c>
      <c r="BR363">
        <v>5.0335589662504419E-2</v>
      </c>
      <c r="BS363">
        <v>0</v>
      </c>
      <c r="BT363" s="68" t="s">
        <v>1264</v>
      </c>
      <c r="BU363" s="68">
        <v>1423</v>
      </c>
      <c r="BV363" s="68">
        <v>10</v>
      </c>
      <c r="BX363" s="68" t="s">
        <v>1275</v>
      </c>
      <c r="BY363" s="68" t="s">
        <v>56</v>
      </c>
      <c r="BZ363" s="68">
        <v>1</v>
      </c>
      <c r="CB363" s="68">
        <v>6.67</v>
      </c>
      <c r="CC363" s="68">
        <v>0</v>
      </c>
      <c r="CD363" s="68" t="s">
        <v>464</v>
      </c>
      <c r="CE363" s="68" t="s">
        <v>464</v>
      </c>
      <c r="CF363" s="68" t="s">
        <v>1266</v>
      </c>
      <c r="CG363" s="68">
        <v>500</v>
      </c>
      <c r="CH363" s="68">
        <v>360</v>
      </c>
      <c r="CI363" s="68" t="s">
        <v>1287</v>
      </c>
      <c r="CK363" s="70">
        <v>20</v>
      </c>
    </row>
    <row r="364" spans="1:89" x14ac:dyDescent="0.3">
      <c r="A364" t="s">
        <v>46</v>
      </c>
      <c r="B364" t="s">
        <v>46</v>
      </c>
      <c r="C364" t="s">
        <v>4087</v>
      </c>
      <c r="D364" s="12"/>
      <c r="E364">
        <v>3.82</v>
      </c>
      <c r="F364" t="s">
        <v>197</v>
      </c>
      <c r="G364" s="8" t="s">
        <v>551</v>
      </c>
      <c r="H364" t="s">
        <v>629</v>
      </c>
      <c r="M364" t="b">
        <v>1</v>
      </c>
      <c r="N364" t="b">
        <v>1</v>
      </c>
      <c r="O364" t="b">
        <v>0</v>
      </c>
      <c r="P364" t="b">
        <v>0</v>
      </c>
      <c r="Q364" t="s">
        <v>551</v>
      </c>
      <c r="R364" t="s">
        <v>629</v>
      </c>
      <c r="T364">
        <v>4</v>
      </c>
      <c r="U364" s="20">
        <v>2</v>
      </c>
      <c r="V364">
        <v>4</v>
      </c>
      <c r="W364">
        <v>0</v>
      </c>
      <c r="X364">
        <v>13.01</v>
      </c>
      <c r="Y364">
        <v>5.5439999999999996</v>
      </c>
      <c r="Z364">
        <v>7.81</v>
      </c>
      <c r="AA364" t="s">
        <v>1095</v>
      </c>
      <c r="AB364" s="1">
        <f t="shared" si="50"/>
        <v>13.01</v>
      </c>
      <c r="AC364" s="20">
        <v>7.41544296</v>
      </c>
      <c r="AD364" s="20">
        <v>7.4154429599999991</v>
      </c>
      <c r="AE364" s="20">
        <v>7.41544296</v>
      </c>
      <c r="AF364">
        <v>7.8</v>
      </c>
      <c r="AG364">
        <v>13.010999999999999</v>
      </c>
      <c r="AH364">
        <v>5.5460000000000003</v>
      </c>
      <c r="AI364">
        <v>0</v>
      </c>
      <c r="AM364">
        <v>14</v>
      </c>
      <c r="AN364" s="44">
        <f t="shared" si="53"/>
        <v>563.31530639999994</v>
      </c>
      <c r="AO364" s="46">
        <v>288.33429290182369</v>
      </c>
      <c r="AP364" s="44">
        <v>556.51188553357167</v>
      </c>
      <c r="AQ364" s="44">
        <v>0</v>
      </c>
      <c r="AR364" s="41">
        <f t="shared" si="54"/>
        <v>9.9411465237614932E-2</v>
      </c>
      <c r="AS364" s="40">
        <v>9.7109503410799117E-2</v>
      </c>
      <c r="AT364" s="41">
        <v>0.10062678166578309</v>
      </c>
      <c r="AU364" s="41"/>
      <c r="AV364" s="23">
        <v>2</v>
      </c>
      <c r="AW364" s="23">
        <v>2.545454545454545</v>
      </c>
      <c r="AX364" s="23">
        <v>0.54545454545454541</v>
      </c>
      <c r="AY364" s="23">
        <v>0</v>
      </c>
      <c r="AZ364" s="23">
        <v>0.39285714285714279</v>
      </c>
      <c r="BA364" s="23">
        <v>0.5</v>
      </c>
      <c r="BB364" s="23">
        <v>0.1071428571428571</v>
      </c>
      <c r="BC364" s="23">
        <v>0</v>
      </c>
      <c r="BD364" s="20">
        <v>1.1000000000000001</v>
      </c>
      <c r="BE364" s="20">
        <v>3.44</v>
      </c>
      <c r="BF364" s="20">
        <v>2.34</v>
      </c>
      <c r="BG364" s="20">
        <v>2.669090909090909</v>
      </c>
      <c r="BH364">
        <v>2.669090909090909</v>
      </c>
      <c r="BI364">
        <v>5.9831974772727277</v>
      </c>
      <c r="BJ364" s="64">
        <v>0.52442413903612473</v>
      </c>
      <c r="BK364" s="64">
        <v>0.54341863036636606</v>
      </c>
      <c r="BL364" s="64"/>
      <c r="BM364">
        <v>4.9705732618807473E-2</v>
      </c>
      <c r="BN364">
        <v>4.8554751705399558E-2</v>
      </c>
      <c r="BO364">
        <v>5.0313390832891547E-2</v>
      </c>
      <c r="BQ364">
        <v>9.9049250104732381E-2</v>
      </c>
      <c r="BR364">
        <v>4.952462505236619E-2</v>
      </c>
      <c r="BS364">
        <v>0.53392138470124539</v>
      </c>
      <c r="BT364" s="68" t="s">
        <v>1264</v>
      </c>
      <c r="BU364" s="68">
        <v>1423</v>
      </c>
      <c r="BV364" s="68">
        <v>10</v>
      </c>
      <c r="BX364" s="68" t="s">
        <v>464</v>
      </c>
      <c r="BY364" s="68" t="s">
        <v>464</v>
      </c>
      <c r="BZ364" s="68">
        <v>0</v>
      </c>
      <c r="CB364" s="68">
        <v>6.67</v>
      </c>
      <c r="CC364" s="68">
        <v>0</v>
      </c>
      <c r="CD364" s="68" t="s">
        <v>464</v>
      </c>
      <c r="CE364" s="68" t="s">
        <v>464</v>
      </c>
      <c r="CF364" s="68" t="s">
        <v>1266</v>
      </c>
      <c r="CG364" s="68">
        <v>500</v>
      </c>
      <c r="CH364" s="68">
        <v>420</v>
      </c>
      <c r="CI364" s="68" t="s">
        <v>1287</v>
      </c>
      <c r="CK364" s="70">
        <v>0</v>
      </c>
    </row>
    <row r="365" spans="1:89" x14ac:dyDescent="0.3">
      <c r="A365" t="s">
        <v>193</v>
      </c>
      <c r="B365" t="s">
        <v>46</v>
      </c>
      <c r="C365" t="s">
        <v>4097</v>
      </c>
      <c r="D365" s="12"/>
      <c r="E365">
        <v>3.68</v>
      </c>
      <c r="F365" t="s">
        <v>197</v>
      </c>
      <c r="G365" s="25" t="s">
        <v>551</v>
      </c>
      <c r="H365" s="1" t="s">
        <v>629</v>
      </c>
      <c r="J365" t="s">
        <v>1812</v>
      </c>
      <c r="M365" t="b">
        <v>1</v>
      </c>
      <c r="N365" t="b">
        <v>1</v>
      </c>
      <c r="O365" t="b">
        <v>0</v>
      </c>
      <c r="P365" t="b">
        <v>0</v>
      </c>
      <c r="Q365" t="s">
        <v>2034</v>
      </c>
      <c r="R365" t="s">
        <v>629</v>
      </c>
      <c r="T365">
        <v>4</v>
      </c>
      <c r="U365" s="20">
        <v>0</v>
      </c>
      <c r="V365">
        <v>0</v>
      </c>
      <c r="W365">
        <v>0</v>
      </c>
      <c r="X365">
        <v>13.02</v>
      </c>
      <c r="Y365">
        <v>5.5119999999999996</v>
      </c>
      <c r="Z365">
        <v>7.7450000000000001</v>
      </c>
      <c r="AA365" t="s">
        <v>1095</v>
      </c>
      <c r="AB365" s="1">
        <f t="shared" si="50"/>
        <v>13.02</v>
      </c>
      <c r="AC365" s="20">
        <v>0</v>
      </c>
      <c r="AD365" s="20"/>
      <c r="AE365" s="20"/>
      <c r="AF365">
        <v>0</v>
      </c>
      <c r="AI365">
        <v>0</v>
      </c>
      <c r="AM365">
        <v>14</v>
      </c>
      <c r="AN365" s="44">
        <f t="shared" si="53"/>
        <v>555.82952879999993</v>
      </c>
      <c r="AO365" s="46">
        <v>0</v>
      </c>
      <c r="AP365" s="44">
        <v>0</v>
      </c>
      <c r="AQ365" s="44">
        <v>0</v>
      </c>
      <c r="AR365" s="41">
        <f t="shared" si="54"/>
        <v>0.10075031479687735</v>
      </c>
      <c r="AS365" s="40"/>
      <c r="AT365" s="41"/>
      <c r="AU365" s="41"/>
      <c r="AV365" s="23">
        <v>2</v>
      </c>
      <c r="AW365" s="23">
        <v>2.545454545454545</v>
      </c>
      <c r="AX365" s="23">
        <v>0.45454545454545447</v>
      </c>
      <c r="AY365" s="23">
        <v>0.36363636363636359</v>
      </c>
      <c r="AZ365" s="23">
        <v>0.3728813559322034</v>
      </c>
      <c r="BA365" s="23">
        <v>0.47457627118644069</v>
      </c>
      <c r="BB365" s="23">
        <v>8.4745762711864403E-2</v>
      </c>
      <c r="BC365" s="23">
        <v>6.7796610169491525E-2</v>
      </c>
      <c r="BD365" s="20">
        <v>1.1000000000000001</v>
      </c>
      <c r="BE365" s="20">
        <v>3.44</v>
      </c>
      <c r="BF365" s="20">
        <v>2.34</v>
      </c>
      <c r="BG365" s="20">
        <v>2.672727272727272</v>
      </c>
      <c r="BH365">
        <v>2.6727272727272728</v>
      </c>
      <c r="BI365">
        <v>5.9599268909090908</v>
      </c>
      <c r="BJ365" s="64"/>
      <c r="BK365" s="64"/>
      <c r="BL365" s="64"/>
      <c r="BM365">
        <v>5.0375157398438668E-2</v>
      </c>
      <c r="BQ365">
        <v>0.10075031479687729</v>
      </c>
      <c r="BR365">
        <v>5.0375157398438668E-2</v>
      </c>
      <c r="BS365">
        <v>0</v>
      </c>
      <c r="BT365" s="68" t="s">
        <v>1264</v>
      </c>
      <c r="BU365" s="68">
        <v>1423</v>
      </c>
      <c r="BV365" s="68">
        <v>10</v>
      </c>
      <c r="BX365" s="68" t="s">
        <v>464</v>
      </c>
      <c r="BY365" s="68" t="s">
        <v>464</v>
      </c>
      <c r="BZ365" s="68">
        <v>0</v>
      </c>
      <c r="CB365" s="68">
        <v>6.67</v>
      </c>
      <c r="CC365" s="68">
        <v>0</v>
      </c>
      <c r="CD365" s="68" t="s">
        <v>464</v>
      </c>
      <c r="CE365" s="68" t="s">
        <v>464</v>
      </c>
      <c r="CF365" s="68" t="s">
        <v>1266</v>
      </c>
      <c r="CG365" s="68">
        <v>500</v>
      </c>
      <c r="CH365" s="68">
        <v>420</v>
      </c>
      <c r="CI365" s="68" t="s">
        <v>1287</v>
      </c>
      <c r="CK365" s="70">
        <v>0</v>
      </c>
    </row>
    <row r="366" spans="1:89" x14ac:dyDescent="0.3">
      <c r="A366" t="s">
        <v>194</v>
      </c>
      <c r="B366" t="s">
        <v>46</v>
      </c>
      <c r="C366" t="s">
        <v>4098</v>
      </c>
      <c r="D366" s="12"/>
      <c r="E366">
        <v>3.65</v>
      </c>
      <c r="F366" t="s">
        <v>197</v>
      </c>
      <c r="G366" s="8" t="s">
        <v>582</v>
      </c>
      <c r="H366" t="s">
        <v>657</v>
      </c>
      <c r="M366" t="b">
        <v>1</v>
      </c>
      <c r="N366" t="b">
        <v>1</v>
      </c>
      <c r="O366" t="b">
        <v>0</v>
      </c>
      <c r="P366" t="b">
        <v>0</v>
      </c>
      <c r="Q366" t="s">
        <v>582</v>
      </c>
      <c r="R366" t="s">
        <v>657</v>
      </c>
      <c r="T366">
        <v>4</v>
      </c>
      <c r="U366" s="20">
        <v>2</v>
      </c>
      <c r="V366">
        <v>8</v>
      </c>
      <c r="W366">
        <v>0</v>
      </c>
      <c r="X366">
        <v>13.02</v>
      </c>
      <c r="Y366">
        <v>5.48</v>
      </c>
      <c r="Z366">
        <v>7.68</v>
      </c>
      <c r="AA366" t="s">
        <v>1095</v>
      </c>
      <c r="AB366" s="1">
        <f t="shared" si="50"/>
        <v>13.02</v>
      </c>
      <c r="AC366" s="20">
        <v>7.2854997800000012</v>
      </c>
      <c r="AD366" s="20">
        <v>7.2855000099999998</v>
      </c>
      <c r="AE366" s="20">
        <v>7.28550129</v>
      </c>
      <c r="AF366">
        <v>7.6769999999999996</v>
      </c>
      <c r="AG366">
        <v>5.4560000000000004</v>
      </c>
      <c r="AH366">
        <v>26.012989999999999</v>
      </c>
      <c r="AI366">
        <v>0</v>
      </c>
      <c r="AM366">
        <v>14</v>
      </c>
      <c r="AN366" s="44">
        <f t="shared" si="53"/>
        <v>547.9649280000001</v>
      </c>
      <c r="AO366" s="46">
        <v>273.44070809730869</v>
      </c>
      <c r="AP366" s="44">
        <v>1077.884035254056</v>
      </c>
      <c r="AQ366" s="44">
        <v>0</v>
      </c>
      <c r="AR366" s="41">
        <f t="shared" si="54"/>
        <v>0.10219632158647933</v>
      </c>
      <c r="AS366" s="40">
        <v>0.1023987986091511</v>
      </c>
      <c r="AT366" s="41">
        <v>0.1039072816155049</v>
      </c>
      <c r="AU366" s="41"/>
      <c r="AV366" s="23">
        <v>2</v>
      </c>
      <c r="AW366" s="23">
        <v>2.545454545454545</v>
      </c>
      <c r="AX366" s="23">
        <v>0.36363636363636359</v>
      </c>
      <c r="AY366" s="23">
        <v>0.72727272727272729</v>
      </c>
      <c r="AZ366" s="23">
        <v>0.35483870967741932</v>
      </c>
      <c r="BA366" s="23">
        <v>0.45161290322580638</v>
      </c>
      <c r="BB366" s="23">
        <v>6.4516129032258063E-2</v>
      </c>
      <c r="BC366" s="23">
        <v>0.1290322580645161</v>
      </c>
      <c r="BD366" s="20">
        <v>1.1399999999999999</v>
      </c>
      <c r="BE366" s="20">
        <v>3.44</v>
      </c>
      <c r="BF366" s="20">
        <v>2.2999999999999998</v>
      </c>
      <c r="BG366" s="20">
        <v>2.6763636363636358</v>
      </c>
      <c r="BH366">
        <v>2.6763636363636358</v>
      </c>
      <c r="BI366">
        <v>5.9366563045454548</v>
      </c>
      <c r="BJ366" s="64">
        <v>0.5411256777060568</v>
      </c>
      <c r="BK366" s="64">
        <v>0.54909724475770694</v>
      </c>
      <c r="BL366" s="64"/>
      <c r="BM366">
        <v>5.1098160793239672E-2</v>
      </c>
      <c r="BN366">
        <v>5.119939930457558E-2</v>
      </c>
      <c r="BO366">
        <v>5.1953640807752437E-2</v>
      </c>
      <c r="BQ366">
        <v>0.1028341339370451</v>
      </c>
      <c r="BR366">
        <v>5.1417066968522558E-2</v>
      </c>
      <c r="BS366">
        <v>0.54511146123188192</v>
      </c>
      <c r="BT366" s="68" t="s">
        <v>1264</v>
      </c>
      <c r="BU366" s="68">
        <v>1423</v>
      </c>
      <c r="BV366" s="68">
        <v>10</v>
      </c>
      <c r="BX366" s="68" t="s">
        <v>464</v>
      </c>
      <c r="BY366" s="68" t="s">
        <v>464</v>
      </c>
      <c r="BZ366" s="68">
        <v>0</v>
      </c>
      <c r="CB366" s="68">
        <v>6.67</v>
      </c>
      <c r="CC366" s="68">
        <v>0</v>
      </c>
      <c r="CD366" s="68" t="s">
        <v>464</v>
      </c>
      <c r="CE366" s="68" t="s">
        <v>464</v>
      </c>
      <c r="CF366" s="68" t="s">
        <v>1266</v>
      </c>
      <c r="CG366" s="68">
        <v>500</v>
      </c>
      <c r="CH366" s="68">
        <v>420</v>
      </c>
      <c r="CI366" s="68" t="s">
        <v>1287</v>
      </c>
      <c r="CK366" s="70">
        <v>0</v>
      </c>
    </row>
    <row r="367" spans="1:89" x14ac:dyDescent="0.3">
      <c r="A367" t="s">
        <v>195</v>
      </c>
      <c r="B367" t="s">
        <v>46</v>
      </c>
      <c r="C367" t="s">
        <v>4099</v>
      </c>
      <c r="D367" s="12"/>
      <c r="E367">
        <v>2.99</v>
      </c>
      <c r="F367" t="s">
        <v>197</v>
      </c>
      <c r="G367" s="8" t="s">
        <v>582</v>
      </c>
      <c r="H367" t="s">
        <v>657</v>
      </c>
      <c r="J367" t="s">
        <v>1742</v>
      </c>
      <c r="K367" t="s">
        <v>1742</v>
      </c>
      <c r="M367" t="b">
        <v>1</v>
      </c>
      <c r="N367" t="b">
        <v>1</v>
      </c>
      <c r="O367" t="b">
        <v>0</v>
      </c>
      <c r="P367" t="b">
        <v>0</v>
      </c>
      <c r="Q367" t="s">
        <v>2036</v>
      </c>
      <c r="R367" t="s">
        <v>2067</v>
      </c>
      <c r="T367">
        <v>4</v>
      </c>
      <c r="U367" s="20">
        <v>4</v>
      </c>
      <c r="V367">
        <v>0</v>
      </c>
      <c r="W367">
        <v>0</v>
      </c>
      <c r="X367">
        <v>12.996</v>
      </c>
      <c r="Y367">
        <v>5.4850000000000003</v>
      </c>
      <c r="Z367">
        <v>7.7039999999999997</v>
      </c>
      <c r="AA367" t="s">
        <v>1095</v>
      </c>
      <c r="AB367" s="1">
        <f t="shared" si="50"/>
        <v>12.996</v>
      </c>
      <c r="AC367" s="20">
        <v>5.5191434299999997</v>
      </c>
      <c r="AD367" s="20">
        <v>7.7203982699999987</v>
      </c>
      <c r="AE367" s="20">
        <v>13.117043880000001</v>
      </c>
      <c r="AF367">
        <v>0</v>
      </c>
      <c r="AI367">
        <v>0</v>
      </c>
      <c r="AM367">
        <v>14</v>
      </c>
      <c r="AN367" s="44">
        <f t="shared" si="53"/>
        <v>549.16469424000002</v>
      </c>
      <c r="AO367" s="46">
        <v>552.74712386171507</v>
      </c>
      <c r="AP367" s="44">
        <v>0</v>
      </c>
      <c r="AQ367" s="44">
        <v>0</v>
      </c>
      <c r="AR367" s="41">
        <f t="shared" si="54"/>
        <v>0.1019730521414883</v>
      </c>
      <c r="AS367" s="40">
        <v>0.1013121508598025</v>
      </c>
      <c r="AT367" s="41"/>
      <c r="AU367" s="41"/>
      <c r="AV367" s="23">
        <v>2</v>
      </c>
      <c r="AW367" s="23">
        <v>2.545454545454545</v>
      </c>
      <c r="AX367" s="23">
        <v>0.36363636363636359</v>
      </c>
      <c r="AY367" s="23">
        <v>0.54545454545454541</v>
      </c>
      <c r="AZ367" s="23">
        <v>0.3666666666666667</v>
      </c>
      <c r="BA367" s="23">
        <v>0.46666666666666667</v>
      </c>
      <c r="BB367" s="23">
        <v>6.666666666666668E-2</v>
      </c>
      <c r="BC367" s="23">
        <v>0.1</v>
      </c>
      <c r="BD367" s="20">
        <v>1.1299999999999999</v>
      </c>
      <c r="BE367" s="20">
        <v>3.44</v>
      </c>
      <c r="BF367" s="20">
        <v>2.31</v>
      </c>
      <c r="BG367" s="20">
        <v>2.6745454545454539</v>
      </c>
      <c r="BH367">
        <v>2.6745454545454548</v>
      </c>
      <c r="BI367">
        <v>5.9327418772727274</v>
      </c>
      <c r="BJ367" s="64">
        <v>0.53699890088551772</v>
      </c>
      <c r="BK367" s="64"/>
      <c r="BL367" s="64"/>
      <c r="BM367">
        <v>5.0986526070744151E-2</v>
      </c>
      <c r="BN367">
        <v>5.0656075429901228E-2</v>
      </c>
      <c r="BQ367">
        <v>0.1016426015006454</v>
      </c>
      <c r="BR367">
        <v>5.0821300750322693E-2</v>
      </c>
      <c r="BS367">
        <v>0.53699890088551772</v>
      </c>
      <c r="BT367" s="68" t="s">
        <v>1264</v>
      </c>
      <c r="BU367" s="68">
        <v>1423</v>
      </c>
      <c r="BV367" s="68">
        <v>10</v>
      </c>
      <c r="BX367" s="68" t="s">
        <v>464</v>
      </c>
      <c r="BY367" s="68" t="s">
        <v>464</v>
      </c>
      <c r="BZ367" s="68">
        <v>0</v>
      </c>
      <c r="CB367" s="68">
        <v>6.67</v>
      </c>
      <c r="CC367" s="68">
        <v>0</v>
      </c>
      <c r="CD367" s="68" t="s">
        <v>464</v>
      </c>
      <c r="CE367" s="68" t="s">
        <v>464</v>
      </c>
      <c r="CF367" s="68" t="s">
        <v>1266</v>
      </c>
      <c r="CG367" s="68">
        <v>500</v>
      </c>
      <c r="CH367" s="68">
        <v>420</v>
      </c>
      <c r="CI367" s="68" t="s">
        <v>1287</v>
      </c>
      <c r="CK367" s="70">
        <v>0</v>
      </c>
    </row>
    <row r="368" spans="1:89" x14ac:dyDescent="0.3">
      <c r="A368" t="s">
        <v>196</v>
      </c>
      <c r="B368" t="s">
        <v>46</v>
      </c>
      <c r="C368" t="s">
        <v>4100</v>
      </c>
      <c r="D368" s="12"/>
      <c r="E368">
        <v>2.98</v>
      </c>
      <c r="F368" t="s">
        <v>197</v>
      </c>
      <c r="G368" s="8" t="s">
        <v>551</v>
      </c>
      <c r="H368" t="s">
        <v>629</v>
      </c>
      <c r="J368" t="s">
        <v>1813</v>
      </c>
      <c r="M368" t="b">
        <v>1</v>
      </c>
      <c r="N368" t="b">
        <v>1</v>
      </c>
      <c r="O368" t="b">
        <v>0</v>
      </c>
      <c r="P368" t="b">
        <v>0</v>
      </c>
      <c r="Q368" t="s">
        <v>2038</v>
      </c>
      <c r="R368" t="s">
        <v>629</v>
      </c>
      <c r="T368">
        <v>4</v>
      </c>
      <c r="U368" s="20">
        <v>0</v>
      </c>
      <c r="V368">
        <v>0</v>
      </c>
      <c r="W368">
        <v>0</v>
      </c>
      <c r="X368">
        <v>13.003</v>
      </c>
      <c r="Y368">
        <v>5.5149999999999997</v>
      </c>
      <c r="Z368">
        <v>7.7569999999999997</v>
      </c>
      <c r="AA368" t="s">
        <v>1095</v>
      </c>
      <c r="AB368" s="1">
        <f t="shared" si="50"/>
        <v>13.003</v>
      </c>
      <c r="AC368" s="20">
        <v>0</v>
      </c>
      <c r="AD368" s="20"/>
      <c r="AE368" s="20"/>
      <c r="AF368">
        <v>0</v>
      </c>
      <c r="AI368">
        <v>0</v>
      </c>
      <c r="AM368">
        <v>14</v>
      </c>
      <c r="AN368" s="44">
        <f t="shared" si="53"/>
        <v>556.266454565</v>
      </c>
      <c r="AO368" s="46">
        <v>0</v>
      </c>
      <c r="AP368" s="44">
        <v>0</v>
      </c>
      <c r="AQ368" s="44">
        <v>0</v>
      </c>
      <c r="AR368" s="41">
        <f t="shared" si="54"/>
        <v>0.10067117932500884</v>
      </c>
      <c r="AS368" s="40"/>
      <c r="AT368" s="41"/>
      <c r="AU368" s="41"/>
      <c r="AV368" s="23">
        <v>2</v>
      </c>
      <c r="AW368" s="23">
        <v>2.545454545454545</v>
      </c>
      <c r="AX368" s="23">
        <v>0.45454545454545447</v>
      </c>
      <c r="AY368" s="23">
        <v>0.27272727272727271</v>
      </c>
      <c r="AZ368" s="23">
        <v>0.37931034482758619</v>
      </c>
      <c r="BA368" s="23">
        <v>0.48275862068965519</v>
      </c>
      <c r="BB368" s="23">
        <v>8.6206896551724144E-2</v>
      </c>
      <c r="BC368" s="23">
        <v>5.1724137931034482E-2</v>
      </c>
      <c r="BD368" s="20">
        <v>1.1000000000000001</v>
      </c>
      <c r="BE368" s="20">
        <v>3.44</v>
      </c>
      <c r="BF368" s="20">
        <v>2.34</v>
      </c>
      <c r="BG368" s="20">
        <v>2.6718181818181819</v>
      </c>
      <c r="BH368">
        <v>2.6718181818181819</v>
      </c>
      <c r="BI368">
        <v>5.9579696772727271</v>
      </c>
      <c r="BJ368" s="64"/>
      <c r="BK368" s="64"/>
      <c r="BL368" s="64"/>
      <c r="BM368">
        <v>5.0335589662504419E-2</v>
      </c>
      <c r="BQ368">
        <v>0.1006711793250088</v>
      </c>
      <c r="BR368">
        <v>5.0335589662504419E-2</v>
      </c>
      <c r="BS368">
        <v>0</v>
      </c>
      <c r="BT368" s="68" t="s">
        <v>1264</v>
      </c>
      <c r="BU368" s="68">
        <v>1423</v>
      </c>
      <c r="BV368" s="68">
        <v>10</v>
      </c>
      <c r="BX368" s="68" t="s">
        <v>464</v>
      </c>
      <c r="BY368" s="68" t="s">
        <v>464</v>
      </c>
      <c r="BZ368" s="68">
        <v>0</v>
      </c>
      <c r="CB368" s="68">
        <v>6.67</v>
      </c>
      <c r="CC368" s="68">
        <v>0</v>
      </c>
      <c r="CD368" s="68" t="s">
        <v>464</v>
      </c>
      <c r="CE368" s="68" t="s">
        <v>464</v>
      </c>
      <c r="CF368" s="68" t="s">
        <v>1266</v>
      </c>
      <c r="CG368" s="68">
        <v>500</v>
      </c>
      <c r="CH368" s="68">
        <v>420</v>
      </c>
      <c r="CI368" s="68" t="s">
        <v>1287</v>
      </c>
      <c r="CK368" s="70">
        <v>0</v>
      </c>
    </row>
    <row r="369" spans="1:89" x14ac:dyDescent="0.3">
      <c r="A369" t="s">
        <v>46</v>
      </c>
      <c r="B369" t="s">
        <v>46</v>
      </c>
      <c r="C369" t="s">
        <v>4087</v>
      </c>
      <c r="D369" s="12"/>
      <c r="E369">
        <v>3.82</v>
      </c>
      <c r="F369" t="s">
        <v>197</v>
      </c>
      <c r="G369" s="8" t="s">
        <v>551</v>
      </c>
      <c r="H369" t="s">
        <v>629</v>
      </c>
      <c r="M369" t="b">
        <v>1</v>
      </c>
      <c r="N369" t="b">
        <v>1</v>
      </c>
      <c r="O369" t="b">
        <v>0</v>
      </c>
      <c r="P369" t="b">
        <v>0</v>
      </c>
      <c r="Q369" t="s">
        <v>551</v>
      </c>
      <c r="R369" t="s">
        <v>629</v>
      </c>
      <c r="T369">
        <v>4</v>
      </c>
      <c r="U369" s="20">
        <v>2</v>
      </c>
      <c r="V369">
        <v>4</v>
      </c>
      <c r="W369">
        <v>0</v>
      </c>
      <c r="X369">
        <v>13.01</v>
      </c>
      <c r="Y369">
        <v>5.5439999999999996</v>
      </c>
      <c r="Z369">
        <v>7.81</v>
      </c>
      <c r="AA369" t="s">
        <v>1095</v>
      </c>
      <c r="AB369" s="1">
        <f t="shared" si="50"/>
        <v>13.01</v>
      </c>
      <c r="AC369" s="20">
        <v>7.41544296</v>
      </c>
      <c r="AD369" s="20">
        <v>7.4154429599999991</v>
      </c>
      <c r="AE369" s="20">
        <v>7.41544296</v>
      </c>
      <c r="AF369">
        <v>7.8</v>
      </c>
      <c r="AG369">
        <v>13.010999999999999</v>
      </c>
      <c r="AH369">
        <v>5.5460000000000003</v>
      </c>
      <c r="AI369">
        <v>0</v>
      </c>
      <c r="AM369">
        <v>14</v>
      </c>
      <c r="AN369" s="44">
        <f t="shared" ref="AN369:AN373" si="55">X369*Y369*Z369</f>
        <v>563.31530639999994</v>
      </c>
      <c r="AO369" s="46">
        <v>288.33429290182369</v>
      </c>
      <c r="AP369" s="44">
        <v>556.51188553357167</v>
      </c>
      <c r="AQ369" s="44">
        <v>0</v>
      </c>
      <c r="AR369" s="41">
        <f t="shared" ref="AR369:AR373" si="56">T369*AM369/AN369</f>
        <v>9.9411465237614932E-2</v>
      </c>
      <c r="AS369" s="40">
        <v>9.7109503410799117E-2</v>
      </c>
      <c r="AT369" s="41">
        <v>0.10062678166578309</v>
      </c>
      <c r="AU369" s="41"/>
      <c r="AV369" s="23">
        <v>2</v>
      </c>
      <c r="AW369" s="23">
        <v>2.545454545454545</v>
      </c>
      <c r="AX369" s="23">
        <v>0.54545454545454541</v>
      </c>
      <c r="AY369" s="23">
        <v>0</v>
      </c>
      <c r="AZ369" s="23">
        <v>0.39285714285714279</v>
      </c>
      <c r="BA369" s="23">
        <v>0.5</v>
      </c>
      <c r="BB369" s="23">
        <v>0.1071428571428571</v>
      </c>
      <c r="BC369" s="23">
        <v>0</v>
      </c>
      <c r="BD369" s="20">
        <v>1.1000000000000001</v>
      </c>
      <c r="BE369" s="20">
        <v>3.44</v>
      </c>
      <c r="BF369" s="20">
        <v>2.34</v>
      </c>
      <c r="BG369" s="20">
        <v>2.669090909090909</v>
      </c>
      <c r="BH369">
        <v>2.669090909090909</v>
      </c>
      <c r="BI369">
        <v>5.9831974772727277</v>
      </c>
      <c r="BJ369" s="64">
        <v>0.52442413903612473</v>
      </c>
      <c r="BK369" s="64">
        <v>0.54341863036636606</v>
      </c>
      <c r="BL369" s="64"/>
      <c r="BM369">
        <v>4.9705732618807473E-2</v>
      </c>
      <c r="BN369">
        <v>4.8554751705399558E-2</v>
      </c>
      <c r="BO369">
        <v>5.0313390832891547E-2</v>
      </c>
      <c r="BQ369">
        <v>9.9049250104732381E-2</v>
      </c>
      <c r="BR369">
        <v>4.952462505236619E-2</v>
      </c>
      <c r="BS369">
        <v>0.53392138470124539</v>
      </c>
      <c r="BT369" s="68" t="s">
        <v>1264</v>
      </c>
      <c r="BU369" s="68">
        <v>1423</v>
      </c>
      <c r="BV369" s="68">
        <v>10</v>
      </c>
      <c r="BX369" s="68" t="s">
        <v>1275</v>
      </c>
      <c r="BY369" s="68" t="s">
        <v>56</v>
      </c>
      <c r="BZ369" s="68">
        <v>1</v>
      </c>
      <c r="CB369" s="68">
        <v>6.67</v>
      </c>
      <c r="CC369" s="68">
        <v>0</v>
      </c>
      <c r="CD369" s="68" t="s">
        <v>464</v>
      </c>
      <c r="CE369" s="68" t="s">
        <v>464</v>
      </c>
      <c r="CF369" s="68" t="s">
        <v>1266</v>
      </c>
      <c r="CG369" s="68">
        <v>500</v>
      </c>
      <c r="CH369" s="68">
        <v>420</v>
      </c>
      <c r="CI369" s="68" t="s">
        <v>1287</v>
      </c>
      <c r="CK369" s="70">
        <v>0</v>
      </c>
    </row>
    <row r="370" spans="1:89" x14ac:dyDescent="0.3">
      <c r="A370" t="s">
        <v>193</v>
      </c>
      <c r="B370" t="s">
        <v>46</v>
      </c>
      <c r="C370" t="s">
        <v>4097</v>
      </c>
      <c r="D370" s="12"/>
      <c r="E370">
        <v>3.68</v>
      </c>
      <c r="F370" t="s">
        <v>197</v>
      </c>
      <c r="G370" s="25" t="s">
        <v>551</v>
      </c>
      <c r="H370" s="1" t="s">
        <v>629</v>
      </c>
      <c r="J370" t="s">
        <v>1812</v>
      </c>
      <c r="M370" t="b">
        <v>1</v>
      </c>
      <c r="N370" t="b">
        <v>1</v>
      </c>
      <c r="O370" t="b">
        <v>0</v>
      </c>
      <c r="P370" t="b">
        <v>0</v>
      </c>
      <c r="Q370" t="s">
        <v>2040</v>
      </c>
      <c r="R370" t="s">
        <v>629</v>
      </c>
      <c r="T370">
        <v>4</v>
      </c>
      <c r="U370" s="20">
        <v>0</v>
      </c>
      <c r="V370">
        <v>0</v>
      </c>
      <c r="W370">
        <v>0</v>
      </c>
      <c r="X370">
        <v>13.02</v>
      </c>
      <c r="Y370">
        <v>5.5119999999999996</v>
      </c>
      <c r="Z370">
        <v>7.7450000000000001</v>
      </c>
      <c r="AA370" t="s">
        <v>1095</v>
      </c>
      <c r="AB370" s="1">
        <f t="shared" si="50"/>
        <v>13.02</v>
      </c>
      <c r="AC370" s="20">
        <v>0</v>
      </c>
      <c r="AD370" s="20"/>
      <c r="AE370" s="20"/>
      <c r="AF370">
        <v>0</v>
      </c>
      <c r="AI370">
        <v>0</v>
      </c>
      <c r="AM370">
        <v>14</v>
      </c>
      <c r="AN370" s="44">
        <f t="shared" si="55"/>
        <v>555.82952879999993</v>
      </c>
      <c r="AO370" s="46">
        <v>0</v>
      </c>
      <c r="AP370" s="44">
        <v>0</v>
      </c>
      <c r="AQ370" s="44">
        <v>0</v>
      </c>
      <c r="AR370" s="41">
        <f t="shared" si="56"/>
        <v>0.10075031479687735</v>
      </c>
      <c r="AS370" s="40"/>
      <c r="AT370" s="41"/>
      <c r="AU370" s="41"/>
      <c r="AV370" s="23">
        <v>2</v>
      </c>
      <c r="AW370" s="23">
        <v>2.545454545454545</v>
      </c>
      <c r="AX370" s="23">
        <v>0.45454545454545447</v>
      </c>
      <c r="AY370" s="23">
        <v>0.36363636363636359</v>
      </c>
      <c r="AZ370" s="23">
        <v>0.3728813559322034</v>
      </c>
      <c r="BA370" s="23">
        <v>0.47457627118644069</v>
      </c>
      <c r="BB370" s="23">
        <v>8.4745762711864403E-2</v>
      </c>
      <c r="BC370" s="23">
        <v>6.7796610169491525E-2</v>
      </c>
      <c r="BD370" s="20">
        <v>1.1000000000000001</v>
      </c>
      <c r="BE370" s="20">
        <v>3.44</v>
      </c>
      <c r="BF370" s="20">
        <v>2.34</v>
      </c>
      <c r="BG370" s="20">
        <v>2.672727272727272</v>
      </c>
      <c r="BH370">
        <v>2.6727272727272728</v>
      </c>
      <c r="BI370">
        <v>5.9599268909090908</v>
      </c>
      <c r="BJ370" s="64"/>
      <c r="BK370" s="64"/>
      <c r="BL370" s="64"/>
      <c r="BM370">
        <v>5.0375157398438668E-2</v>
      </c>
      <c r="BQ370">
        <v>0.10075031479687729</v>
      </c>
      <c r="BR370">
        <v>5.0375157398438668E-2</v>
      </c>
      <c r="BS370">
        <v>0</v>
      </c>
      <c r="BT370" s="68" t="s">
        <v>1264</v>
      </c>
      <c r="BU370" s="68">
        <v>1423</v>
      </c>
      <c r="BV370" s="68">
        <v>10</v>
      </c>
      <c r="BX370" s="68" t="s">
        <v>1275</v>
      </c>
      <c r="BY370" s="68" t="s">
        <v>56</v>
      </c>
      <c r="BZ370" s="68">
        <v>1</v>
      </c>
      <c r="CB370" s="68">
        <v>6.67</v>
      </c>
      <c r="CC370" s="68">
        <v>0</v>
      </c>
      <c r="CD370" s="68" t="s">
        <v>464</v>
      </c>
      <c r="CE370" s="68" t="s">
        <v>464</v>
      </c>
      <c r="CF370" s="68" t="s">
        <v>1266</v>
      </c>
      <c r="CG370" s="68">
        <v>500</v>
      </c>
      <c r="CH370" s="68">
        <v>420</v>
      </c>
      <c r="CI370" s="68" t="s">
        <v>1287</v>
      </c>
      <c r="CK370" s="70">
        <v>0</v>
      </c>
    </row>
    <row r="371" spans="1:89" x14ac:dyDescent="0.3">
      <c r="A371" t="s">
        <v>194</v>
      </c>
      <c r="B371" t="s">
        <v>46</v>
      </c>
      <c r="C371" t="s">
        <v>4098</v>
      </c>
      <c r="D371" s="12"/>
      <c r="E371">
        <v>3.65</v>
      </c>
      <c r="F371" t="s">
        <v>197</v>
      </c>
      <c r="G371" s="8" t="s">
        <v>582</v>
      </c>
      <c r="H371" t="s">
        <v>657</v>
      </c>
      <c r="M371" t="b">
        <v>1</v>
      </c>
      <c r="N371" t="b">
        <v>1</v>
      </c>
      <c r="O371" t="b">
        <v>0</v>
      </c>
      <c r="P371" t="b">
        <v>0</v>
      </c>
      <c r="Q371" t="s">
        <v>582</v>
      </c>
      <c r="R371" t="s">
        <v>657</v>
      </c>
      <c r="T371">
        <v>4</v>
      </c>
      <c r="U371" s="20">
        <v>2</v>
      </c>
      <c r="V371">
        <v>8</v>
      </c>
      <c r="W371">
        <v>0</v>
      </c>
      <c r="X371">
        <v>13.02</v>
      </c>
      <c r="Y371">
        <v>5.48</v>
      </c>
      <c r="Z371">
        <v>7.68</v>
      </c>
      <c r="AA371" t="s">
        <v>1095</v>
      </c>
      <c r="AB371" s="1">
        <f t="shared" si="50"/>
        <v>13.02</v>
      </c>
      <c r="AC371" s="20">
        <v>7.2854997800000012</v>
      </c>
      <c r="AD371" s="20">
        <v>7.2855000099999998</v>
      </c>
      <c r="AE371" s="20">
        <v>7.28550129</v>
      </c>
      <c r="AF371">
        <v>7.6769999999999996</v>
      </c>
      <c r="AG371">
        <v>5.4560000000000004</v>
      </c>
      <c r="AH371">
        <v>26.012989999999999</v>
      </c>
      <c r="AI371">
        <v>0</v>
      </c>
      <c r="AM371">
        <v>14</v>
      </c>
      <c r="AN371" s="44">
        <f t="shared" si="55"/>
        <v>547.9649280000001</v>
      </c>
      <c r="AO371" s="46">
        <v>273.44070809730869</v>
      </c>
      <c r="AP371" s="44">
        <v>1077.884035254056</v>
      </c>
      <c r="AQ371" s="44">
        <v>0</v>
      </c>
      <c r="AR371" s="41">
        <f t="shared" si="56"/>
        <v>0.10219632158647933</v>
      </c>
      <c r="AS371" s="40">
        <v>0.1023987986091511</v>
      </c>
      <c r="AT371" s="41">
        <v>0.1039072816155049</v>
      </c>
      <c r="AU371" s="41"/>
      <c r="AV371" s="23">
        <v>2</v>
      </c>
      <c r="AW371" s="23">
        <v>2.545454545454545</v>
      </c>
      <c r="AX371" s="23">
        <v>0.36363636363636359</v>
      </c>
      <c r="AY371" s="23">
        <v>0.72727272727272729</v>
      </c>
      <c r="AZ371" s="23">
        <v>0.35483870967741932</v>
      </c>
      <c r="BA371" s="23">
        <v>0.45161290322580638</v>
      </c>
      <c r="BB371" s="23">
        <v>6.4516129032258063E-2</v>
      </c>
      <c r="BC371" s="23">
        <v>0.1290322580645161</v>
      </c>
      <c r="BD371" s="20">
        <v>1.1399999999999999</v>
      </c>
      <c r="BE371" s="20">
        <v>3.44</v>
      </c>
      <c r="BF371" s="20">
        <v>2.2999999999999998</v>
      </c>
      <c r="BG371" s="20">
        <v>2.6763636363636358</v>
      </c>
      <c r="BH371">
        <v>2.6763636363636358</v>
      </c>
      <c r="BI371">
        <v>5.9366563045454548</v>
      </c>
      <c r="BJ371" s="64">
        <v>0.5411256777060568</v>
      </c>
      <c r="BK371" s="64">
        <v>0.54909724475770694</v>
      </c>
      <c r="BL371" s="64"/>
      <c r="BM371">
        <v>5.1098160793239672E-2</v>
      </c>
      <c r="BN371">
        <v>5.119939930457558E-2</v>
      </c>
      <c r="BO371">
        <v>5.1953640807752437E-2</v>
      </c>
      <c r="BQ371">
        <v>0.1028341339370451</v>
      </c>
      <c r="BR371">
        <v>5.1417066968522558E-2</v>
      </c>
      <c r="BS371">
        <v>0.54511146123188192</v>
      </c>
      <c r="BT371" s="68" t="s">
        <v>1264</v>
      </c>
      <c r="BU371" s="68">
        <v>1423</v>
      </c>
      <c r="BV371" s="68">
        <v>10</v>
      </c>
      <c r="BX371" s="68" t="s">
        <v>1275</v>
      </c>
      <c r="BY371" s="68" t="s">
        <v>56</v>
      </c>
      <c r="BZ371" s="68">
        <v>1</v>
      </c>
      <c r="CB371" s="68">
        <v>6.67</v>
      </c>
      <c r="CC371" s="68">
        <v>0</v>
      </c>
      <c r="CD371" s="68" t="s">
        <v>464</v>
      </c>
      <c r="CE371" s="68" t="s">
        <v>464</v>
      </c>
      <c r="CF371" s="68" t="s">
        <v>1266</v>
      </c>
      <c r="CG371" s="68">
        <v>500</v>
      </c>
      <c r="CH371" s="68">
        <v>420</v>
      </c>
      <c r="CI371" s="68" t="s">
        <v>1287</v>
      </c>
      <c r="CK371" s="70">
        <v>0</v>
      </c>
    </row>
    <row r="372" spans="1:89" x14ac:dyDescent="0.3">
      <c r="A372" t="s">
        <v>195</v>
      </c>
      <c r="B372" t="s">
        <v>46</v>
      </c>
      <c r="C372" t="s">
        <v>4099</v>
      </c>
      <c r="D372" s="12"/>
      <c r="E372">
        <v>2.99</v>
      </c>
      <c r="F372" t="s">
        <v>197</v>
      </c>
      <c r="G372" s="8" t="s">
        <v>582</v>
      </c>
      <c r="H372" t="s">
        <v>657</v>
      </c>
      <c r="J372" t="s">
        <v>1742</v>
      </c>
      <c r="K372" t="s">
        <v>1742</v>
      </c>
      <c r="M372" t="b">
        <v>1</v>
      </c>
      <c r="N372" t="b">
        <v>1</v>
      </c>
      <c r="O372" t="b">
        <v>0</v>
      </c>
      <c r="P372" t="b">
        <v>0</v>
      </c>
      <c r="Q372" t="s">
        <v>2042</v>
      </c>
      <c r="R372" t="s">
        <v>2070</v>
      </c>
      <c r="T372">
        <v>4</v>
      </c>
      <c r="U372" s="20">
        <v>4</v>
      </c>
      <c r="V372">
        <v>0</v>
      </c>
      <c r="W372">
        <v>0</v>
      </c>
      <c r="X372">
        <v>12.996</v>
      </c>
      <c r="Y372">
        <v>5.4850000000000003</v>
      </c>
      <c r="Z372">
        <v>7.7039999999999997</v>
      </c>
      <c r="AA372" t="s">
        <v>1095</v>
      </c>
      <c r="AB372" s="1">
        <f t="shared" si="50"/>
        <v>12.996</v>
      </c>
      <c r="AC372" s="20">
        <v>5.5191434299999997</v>
      </c>
      <c r="AD372" s="20">
        <v>7.7203982699999987</v>
      </c>
      <c r="AE372" s="20">
        <v>13.117043880000001</v>
      </c>
      <c r="AF372">
        <v>0</v>
      </c>
      <c r="AI372">
        <v>0</v>
      </c>
      <c r="AM372">
        <v>14</v>
      </c>
      <c r="AN372" s="44">
        <f t="shared" si="55"/>
        <v>549.16469424000002</v>
      </c>
      <c r="AO372" s="46">
        <v>552.74712386171507</v>
      </c>
      <c r="AP372" s="44">
        <v>0</v>
      </c>
      <c r="AQ372" s="44">
        <v>0</v>
      </c>
      <c r="AR372" s="41">
        <f t="shared" si="56"/>
        <v>0.1019730521414883</v>
      </c>
      <c r="AS372" s="40">
        <v>0.1013121508598025</v>
      </c>
      <c r="AT372" s="41"/>
      <c r="AU372" s="41"/>
      <c r="AV372" s="23">
        <v>2</v>
      </c>
      <c r="AW372" s="23">
        <v>2.545454545454545</v>
      </c>
      <c r="AX372" s="23">
        <v>0.36363636363636359</v>
      </c>
      <c r="AY372" s="23">
        <v>0.54545454545454541</v>
      </c>
      <c r="AZ372" s="23">
        <v>0.3666666666666667</v>
      </c>
      <c r="BA372" s="23">
        <v>0.46666666666666667</v>
      </c>
      <c r="BB372" s="23">
        <v>6.666666666666668E-2</v>
      </c>
      <c r="BC372" s="23">
        <v>0.1</v>
      </c>
      <c r="BD372" s="20">
        <v>1.1299999999999999</v>
      </c>
      <c r="BE372" s="20">
        <v>3.44</v>
      </c>
      <c r="BF372" s="20">
        <v>2.31</v>
      </c>
      <c r="BG372" s="20">
        <v>2.6745454545454539</v>
      </c>
      <c r="BH372">
        <v>2.6745454545454548</v>
      </c>
      <c r="BI372">
        <v>5.9327418772727274</v>
      </c>
      <c r="BJ372" s="64">
        <v>0.53699890088551772</v>
      </c>
      <c r="BK372" s="64"/>
      <c r="BL372" s="64"/>
      <c r="BM372">
        <v>5.0986526070744151E-2</v>
      </c>
      <c r="BN372">
        <v>5.0656075429901228E-2</v>
      </c>
      <c r="BQ372">
        <v>0.1016426015006454</v>
      </c>
      <c r="BR372">
        <v>5.0821300750322693E-2</v>
      </c>
      <c r="BS372">
        <v>0.53699890088551772</v>
      </c>
      <c r="BT372" s="68" t="s">
        <v>1264</v>
      </c>
      <c r="BU372" s="68">
        <v>1423</v>
      </c>
      <c r="BV372" s="68">
        <v>10</v>
      </c>
      <c r="BX372" s="68" t="s">
        <v>1275</v>
      </c>
      <c r="BY372" s="68" t="s">
        <v>56</v>
      </c>
      <c r="BZ372" s="68">
        <v>1</v>
      </c>
      <c r="CB372" s="68">
        <v>6.67</v>
      </c>
      <c r="CC372" s="68">
        <v>0</v>
      </c>
      <c r="CD372" s="68" t="s">
        <v>464</v>
      </c>
      <c r="CE372" s="68" t="s">
        <v>464</v>
      </c>
      <c r="CF372" s="68" t="s">
        <v>1266</v>
      </c>
      <c r="CG372" s="68">
        <v>500</v>
      </c>
      <c r="CH372" s="68">
        <v>420</v>
      </c>
      <c r="CI372" s="68" t="s">
        <v>1287</v>
      </c>
      <c r="CK372" s="70">
        <v>0</v>
      </c>
    </row>
    <row r="373" spans="1:89" x14ac:dyDescent="0.3">
      <c r="A373" t="s">
        <v>196</v>
      </c>
      <c r="B373" t="s">
        <v>46</v>
      </c>
      <c r="C373" t="s">
        <v>4100</v>
      </c>
      <c r="D373" s="12"/>
      <c r="E373">
        <v>2.98</v>
      </c>
      <c r="F373" t="s">
        <v>197</v>
      </c>
      <c r="G373" s="8" t="s">
        <v>551</v>
      </c>
      <c r="H373" t="s">
        <v>629</v>
      </c>
      <c r="J373" t="s">
        <v>1813</v>
      </c>
      <c r="M373" t="b">
        <v>1</v>
      </c>
      <c r="N373" t="b">
        <v>1</v>
      </c>
      <c r="O373" t="b">
        <v>0</v>
      </c>
      <c r="P373" t="b">
        <v>0</v>
      </c>
      <c r="Q373" t="s">
        <v>2044</v>
      </c>
      <c r="R373" t="s">
        <v>629</v>
      </c>
      <c r="T373">
        <v>4</v>
      </c>
      <c r="U373" s="20">
        <v>0</v>
      </c>
      <c r="V373">
        <v>0</v>
      </c>
      <c r="W373">
        <v>0</v>
      </c>
      <c r="X373">
        <v>13.003</v>
      </c>
      <c r="Y373">
        <v>5.5149999999999997</v>
      </c>
      <c r="Z373">
        <v>7.7569999999999997</v>
      </c>
      <c r="AA373" t="s">
        <v>1095</v>
      </c>
      <c r="AB373" s="1">
        <f t="shared" si="50"/>
        <v>13.003</v>
      </c>
      <c r="AC373" s="20">
        <v>0</v>
      </c>
      <c r="AD373" s="20"/>
      <c r="AE373" s="20"/>
      <c r="AF373">
        <v>0</v>
      </c>
      <c r="AI373">
        <v>0</v>
      </c>
      <c r="AM373">
        <v>14</v>
      </c>
      <c r="AN373" s="44">
        <f t="shared" si="55"/>
        <v>556.266454565</v>
      </c>
      <c r="AO373" s="46">
        <v>0</v>
      </c>
      <c r="AP373" s="44">
        <v>0</v>
      </c>
      <c r="AQ373" s="44">
        <v>0</v>
      </c>
      <c r="AR373" s="41">
        <f t="shared" si="56"/>
        <v>0.10067117932500884</v>
      </c>
      <c r="AS373" s="40"/>
      <c r="AT373" s="41"/>
      <c r="AU373" s="41"/>
      <c r="AV373" s="23">
        <v>2</v>
      </c>
      <c r="AW373" s="23">
        <v>2.545454545454545</v>
      </c>
      <c r="AX373" s="23">
        <v>0.45454545454545447</v>
      </c>
      <c r="AY373" s="23">
        <v>0.27272727272727271</v>
      </c>
      <c r="AZ373" s="23">
        <v>0.37931034482758619</v>
      </c>
      <c r="BA373" s="23">
        <v>0.48275862068965519</v>
      </c>
      <c r="BB373" s="23">
        <v>8.6206896551724144E-2</v>
      </c>
      <c r="BC373" s="23">
        <v>5.1724137931034482E-2</v>
      </c>
      <c r="BD373" s="20">
        <v>1.1000000000000001</v>
      </c>
      <c r="BE373" s="20">
        <v>3.44</v>
      </c>
      <c r="BF373" s="20">
        <v>2.34</v>
      </c>
      <c r="BG373" s="20">
        <v>2.6718181818181819</v>
      </c>
      <c r="BH373">
        <v>2.6718181818181819</v>
      </c>
      <c r="BI373">
        <v>5.9579696772727271</v>
      </c>
      <c r="BJ373" s="64"/>
      <c r="BK373" s="64"/>
      <c r="BL373" s="64"/>
      <c r="BM373">
        <v>5.0335589662504419E-2</v>
      </c>
      <c r="BQ373">
        <v>0.1006711793250088</v>
      </c>
      <c r="BR373">
        <v>5.0335589662504419E-2</v>
      </c>
      <c r="BS373">
        <v>0</v>
      </c>
      <c r="BT373" s="68" t="s">
        <v>1264</v>
      </c>
      <c r="BU373" s="68">
        <v>1423</v>
      </c>
      <c r="BV373" s="68">
        <v>10</v>
      </c>
      <c r="BX373" s="68" t="s">
        <v>1275</v>
      </c>
      <c r="BY373" s="68" t="s">
        <v>56</v>
      </c>
      <c r="BZ373" s="68">
        <v>1</v>
      </c>
      <c r="CB373" s="68">
        <v>6.67</v>
      </c>
      <c r="CC373" s="68">
        <v>0</v>
      </c>
      <c r="CD373" s="68" t="s">
        <v>464</v>
      </c>
      <c r="CE373" s="68" t="s">
        <v>464</v>
      </c>
      <c r="CF373" s="68" t="s">
        <v>1266</v>
      </c>
      <c r="CG373" s="68">
        <v>500</v>
      </c>
      <c r="CH373" s="68">
        <v>420</v>
      </c>
      <c r="CI373" s="68" t="s">
        <v>1287</v>
      </c>
      <c r="CK373" s="70">
        <v>0</v>
      </c>
    </row>
    <row r="374" spans="1:89" x14ac:dyDescent="0.3">
      <c r="A374" t="s">
        <v>44</v>
      </c>
      <c r="B374" t="s">
        <v>2776</v>
      </c>
      <c r="C374" t="s">
        <v>3997</v>
      </c>
      <c r="D374" s="12"/>
      <c r="E374" s="4">
        <v>2.1</v>
      </c>
      <c r="F374" t="s">
        <v>198</v>
      </c>
      <c r="G374" s="8" t="s">
        <v>549</v>
      </c>
      <c r="H374">
        <v>-1</v>
      </c>
      <c r="I374" t="s">
        <v>1505</v>
      </c>
      <c r="M374" t="b">
        <v>1</v>
      </c>
      <c r="N374" t="b">
        <v>0</v>
      </c>
      <c r="O374" t="b">
        <v>0</v>
      </c>
      <c r="P374" t="b">
        <v>0</v>
      </c>
      <c r="Q374" t="s">
        <v>549</v>
      </c>
      <c r="R374">
        <v>-1</v>
      </c>
      <c r="S374" t="s">
        <v>1505</v>
      </c>
      <c r="T374">
        <v>2</v>
      </c>
      <c r="U374" s="20">
        <v>1</v>
      </c>
      <c r="V374">
        <v>0</v>
      </c>
      <c r="W374">
        <v>0</v>
      </c>
      <c r="X374">
        <v>3.871</v>
      </c>
      <c r="Y374">
        <v>3.871</v>
      </c>
      <c r="Z374">
        <v>29.783999999999999</v>
      </c>
      <c r="AA374" t="s">
        <v>440</v>
      </c>
      <c r="AB374">
        <v>14.891999999999999</v>
      </c>
      <c r="AC374" s="20">
        <v>15.28115725</v>
      </c>
      <c r="AD374" s="20">
        <v>15.28115725</v>
      </c>
      <c r="AE374" s="20">
        <v>15.28115725</v>
      </c>
      <c r="AF374">
        <v>0</v>
      </c>
      <c r="AI374">
        <v>0</v>
      </c>
      <c r="AM374">
        <v>20</v>
      </c>
      <c r="AN374" s="44">
        <f t="shared" si="40"/>
        <v>446.30254754399999</v>
      </c>
      <c r="AO374" s="46">
        <v>229.90248606119221</v>
      </c>
      <c r="AP374" s="44">
        <v>0</v>
      </c>
      <c r="AQ374" s="44">
        <v>0</v>
      </c>
      <c r="AR374" s="41"/>
      <c r="AS374" s="40">
        <v>8.6993404650164072E-2</v>
      </c>
      <c r="AT374" s="41"/>
      <c r="AU374" s="41"/>
      <c r="AV374" s="23">
        <v>1.882352941176471</v>
      </c>
      <c r="AW374" s="23">
        <v>2.3529411764705879</v>
      </c>
      <c r="AX374" s="23">
        <v>0.47058823529411759</v>
      </c>
      <c r="AY374" s="23">
        <v>0</v>
      </c>
      <c r="AZ374" s="23">
        <v>0.4</v>
      </c>
      <c r="BA374" s="23">
        <v>0.5</v>
      </c>
      <c r="BB374" s="23">
        <v>9.9999999999999992E-2</v>
      </c>
      <c r="BC374" s="23">
        <v>0</v>
      </c>
      <c r="BD374" s="20">
        <v>0.82</v>
      </c>
      <c r="BE374" s="20">
        <v>3.44</v>
      </c>
      <c r="BF374" s="20">
        <v>2.62</v>
      </c>
      <c r="BG374" s="20">
        <v>2.5211764705882351</v>
      </c>
      <c r="BH374">
        <v>2.521176470588236</v>
      </c>
      <c r="BI374">
        <v>5.6898745917647062</v>
      </c>
      <c r="BJ374" s="64">
        <v>0.57369840599679445</v>
      </c>
      <c r="BK374" s="64"/>
      <c r="BL374" s="64"/>
      <c r="BN374">
        <v>4.3496702325082043E-2</v>
      </c>
      <c r="BQ374">
        <v>8.6993404650164072E-2</v>
      </c>
      <c r="BR374">
        <v>4.3496702325082043E-2</v>
      </c>
      <c r="BS374">
        <v>0.57369840599679445</v>
      </c>
      <c r="BT374" s="68" t="s">
        <v>1336</v>
      </c>
      <c r="BU374" s="68">
        <f t="shared" ref="BU374:BU385" si="57">950+273</f>
        <v>1223</v>
      </c>
      <c r="BV374" s="68">
        <v>4</v>
      </c>
      <c r="BX374" s="68" t="s">
        <v>1275</v>
      </c>
      <c r="BY374" s="68" t="s">
        <v>1313</v>
      </c>
      <c r="BZ374" s="68">
        <v>0.2</v>
      </c>
      <c r="CB374" s="68">
        <v>1.67</v>
      </c>
      <c r="CC374" s="68">
        <v>0</v>
      </c>
      <c r="CD374" s="68" t="s">
        <v>464</v>
      </c>
      <c r="CE374" s="68" t="s">
        <v>464</v>
      </c>
      <c r="CF374" s="68" t="s">
        <v>1266</v>
      </c>
      <c r="CG374" s="68">
        <v>250</v>
      </c>
      <c r="CI374" s="68" t="s">
        <v>1287</v>
      </c>
      <c r="CJ374" s="68">
        <f t="shared" ref="CJ374:CJ385" si="58">273+25</f>
        <v>298</v>
      </c>
      <c r="CK374" s="70">
        <v>54.8</v>
      </c>
    </row>
    <row r="375" spans="1:89" x14ac:dyDescent="0.3">
      <c r="A375" t="s">
        <v>1337</v>
      </c>
      <c r="B375" t="s">
        <v>2776</v>
      </c>
      <c r="C375" t="s">
        <v>4101</v>
      </c>
      <c r="D375" s="12"/>
      <c r="E375" s="58">
        <v>3.5</v>
      </c>
      <c r="F375" t="s">
        <v>198</v>
      </c>
      <c r="G375" s="25" t="s">
        <v>549</v>
      </c>
      <c r="I375" s="1" t="s">
        <v>1505</v>
      </c>
      <c r="J375" s="1"/>
      <c r="K375" s="1"/>
      <c r="L375" s="1"/>
      <c r="M375" t="b">
        <v>1</v>
      </c>
      <c r="N375" t="b">
        <v>0</v>
      </c>
      <c r="O375" t="b">
        <v>0</v>
      </c>
      <c r="P375" t="b">
        <v>0</v>
      </c>
      <c r="Q375" t="s">
        <v>549</v>
      </c>
      <c r="S375" t="s">
        <v>1505</v>
      </c>
      <c r="T375">
        <v>2</v>
      </c>
      <c r="U375" s="20"/>
      <c r="X375">
        <v>3.8641200000000002</v>
      </c>
      <c r="Y375">
        <v>3.8641200000000002</v>
      </c>
      <c r="Z375">
        <v>29.80125</v>
      </c>
      <c r="AB375">
        <v>14.900625</v>
      </c>
      <c r="AC375" s="20"/>
      <c r="AD375" s="20"/>
      <c r="AE375" s="20"/>
      <c r="AN375" s="44">
        <f t="shared" si="40"/>
        <v>444.97508083633801</v>
      </c>
      <c r="AO375" s="46"/>
      <c r="AP375" s="44"/>
      <c r="AQ375" s="44"/>
      <c r="AR375" s="41"/>
      <c r="AS375" s="40"/>
      <c r="AT375" s="41"/>
      <c r="AU375" s="41"/>
      <c r="AV375" s="23"/>
      <c r="AW375" s="23"/>
      <c r="AX375" s="23"/>
      <c r="AY375" s="23"/>
      <c r="AZ375" s="23"/>
      <c r="BA375" s="23"/>
      <c r="BB375" s="23"/>
      <c r="BC375" s="23"/>
      <c r="BD375" s="20"/>
      <c r="BE375" s="20"/>
      <c r="BF375" s="20"/>
      <c r="BG375" s="20"/>
      <c r="BJ375" s="64"/>
      <c r="BK375" s="64"/>
      <c r="BL375" s="64"/>
      <c r="BT375" s="68" t="s">
        <v>1336</v>
      </c>
      <c r="BU375" s="68">
        <f t="shared" si="57"/>
        <v>1223</v>
      </c>
      <c r="BV375" s="68">
        <v>4</v>
      </c>
      <c r="BX375" s="68" t="s">
        <v>1275</v>
      </c>
      <c r="BY375" s="68" t="s">
        <v>1313</v>
      </c>
      <c r="BZ375" s="68">
        <v>0.2</v>
      </c>
      <c r="CB375" s="68">
        <v>1.67</v>
      </c>
      <c r="CC375" s="68">
        <v>0</v>
      </c>
      <c r="CD375" s="68" t="s">
        <v>464</v>
      </c>
      <c r="CE375" s="68" t="s">
        <v>464</v>
      </c>
      <c r="CF375" s="68" t="s">
        <v>1266</v>
      </c>
      <c r="CG375" s="68">
        <v>250</v>
      </c>
      <c r="CI375" s="68" t="s">
        <v>1287</v>
      </c>
      <c r="CJ375" s="68">
        <f t="shared" si="58"/>
        <v>298</v>
      </c>
      <c r="CK375" s="70">
        <v>99.2</v>
      </c>
    </row>
    <row r="376" spans="1:89" x14ac:dyDescent="0.3">
      <c r="A376" t="s">
        <v>1338</v>
      </c>
      <c r="B376" t="s">
        <v>2776</v>
      </c>
      <c r="C376" t="s">
        <v>4102</v>
      </c>
      <c r="D376" s="12"/>
      <c r="E376" s="58">
        <v>3.5</v>
      </c>
      <c r="F376" t="s">
        <v>198</v>
      </c>
      <c r="G376" s="25" t="s">
        <v>549</v>
      </c>
      <c r="I376" s="1" t="s">
        <v>1505</v>
      </c>
      <c r="J376" s="1"/>
      <c r="K376" s="1"/>
      <c r="L376" s="1"/>
      <c r="M376" t="b">
        <v>1</v>
      </c>
      <c r="N376" t="b">
        <v>0</v>
      </c>
      <c r="O376" t="b">
        <v>0</v>
      </c>
      <c r="P376" t="b">
        <v>0</v>
      </c>
      <c r="Q376" t="s">
        <v>549</v>
      </c>
      <c r="S376" t="s">
        <v>1505</v>
      </c>
      <c r="T376">
        <v>2</v>
      </c>
      <c r="U376" s="20"/>
      <c r="X376">
        <v>3.8643800000000001</v>
      </c>
      <c r="Y376">
        <v>3.8643800000000001</v>
      </c>
      <c r="Z376">
        <v>29.813459999999999</v>
      </c>
      <c r="AB376">
        <v>14.90673</v>
      </c>
      <c r="AC376" s="20"/>
      <c r="AD376" s="20"/>
      <c r="AE376" s="20"/>
      <c r="AN376" s="44">
        <f t="shared" si="40"/>
        <v>445.21730098039802</v>
      </c>
      <c r="AO376" s="46"/>
      <c r="AP376" s="44"/>
      <c r="AQ376" s="44"/>
      <c r="AR376" s="41"/>
      <c r="AS376" s="40"/>
      <c r="AT376" s="41"/>
      <c r="AU376" s="41"/>
      <c r="AV376" s="23"/>
      <c r="AW376" s="23"/>
      <c r="AX376" s="23"/>
      <c r="AY376" s="23"/>
      <c r="AZ376" s="23"/>
      <c r="BA376" s="23"/>
      <c r="BB376" s="23"/>
      <c r="BC376" s="23"/>
      <c r="BD376" s="20"/>
      <c r="BE376" s="20"/>
      <c r="BF376" s="20"/>
      <c r="BG376" s="20"/>
      <c r="BJ376" s="64"/>
      <c r="BK376" s="64"/>
      <c r="BL376" s="64"/>
      <c r="BT376" s="68" t="s">
        <v>1336</v>
      </c>
      <c r="BU376" s="68">
        <f t="shared" si="57"/>
        <v>1223</v>
      </c>
      <c r="BV376" s="68">
        <v>4</v>
      </c>
      <c r="BX376" s="68" t="s">
        <v>1275</v>
      </c>
      <c r="BY376" s="68" t="s">
        <v>1313</v>
      </c>
      <c r="BZ376" s="68">
        <v>0.2</v>
      </c>
      <c r="CB376" s="68">
        <v>1.67</v>
      </c>
      <c r="CC376" s="68">
        <v>0</v>
      </c>
      <c r="CD376" s="68" t="s">
        <v>464</v>
      </c>
      <c r="CE376" s="68" t="s">
        <v>464</v>
      </c>
      <c r="CF376" s="68" t="s">
        <v>1266</v>
      </c>
      <c r="CG376" s="68">
        <v>250</v>
      </c>
      <c r="CI376" s="68" t="s">
        <v>1287</v>
      </c>
      <c r="CJ376" s="68">
        <f t="shared" si="58"/>
        <v>298</v>
      </c>
      <c r="CK376" s="70">
        <v>104</v>
      </c>
    </row>
    <row r="377" spans="1:89" x14ac:dyDescent="0.3">
      <c r="A377" t="s">
        <v>1339</v>
      </c>
      <c r="B377" t="s">
        <v>2776</v>
      </c>
      <c r="C377" t="s">
        <v>4103</v>
      </c>
      <c r="D377" s="12"/>
      <c r="E377" s="58">
        <v>3.5</v>
      </c>
      <c r="F377" t="s">
        <v>198</v>
      </c>
      <c r="G377" s="25" t="s">
        <v>549</v>
      </c>
      <c r="I377" s="1" t="s">
        <v>1505</v>
      </c>
      <c r="J377" s="1"/>
      <c r="K377" s="1"/>
      <c r="L377" s="1"/>
      <c r="M377" t="b">
        <v>1</v>
      </c>
      <c r="N377" t="b">
        <v>0</v>
      </c>
      <c r="O377" t="b">
        <v>0</v>
      </c>
      <c r="P377" t="b">
        <v>0</v>
      </c>
      <c r="Q377" t="s">
        <v>549</v>
      </c>
      <c r="S377" t="s">
        <v>1505</v>
      </c>
      <c r="T377">
        <v>2</v>
      </c>
      <c r="U377" s="20"/>
      <c r="X377">
        <v>3.8655200000000001</v>
      </c>
      <c r="Y377">
        <v>3.8655200000000001</v>
      </c>
      <c r="Z377">
        <v>29.82349</v>
      </c>
      <c r="AB377">
        <v>14.911745</v>
      </c>
      <c r="AC377" s="20"/>
      <c r="AD377" s="20"/>
      <c r="AE377" s="20"/>
      <c r="AN377" s="44">
        <f t="shared" si="40"/>
        <v>445.62989046992567</v>
      </c>
      <c r="AO377" s="46"/>
      <c r="AP377" s="44"/>
      <c r="AQ377" s="44"/>
      <c r="AR377" s="41"/>
      <c r="AS377" s="40"/>
      <c r="AT377" s="41"/>
      <c r="AU377" s="41"/>
      <c r="AV377" s="23"/>
      <c r="AW377" s="23"/>
      <c r="AX377" s="23"/>
      <c r="AY377" s="23"/>
      <c r="AZ377" s="23"/>
      <c r="BA377" s="23"/>
      <c r="BB377" s="23"/>
      <c r="BC377" s="23"/>
      <c r="BD377" s="20"/>
      <c r="BE377" s="20"/>
      <c r="BF377" s="20"/>
      <c r="BG377" s="20"/>
      <c r="BJ377" s="64"/>
      <c r="BK377" s="64"/>
      <c r="BL377" s="64"/>
      <c r="BT377" s="68" t="s">
        <v>1336</v>
      </c>
      <c r="BU377" s="68">
        <f t="shared" si="57"/>
        <v>1223</v>
      </c>
      <c r="BV377" s="68">
        <v>4</v>
      </c>
      <c r="BX377" s="68" t="s">
        <v>1275</v>
      </c>
      <c r="BY377" s="68" t="s">
        <v>1313</v>
      </c>
      <c r="BZ377" s="68">
        <v>0.2</v>
      </c>
      <c r="CB377" s="68">
        <v>1.67</v>
      </c>
      <c r="CC377" s="68">
        <v>0</v>
      </c>
      <c r="CD377" s="68" t="s">
        <v>464</v>
      </c>
      <c r="CE377" s="68" t="s">
        <v>464</v>
      </c>
      <c r="CF377" s="68" t="s">
        <v>1266</v>
      </c>
      <c r="CG377" s="68">
        <v>250</v>
      </c>
      <c r="CI377" s="68" t="s">
        <v>1287</v>
      </c>
      <c r="CJ377" s="68">
        <f t="shared" si="58"/>
        <v>298</v>
      </c>
      <c r="CK377" s="70">
        <v>126.6</v>
      </c>
    </row>
    <row r="378" spans="1:89" x14ac:dyDescent="0.3">
      <c r="A378" t="s">
        <v>1340</v>
      </c>
      <c r="B378" t="s">
        <v>2776</v>
      </c>
      <c r="C378" t="s">
        <v>4104</v>
      </c>
      <c r="D378" s="12"/>
      <c r="E378" s="58">
        <v>3.5</v>
      </c>
      <c r="F378" t="s">
        <v>198</v>
      </c>
      <c r="G378" s="25" t="s">
        <v>549</v>
      </c>
      <c r="I378" s="1" t="s">
        <v>1505</v>
      </c>
      <c r="J378" s="1"/>
      <c r="K378" s="1"/>
      <c r="L378" s="1"/>
      <c r="M378" t="b">
        <v>1</v>
      </c>
      <c r="N378" t="b">
        <v>0</v>
      </c>
      <c r="O378" t="b">
        <v>0</v>
      </c>
      <c r="P378" t="b">
        <v>0</v>
      </c>
      <c r="Q378" t="s">
        <v>549</v>
      </c>
      <c r="S378" t="s">
        <v>1505</v>
      </c>
      <c r="T378">
        <v>2</v>
      </c>
      <c r="U378" s="20"/>
      <c r="X378">
        <v>3.8651900000000001</v>
      </c>
      <c r="Y378">
        <v>3.8651900000000001</v>
      </c>
      <c r="Z378">
        <v>29.83013</v>
      </c>
      <c r="AB378">
        <v>14.915065</v>
      </c>
      <c r="AC378" s="20"/>
      <c r="AD378" s="20"/>
      <c r="AE378" s="20"/>
      <c r="AN378" s="44">
        <f t="shared" si="40"/>
        <v>445.6530063080487</v>
      </c>
      <c r="AO378" s="46"/>
      <c r="AP378" s="44"/>
      <c r="AQ378" s="44"/>
      <c r="AR378" s="41"/>
      <c r="AS378" s="40"/>
      <c r="AT378" s="41"/>
      <c r="AU378" s="41"/>
      <c r="AV378" s="23"/>
      <c r="AW378" s="23"/>
      <c r="AX378" s="23"/>
      <c r="AY378" s="23"/>
      <c r="AZ378" s="23"/>
      <c r="BA378" s="23"/>
      <c r="BB378" s="23"/>
      <c r="BC378" s="23"/>
      <c r="BD378" s="20"/>
      <c r="BE378" s="20"/>
      <c r="BF378" s="20"/>
      <c r="BG378" s="20"/>
      <c r="BJ378" s="64"/>
      <c r="BK378" s="64"/>
      <c r="BL378" s="64"/>
      <c r="BT378" s="68" t="s">
        <v>1336</v>
      </c>
      <c r="BU378" s="68">
        <f t="shared" si="57"/>
        <v>1223</v>
      </c>
      <c r="BV378" s="68">
        <v>4</v>
      </c>
      <c r="BX378" s="68" t="s">
        <v>1275</v>
      </c>
      <c r="BY378" s="68" t="s">
        <v>1313</v>
      </c>
      <c r="BZ378" s="68">
        <v>0.2</v>
      </c>
      <c r="CB378" s="68">
        <v>1.67</v>
      </c>
      <c r="CC378" s="68">
        <v>0</v>
      </c>
      <c r="CD378" s="68" t="s">
        <v>464</v>
      </c>
      <c r="CE378" s="68" t="s">
        <v>464</v>
      </c>
      <c r="CF378" s="68" t="s">
        <v>1266</v>
      </c>
      <c r="CG378" s="68">
        <v>250</v>
      </c>
      <c r="CI378" s="68" t="s">
        <v>1287</v>
      </c>
      <c r="CJ378" s="68">
        <f t="shared" si="58"/>
        <v>298</v>
      </c>
      <c r="CK378" s="70">
        <v>39.6</v>
      </c>
    </row>
    <row r="379" spans="1:89" x14ac:dyDescent="0.3">
      <c r="A379" t="s">
        <v>1341</v>
      </c>
      <c r="B379" t="s">
        <v>2776</v>
      </c>
      <c r="C379" t="s">
        <v>4105</v>
      </c>
      <c r="D379" s="12"/>
      <c r="E379">
        <v>3.5</v>
      </c>
      <c r="F379" t="s">
        <v>198</v>
      </c>
      <c r="G379" s="25" t="s">
        <v>549</v>
      </c>
      <c r="I379" s="1" t="s">
        <v>1505</v>
      </c>
      <c r="J379" s="1"/>
      <c r="K379" s="1"/>
      <c r="L379" s="1"/>
      <c r="M379" t="b">
        <v>1</v>
      </c>
      <c r="N379" t="b">
        <v>0</v>
      </c>
      <c r="O379" t="b">
        <v>0</v>
      </c>
      <c r="P379" t="b">
        <v>0</v>
      </c>
      <c r="Q379" t="s">
        <v>549</v>
      </c>
      <c r="S379" t="s">
        <v>1505</v>
      </c>
      <c r="T379">
        <v>2</v>
      </c>
      <c r="U379" s="20"/>
      <c r="X379">
        <v>3.8657400000000002</v>
      </c>
      <c r="Y379">
        <v>3.8657400000000002</v>
      </c>
      <c r="Z379">
        <v>29.839960000000001</v>
      </c>
      <c r="AB379">
        <v>14.919980000000001</v>
      </c>
      <c r="AC379" s="20"/>
      <c r="AD379" s="20"/>
      <c r="AE379" s="20"/>
      <c r="AN379" s="44">
        <f t="shared" si="40"/>
        <v>445.92674335055415</v>
      </c>
      <c r="AO379" s="46"/>
      <c r="AP379" s="44"/>
      <c r="AQ379" s="44"/>
      <c r="AR379" s="41"/>
      <c r="AS379" s="40"/>
      <c r="AT379" s="41"/>
      <c r="AU379" s="41"/>
      <c r="AV379" s="23"/>
      <c r="AW379" s="23"/>
      <c r="AX379" s="23"/>
      <c r="AY379" s="23"/>
      <c r="AZ379" s="23"/>
      <c r="BA379" s="23"/>
      <c r="BB379" s="23"/>
      <c r="BC379" s="23"/>
      <c r="BD379" s="20"/>
      <c r="BE379" s="20"/>
      <c r="BF379" s="20"/>
      <c r="BG379" s="20"/>
      <c r="BJ379" s="64"/>
      <c r="BK379" s="64"/>
      <c r="BL379" s="64"/>
      <c r="BT379" s="68" t="s">
        <v>1336</v>
      </c>
      <c r="BU379" s="68">
        <f t="shared" si="57"/>
        <v>1223</v>
      </c>
      <c r="BV379" s="68">
        <v>4</v>
      </c>
      <c r="BX379" s="68" t="s">
        <v>1275</v>
      </c>
      <c r="BY379" s="68" t="s">
        <v>1313</v>
      </c>
      <c r="BZ379" s="68">
        <v>0.2</v>
      </c>
      <c r="CB379" s="68">
        <v>1.67</v>
      </c>
      <c r="CC379" s="68">
        <v>0</v>
      </c>
      <c r="CD379" s="68" t="s">
        <v>464</v>
      </c>
      <c r="CE379" s="68" t="s">
        <v>464</v>
      </c>
      <c r="CF379" s="68" t="s">
        <v>1266</v>
      </c>
      <c r="CG379" s="68">
        <v>250</v>
      </c>
      <c r="CI379" s="68" t="s">
        <v>1287</v>
      </c>
      <c r="CJ379" s="68">
        <f t="shared" si="58"/>
        <v>298</v>
      </c>
      <c r="CK379" s="70">
        <v>34.200000000000003</v>
      </c>
    </row>
    <row r="380" spans="1:89" x14ac:dyDescent="0.3">
      <c r="A380" t="s">
        <v>44</v>
      </c>
      <c r="B380" t="s">
        <v>2776</v>
      </c>
      <c r="C380" t="s">
        <v>3997</v>
      </c>
      <c r="D380" s="12"/>
      <c r="E380">
        <v>2.1</v>
      </c>
      <c r="F380" t="s">
        <v>198</v>
      </c>
      <c r="G380" s="8" t="s">
        <v>549</v>
      </c>
      <c r="H380">
        <v>-1</v>
      </c>
      <c r="I380" t="s">
        <v>1505</v>
      </c>
      <c r="M380" t="b">
        <v>1</v>
      </c>
      <c r="N380" t="b">
        <v>0</v>
      </c>
      <c r="O380" t="b">
        <v>0</v>
      </c>
      <c r="P380" t="b">
        <v>0</v>
      </c>
      <c r="Q380" t="s">
        <v>549</v>
      </c>
      <c r="R380">
        <v>-1</v>
      </c>
      <c r="S380" t="s">
        <v>1505</v>
      </c>
      <c r="T380">
        <v>2</v>
      </c>
      <c r="U380" s="20">
        <v>1</v>
      </c>
      <c r="V380">
        <v>0</v>
      </c>
      <c r="W380">
        <v>0</v>
      </c>
      <c r="X380">
        <v>3.871</v>
      </c>
      <c r="Y380">
        <v>3.871</v>
      </c>
      <c r="Z380">
        <v>29.783999999999999</v>
      </c>
      <c r="AA380" t="s">
        <v>440</v>
      </c>
      <c r="AB380">
        <v>14.891999999999999</v>
      </c>
      <c r="AC380" s="20">
        <v>15.28115725</v>
      </c>
      <c r="AD380" s="20">
        <v>15.28115725</v>
      </c>
      <c r="AE380" s="20">
        <v>15.28115725</v>
      </c>
      <c r="AF380">
        <v>0</v>
      </c>
      <c r="AI380">
        <v>0</v>
      </c>
      <c r="AM380">
        <v>20</v>
      </c>
      <c r="AN380" s="44">
        <f t="shared" ref="AN380:AN385" si="59">X380*Y380*Z380</f>
        <v>446.30254754399999</v>
      </c>
      <c r="AO380" s="46">
        <v>229.90248606119221</v>
      </c>
      <c r="AP380" s="44">
        <v>0</v>
      </c>
      <c r="AQ380" s="44">
        <v>0</v>
      </c>
      <c r="AR380" s="41"/>
      <c r="AS380" s="40">
        <v>8.6993404650164072E-2</v>
      </c>
      <c r="AT380" s="41"/>
      <c r="AU380" s="41"/>
      <c r="AV380" s="23">
        <v>1.882352941176471</v>
      </c>
      <c r="AW380" s="23">
        <v>2.3529411764705879</v>
      </c>
      <c r="AX380" s="23">
        <v>0.47058823529411759</v>
      </c>
      <c r="AY380" s="23">
        <v>0</v>
      </c>
      <c r="AZ380" s="23">
        <v>0.4</v>
      </c>
      <c r="BA380" s="23">
        <v>0.5</v>
      </c>
      <c r="BB380" s="23">
        <v>9.9999999999999992E-2</v>
      </c>
      <c r="BC380" s="23">
        <v>0</v>
      </c>
      <c r="BD380" s="20">
        <v>0.82</v>
      </c>
      <c r="BE380" s="20">
        <v>3.44</v>
      </c>
      <c r="BF380" s="20">
        <v>2.62</v>
      </c>
      <c r="BG380" s="20">
        <v>2.5211764705882351</v>
      </c>
      <c r="BH380">
        <v>2.521176470588236</v>
      </c>
      <c r="BI380">
        <v>5.6898745917647062</v>
      </c>
      <c r="BJ380" s="64">
        <v>0.57369840599679445</v>
      </c>
      <c r="BK380" s="64"/>
      <c r="BL380" s="64"/>
      <c r="BN380">
        <v>4.3496702325082043E-2</v>
      </c>
      <c r="BQ380">
        <v>8.6993404650164072E-2</v>
      </c>
      <c r="BR380">
        <v>4.3496702325082043E-2</v>
      </c>
      <c r="BS380">
        <v>0.57369840599679445</v>
      </c>
      <c r="BT380" s="68" t="s">
        <v>1336</v>
      </c>
      <c r="BU380" s="68">
        <f t="shared" si="57"/>
        <v>1223</v>
      </c>
      <c r="BV380" s="68">
        <v>4</v>
      </c>
      <c r="BX380" s="68" t="s">
        <v>1275</v>
      </c>
      <c r="BY380" s="68" t="s">
        <v>1313</v>
      </c>
      <c r="BZ380" s="68">
        <v>0.2</v>
      </c>
      <c r="CB380" s="68">
        <v>1.67</v>
      </c>
      <c r="CC380" s="68">
        <v>0</v>
      </c>
      <c r="CD380" s="68" t="s">
        <v>464</v>
      </c>
      <c r="CE380" s="68" t="s">
        <v>464</v>
      </c>
      <c r="CF380" s="68" t="s">
        <v>1271</v>
      </c>
      <c r="CG380" s="68">
        <v>250</v>
      </c>
      <c r="CI380" s="68" t="s">
        <v>1287</v>
      </c>
      <c r="CJ380" s="68">
        <f t="shared" si="58"/>
        <v>298</v>
      </c>
      <c r="CK380" s="70">
        <f>15.8</f>
        <v>15.8</v>
      </c>
    </row>
    <row r="381" spans="1:89" x14ac:dyDescent="0.3">
      <c r="A381" t="s">
        <v>1337</v>
      </c>
      <c r="B381" t="s">
        <v>2776</v>
      </c>
      <c r="C381" t="s">
        <v>4101</v>
      </c>
      <c r="D381" s="12"/>
      <c r="E381" s="58">
        <v>3.5</v>
      </c>
      <c r="F381" t="s">
        <v>198</v>
      </c>
      <c r="G381" s="25" t="s">
        <v>549</v>
      </c>
      <c r="I381" s="1" t="s">
        <v>1505</v>
      </c>
      <c r="J381" s="1"/>
      <c r="K381" s="1"/>
      <c r="L381" s="1"/>
      <c r="M381" t="b">
        <v>1</v>
      </c>
      <c r="N381" t="b">
        <v>0</v>
      </c>
      <c r="O381" t="b">
        <v>0</v>
      </c>
      <c r="P381" t="b">
        <v>0</v>
      </c>
      <c r="Q381" t="s">
        <v>549</v>
      </c>
      <c r="S381" t="s">
        <v>1505</v>
      </c>
      <c r="T381">
        <v>2</v>
      </c>
      <c r="U381" s="20"/>
      <c r="X381">
        <v>3.8641200000000002</v>
      </c>
      <c r="Y381">
        <v>3.8641200000000002</v>
      </c>
      <c r="Z381">
        <v>29.80125</v>
      </c>
      <c r="AB381">
        <v>14.900625</v>
      </c>
      <c r="AC381" s="20"/>
      <c r="AD381" s="20"/>
      <c r="AE381" s="20"/>
      <c r="AN381" s="44">
        <f t="shared" si="59"/>
        <v>444.97508083633801</v>
      </c>
      <c r="AO381" s="46"/>
      <c r="AP381" s="44"/>
      <c r="AQ381" s="44"/>
      <c r="AR381" s="41"/>
      <c r="AS381" s="40"/>
      <c r="AT381" s="41"/>
      <c r="AU381" s="41"/>
      <c r="AV381" s="23"/>
      <c r="AW381" s="23"/>
      <c r="AX381" s="23"/>
      <c r="AY381" s="23"/>
      <c r="AZ381" s="23"/>
      <c r="BA381" s="23"/>
      <c r="BB381" s="23"/>
      <c r="BC381" s="23"/>
      <c r="BD381" s="20"/>
      <c r="BE381" s="20"/>
      <c r="BF381" s="20"/>
      <c r="BG381" s="20"/>
      <c r="BJ381" s="64"/>
      <c r="BK381" s="64"/>
      <c r="BL381" s="64"/>
      <c r="BT381" s="68" t="s">
        <v>1336</v>
      </c>
      <c r="BU381" s="68">
        <f t="shared" si="57"/>
        <v>1223</v>
      </c>
      <c r="BV381" s="68">
        <v>4</v>
      </c>
      <c r="BX381" s="68" t="s">
        <v>1275</v>
      </c>
      <c r="BY381" s="68" t="s">
        <v>1313</v>
      </c>
      <c r="BZ381" s="68">
        <v>0.2</v>
      </c>
      <c r="CB381" s="68">
        <v>1.67</v>
      </c>
      <c r="CC381" s="68">
        <v>0</v>
      </c>
      <c r="CD381" s="68" t="s">
        <v>464</v>
      </c>
      <c r="CE381" s="68" t="s">
        <v>464</v>
      </c>
      <c r="CF381" s="68" t="s">
        <v>1271</v>
      </c>
      <c r="CG381" s="68">
        <v>250</v>
      </c>
      <c r="CI381" s="68" t="s">
        <v>1287</v>
      </c>
      <c r="CJ381" s="68">
        <f t="shared" si="58"/>
        <v>298</v>
      </c>
      <c r="CK381" s="70">
        <v>25.8</v>
      </c>
    </row>
    <row r="382" spans="1:89" x14ac:dyDescent="0.3">
      <c r="A382" t="s">
        <v>1338</v>
      </c>
      <c r="B382" t="s">
        <v>2776</v>
      </c>
      <c r="C382" t="s">
        <v>4102</v>
      </c>
      <c r="D382" s="12"/>
      <c r="E382" s="58">
        <v>3.5</v>
      </c>
      <c r="F382" t="s">
        <v>198</v>
      </c>
      <c r="G382" s="25" t="s">
        <v>549</v>
      </c>
      <c r="I382" s="1" t="s">
        <v>1505</v>
      </c>
      <c r="J382" s="1"/>
      <c r="K382" s="1"/>
      <c r="L382" s="1"/>
      <c r="M382" t="b">
        <v>1</v>
      </c>
      <c r="N382" t="b">
        <v>0</v>
      </c>
      <c r="O382" t="b">
        <v>0</v>
      </c>
      <c r="P382" t="b">
        <v>0</v>
      </c>
      <c r="Q382" t="s">
        <v>549</v>
      </c>
      <c r="S382" t="s">
        <v>1505</v>
      </c>
      <c r="T382">
        <v>2</v>
      </c>
      <c r="U382" s="20"/>
      <c r="X382">
        <v>3.8643800000000001</v>
      </c>
      <c r="Y382">
        <v>3.8643800000000001</v>
      </c>
      <c r="Z382">
        <v>29.813459999999999</v>
      </c>
      <c r="AB382">
        <v>14.90673</v>
      </c>
      <c r="AC382" s="20"/>
      <c r="AD382" s="20"/>
      <c r="AE382" s="20"/>
      <c r="AN382" s="44">
        <f t="shared" si="59"/>
        <v>445.21730098039802</v>
      </c>
      <c r="AO382" s="46"/>
      <c r="AP382" s="44"/>
      <c r="AQ382" s="44"/>
      <c r="AR382" s="41"/>
      <c r="AS382" s="40"/>
      <c r="AT382" s="41"/>
      <c r="AU382" s="41"/>
      <c r="AV382" s="23"/>
      <c r="AW382" s="23"/>
      <c r="AX382" s="23"/>
      <c r="AY382" s="23"/>
      <c r="AZ382" s="23"/>
      <c r="BA382" s="23"/>
      <c r="BB382" s="23"/>
      <c r="BC382" s="23"/>
      <c r="BD382" s="20"/>
      <c r="BE382" s="20"/>
      <c r="BF382" s="20"/>
      <c r="BG382" s="20"/>
      <c r="BJ382" s="64"/>
      <c r="BK382" s="64"/>
      <c r="BL382" s="64"/>
      <c r="BT382" s="68" t="s">
        <v>1336</v>
      </c>
      <c r="BU382" s="68">
        <f t="shared" si="57"/>
        <v>1223</v>
      </c>
      <c r="BV382" s="68">
        <v>4</v>
      </c>
      <c r="BX382" s="68" t="s">
        <v>1275</v>
      </c>
      <c r="BY382" s="68" t="s">
        <v>1313</v>
      </c>
      <c r="BZ382" s="68">
        <v>0.2</v>
      </c>
      <c r="CB382" s="68">
        <v>1.67</v>
      </c>
      <c r="CC382" s="68">
        <v>0</v>
      </c>
      <c r="CD382" s="68" t="s">
        <v>464</v>
      </c>
      <c r="CE382" s="68" t="s">
        <v>464</v>
      </c>
      <c r="CF382" s="68" t="s">
        <v>1271</v>
      </c>
      <c r="CG382" s="68">
        <v>250</v>
      </c>
      <c r="CI382" s="68" t="s">
        <v>1287</v>
      </c>
      <c r="CJ382" s="68">
        <f t="shared" si="58"/>
        <v>298</v>
      </c>
      <c r="CK382" s="70">
        <v>35.4</v>
      </c>
    </row>
    <row r="383" spans="1:89" x14ac:dyDescent="0.3">
      <c r="A383" t="s">
        <v>1339</v>
      </c>
      <c r="B383" t="s">
        <v>2776</v>
      </c>
      <c r="C383" t="s">
        <v>4103</v>
      </c>
      <c r="D383" s="12"/>
      <c r="E383" s="58">
        <v>3.5</v>
      </c>
      <c r="F383" t="s">
        <v>198</v>
      </c>
      <c r="G383" s="25" t="s">
        <v>549</v>
      </c>
      <c r="I383" s="1" t="s">
        <v>1505</v>
      </c>
      <c r="J383" s="1"/>
      <c r="K383" s="1"/>
      <c r="L383" s="1"/>
      <c r="M383" t="b">
        <v>1</v>
      </c>
      <c r="N383" t="b">
        <v>0</v>
      </c>
      <c r="O383" t="b">
        <v>0</v>
      </c>
      <c r="P383" t="b">
        <v>0</v>
      </c>
      <c r="Q383" t="s">
        <v>549</v>
      </c>
      <c r="S383" t="s">
        <v>1505</v>
      </c>
      <c r="T383">
        <v>2</v>
      </c>
      <c r="U383" s="20"/>
      <c r="X383">
        <v>3.8655200000000001</v>
      </c>
      <c r="Y383">
        <v>3.8655200000000001</v>
      </c>
      <c r="Z383">
        <v>29.82349</v>
      </c>
      <c r="AB383">
        <v>14.911745</v>
      </c>
      <c r="AC383" s="20"/>
      <c r="AD383" s="20"/>
      <c r="AE383" s="20"/>
      <c r="AN383" s="44">
        <f t="shared" si="59"/>
        <v>445.62989046992567</v>
      </c>
      <c r="AO383" s="46"/>
      <c r="AP383" s="44"/>
      <c r="AQ383" s="44"/>
      <c r="AR383" s="41"/>
      <c r="AS383" s="40"/>
      <c r="AT383" s="41"/>
      <c r="AU383" s="41"/>
      <c r="AV383" s="23"/>
      <c r="AW383" s="23"/>
      <c r="AX383" s="23"/>
      <c r="AY383" s="23"/>
      <c r="AZ383" s="23"/>
      <c r="BA383" s="23"/>
      <c r="BB383" s="23"/>
      <c r="BC383" s="23"/>
      <c r="BD383" s="20"/>
      <c r="BE383" s="20"/>
      <c r="BF383" s="20"/>
      <c r="BG383" s="20"/>
      <c r="BJ383" s="64"/>
      <c r="BK383" s="64"/>
      <c r="BL383" s="64"/>
      <c r="BT383" s="68" t="s">
        <v>1336</v>
      </c>
      <c r="BU383" s="68">
        <f t="shared" si="57"/>
        <v>1223</v>
      </c>
      <c r="BV383" s="68">
        <v>4</v>
      </c>
      <c r="BX383" s="68" t="s">
        <v>1275</v>
      </c>
      <c r="BY383" s="68" t="s">
        <v>1313</v>
      </c>
      <c r="BZ383" s="68">
        <v>0.2</v>
      </c>
      <c r="CB383" s="68">
        <v>1.67</v>
      </c>
      <c r="CC383" s="68">
        <v>0</v>
      </c>
      <c r="CD383" s="68" t="s">
        <v>464</v>
      </c>
      <c r="CE383" s="68" t="s">
        <v>464</v>
      </c>
      <c r="CF383" s="68" t="s">
        <v>1271</v>
      </c>
      <c r="CG383" s="68">
        <v>250</v>
      </c>
      <c r="CI383" s="68" t="s">
        <v>1287</v>
      </c>
      <c r="CJ383" s="68">
        <f t="shared" si="58"/>
        <v>298</v>
      </c>
      <c r="CK383" s="70">
        <v>55.5</v>
      </c>
    </row>
    <row r="384" spans="1:89" x14ac:dyDescent="0.3">
      <c r="A384" t="s">
        <v>1340</v>
      </c>
      <c r="B384" t="s">
        <v>2776</v>
      </c>
      <c r="C384" t="s">
        <v>4104</v>
      </c>
      <c r="D384" s="12"/>
      <c r="E384" s="58">
        <v>3.5</v>
      </c>
      <c r="F384" t="s">
        <v>198</v>
      </c>
      <c r="G384" s="25" t="s">
        <v>549</v>
      </c>
      <c r="I384" s="1" t="s">
        <v>1505</v>
      </c>
      <c r="J384" s="1"/>
      <c r="K384" s="1"/>
      <c r="L384" s="1"/>
      <c r="M384" t="b">
        <v>1</v>
      </c>
      <c r="N384" t="b">
        <v>0</v>
      </c>
      <c r="O384" t="b">
        <v>0</v>
      </c>
      <c r="P384" t="b">
        <v>0</v>
      </c>
      <c r="Q384" t="s">
        <v>549</v>
      </c>
      <c r="S384" t="s">
        <v>1505</v>
      </c>
      <c r="T384">
        <v>2</v>
      </c>
      <c r="U384" s="20"/>
      <c r="X384">
        <v>3.8651900000000001</v>
      </c>
      <c r="Y384">
        <v>3.8651900000000001</v>
      </c>
      <c r="Z384">
        <v>29.83013</v>
      </c>
      <c r="AB384">
        <v>14.915065</v>
      </c>
      <c r="AC384" s="20"/>
      <c r="AD384" s="20"/>
      <c r="AE384" s="20"/>
      <c r="AN384" s="44">
        <f t="shared" si="59"/>
        <v>445.6530063080487</v>
      </c>
      <c r="AO384" s="46"/>
      <c r="AP384" s="44"/>
      <c r="AQ384" s="44"/>
      <c r="AR384" s="41"/>
      <c r="AS384" s="40"/>
      <c r="AT384" s="41"/>
      <c r="AU384" s="41"/>
      <c r="AV384" s="23"/>
      <c r="AW384" s="23"/>
      <c r="AX384" s="23"/>
      <c r="AY384" s="23"/>
      <c r="AZ384" s="23"/>
      <c r="BA384" s="23"/>
      <c r="BB384" s="23"/>
      <c r="BC384" s="23"/>
      <c r="BD384" s="20"/>
      <c r="BE384" s="20"/>
      <c r="BF384" s="20"/>
      <c r="BG384" s="20"/>
      <c r="BJ384" s="64"/>
      <c r="BK384" s="64"/>
      <c r="BL384" s="64"/>
      <c r="BT384" s="68" t="s">
        <v>1336</v>
      </c>
      <c r="BU384" s="68">
        <f t="shared" si="57"/>
        <v>1223</v>
      </c>
      <c r="BV384" s="68">
        <v>4</v>
      </c>
      <c r="BX384" s="68" t="s">
        <v>1275</v>
      </c>
      <c r="BY384" s="68" t="s">
        <v>1313</v>
      </c>
      <c r="BZ384" s="68">
        <v>0.2</v>
      </c>
      <c r="CB384" s="68">
        <v>1.67</v>
      </c>
      <c r="CC384" s="68">
        <v>0</v>
      </c>
      <c r="CD384" s="68" t="s">
        <v>464</v>
      </c>
      <c r="CE384" s="68" t="s">
        <v>464</v>
      </c>
      <c r="CF384" s="68" t="s">
        <v>1271</v>
      </c>
      <c r="CG384" s="68">
        <v>250</v>
      </c>
      <c r="CI384" s="68" t="s">
        <v>1287</v>
      </c>
      <c r="CJ384" s="68">
        <f t="shared" si="58"/>
        <v>298</v>
      </c>
      <c r="CK384" s="70">
        <v>11</v>
      </c>
    </row>
    <row r="385" spans="1:89" x14ac:dyDescent="0.3">
      <c r="A385" t="s">
        <v>1341</v>
      </c>
      <c r="B385" t="s">
        <v>2776</v>
      </c>
      <c r="C385" t="s">
        <v>4105</v>
      </c>
      <c r="D385" s="12"/>
      <c r="E385" s="58">
        <v>3.5</v>
      </c>
      <c r="F385" t="s">
        <v>198</v>
      </c>
      <c r="G385" s="25" t="s">
        <v>549</v>
      </c>
      <c r="I385" s="1" t="s">
        <v>1505</v>
      </c>
      <c r="J385" s="1"/>
      <c r="K385" s="1"/>
      <c r="L385" s="1"/>
      <c r="M385" t="b">
        <v>1</v>
      </c>
      <c r="N385" t="b">
        <v>0</v>
      </c>
      <c r="O385" t="b">
        <v>0</v>
      </c>
      <c r="P385" t="b">
        <v>0</v>
      </c>
      <c r="Q385" t="s">
        <v>549</v>
      </c>
      <c r="S385" t="s">
        <v>1505</v>
      </c>
      <c r="T385">
        <v>2</v>
      </c>
      <c r="U385" s="20"/>
      <c r="X385">
        <v>3.8657400000000002</v>
      </c>
      <c r="Y385">
        <v>3.8657400000000002</v>
      </c>
      <c r="Z385">
        <v>29.839960000000001</v>
      </c>
      <c r="AB385">
        <v>14.919980000000001</v>
      </c>
      <c r="AC385" s="20"/>
      <c r="AD385" s="20"/>
      <c r="AE385" s="20"/>
      <c r="AN385" s="44">
        <f t="shared" si="59"/>
        <v>445.92674335055415</v>
      </c>
      <c r="AO385" s="46"/>
      <c r="AP385" s="44"/>
      <c r="AQ385" s="44"/>
      <c r="AR385" s="41"/>
      <c r="AS385" s="40"/>
      <c r="AT385" s="41"/>
      <c r="AU385" s="41"/>
      <c r="AV385" s="23"/>
      <c r="AW385" s="23"/>
      <c r="AX385" s="23"/>
      <c r="AY385" s="23"/>
      <c r="AZ385" s="23"/>
      <c r="BA385" s="23"/>
      <c r="BB385" s="23"/>
      <c r="BC385" s="23"/>
      <c r="BD385" s="20"/>
      <c r="BE385" s="20"/>
      <c r="BF385" s="20"/>
      <c r="BG385" s="20"/>
      <c r="BJ385" s="64"/>
      <c r="BK385" s="64"/>
      <c r="BL385" s="64"/>
      <c r="BT385" s="68" t="s">
        <v>1336</v>
      </c>
      <c r="BU385" s="68">
        <f t="shared" si="57"/>
        <v>1223</v>
      </c>
      <c r="BV385" s="68">
        <v>4</v>
      </c>
      <c r="BX385" s="68" t="s">
        <v>1275</v>
      </c>
      <c r="BY385" s="68" t="s">
        <v>1313</v>
      </c>
      <c r="BZ385" s="68">
        <v>0.2</v>
      </c>
      <c r="CB385" s="68">
        <v>1.67</v>
      </c>
      <c r="CC385" s="68">
        <v>0</v>
      </c>
      <c r="CD385" s="68" t="s">
        <v>464</v>
      </c>
      <c r="CE385" s="68" t="s">
        <v>464</v>
      </c>
      <c r="CF385" s="68" t="s">
        <v>1271</v>
      </c>
      <c r="CG385" s="68">
        <v>250</v>
      </c>
      <c r="CI385" s="68" t="s">
        <v>1287</v>
      </c>
      <c r="CJ385" s="68">
        <f t="shared" si="58"/>
        <v>298</v>
      </c>
      <c r="CK385" s="70">
        <v>0</v>
      </c>
    </row>
    <row r="386" spans="1:89" x14ac:dyDescent="0.3">
      <c r="A386" t="s">
        <v>1342</v>
      </c>
      <c r="B386" t="s">
        <v>2776</v>
      </c>
      <c r="C386" t="s">
        <v>4106</v>
      </c>
      <c r="D386" s="12"/>
      <c r="E386">
        <v>2</v>
      </c>
      <c r="F386" t="s">
        <v>207</v>
      </c>
      <c r="G386" s="101" t="s">
        <v>549</v>
      </c>
      <c r="H386">
        <v>-1</v>
      </c>
      <c r="I386" s="1" t="s">
        <v>1505</v>
      </c>
      <c r="J386" s="1" t="s">
        <v>1814</v>
      </c>
      <c r="K386" s="1"/>
      <c r="L386" s="1"/>
      <c r="M386" t="b">
        <v>1</v>
      </c>
      <c r="N386" t="b">
        <v>0</v>
      </c>
      <c r="O386" t="b">
        <v>0</v>
      </c>
      <c r="P386" t="b">
        <v>0</v>
      </c>
      <c r="Q386" t="s">
        <v>2046</v>
      </c>
      <c r="R386">
        <v>-1</v>
      </c>
      <c r="S386" t="s">
        <v>1505</v>
      </c>
      <c r="T386">
        <v>2</v>
      </c>
      <c r="U386" s="20">
        <v>0</v>
      </c>
      <c r="V386">
        <v>0</v>
      </c>
      <c r="W386">
        <v>0</v>
      </c>
      <c r="X386" s="1">
        <v>3.871</v>
      </c>
      <c r="Y386" s="1">
        <v>3.871</v>
      </c>
      <c r="Z386">
        <v>29.297000000000001</v>
      </c>
      <c r="AB386">
        <v>14.6485</v>
      </c>
      <c r="AC386" s="20">
        <v>0</v>
      </c>
      <c r="AD386" s="20"/>
      <c r="AE386" s="20"/>
      <c r="AF386">
        <v>0</v>
      </c>
      <c r="AI386">
        <v>0</v>
      </c>
      <c r="AM386">
        <v>20</v>
      </c>
      <c r="AN386" s="44">
        <f t="shared" si="40"/>
        <v>439.00502737700003</v>
      </c>
      <c r="AO386" s="46">
        <v>0</v>
      </c>
      <c r="AP386" s="44">
        <v>0</v>
      </c>
      <c r="AQ386" s="44">
        <v>0</v>
      </c>
      <c r="AR386" s="41"/>
      <c r="AS386" s="40"/>
      <c r="AT386" s="41"/>
      <c r="AU386" s="41"/>
      <c r="AV386" s="23">
        <v>1.882352941176471</v>
      </c>
      <c r="AW386" s="23">
        <v>2.3529411764705879</v>
      </c>
      <c r="AX386" s="23">
        <v>1.6470588235294119</v>
      </c>
      <c r="AY386" s="23">
        <v>0</v>
      </c>
      <c r="AZ386" s="23">
        <v>0.32</v>
      </c>
      <c r="BA386" s="23">
        <v>0.4</v>
      </c>
      <c r="BB386" s="23">
        <v>0.28000000000000003</v>
      </c>
      <c r="BC386" s="23">
        <v>0</v>
      </c>
      <c r="BD386" s="20">
        <v>1.1000000000000001</v>
      </c>
      <c r="BE386" s="20">
        <v>3.44</v>
      </c>
      <c r="BF386" s="20">
        <v>2.34</v>
      </c>
      <c r="BG386" s="20">
        <v>2.6482352941176468</v>
      </c>
      <c r="BH386">
        <v>2.6482352941176468</v>
      </c>
      <c r="BI386">
        <v>5.9322299529411762</v>
      </c>
      <c r="BJ386" s="64"/>
      <c r="BK386" s="64"/>
      <c r="BL386" s="64"/>
      <c r="BQ386">
        <v>0</v>
      </c>
      <c r="BR386">
        <v>0</v>
      </c>
      <c r="BS386">
        <v>0</v>
      </c>
      <c r="BT386" s="68" t="s">
        <v>1264</v>
      </c>
      <c r="BU386" s="68">
        <v>1173</v>
      </c>
      <c r="BV386" s="68">
        <v>2</v>
      </c>
      <c r="BX386" s="68" t="s">
        <v>1268</v>
      </c>
      <c r="BY386" s="68" t="s">
        <v>1313</v>
      </c>
      <c r="BZ386" s="68">
        <v>0.3</v>
      </c>
      <c r="CB386" s="68">
        <v>1.25</v>
      </c>
      <c r="CC386" s="68">
        <v>0</v>
      </c>
      <c r="CD386" s="68" t="s">
        <v>1348</v>
      </c>
      <c r="CE386" s="68" t="s">
        <v>1349</v>
      </c>
      <c r="CF386" s="68" t="s">
        <v>1271</v>
      </c>
      <c r="CG386" s="68">
        <v>300</v>
      </c>
      <c r="CH386" s="68">
        <v>420</v>
      </c>
      <c r="CI386" s="68" t="s">
        <v>1310</v>
      </c>
      <c r="CK386" s="70">
        <v>80</v>
      </c>
    </row>
    <row r="387" spans="1:89" x14ac:dyDescent="0.3">
      <c r="A387" t="s">
        <v>1342</v>
      </c>
      <c r="B387" t="s">
        <v>2776</v>
      </c>
      <c r="C387" t="s">
        <v>4106</v>
      </c>
      <c r="D387" s="12"/>
      <c r="E387">
        <v>2</v>
      </c>
      <c r="F387" t="s">
        <v>207</v>
      </c>
      <c r="G387" s="25" t="s">
        <v>549</v>
      </c>
      <c r="H387">
        <v>-1</v>
      </c>
      <c r="I387" s="1" t="s">
        <v>1505</v>
      </c>
      <c r="J387" s="1" t="s">
        <v>1814</v>
      </c>
      <c r="K387" s="1"/>
      <c r="L387" s="1"/>
      <c r="M387" t="b">
        <v>1</v>
      </c>
      <c r="N387" t="b">
        <v>0</v>
      </c>
      <c r="O387" t="b">
        <v>0</v>
      </c>
      <c r="P387" t="b">
        <v>0</v>
      </c>
      <c r="Q387" t="s">
        <v>2048</v>
      </c>
      <c r="R387">
        <v>-1</v>
      </c>
      <c r="S387" t="s">
        <v>1505</v>
      </c>
      <c r="T387">
        <v>2</v>
      </c>
      <c r="U387" s="20">
        <v>0</v>
      </c>
      <c r="V387">
        <v>0</v>
      </c>
      <c r="W387">
        <v>0</v>
      </c>
      <c r="X387" s="1">
        <v>3.871</v>
      </c>
      <c r="Y387" s="1">
        <v>3.871</v>
      </c>
      <c r="Z387">
        <v>29.297000000000001</v>
      </c>
      <c r="AB387">
        <v>14.6485</v>
      </c>
      <c r="AC387" s="20">
        <v>0</v>
      </c>
      <c r="AD387" s="20"/>
      <c r="AE387" s="20"/>
      <c r="AF387">
        <v>0</v>
      </c>
      <c r="AI387">
        <v>0</v>
      </c>
      <c r="AM387">
        <v>20</v>
      </c>
      <c r="AN387" s="44">
        <f t="shared" ref="AN387" si="60">X387*Y387*Z387</f>
        <v>439.00502737700003</v>
      </c>
      <c r="AO387" s="46">
        <v>0</v>
      </c>
      <c r="AP387" s="44">
        <v>0</v>
      </c>
      <c r="AQ387" s="44">
        <v>0</v>
      </c>
      <c r="AR387" s="41"/>
      <c r="AS387" s="40"/>
      <c r="AT387" s="41"/>
      <c r="AU387" s="41"/>
      <c r="AV387" s="23">
        <v>1.882352941176471</v>
      </c>
      <c r="AW387" s="23">
        <v>2.3529411764705879</v>
      </c>
      <c r="AX387" s="23">
        <v>1.6470588235294119</v>
      </c>
      <c r="AY387" s="23">
        <v>0</v>
      </c>
      <c r="AZ387" s="23">
        <v>0.32</v>
      </c>
      <c r="BA387" s="23">
        <v>0.4</v>
      </c>
      <c r="BB387" s="23">
        <v>0.28000000000000003</v>
      </c>
      <c r="BC387" s="23">
        <v>0</v>
      </c>
      <c r="BD387" s="20">
        <v>1.1000000000000001</v>
      </c>
      <c r="BE387" s="20">
        <v>3.44</v>
      </c>
      <c r="BF387" s="20">
        <v>2.34</v>
      </c>
      <c r="BG387" s="20">
        <v>2.6482352941176468</v>
      </c>
      <c r="BH387">
        <v>2.6482352941176468</v>
      </c>
      <c r="BI387">
        <v>5.9322299529411762</v>
      </c>
      <c r="BJ387" s="64"/>
      <c r="BK387" s="64"/>
      <c r="BL387" s="64"/>
      <c r="BQ387">
        <v>0</v>
      </c>
      <c r="BR387">
        <v>0</v>
      </c>
      <c r="BS387">
        <v>0</v>
      </c>
      <c r="BT387" s="68" t="s">
        <v>1264</v>
      </c>
      <c r="BU387" s="68">
        <v>1173</v>
      </c>
      <c r="BV387" s="68">
        <v>2</v>
      </c>
      <c r="BX387" s="68" t="s">
        <v>1268</v>
      </c>
      <c r="BY387" s="68" t="s">
        <v>1313</v>
      </c>
      <c r="BZ387" s="68">
        <v>0.3</v>
      </c>
      <c r="CB387" s="68">
        <v>1.25</v>
      </c>
      <c r="CC387" s="68">
        <v>0</v>
      </c>
      <c r="CD387" s="68" t="s">
        <v>464</v>
      </c>
      <c r="CE387" s="68" t="s">
        <v>464</v>
      </c>
      <c r="CF387" s="68" t="s">
        <v>1271</v>
      </c>
      <c r="CG387" s="68">
        <v>300</v>
      </c>
      <c r="CH387" s="68">
        <v>420</v>
      </c>
      <c r="CI387" s="68" t="s">
        <v>1310</v>
      </c>
      <c r="CK387" s="70">
        <v>0</v>
      </c>
    </row>
    <row r="388" spans="1:89" x14ac:dyDescent="0.3">
      <c r="A388" t="s">
        <v>1343</v>
      </c>
      <c r="B388" t="s">
        <v>0</v>
      </c>
      <c r="C388" t="s">
        <v>868</v>
      </c>
      <c r="D388" s="12"/>
      <c r="E388">
        <v>2.2000000000000002</v>
      </c>
      <c r="F388" t="s">
        <v>207</v>
      </c>
      <c r="G388" s="25" t="s">
        <v>523</v>
      </c>
      <c r="H388" s="1">
        <v>1001842</v>
      </c>
      <c r="I388" s="1"/>
      <c r="J388" s="1" t="s">
        <v>1815</v>
      </c>
      <c r="K388" s="1" t="s">
        <v>1815</v>
      </c>
      <c r="L388" s="1"/>
      <c r="M388" t="b">
        <v>1</v>
      </c>
      <c r="N388" t="b">
        <v>1</v>
      </c>
      <c r="O388" t="b">
        <v>0</v>
      </c>
      <c r="P388" t="b">
        <v>0</v>
      </c>
      <c r="Q388" t="s">
        <v>2050</v>
      </c>
      <c r="R388" t="s">
        <v>2073</v>
      </c>
      <c r="T388">
        <v>4</v>
      </c>
      <c r="U388" s="20">
        <v>0</v>
      </c>
      <c r="V388">
        <v>0</v>
      </c>
      <c r="W388">
        <v>0</v>
      </c>
      <c r="X388" s="1">
        <v>6.6040679999999998</v>
      </c>
      <c r="Y388" s="1">
        <v>7.93</v>
      </c>
      <c r="Z388">
        <v>31.28</v>
      </c>
      <c r="AB388">
        <v>15.64</v>
      </c>
      <c r="AC388" s="20">
        <v>0</v>
      </c>
      <c r="AD388" s="20"/>
      <c r="AE388" s="20"/>
      <c r="AF388">
        <v>0</v>
      </c>
      <c r="AI388">
        <v>0</v>
      </c>
      <c r="AM388">
        <v>34</v>
      </c>
      <c r="AN388" s="44">
        <f t="shared" si="40"/>
        <v>1638.1417090272</v>
      </c>
      <c r="AO388" s="46">
        <v>0</v>
      </c>
      <c r="AP388" s="44">
        <v>0</v>
      </c>
      <c r="AQ388" s="44">
        <v>0</v>
      </c>
      <c r="AR388" s="41"/>
      <c r="AS388" s="40"/>
      <c r="AT388" s="41"/>
      <c r="AU388" s="41"/>
      <c r="AV388" s="23">
        <v>1.62962962962963</v>
      </c>
      <c r="AW388" s="23">
        <v>2.518518518518519</v>
      </c>
      <c r="AX388" s="23">
        <v>1.911111111111111</v>
      </c>
      <c r="AY388" s="23">
        <v>0</v>
      </c>
      <c r="AZ388" s="23">
        <v>0.26894865525672368</v>
      </c>
      <c r="BA388" s="23">
        <v>0.41564792176039123</v>
      </c>
      <c r="BB388" s="23">
        <v>0.31540342298288498</v>
      </c>
      <c r="BC388" s="23">
        <v>0</v>
      </c>
      <c r="BD388" s="20">
        <v>0.82</v>
      </c>
      <c r="BE388" s="20">
        <v>3.44</v>
      </c>
      <c r="BF388" s="20">
        <v>2.62</v>
      </c>
      <c r="BG388" s="20">
        <v>2.7533629629629628</v>
      </c>
      <c r="BH388">
        <v>2.7533629629629628</v>
      </c>
      <c r="BI388">
        <v>6.1693161497481483</v>
      </c>
      <c r="BJ388" s="64"/>
      <c r="BK388" s="64"/>
      <c r="BL388" s="64"/>
      <c r="BQ388">
        <v>0</v>
      </c>
      <c r="BR388">
        <v>0</v>
      </c>
      <c r="BS388">
        <v>0</v>
      </c>
      <c r="BT388" s="68" t="s">
        <v>1264</v>
      </c>
      <c r="BU388" s="68">
        <v>1173</v>
      </c>
      <c r="BV388" s="68">
        <v>2</v>
      </c>
      <c r="BX388" s="68" t="s">
        <v>1268</v>
      </c>
      <c r="BY388" s="68" t="s">
        <v>1313</v>
      </c>
      <c r="BZ388" s="68">
        <v>0.3</v>
      </c>
      <c r="CB388" s="68">
        <v>1.25</v>
      </c>
      <c r="CC388" s="68">
        <v>0</v>
      </c>
      <c r="CD388" s="68" t="s">
        <v>1348</v>
      </c>
      <c r="CE388" s="68" t="s">
        <v>1349</v>
      </c>
      <c r="CF388" s="68" t="s">
        <v>1271</v>
      </c>
      <c r="CG388" s="68">
        <v>300</v>
      </c>
      <c r="CH388" s="68">
        <v>420</v>
      </c>
      <c r="CI388" s="68" t="s">
        <v>1310</v>
      </c>
      <c r="CK388" s="70">
        <v>1.6666666666666667</v>
      </c>
    </row>
    <row r="389" spans="1:89" x14ac:dyDescent="0.3">
      <c r="A389" t="s">
        <v>44</v>
      </c>
      <c r="B389" t="s">
        <v>2776</v>
      </c>
      <c r="C389" t="s">
        <v>3997</v>
      </c>
      <c r="D389" s="12"/>
      <c r="E389">
        <v>3.5</v>
      </c>
      <c r="F389" t="s">
        <v>207</v>
      </c>
      <c r="G389" s="8" t="s">
        <v>549</v>
      </c>
      <c r="H389" s="1"/>
      <c r="I389" s="1" t="s">
        <v>1505</v>
      </c>
      <c r="J389" s="1"/>
      <c r="K389" s="1"/>
      <c r="L389" s="1"/>
      <c r="M389" t="b">
        <v>1</v>
      </c>
      <c r="N389" t="b">
        <v>0</v>
      </c>
      <c r="O389" t="b">
        <v>0</v>
      </c>
      <c r="P389" t="b">
        <v>0</v>
      </c>
      <c r="Q389" t="s">
        <v>549</v>
      </c>
      <c r="S389" t="s">
        <v>1505</v>
      </c>
      <c r="U389" s="20"/>
      <c r="AC389" s="20"/>
      <c r="AD389" s="20"/>
      <c r="AE389" s="20"/>
      <c r="AN389" s="44"/>
      <c r="AO389" s="46"/>
      <c r="AP389" s="44"/>
      <c r="AQ389" s="44"/>
      <c r="AR389" s="41"/>
      <c r="AS389" s="40"/>
      <c r="AT389" s="41"/>
      <c r="AU389" s="41"/>
      <c r="AV389" s="23"/>
      <c r="AW389" s="23"/>
      <c r="AX389" s="23"/>
      <c r="AY389" s="23"/>
      <c r="AZ389" s="23"/>
      <c r="BA389" s="23"/>
      <c r="BB389" s="23"/>
      <c r="BC389" s="23"/>
      <c r="BD389" s="20"/>
      <c r="BE389" s="20"/>
      <c r="BF389" s="20"/>
      <c r="BG389" s="20"/>
      <c r="BJ389" s="64"/>
      <c r="BK389" s="64"/>
      <c r="BL389" s="64"/>
      <c r="BT389" s="68" t="s">
        <v>1264</v>
      </c>
      <c r="BU389" s="68">
        <v>1173</v>
      </c>
      <c r="BV389" s="68">
        <v>2</v>
      </c>
      <c r="BX389" s="68" t="s">
        <v>1268</v>
      </c>
      <c r="BY389" s="68" t="s">
        <v>1313</v>
      </c>
      <c r="BZ389" s="68">
        <v>0.3</v>
      </c>
      <c r="CB389" s="68">
        <v>1.25</v>
      </c>
      <c r="CC389" s="68">
        <v>0</v>
      </c>
      <c r="CD389" s="68" t="s">
        <v>1348</v>
      </c>
      <c r="CE389" s="68" t="s">
        <v>1349</v>
      </c>
      <c r="CF389" s="68" t="s">
        <v>1271</v>
      </c>
      <c r="CG389" s="68">
        <v>300</v>
      </c>
      <c r="CH389" s="68">
        <v>420</v>
      </c>
      <c r="CI389" s="68" t="s">
        <v>1310</v>
      </c>
      <c r="CK389" s="70">
        <v>4</v>
      </c>
    </row>
    <row r="390" spans="1:89" x14ac:dyDescent="0.3">
      <c r="A390" t="s">
        <v>1344</v>
      </c>
      <c r="C390" t="s">
        <v>4107</v>
      </c>
      <c r="D390" s="12"/>
      <c r="E390">
        <v>2.2999999999999998</v>
      </c>
      <c r="F390" t="s">
        <v>207</v>
      </c>
      <c r="G390" s="101" t="s">
        <v>524</v>
      </c>
      <c r="H390" s="1" t="s">
        <v>607</v>
      </c>
      <c r="J390" s="1" t="s">
        <v>1816</v>
      </c>
      <c r="K390" s="1" t="s">
        <v>1816</v>
      </c>
      <c r="M390" t="b">
        <v>1</v>
      </c>
      <c r="N390" t="b">
        <v>1</v>
      </c>
      <c r="O390" t="b">
        <v>0</v>
      </c>
      <c r="P390" t="b">
        <v>0</v>
      </c>
      <c r="Q390" t="s">
        <v>2052</v>
      </c>
      <c r="R390" t="s">
        <v>2076</v>
      </c>
      <c r="U390" s="20">
        <v>0</v>
      </c>
      <c r="V390">
        <v>1</v>
      </c>
      <c r="W390">
        <v>0</v>
      </c>
      <c r="X390">
        <v>-1</v>
      </c>
      <c r="AC390" s="20">
        <v>0</v>
      </c>
      <c r="AD390" s="20"/>
      <c r="AE390" s="20"/>
      <c r="AF390">
        <v>3.9060000000000001</v>
      </c>
      <c r="AG390">
        <v>21.603000000000002</v>
      </c>
      <c r="AH390">
        <v>3.8879000000000001</v>
      </c>
      <c r="AI390">
        <v>0</v>
      </c>
      <c r="AM390">
        <v>14</v>
      </c>
      <c r="AN390" s="44">
        <f t="shared" si="40"/>
        <v>0</v>
      </c>
      <c r="AO390" s="46">
        <v>0</v>
      </c>
      <c r="AP390" s="44">
        <v>328.06612625219998</v>
      </c>
      <c r="AQ390" s="44">
        <v>0</v>
      </c>
      <c r="AR390" s="41"/>
      <c r="AS390" s="40"/>
      <c r="AT390" s="41">
        <v>4.2674323496713393E-2</v>
      </c>
      <c r="AU390" s="41"/>
      <c r="AV390" s="23">
        <v>1.7272727272727271</v>
      </c>
      <c r="AW390" s="23">
        <v>2.545454545454545</v>
      </c>
      <c r="AX390" s="23">
        <v>1.4090909090909089</v>
      </c>
      <c r="AY390" s="23">
        <v>0</v>
      </c>
      <c r="AZ390" s="23">
        <v>0.30399999999999999</v>
      </c>
      <c r="BA390" s="23">
        <v>0.44800000000000001</v>
      </c>
      <c r="BB390" s="23">
        <v>0.248</v>
      </c>
      <c r="BC390" s="23">
        <v>0</v>
      </c>
      <c r="BD390" s="20">
        <v>0.82</v>
      </c>
      <c r="BE390" s="20">
        <v>3.44</v>
      </c>
      <c r="BF390" s="20">
        <v>2.62</v>
      </c>
      <c r="BG390" s="20">
        <v>2.7183636363636361</v>
      </c>
      <c r="BH390">
        <v>2.718363636363637</v>
      </c>
      <c r="BI390">
        <v>6.1164196318636357</v>
      </c>
      <c r="BJ390" s="64">
        <v>0.48450364842179561</v>
      </c>
      <c r="BK390" s="64"/>
      <c r="BL390" s="64"/>
      <c r="BO390">
        <v>2.13371617483567E-2</v>
      </c>
      <c r="BQ390">
        <v>4.2674323496713393E-2</v>
      </c>
      <c r="BR390">
        <v>2.13371617483567E-2</v>
      </c>
      <c r="BS390">
        <v>0.48450364842179561</v>
      </c>
      <c r="BT390" s="68" t="s">
        <v>1264</v>
      </c>
      <c r="BU390" s="68">
        <v>1173</v>
      </c>
      <c r="BV390" s="68">
        <v>2</v>
      </c>
      <c r="BX390" s="68" t="s">
        <v>1268</v>
      </c>
      <c r="BY390" s="68" t="s">
        <v>1313</v>
      </c>
      <c r="BZ390" s="68">
        <v>0.3</v>
      </c>
      <c r="CB390" s="68">
        <v>1.25</v>
      </c>
      <c r="CC390" s="68">
        <v>0</v>
      </c>
      <c r="CD390" s="68" t="s">
        <v>1348</v>
      </c>
      <c r="CE390" s="68" t="s">
        <v>1349</v>
      </c>
      <c r="CF390" s="68" t="s">
        <v>1271</v>
      </c>
      <c r="CG390" s="68">
        <v>300</v>
      </c>
      <c r="CH390" s="68">
        <v>420</v>
      </c>
      <c r="CI390" s="68" t="s">
        <v>1310</v>
      </c>
      <c r="CK390" s="70">
        <v>0.26666666666666666</v>
      </c>
    </row>
    <row r="391" spans="1:89" x14ac:dyDescent="0.3">
      <c r="A391" t="s">
        <v>1345</v>
      </c>
      <c r="B391" t="s">
        <v>4</v>
      </c>
      <c r="C391" t="s">
        <v>4108</v>
      </c>
      <c r="D391" s="12"/>
      <c r="E391">
        <v>2.8</v>
      </c>
      <c r="F391" t="s">
        <v>207</v>
      </c>
      <c r="G391" s="101" t="s">
        <v>584</v>
      </c>
      <c r="H391" s="1" t="s">
        <v>658</v>
      </c>
      <c r="J391" s="1" t="s">
        <v>1817</v>
      </c>
      <c r="K391" s="1" t="s">
        <v>1817</v>
      </c>
      <c r="M391" t="b">
        <v>1</v>
      </c>
      <c r="N391" t="b">
        <v>1</v>
      </c>
      <c r="O391" t="b">
        <v>0</v>
      </c>
      <c r="P391" t="b">
        <v>0</v>
      </c>
      <c r="Q391" t="s">
        <v>2054</v>
      </c>
      <c r="R391" t="s">
        <v>2079</v>
      </c>
      <c r="U391" s="20">
        <v>0</v>
      </c>
      <c r="V391">
        <v>1</v>
      </c>
      <c r="W391">
        <v>0</v>
      </c>
      <c r="X391">
        <v>-1</v>
      </c>
      <c r="AC391" s="20">
        <v>0</v>
      </c>
      <c r="AD391" s="20"/>
      <c r="AE391" s="20"/>
      <c r="AF391">
        <v>3.8573</v>
      </c>
      <c r="AG391">
        <v>3.8573</v>
      </c>
      <c r="AH391">
        <v>15.044</v>
      </c>
      <c r="AI391">
        <v>0</v>
      </c>
      <c r="AM391">
        <v>20</v>
      </c>
      <c r="AN391" s="44">
        <f t="shared" si="40"/>
        <v>0</v>
      </c>
      <c r="AO391" s="46">
        <v>0</v>
      </c>
      <c r="AP391" s="44">
        <v>223.83611493475999</v>
      </c>
      <c r="AQ391" s="44">
        <v>0</v>
      </c>
      <c r="AR391" s="41"/>
      <c r="AS391" s="40"/>
      <c r="AT391" s="41">
        <v>8.9351086199066954E-2</v>
      </c>
      <c r="AU391" s="41"/>
      <c r="AV391" s="23">
        <v>1.9375</v>
      </c>
      <c r="AW391" s="23">
        <v>2.5</v>
      </c>
      <c r="AX391" s="23">
        <v>0.625</v>
      </c>
      <c r="AY391" s="23">
        <v>2.625</v>
      </c>
      <c r="AZ391" s="23">
        <v>0.25203252032520318</v>
      </c>
      <c r="BA391" s="23">
        <v>0.32520325203252032</v>
      </c>
      <c r="BB391" s="23">
        <v>8.1300813008130079E-2</v>
      </c>
      <c r="BC391" s="23">
        <v>0.34146341463414642</v>
      </c>
      <c r="BD391" s="20">
        <v>0.82</v>
      </c>
      <c r="BE391" s="20">
        <v>3.44</v>
      </c>
      <c r="BF391" s="20">
        <v>2.62</v>
      </c>
      <c r="BG391" s="20">
        <v>2.6142500000000002</v>
      </c>
      <c r="BH391">
        <v>2.6142500000000002</v>
      </c>
      <c r="BI391">
        <v>5.9930639130937511</v>
      </c>
      <c r="BJ391" s="64">
        <v>0.5100369583648936</v>
      </c>
      <c r="BK391" s="64">
        <v>0.54203706385343264</v>
      </c>
      <c r="BL391" s="64"/>
      <c r="BO391">
        <v>4.4675543099533477E-2</v>
      </c>
      <c r="BQ391">
        <v>8.9351086199066954E-2</v>
      </c>
      <c r="BR391">
        <v>4.4675543099533477E-2</v>
      </c>
      <c r="BS391">
        <v>0.52603701110916312</v>
      </c>
      <c r="BT391" s="68" t="s">
        <v>1264</v>
      </c>
      <c r="BU391" s="68">
        <v>1173</v>
      </c>
      <c r="BV391" s="68">
        <v>2</v>
      </c>
      <c r="BX391" s="68" t="s">
        <v>1268</v>
      </c>
      <c r="BY391" s="68" t="s">
        <v>1313</v>
      </c>
      <c r="BZ391" s="68">
        <v>0.3</v>
      </c>
      <c r="CB391" s="68">
        <v>1.25</v>
      </c>
      <c r="CC391" s="68">
        <v>0</v>
      </c>
      <c r="CD391" s="68" t="s">
        <v>1348</v>
      </c>
      <c r="CE391" s="68" t="s">
        <v>1349</v>
      </c>
      <c r="CF391" s="68" t="s">
        <v>1271</v>
      </c>
      <c r="CG391" s="68">
        <v>300</v>
      </c>
      <c r="CH391" s="68">
        <v>420</v>
      </c>
      <c r="CI391" s="68" t="s">
        <v>1310</v>
      </c>
      <c r="CK391" s="70">
        <v>4.8</v>
      </c>
    </row>
    <row r="392" spans="1:89" x14ac:dyDescent="0.3">
      <c r="A392" t="s">
        <v>203</v>
      </c>
      <c r="B392" t="s">
        <v>4</v>
      </c>
      <c r="C392" t="s">
        <v>4054</v>
      </c>
      <c r="D392" s="12"/>
      <c r="E392">
        <v>4.5</v>
      </c>
      <c r="F392" t="s">
        <v>207</v>
      </c>
      <c r="G392" s="101" t="s">
        <v>584</v>
      </c>
      <c r="H392" s="1" t="s">
        <v>658</v>
      </c>
      <c r="M392" t="b">
        <v>1</v>
      </c>
      <c r="N392" t="b">
        <v>1</v>
      </c>
      <c r="O392" t="b">
        <v>0</v>
      </c>
      <c r="P392" t="b">
        <v>0</v>
      </c>
      <c r="Q392" t="s">
        <v>584</v>
      </c>
      <c r="R392" t="s">
        <v>658</v>
      </c>
      <c r="T392">
        <v>1</v>
      </c>
      <c r="U392" s="20">
        <v>1</v>
      </c>
      <c r="V392">
        <v>1</v>
      </c>
      <c r="W392">
        <v>0</v>
      </c>
      <c r="X392">
        <v>3.8650000000000002</v>
      </c>
      <c r="Y392">
        <v>3.8650000000000002</v>
      </c>
      <c r="Z392">
        <v>15.05</v>
      </c>
      <c r="AB392">
        <v>15.05</v>
      </c>
      <c r="AC392" s="20">
        <v>3.9414189999999998</v>
      </c>
      <c r="AD392" s="20">
        <v>3.9414189999999998</v>
      </c>
      <c r="AE392" s="20">
        <v>15.312718</v>
      </c>
      <c r="AF392">
        <v>3.8573</v>
      </c>
      <c r="AG392">
        <v>3.8573</v>
      </c>
      <c r="AH392">
        <v>15.044</v>
      </c>
      <c r="AI392">
        <v>0</v>
      </c>
      <c r="AM392">
        <v>20</v>
      </c>
      <c r="AN392" s="44">
        <f t="shared" si="40"/>
        <v>224.82028625000004</v>
      </c>
      <c r="AO392" s="46">
        <v>237.8797625030067</v>
      </c>
      <c r="AP392" s="44">
        <v>223.83611493475999</v>
      </c>
      <c r="AQ392" s="44">
        <v>0</v>
      </c>
      <c r="AR392" s="41"/>
      <c r="AS392" s="40">
        <v>8.4076088648975381E-2</v>
      </c>
      <c r="AT392" s="41">
        <v>8.9351086199066954E-2</v>
      </c>
      <c r="AU392" s="41"/>
      <c r="AV392" s="23">
        <v>1.9375</v>
      </c>
      <c r="AW392" s="23">
        <v>2.5</v>
      </c>
      <c r="AX392" s="23">
        <v>0.5625</v>
      </c>
      <c r="AY392" s="23">
        <v>2.625</v>
      </c>
      <c r="AZ392" s="23">
        <v>0.25409836065573771</v>
      </c>
      <c r="BA392" s="23">
        <v>0.32786885245901642</v>
      </c>
      <c r="BB392" s="23">
        <v>7.3770491803278687E-2</v>
      </c>
      <c r="BC392" s="23">
        <v>0.34426229508196721</v>
      </c>
      <c r="BD392" s="20">
        <v>0.82</v>
      </c>
      <c r="BE392" s="20">
        <v>3.44</v>
      </c>
      <c r="BF392" s="20">
        <v>2.62</v>
      </c>
      <c r="BG392" s="20">
        <v>2.6074999999999999</v>
      </c>
      <c r="BH392">
        <v>2.6074999999999999</v>
      </c>
      <c r="BI392">
        <v>5.9796291640625006</v>
      </c>
      <c r="BJ392" s="64">
        <v>0.5100369583648936</v>
      </c>
      <c r="BK392" s="64">
        <v>0.54203706385343264</v>
      </c>
      <c r="BL392" s="64"/>
      <c r="BN392">
        <v>4.203804432448769E-2</v>
      </c>
      <c r="BO392">
        <v>4.4675543099533477E-2</v>
      </c>
      <c r="BQ392">
        <v>8.671358742402116E-2</v>
      </c>
      <c r="BR392">
        <v>4.335679371201058E-2</v>
      </c>
      <c r="BS392">
        <v>0.52603701110916312</v>
      </c>
      <c r="BT392" s="68" t="s">
        <v>1264</v>
      </c>
      <c r="BU392" s="68">
        <v>1173</v>
      </c>
      <c r="BV392" s="68">
        <v>2</v>
      </c>
      <c r="BX392" s="68" t="s">
        <v>1268</v>
      </c>
      <c r="BY392" s="68" t="s">
        <v>1313</v>
      </c>
      <c r="BZ392" s="68">
        <v>0.3</v>
      </c>
      <c r="CB392" s="68">
        <v>1.25</v>
      </c>
      <c r="CC392" s="68">
        <v>0</v>
      </c>
      <c r="CD392" s="68" t="s">
        <v>1348</v>
      </c>
      <c r="CE392" s="68" t="s">
        <v>1349</v>
      </c>
      <c r="CF392" s="68" t="s">
        <v>1271</v>
      </c>
      <c r="CG392" s="68">
        <v>300</v>
      </c>
      <c r="CH392" s="68">
        <v>420</v>
      </c>
      <c r="CI392" s="68" t="s">
        <v>1310</v>
      </c>
      <c r="CK392" s="70">
        <v>0</v>
      </c>
    </row>
    <row r="393" spans="1:89" x14ac:dyDescent="0.3">
      <c r="A393" t="s">
        <v>28</v>
      </c>
      <c r="C393" t="s">
        <v>4109</v>
      </c>
      <c r="D393" s="12"/>
      <c r="E393">
        <v>4</v>
      </c>
      <c r="F393" t="s">
        <v>207</v>
      </c>
      <c r="G393" s="8" t="s">
        <v>586</v>
      </c>
      <c r="H393" t="s">
        <v>660</v>
      </c>
      <c r="M393" t="b">
        <v>1</v>
      </c>
      <c r="N393" t="b">
        <v>1</v>
      </c>
      <c r="O393" t="b">
        <v>0</v>
      </c>
      <c r="P393" t="b">
        <v>0</v>
      </c>
      <c r="Q393" t="s">
        <v>586</v>
      </c>
      <c r="R393" t="s">
        <v>660</v>
      </c>
      <c r="U393" s="20">
        <v>8</v>
      </c>
      <c r="V393">
        <v>4</v>
      </c>
      <c r="W393">
        <v>0</v>
      </c>
      <c r="AC393" s="20">
        <v>7.5714817599999993</v>
      </c>
      <c r="AD393" s="20">
        <v>7.4441355800000002</v>
      </c>
      <c r="AE393" s="20">
        <v>14.785262019999999</v>
      </c>
      <c r="AF393">
        <v>5.4767999999999999</v>
      </c>
      <c r="AG393">
        <v>5.5212000000000003</v>
      </c>
      <c r="AH393">
        <v>7.7889999999999997</v>
      </c>
      <c r="AI393">
        <v>0</v>
      </c>
      <c r="AM393">
        <v>6</v>
      </c>
      <c r="AN393" s="44">
        <f t="shared" si="40"/>
        <v>0</v>
      </c>
      <c r="AO393" s="46">
        <v>583.54908217201648</v>
      </c>
      <c r="AP393" s="44">
        <v>235.52774005824</v>
      </c>
      <c r="AQ393" s="44">
        <v>0</v>
      </c>
      <c r="AR393" s="41"/>
      <c r="AS393" s="40">
        <v>8.2255291742281814E-2</v>
      </c>
      <c r="AT393" s="41">
        <v>0.10189882514078979</v>
      </c>
      <c r="AU393" s="41"/>
      <c r="AV393" s="23">
        <v>1.8</v>
      </c>
      <c r="AW393" s="23">
        <v>2.4</v>
      </c>
      <c r="AX393" s="23">
        <v>0.6</v>
      </c>
      <c r="AY393" s="23">
        <v>2.8</v>
      </c>
      <c r="AZ393" s="23">
        <v>0.23684210526315791</v>
      </c>
      <c r="BA393" s="23">
        <v>0.31578947368421051</v>
      </c>
      <c r="BB393" s="23">
        <v>7.8947368421052627E-2</v>
      </c>
      <c r="BC393" s="23">
        <v>0.36842105263157893</v>
      </c>
      <c r="BD393" s="20">
        <v>0.93</v>
      </c>
      <c r="BE393" s="20">
        <v>3.44</v>
      </c>
      <c r="BF393" s="20">
        <v>2.5099999999999998</v>
      </c>
      <c r="BG393" s="20">
        <v>2.5499999999999998</v>
      </c>
      <c r="BH393">
        <v>2.5499999999999998</v>
      </c>
      <c r="BI393">
        <v>5.8797175109999991</v>
      </c>
      <c r="BJ393" s="64">
        <v>0.46150059156666667</v>
      </c>
      <c r="BK393" s="64">
        <v>0.57171237359127625</v>
      </c>
      <c r="BL393" s="64"/>
      <c r="BN393">
        <v>4.1127645871140907E-2</v>
      </c>
      <c r="BO393">
        <v>5.0949412570394918E-2</v>
      </c>
      <c r="BQ393">
        <v>9.2077058441535797E-2</v>
      </c>
      <c r="BR393">
        <v>4.6038529220767913E-2</v>
      </c>
      <c r="BS393">
        <v>0.51660648257897146</v>
      </c>
      <c r="BT393" s="68" t="s">
        <v>1264</v>
      </c>
      <c r="BU393" s="68">
        <v>1173</v>
      </c>
      <c r="BV393" s="68">
        <v>2</v>
      </c>
      <c r="BX393" s="68" t="s">
        <v>1268</v>
      </c>
      <c r="BY393" s="68" t="s">
        <v>1313</v>
      </c>
      <c r="BZ393" s="68">
        <v>0.3</v>
      </c>
      <c r="CB393" s="68">
        <v>1.25</v>
      </c>
      <c r="CC393" s="68">
        <v>0</v>
      </c>
      <c r="CD393" s="68" t="s">
        <v>1348</v>
      </c>
      <c r="CE393" s="68" t="s">
        <v>1349</v>
      </c>
      <c r="CF393" s="68" t="s">
        <v>1271</v>
      </c>
      <c r="CG393" s="68">
        <v>300</v>
      </c>
      <c r="CH393" s="68">
        <v>420</v>
      </c>
      <c r="CI393" s="68" t="s">
        <v>1310</v>
      </c>
      <c r="CK393" s="70">
        <f>0.03/0.15</f>
        <v>0.2</v>
      </c>
    </row>
    <row r="394" spans="1:89" x14ac:dyDescent="0.3">
      <c r="A394" t="s">
        <v>1346</v>
      </c>
      <c r="C394" t="s">
        <v>4110</v>
      </c>
      <c r="D394" s="12"/>
      <c r="E394">
        <v>2.8</v>
      </c>
      <c r="F394" t="s">
        <v>207</v>
      </c>
      <c r="G394" s="25" t="s">
        <v>585</v>
      </c>
      <c r="H394" s="1" t="s">
        <v>659</v>
      </c>
      <c r="M394" t="b">
        <v>1</v>
      </c>
      <c r="N394" t="b">
        <v>1</v>
      </c>
      <c r="O394" t="b">
        <v>0</v>
      </c>
      <c r="P394" t="b">
        <v>0</v>
      </c>
      <c r="Q394" t="s">
        <v>585</v>
      </c>
      <c r="R394" t="s">
        <v>659</v>
      </c>
      <c r="U394" s="20">
        <v>0</v>
      </c>
      <c r="V394">
        <v>6</v>
      </c>
      <c r="W394">
        <v>0</v>
      </c>
      <c r="X394">
        <v>-1</v>
      </c>
      <c r="AC394" s="20">
        <v>0</v>
      </c>
      <c r="AD394" s="20"/>
      <c r="AE394" s="20"/>
      <c r="AF394">
        <v>5.15428</v>
      </c>
      <c r="AG394">
        <v>5.1542800000000009</v>
      </c>
      <c r="AH394">
        <v>13.7835</v>
      </c>
      <c r="AI394">
        <v>0</v>
      </c>
      <c r="AM394">
        <v>6</v>
      </c>
      <c r="AN394" s="44">
        <f t="shared" si="40"/>
        <v>0</v>
      </c>
      <c r="AO394" s="46">
        <v>0</v>
      </c>
      <c r="AP394" s="44">
        <v>317.12184318337751</v>
      </c>
      <c r="AQ394" s="44">
        <v>0</v>
      </c>
      <c r="AR394" s="41"/>
      <c r="AS394" s="40"/>
      <c r="AT394" s="41">
        <v>0.1135210354437263</v>
      </c>
      <c r="AU394" s="41"/>
      <c r="AV394" s="23">
        <v>1.8</v>
      </c>
      <c r="AW394" s="23">
        <v>2.4</v>
      </c>
      <c r="AX394" s="23">
        <v>0.64</v>
      </c>
      <c r="AY394" s="23">
        <v>2.8</v>
      </c>
      <c r="AZ394" s="23">
        <v>0.2356020942408377</v>
      </c>
      <c r="BA394" s="23">
        <v>0.3141361256544502</v>
      </c>
      <c r="BB394" s="23">
        <v>8.3769633507853394E-2</v>
      </c>
      <c r="BC394" s="23">
        <v>0.36649214659685858</v>
      </c>
      <c r="BD394" s="20">
        <v>0.98</v>
      </c>
      <c r="BE394" s="20">
        <v>3.44</v>
      </c>
      <c r="BF394" s="20">
        <v>2.46</v>
      </c>
      <c r="BG394" s="20">
        <v>2.5636800000000002</v>
      </c>
      <c r="BH394">
        <v>2.5636800000000002</v>
      </c>
      <c r="BI394">
        <v>5.9178984111680002</v>
      </c>
      <c r="BJ394" s="64">
        <v>0.51645314797839414</v>
      </c>
      <c r="BK394" s="64">
        <v>0</v>
      </c>
      <c r="BL394" s="64"/>
      <c r="BO394">
        <v>5.6760517721863142E-2</v>
      </c>
      <c r="BQ394">
        <v>0.1135210354437263</v>
      </c>
      <c r="BR394">
        <v>5.6760517721863142E-2</v>
      </c>
      <c r="BS394">
        <v>0.25822657398919707</v>
      </c>
      <c r="BT394" s="68" t="s">
        <v>1264</v>
      </c>
      <c r="BU394" s="68">
        <v>1173</v>
      </c>
      <c r="BV394" s="68">
        <v>2</v>
      </c>
      <c r="BX394" s="68" t="s">
        <v>1268</v>
      </c>
      <c r="BY394" s="68" t="s">
        <v>1313</v>
      </c>
      <c r="BZ394" s="68">
        <v>0.3</v>
      </c>
      <c r="CB394" s="68">
        <v>1.25</v>
      </c>
      <c r="CC394" s="68">
        <v>0</v>
      </c>
      <c r="CD394" s="68" t="s">
        <v>1348</v>
      </c>
      <c r="CE394" s="68" t="s">
        <v>1349</v>
      </c>
      <c r="CF394" s="68" t="s">
        <v>1271</v>
      </c>
      <c r="CG394" s="68">
        <v>300</v>
      </c>
      <c r="CH394" s="68">
        <v>420</v>
      </c>
      <c r="CI394" s="68" t="s">
        <v>1310</v>
      </c>
      <c r="CK394" s="70">
        <v>1.2</v>
      </c>
    </row>
    <row r="395" spans="1:89" x14ac:dyDescent="0.3">
      <c r="A395" t="s">
        <v>1347</v>
      </c>
      <c r="C395" t="s">
        <v>4111</v>
      </c>
      <c r="D395" s="12"/>
      <c r="E395">
        <v>2</v>
      </c>
      <c r="F395" t="s">
        <v>207</v>
      </c>
      <c r="G395" s="25" t="s">
        <v>586</v>
      </c>
      <c r="H395" s="1" t="s">
        <v>660</v>
      </c>
      <c r="M395" t="b">
        <v>1</v>
      </c>
      <c r="N395" t="b">
        <v>1</v>
      </c>
      <c r="O395" t="b">
        <v>0</v>
      </c>
      <c r="P395" t="b">
        <v>0</v>
      </c>
      <c r="Q395" t="s">
        <v>586</v>
      </c>
      <c r="R395" t="s">
        <v>660</v>
      </c>
      <c r="U395" s="20">
        <v>0</v>
      </c>
      <c r="V395">
        <v>4</v>
      </c>
      <c r="W395">
        <v>0</v>
      </c>
      <c r="X395">
        <v>-1</v>
      </c>
      <c r="AC395" s="20">
        <v>0</v>
      </c>
      <c r="AD395" s="20"/>
      <c r="AE395" s="20"/>
      <c r="AF395">
        <v>5.4767999999999999</v>
      </c>
      <c r="AG395">
        <v>5.5212000000000003</v>
      </c>
      <c r="AH395">
        <v>7.7889999999999997</v>
      </c>
      <c r="AI395">
        <v>0</v>
      </c>
      <c r="AM395">
        <v>6</v>
      </c>
      <c r="AN395" s="44">
        <f t="shared" si="40"/>
        <v>0</v>
      </c>
      <c r="AO395" s="46">
        <v>0</v>
      </c>
      <c r="AP395" s="44">
        <v>235.52774005824</v>
      </c>
      <c r="AQ395" s="44">
        <v>0</v>
      </c>
      <c r="AR395" s="41"/>
      <c r="AS395" s="40"/>
      <c r="AT395" s="41">
        <v>0.10189882514078979</v>
      </c>
      <c r="AU395" s="41"/>
      <c r="AV395" s="23">
        <v>1.8</v>
      </c>
      <c r="AW395" s="23">
        <v>2.4</v>
      </c>
      <c r="AX395" s="23">
        <v>0.78</v>
      </c>
      <c r="AY395" s="23">
        <v>2.8</v>
      </c>
      <c r="AZ395" s="23">
        <v>0.23136246786632389</v>
      </c>
      <c r="BA395" s="23">
        <v>0.30848329048843193</v>
      </c>
      <c r="BB395" s="23">
        <v>0.10025706940874041</v>
      </c>
      <c r="BC395" s="23">
        <v>0.35989717223650391</v>
      </c>
      <c r="BD395" s="20">
        <v>0.93</v>
      </c>
      <c r="BE395" s="20">
        <v>3.44</v>
      </c>
      <c r="BF395" s="20">
        <v>2.5099999999999998</v>
      </c>
      <c r="BG395" s="20">
        <v>2.5674600000000001</v>
      </c>
      <c r="BH395">
        <v>2.5674600000000001</v>
      </c>
      <c r="BI395">
        <v>5.9091939581100004</v>
      </c>
      <c r="BJ395" s="64">
        <v>0.46150059156666667</v>
      </c>
      <c r="BK395" s="64">
        <v>0.57171237359127625</v>
      </c>
      <c r="BL395" s="64"/>
      <c r="BO395">
        <v>5.0949412570394918E-2</v>
      </c>
      <c r="BQ395">
        <v>0.10189882514078979</v>
      </c>
      <c r="BR395">
        <v>5.0949412570394918E-2</v>
      </c>
      <c r="BS395">
        <v>0.51660648257897146</v>
      </c>
      <c r="BT395" s="68" t="s">
        <v>1264</v>
      </c>
      <c r="BU395" s="68">
        <v>1173</v>
      </c>
      <c r="BV395" s="68">
        <v>2</v>
      </c>
      <c r="BX395" s="68" t="s">
        <v>1268</v>
      </c>
      <c r="BY395" s="68" t="s">
        <v>1313</v>
      </c>
      <c r="BZ395" s="68">
        <v>0.3</v>
      </c>
      <c r="CB395" s="68">
        <v>1.25</v>
      </c>
      <c r="CC395" s="68">
        <v>0</v>
      </c>
      <c r="CD395" s="68" t="s">
        <v>1348</v>
      </c>
      <c r="CE395" s="68" t="s">
        <v>1349</v>
      </c>
      <c r="CF395" s="68" t="s">
        <v>1271</v>
      </c>
      <c r="CG395" s="68">
        <v>300</v>
      </c>
      <c r="CH395" s="68">
        <v>420</v>
      </c>
      <c r="CI395" s="68" t="s">
        <v>1310</v>
      </c>
      <c r="CK395" s="70">
        <v>120</v>
      </c>
    </row>
    <row r="396" spans="1:89" x14ac:dyDescent="0.3">
      <c r="A396" t="s">
        <v>1347</v>
      </c>
      <c r="C396" t="s">
        <v>4111</v>
      </c>
      <c r="D396" s="12"/>
      <c r="E396">
        <v>2</v>
      </c>
      <c r="F396" t="s">
        <v>207</v>
      </c>
      <c r="G396" s="25" t="s">
        <v>586</v>
      </c>
      <c r="H396" s="1" t="s">
        <v>660</v>
      </c>
      <c r="M396" t="b">
        <v>1</v>
      </c>
      <c r="N396" t="b">
        <v>1</v>
      </c>
      <c r="O396" t="b">
        <v>0</v>
      </c>
      <c r="P396" t="b">
        <v>0</v>
      </c>
      <c r="Q396" t="s">
        <v>586</v>
      </c>
      <c r="R396" t="s">
        <v>660</v>
      </c>
      <c r="U396" s="20">
        <v>0</v>
      </c>
      <c r="V396">
        <v>4</v>
      </c>
      <c r="W396">
        <v>0</v>
      </c>
      <c r="X396">
        <v>-1</v>
      </c>
      <c r="AC396" s="20">
        <v>0</v>
      </c>
      <c r="AD396" s="20"/>
      <c r="AE396" s="20"/>
      <c r="AF396">
        <v>5.4767999999999999</v>
      </c>
      <c r="AG396">
        <v>5.5212000000000003</v>
      </c>
      <c r="AH396">
        <v>7.7889999999999997</v>
      </c>
      <c r="AI396">
        <v>0</v>
      </c>
      <c r="AM396">
        <v>6</v>
      </c>
      <c r="AN396" s="44">
        <f t="shared" ref="AN396" si="61">X396*Y396*Z396</f>
        <v>0</v>
      </c>
      <c r="AO396" s="46">
        <v>0</v>
      </c>
      <c r="AP396" s="44">
        <v>235.52774005824</v>
      </c>
      <c r="AQ396" s="44">
        <v>0</v>
      </c>
      <c r="AR396" s="41"/>
      <c r="AS396" s="40"/>
      <c r="AT396" s="41">
        <v>0.10189882514078979</v>
      </c>
      <c r="AU396" s="41"/>
      <c r="AV396" s="23">
        <v>1.8</v>
      </c>
      <c r="AW396" s="23">
        <v>2.4</v>
      </c>
      <c r="AX396" s="23">
        <v>0.78</v>
      </c>
      <c r="AY396" s="23">
        <v>2.8</v>
      </c>
      <c r="AZ396" s="23">
        <v>0.23136246786632389</v>
      </c>
      <c r="BA396" s="23">
        <v>0.30848329048843193</v>
      </c>
      <c r="BB396" s="23">
        <v>0.10025706940874041</v>
      </c>
      <c r="BC396" s="23">
        <v>0.35989717223650391</v>
      </c>
      <c r="BD396" s="20">
        <v>0.93</v>
      </c>
      <c r="BE396" s="20">
        <v>3.44</v>
      </c>
      <c r="BF396" s="20">
        <v>2.5099999999999998</v>
      </c>
      <c r="BG396" s="20">
        <v>2.5674600000000001</v>
      </c>
      <c r="BH396">
        <v>2.5674600000000001</v>
      </c>
      <c r="BI396">
        <v>5.9091939581100004</v>
      </c>
      <c r="BJ396" s="64">
        <v>0.46150059156666667</v>
      </c>
      <c r="BK396" s="64">
        <v>0.57171237359127625</v>
      </c>
      <c r="BL396" s="64"/>
      <c r="BO396">
        <v>5.0949412570394918E-2</v>
      </c>
      <c r="BQ396">
        <v>0.10189882514078979</v>
      </c>
      <c r="BR396">
        <v>5.0949412570394918E-2</v>
      </c>
      <c r="BS396">
        <v>0.51660648257897146</v>
      </c>
      <c r="BT396" s="68" t="s">
        <v>1264</v>
      </c>
      <c r="BU396" s="68">
        <v>1173</v>
      </c>
      <c r="BV396" s="68">
        <v>2</v>
      </c>
      <c r="BX396" s="68" t="s">
        <v>1268</v>
      </c>
      <c r="BY396" s="68" t="s">
        <v>1313</v>
      </c>
      <c r="BZ396" s="68">
        <v>0.3</v>
      </c>
      <c r="CB396" s="68">
        <v>1.25</v>
      </c>
      <c r="CC396" s="68">
        <v>0</v>
      </c>
      <c r="CD396" s="68" t="s">
        <v>464</v>
      </c>
      <c r="CE396" s="68" t="s">
        <v>464</v>
      </c>
      <c r="CF396" s="68" t="s">
        <v>1271</v>
      </c>
      <c r="CG396" s="68">
        <v>300</v>
      </c>
      <c r="CH396" s="68">
        <v>420</v>
      </c>
      <c r="CI396" s="68" t="s">
        <v>1310</v>
      </c>
      <c r="CK396" s="70">
        <v>0</v>
      </c>
    </row>
    <row r="397" spans="1:89" x14ac:dyDescent="0.3">
      <c r="A397" t="s">
        <v>153</v>
      </c>
      <c r="B397" t="s">
        <v>153</v>
      </c>
      <c r="C397" t="s">
        <v>3927</v>
      </c>
      <c r="D397" s="12"/>
      <c r="E397">
        <v>3.36</v>
      </c>
      <c r="F397" t="s">
        <v>208</v>
      </c>
      <c r="G397" s="8" t="s">
        <v>578</v>
      </c>
      <c r="H397">
        <v>-1</v>
      </c>
      <c r="M397" t="b">
        <v>1</v>
      </c>
      <c r="N397" t="b">
        <v>0</v>
      </c>
      <c r="O397" t="b">
        <v>0</v>
      </c>
      <c r="P397" t="b">
        <v>0</v>
      </c>
      <c r="Q397" t="s">
        <v>578</v>
      </c>
      <c r="R397">
        <v>-1</v>
      </c>
      <c r="T397">
        <v>1</v>
      </c>
      <c r="U397" s="20">
        <v>1</v>
      </c>
      <c r="V397">
        <v>0</v>
      </c>
      <c r="W397">
        <v>0</v>
      </c>
      <c r="X397">
        <v>3.8860000000000001</v>
      </c>
      <c r="Y397">
        <v>3.8860000000000001</v>
      </c>
      <c r="Z397">
        <v>10.548299999999999</v>
      </c>
      <c r="AA397" t="s">
        <v>1097</v>
      </c>
      <c r="AB397">
        <v>10.548299999999999</v>
      </c>
      <c r="AC397" s="20">
        <v>3.9263319999999999</v>
      </c>
      <c r="AD397" s="20">
        <v>3.9263319999999999</v>
      </c>
      <c r="AE397" s="20">
        <v>10.74639</v>
      </c>
      <c r="AF397">
        <v>0</v>
      </c>
      <c r="AI397">
        <v>0</v>
      </c>
      <c r="AM397">
        <v>14</v>
      </c>
      <c r="AN397" s="44">
        <f t="shared" si="40"/>
        <v>159.28983610679998</v>
      </c>
      <c r="AO397" s="46">
        <v>165.66723991337099</v>
      </c>
      <c r="AP397" s="44">
        <v>0</v>
      </c>
      <c r="AQ397" s="44">
        <v>0</v>
      </c>
      <c r="AR397" s="41"/>
      <c r="AS397" s="40">
        <v>8.4506749839743392E-2</v>
      </c>
      <c r="AT397" s="41"/>
      <c r="AU397" s="41"/>
      <c r="AV397" s="23">
        <v>1.7272727272727271</v>
      </c>
      <c r="AW397" s="23">
        <v>2.545454545454545</v>
      </c>
      <c r="AX397" s="23">
        <v>0.81818181818181823</v>
      </c>
      <c r="AY397" s="23">
        <v>0</v>
      </c>
      <c r="AZ397" s="23">
        <v>0.3392857142857143</v>
      </c>
      <c r="BA397" s="23">
        <v>0.5</v>
      </c>
      <c r="BB397" s="23">
        <v>0.1607142857142857</v>
      </c>
      <c r="BC397" s="23">
        <v>0</v>
      </c>
      <c r="BD397" s="20">
        <v>1.1000000000000001</v>
      </c>
      <c r="BE397" s="20">
        <v>3.44</v>
      </c>
      <c r="BF397" s="20">
        <v>2.34</v>
      </c>
      <c r="BG397" s="20">
        <v>2.78</v>
      </c>
      <c r="BH397">
        <v>2.78</v>
      </c>
      <c r="BI397">
        <v>6.4270052227137269</v>
      </c>
      <c r="BJ397" s="64">
        <v>0.41874886813759421</v>
      </c>
      <c r="BK397" s="64"/>
      <c r="BL397" s="64"/>
      <c r="BM397">
        <v>4.3945051178950742E-2</v>
      </c>
      <c r="BN397">
        <v>4.2253374919871717E-2</v>
      </c>
      <c r="BQ397">
        <v>8.4506749839743392E-2</v>
      </c>
      <c r="BR397">
        <v>4.3099213049411229E-2</v>
      </c>
      <c r="BS397">
        <v>0.41874886813759421</v>
      </c>
      <c r="BT397" s="68" t="s">
        <v>1264</v>
      </c>
      <c r="BU397" s="68">
        <v>1423</v>
      </c>
      <c r="BV397" s="68">
        <v>24</v>
      </c>
      <c r="BX397" s="68" t="s">
        <v>464</v>
      </c>
      <c r="BY397" s="68" t="s">
        <v>464</v>
      </c>
      <c r="BZ397" s="68">
        <v>0</v>
      </c>
      <c r="CA397" s="68">
        <v>4.18</v>
      </c>
      <c r="CB397" s="68">
        <v>2</v>
      </c>
      <c r="CC397" s="68">
        <v>10</v>
      </c>
      <c r="CD397" s="68" t="s">
        <v>464</v>
      </c>
      <c r="CE397" s="68" t="s">
        <v>464</v>
      </c>
      <c r="CF397" s="68" t="s">
        <v>1266</v>
      </c>
      <c r="CG397" s="68">
        <v>100</v>
      </c>
      <c r="CH397" s="68">
        <v>400</v>
      </c>
      <c r="CI397" s="68" t="s">
        <v>1310</v>
      </c>
      <c r="CJ397" s="68">
        <f t="shared" ref="CJ397:CJ402" si="62">273+60</f>
        <v>333</v>
      </c>
      <c r="CK397" s="70">
        <v>723.21428571428578</v>
      </c>
    </row>
    <row r="398" spans="1:89" x14ac:dyDescent="0.3">
      <c r="A398" t="s">
        <v>1350</v>
      </c>
      <c r="B398" t="s">
        <v>153</v>
      </c>
      <c r="C398" t="s">
        <v>4112</v>
      </c>
      <c r="D398" s="12"/>
      <c r="E398">
        <v>3.48</v>
      </c>
      <c r="F398" t="s">
        <v>208</v>
      </c>
      <c r="G398" s="25" t="s">
        <v>578</v>
      </c>
      <c r="H398">
        <v>-1</v>
      </c>
      <c r="M398" t="b">
        <v>1</v>
      </c>
      <c r="N398" t="b">
        <v>0</v>
      </c>
      <c r="O398" t="b">
        <v>0</v>
      </c>
      <c r="P398" t="b">
        <v>0</v>
      </c>
      <c r="Q398" t="s">
        <v>578</v>
      </c>
      <c r="R398">
        <v>-1</v>
      </c>
      <c r="T398">
        <v>1</v>
      </c>
      <c r="U398" s="20">
        <v>1</v>
      </c>
      <c r="V398">
        <v>0</v>
      </c>
      <c r="W398">
        <v>0</v>
      </c>
      <c r="X398">
        <v>3.8860000000000001</v>
      </c>
      <c r="Y398">
        <v>3.8860000000000001</v>
      </c>
      <c r="Z398">
        <v>10.548299999999999</v>
      </c>
      <c r="AA398" t="s">
        <v>1097</v>
      </c>
      <c r="AB398">
        <v>10.548299999999999</v>
      </c>
      <c r="AC398" s="20">
        <v>3.9263319999999999</v>
      </c>
      <c r="AD398" s="20">
        <v>3.9263319999999999</v>
      </c>
      <c r="AE398" s="20">
        <v>10.74639</v>
      </c>
      <c r="AF398">
        <v>0</v>
      </c>
      <c r="AI398">
        <v>0</v>
      </c>
      <c r="AM398">
        <v>14</v>
      </c>
      <c r="AN398" s="44">
        <f t="shared" si="40"/>
        <v>159.28983610679998</v>
      </c>
      <c r="AO398" s="46">
        <v>165.66723991337099</v>
      </c>
      <c r="AP398" s="44">
        <v>0</v>
      </c>
      <c r="AQ398" s="44">
        <v>0</v>
      </c>
      <c r="AR398" s="41"/>
      <c r="AS398" s="40">
        <v>8.4506749839743392E-2</v>
      </c>
      <c r="AT398" s="41"/>
      <c r="AU398" s="41"/>
      <c r="AV398" s="23">
        <v>1.7272727272727271</v>
      </c>
      <c r="AW398" s="23">
        <v>2.545454545454545</v>
      </c>
      <c r="AX398" s="23">
        <v>0.81818181818181823</v>
      </c>
      <c r="AY398" s="23">
        <v>0</v>
      </c>
      <c r="AZ398" s="23">
        <v>0.3392857142857143</v>
      </c>
      <c r="BA398" s="23">
        <v>0.5</v>
      </c>
      <c r="BB398" s="23">
        <v>0.1607142857142857</v>
      </c>
      <c r="BC398" s="23">
        <v>0</v>
      </c>
      <c r="BD398" s="20">
        <v>1.1000000000000001</v>
      </c>
      <c r="BE398" s="20">
        <v>3.44</v>
      </c>
      <c r="BF398" s="20">
        <v>2.34</v>
      </c>
      <c r="BG398" s="20">
        <v>2.78</v>
      </c>
      <c r="BH398">
        <v>2.78</v>
      </c>
      <c r="BI398">
        <v>6.4270052227137269</v>
      </c>
      <c r="BJ398" s="64">
        <v>0.41874886813759421</v>
      </c>
      <c r="BK398" s="64"/>
      <c r="BL398" s="64"/>
      <c r="BM398">
        <v>4.3945051178950742E-2</v>
      </c>
      <c r="BN398">
        <v>4.2253374919871717E-2</v>
      </c>
      <c r="BQ398">
        <v>8.4506749839743392E-2</v>
      </c>
      <c r="BR398">
        <v>4.3099213049411229E-2</v>
      </c>
      <c r="BS398">
        <v>0.41874886813759421</v>
      </c>
      <c r="BT398" s="68" t="s">
        <v>1264</v>
      </c>
      <c r="BU398" s="68">
        <v>1423</v>
      </c>
      <c r="BV398" s="68">
        <v>24</v>
      </c>
      <c r="BX398" s="68" t="s">
        <v>464</v>
      </c>
      <c r="BY398" s="68" t="s">
        <v>464</v>
      </c>
      <c r="BZ398" s="68">
        <v>0</v>
      </c>
      <c r="CA398" s="68">
        <v>4.62</v>
      </c>
      <c r="CB398" s="68">
        <v>2</v>
      </c>
      <c r="CC398" s="68">
        <v>10</v>
      </c>
      <c r="CD398" s="68" t="s">
        <v>464</v>
      </c>
      <c r="CE398" s="68" t="s">
        <v>464</v>
      </c>
      <c r="CF398" s="68" t="s">
        <v>1266</v>
      </c>
      <c r="CG398" s="68">
        <v>100</v>
      </c>
      <c r="CH398" s="68">
        <v>400</v>
      </c>
      <c r="CI398" s="68" t="s">
        <v>1310</v>
      </c>
      <c r="CJ398" s="68">
        <f t="shared" si="62"/>
        <v>333</v>
      </c>
      <c r="CK398" s="70">
        <v>866.07142857142867</v>
      </c>
    </row>
    <row r="399" spans="1:89" x14ac:dyDescent="0.3">
      <c r="A399" t="s">
        <v>1351</v>
      </c>
      <c r="B399" t="s">
        <v>153</v>
      </c>
      <c r="C399" t="s">
        <v>4113</v>
      </c>
      <c r="D399" s="12"/>
      <c r="E399">
        <v>3.47</v>
      </c>
      <c r="F399" t="s">
        <v>208</v>
      </c>
      <c r="G399" s="25" t="s">
        <v>578</v>
      </c>
      <c r="H399">
        <v>-1</v>
      </c>
      <c r="M399" t="b">
        <v>1</v>
      </c>
      <c r="N399" t="b">
        <v>0</v>
      </c>
      <c r="O399" t="b">
        <v>0</v>
      </c>
      <c r="P399" t="b">
        <v>0</v>
      </c>
      <c r="Q399" t="s">
        <v>578</v>
      </c>
      <c r="R399">
        <v>-1</v>
      </c>
      <c r="T399">
        <v>1</v>
      </c>
      <c r="U399" s="20">
        <v>1</v>
      </c>
      <c r="V399">
        <v>0</v>
      </c>
      <c r="W399">
        <v>0</v>
      </c>
      <c r="X399">
        <v>3.8860000000000001</v>
      </c>
      <c r="Y399">
        <v>3.8860000000000001</v>
      </c>
      <c r="Z399">
        <v>10.548299999999999</v>
      </c>
      <c r="AA399" t="s">
        <v>1097</v>
      </c>
      <c r="AB399">
        <v>10.548299999999999</v>
      </c>
      <c r="AC399" s="20">
        <v>3.9263319999999999</v>
      </c>
      <c r="AD399" s="20">
        <v>3.9263319999999999</v>
      </c>
      <c r="AE399" s="20">
        <v>10.74639</v>
      </c>
      <c r="AF399">
        <v>0</v>
      </c>
      <c r="AI399">
        <v>0</v>
      </c>
      <c r="AM399">
        <v>14</v>
      </c>
      <c r="AN399" s="44">
        <f t="shared" si="40"/>
        <v>159.28983610679998</v>
      </c>
      <c r="AO399" s="46">
        <v>165.66723991337099</v>
      </c>
      <c r="AP399" s="44">
        <v>0</v>
      </c>
      <c r="AQ399" s="44">
        <v>0</v>
      </c>
      <c r="AR399" s="41"/>
      <c r="AS399" s="40">
        <v>8.4506749839743392E-2</v>
      </c>
      <c r="AT399" s="41"/>
      <c r="AU399" s="41"/>
      <c r="AV399" s="23">
        <v>1.7272727272727271</v>
      </c>
      <c r="AW399" s="23">
        <v>2.545454545454545</v>
      </c>
      <c r="AX399" s="23">
        <v>0.81818181818181823</v>
      </c>
      <c r="AY399" s="23">
        <v>0</v>
      </c>
      <c r="AZ399" s="23">
        <v>0.3392857142857143</v>
      </c>
      <c r="BA399" s="23">
        <v>0.5</v>
      </c>
      <c r="BB399" s="23">
        <v>0.1607142857142857</v>
      </c>
      <c r="BC399" s="23">
        <v>0</v>
      </c>
      <c r="BD399" s="20">
        <v>1.1000000000000001</v>
      </c>
      <c r="BE399" s="20">
        <v>3.44</v>
      </c>
      <c r="BF399" s="20">
        <v>2.34</v>
      </c>
      <c r="BG399" s="20">
        <v>2.78</v>
      </c>
      <c r="BH399">
        <v>2.78</v>
      </c>
      <c r="BI399">
        <v>6.4270052227137269</v>
      </c>
      <c r="BJ399" s="64">
        <v>0.41874886813759421</v>
      </c>
      <c r="BK399" s="64"/>
      <c r="BL399" s="64"/>
      <c r="BM399">
        <v>4.3945051178950742E-2</v>
      </c>
      <c r="BN399">
        <v>4.2253374919871717E-2</v>
      </c>
      <c r="BQ399">
        <v>8.4506749839743392E-2</v>
      </c>
      <c r="BR399">
        <v>4.3099213049411229E-2</v>
      </c>
      <c r="BS399">
        <v>0.41874886813759421</v>
      </c>
      <c r="BT399" s="68" t="s">
        <v>1264</v>
      </c>
      <c r="BU399" s="68">
        <v>1423</v>
      </c>
      <c r="BV399" s="68">
        <v>24</v>
      </c>
      <c r="BX399" s="68" t="s">
        <v>464</v>
      </c>
      <c r="BY399" s="68" t="s">
        <v>464</v>
      </c>
      <c r="BZ399" s="68">
        <v>0</v>
      </c>
      <c r="CA399" s="68">
        <v>5.17</v>
      </c>
      <c r="CB399" s="68">
        <v>2</v>
      </c>
      <c r="CC399" s="68">
        <v>10</v>
      </c>
      <c r="CD399" s="68" t="s">
        <v>464</v>
      </c>
      <c r="CE399" s="68" t="s">
        <v>464</v>
      </c>
      <c r="CF399" s="68" t="s">
        <v>1266</v>
      </c>
      <c r="CG399" s="68">
        <v>100</v>
      </c>
      <c r="CH399" s="68">
        <v>400</v>
      </c>
      <c r="CI399" s="68" t="s">
        <v>1310</v>
      </c>
      <c r="CJ399" s="68">
        <f t="shared" si="62"/>
        <v>333</v>
      </c>
      <c r="CK399" s="70">
        <v>941.96428571428578</v>
      </c>
    </row>
    <row r="400" spans="1:89" x14ac:dyDescent="0.3">
      <c r="A400" t="s">
        <v>1352</v>
      </c>
      <c r="B400" t="s">
        <v>153</v>
      </c>
      <c r="C400" t="s">
        <v>4114</v>
      </c>
      <c r="D400" s="12"/>
      <c r="E400">
        <v>3.41</v>
      </c>
      <c r="F400" t="s">
        <v>208</v>
      </c>
      <c r="G400" s="25" t="s">
        <v>578</v>
      </c>
      <c r="H400">
        <v>-1</v>
      </c>
      <c r="M400" t="b">
        <v>1</v>
      </c>
      <c r="N400" t="b">
        <v>0</v>
      </c>
      <c r="O400" t="b">
        <v>0</v>
      </c>
      <c r="P400" t="b">
        <v>0</v>
      </c>
      <c r="Q400" t="s">
        <v>578</v>
      </c>
      <c r="R400">
        <v>-1</v>
      </c>
      <c r="T400">
        <v>1</v>
      </c>
      <c r="U400" s="20">
        <v>1</v>
      </c>
      <c r="V400">
        <v>0</v>
      </c>
      <c r="W400">
        <v>0</v>
      </c>
      <c r="X400">
        <v>3.8860000000000001</v>
      </c>
      <c r="Y400">
        <v>3.8860000000000001</v>
      </c>
      <c r="Z400">
        <v>10.548299999999999</v>
      </c>
      <c r="AA400" t="s">
        <v>1097</v>
      </c>
      <c r="AB400">
        <v>10.548299999999999</v>
      </c>
      <c r="AC400" s="20">
        <v>3.9263319999999999</v>
      </c>
      <c r="AD400" s="20">
        <v>3.9263319999999999</v>
      </c>
      <c r="AE400" s="20">
        <v>10.74639</v>
      </c>
      <c r="AF400">
        <v>0</v>
      </c>
      <c r="AI400">
        <v>0</v>
      </c>
      <c r="AM400">
        <v>14</v>
      </c>
      <c r="AN400" s="44">
        <f t="shared" si="40"/>
        <v>159.28983610679998</v>
      </c>
      <c r="AO400" s="46">
        <v>165.66723991337099</v>
      </c>
      <c r="AP400" s="44">
        <v>0</v>
      </c>
      <c r="AQ400" s="44">
        <v>0</v>
      </c>
      <c r="AR400" s="41"/>
      <c r="AS400" s="40">
        <v>8.4506749839743392E-2</v>
      </c>
      <c r="AT400" s="41"/>
      <c r="AU400" s="41"/>
      <c r="AV400" s="23">
        <v>1.7272727272727271</v>
      </c>
      <c r="AW400" s="23">
        <v>2.545454545454545</v>
      </c>
      <c r="AX400" s="23">
        <v>0.81818181818181823</v>
      </c>
      <c r="AY400" s="23">
        <v>0</v>
      </c>
      <c r="AZ400" s="23">
        <v>0.3392857142857143</v>
      </c>
      <c r="BA400" s="23">
        <v>0.5</v>
      </c>
      <c r="BB400" s="23">
        <v>0.1607142857142857</v>
      </c>
      <c r="BC400" s="23">
        <v>0</v>
      </c>
      <c r="BD400" s="20">
        <v>1.1000000000000001</v>
      </c>
      <c r="BE400" s="20">
        <v>3.44</v>
      </c>
      <c r="BF400" s="20">
        <v>2.34</v>
      </c>
      <c r="BG400" s="20">
        <v>2.78</v>
      </c>
      <c r="BH400">
        <v>2.78</v>
      </c>
      <c r="BI400">
        <v>6.4270052227137269</v>
      </c>
      <c r="BJ400" s="64">
        <v>0.41874886813759421</v>
      </c>
      <c r="BK400" s="64"/>
      <c r="BL400" s="64"/>
      <c r="BM400">
        <v>4.3945051178950742E-2</v>
      </c>
      <c r="BN400">
        <v>4.2253374919871717E-2</v>
      </c>
      <c r="BQ400">
        <v>8.4506749839743392E-2</v>
      </c>
      <c r="BR400">
        <v>4.3099213049411229E-2</v>
      </c>
      <c r="BS400">
        <v>0.41874886813759421</v>
      </c>
      <c r="BT400" s="68" t="s">
        <v>1264</v>
      </c>
      <c r="BU400" s="68">
        <v>1423</v>
      </c>
      <c r="BV400" s="68">
        <v>24</v>
      </c>
      <c r="BX400" s="68" t="s">
        <v>464</v>
      </c>
      <c r="BY400" s="68" t="s">
        <v>464</v>
      </c>
      <c r="BZ400" s="68">
        <v>0</v>
      </c>
      <c r="CA400" s="68">
        <v>7.2</v>
      </c>
      <c r="CB400" s="68">
        <v>2</v>
      </c>
      <c r="CC400" s="68">
        <v>10</v>
      </c>
      <c r="CD400" s="68" t="s">
        <v>464</v>
      </c>
      <c r="CE400" s="68" t="s">
        <v>464</v>
      </c>
      <c r="CF400" s="68" t="s">
        <v>1266</v>
      </c>
      <c r="CG400" s="68">
        <v>100</v>
      </c>
      <c r="CH400" s="68">
        <v>400</v>
      </c>
      <c r="CI400" s="68" t="s">
        <v>1310</v>
      </c>
      <c r="CJ400" s="68">
        <f t="shared" si="62"/>
        <v>333</v>
      </c>
      <c r="CK400" s="70">
        <v>1517.8571428571429</v>
      </c>
    </row>
    <row r="401" spans="1:89" x14ac:dyDescent="0.3">
      <c r="A401" t="s">
        <v>1353</v>
      </c>
      <c r="B401" t="s">
        <v>153</v>
      </c>
      <c r="C401" t="s">
        <v>4115</v>
      </c>
      <c r="D401" s="12"/>
      <c r="E401">
        <v>3.42</v>
      </c>
      <c r="F401" t="s">
        <v>208</v>
      </c>
      <c r="G401" s="25" t="s">
        <v>578</v>
      </c>
      <c r="H401">
        <v>-1</v>
      </c>
      <c r="M401" t="b">
        <v>1</v>
      </c>
      <c r="N401" t="b">
        <v>0</v>
      </c>
      <c r="O401" t="b">
        <v>0</v>
      </c>
      <c r="P401" t="b">
        <v>0</v>
      </c>
      <c r="Q401" t="s">
        <v>578</v>
      </c>
      <c r="R401">
        <v>-1</v>
      </c>
      <c r="T401">
        <v>1</v>
      </c>
      <c r="U401" s="20">
        <v>1</v>
      </c>
      <c r="V401">
        <v>0</v>
      </c>
      <c r="W401">
        <v>0</v>
      </c>
      <c r="X401">
        <v>3.8860000000000001</v>
      </c>
      <c r="Y401">
        <v>3.8860000000000001</v>
      </c>
      <c r="Z401">
        <v>10.548299999999999</v>
      </c>
      <c r="AA401" t="s">
        <v>1097</v>
      </c>
      <c r="AB401">
        <v>10.548299999999999</v>
      </c>
      <c r="AC401" s="20">
        <v>3.9263319999999999</v>
      </c>
      <c r="AD401" s="20">
        <v>3.9263319999999999</v>
      </c>
      <c r="AE401" s="20">
        <v>10.74639</v>
      </c>
      <c r="AF401">
        <v>0</v>
      </c>
      <c r="AI401">
        <v>0</v>
      </c>
      <c r="AM401">
        <v>14</v>
      </c>
      <c r="AN401" s="44">
        <f t="shared" si="40"/>
        <v>159.28983610679998</v>
      </c>
      <c r="AO401" s="46">
        <v>165.66723991337099</v>
      </c>
      <c r="AP401" s="44">
        <v>0</v>
      </c>
      <c r="AQ401" s="44">
        <v>0</v>
      </c>
      <c r="AR401" s="41"/>
      <c r="AS401" s="40">
        <v>8.4506749839743392E-2</v>
      </c>
      <c r="AT401" s="41"/>
      <c r="AU401" s="41"/>
      <c r="AV401" s="23">
        <v>1.7272727272727271</v>
      </c>
      <c r="AW401" s="23">
        <v>2.545454545454545</v>
      </c>
      <c r="AX401" s="23">
        <v>0.81818181818181823</v>
      </c>
      <c r="AY401" s="23">
        <v>0</v>
      </c>
      <c r="AZ401" s="23">
        <v>0.3392857142857143</v>
      </c>
      <c r="BA401" s="23">
        <v>0.5</v>
      </c>
      <c r="BB401" s="23">
        <v>0.1607142857142857</v>
      </c>
      <c r="BC401" s="23">
        <v>0</v>
      </c>
      <c r="BD401" s="20">
        <v>1.1000000000000001</v>
      </c>
      <c r="BE401" s="20">
        <v>3.44</v>
      </c>
      <c r="BF401" s="20">
        <v>2.34</v>
      </c>
      <c r="BG401" s="20">
        <v>2.78</v>
      </c>
      <c r="BH401">
        <v>2.78</v>
      </c>
      <c r="BI401">
        <v>6.4270052227137269</v>
      </c>
      <c r="BJ401" s="64">
        <v>0.41874886813759421</v>
      </c>
      <c r="BK401" s="64"/>
      <c r="BL401" s="64"/>
      <c r="BM401">
        <v>4.3945051178950742E-2</v>
      </c>
      <c r="BN401">
        <v>4.2253374919871717E-2</v>
      </c>
      <c r="BQ401">
        <v>8.4506749839743392E-2</v>
      </c>
      <c r="BR401">
        <v>4.3099213049411229E-2</v>
      </c>
      <c r="BS401">
        <v>0.41874886813759421</v>
      </c>
      <c r="BT401" s="68" t="s">
        <v>1264</v>
      </c>
      <c r="BU401" s="68">
        <v>1423</v>
      </c>
      <c r="BV401" s="68">
        <v>24</v>
      </c>
      <c r="BX401" s="68" t="s">
        <v>464</v>
      </c>
      <c r="BY401" s="68" t="s">
        <v>464</v>
      </c>
      <c r="BZ401" s="68">
        <v>0</v>
      </c>
      <c r="CA401" s="68">
        <v>7.7</v>
      </c>
      <c r="CB401" s="68">
        <v>2</v>
      </c>
      <c r="CC401" s="68">
        <v>10</v>
      </c>
      <c r="CD401" s="68" t="s">
        <v>464</v>
      </c>
      <c r="CE401" s="68" t="s">
        <v>464</v>
      </c>
      <c r="CF401" s="68" t="s">
        <v>1266</v>
      </c>
      <c r="CG401" s="68">
        <v>100</v>
      </c>
      <c r="CH401" s="68">
        <v>400</v>
      </c>
      <c r="CI401" s="68" t="s">
        <v>1310</v>
      </c>
      <c r="CJ401" s="68">
        <f t="shared" si="62"/>
        <v>333</v>
      </c>
      <c r="CK401" s="70">
        <v>1629.4642857142858</v>
      </c>
    </row>
    <row r="402" spans="1:89" x14ac:dyDescent="0.3">
      <c r="A402" t="s">
        <v>1354</v>
      </c>
      <c r="B402" t="s">
        <v>153</v>
      </c>
      <c r="C402" t="s">
        <v>4116</v>
      </c>
      <c r="D402" s="12"/>
      <c r="E402">
        <v>3.44</v>
      </c>
      <c r="F402" t="s">
        <v>208</v>
      </c>
      <c r="G402" s="25" t="s">
        <v>578</v>
      </c>
      <c r="H402">
        <v>-1</v>
      </c>
      <c r="M402" t="b">
        <v>1</v>
      </c>
      <c r="N402" t="b">
        <v>0</v>
      </c>
      <c r="O402" t="b">
        <v>0</v>
      </c>
      <c r="P402" t="b">
        <v>0</v>
      </c>
      <c r="Q402" t="s">
        <v>578</v>
      </c>
      <c r="R402">
        <v>-1</v>
      </c>
      <c r="T402">
        <v>1</v>
      </c>
      <c r="U402" s="20">
        <v>1</v>
      </c>
      <c r="V402">
        <v>0</v>
      </c>
      <c r="W402">
        <v>0</v>
      </c>
      <c r="X402">
        <v>3.8860000000000001</v>
      </c>
      <c r="Y402">
        <v>3.8860000000000001</v>
      </c>
      <c r="Z402">
        <v>10.548299999999999</v>
      </c>
      <c r="AA402" t="s">
        <v>1097</v>
      </c>
      <c r="AB402">
        <v>10.548299999999999</v>
      </c>
      <c r="AC402" s="20">
        <v>3.9263319999999999</v>
      </c>
      <c r="AD402" s="20">
        <v>3.9263319999999999</v>
      </c>
      <c r="AE402" s="20">
        <v>10.74639</v>
      </c>
      <c r="AF402">
        <v>0</v>
      </c>
      <c r="AI402">
        <v>0</v>
      </c>
      <c r="AM402">
        <v>14</v>
      </c>
      <c r="AN402" s="44">
        <f t="shared" si="40"/>
        <v>159.28983610679998</v>
      </c>
      <c r="AO402" s="46">
        <v>165.66723991337099</v>
      </c>
      <c r="AP402" s="44">
        <v>0</v>
      </c>
      <c r="AQ402" s="44">
        <v>0</v>
      </c>
      <c r="AR402" s="41"/>
      <c r="AS402" s="40">
        <v>8.4506749839743392E-2</v>
      </c>
      <c r="AT402" s="41"/>
      <c r="AU402" s="41"/>
      <c r="AV402" s="23">
        <v>1.7272727272727271</v>
      </c>
      <c r="AW402" s="23">
        <v>2.545454545454545</v>
      </c>
      <c r="AX402" s="23">
        <v>0.81818181818181823</v>
      </c>
      <c r="AY402" s="23">
        <v>0</v>
      </c>
      <c r="AZ402" s="23">
        <v>0.3392857142857143</v>
      </c>
      <c r="BA402" s="23">
        <v>0.5</v>
      </c>
      <c r="BB402" s="23">
        <v>0.1607142857142857</v>
      </c>
      <c r="BC402" s="23">
        <v>0</v>
      </c>
      <c r="BD402" s="20">
        <v>1.1000000000000001</v>
      </c>
      <c r="BE402" s="20">
        <v>3.44</v>
      </c>
      <c r="BF402" s="20">
        <v>2.34</v>
      </c>
      <c r="BG402" s="20">
        <v>2.78</v>
      </c>
      <c r="BH402">
        <v>2.78</v>
      </c>
      <c r="BI402">
        <v>6.4270052227137269</v>
      </c>
      <c r="BJ402" s="64">
        <v>0.41874886813759421</v>
      </c>
      <c r="BK402" s="64"/>
      <c r="BL402" s="64"/>
      <c r="BM402">
        <v>4.3945051178950742E-2</v>
      </c>
      <c r="BN402">
        <v>4.2253374919871717E-2</v>
      </c>
      <c r="BQ402">
        <v>8.4506749839743392E-2</v>
      </c>
      <c r="BR402">
        <v>4.3099213049411229E-2</v>
      </c>
      <c r="BS402">
        <v>0.41874886813759421</v>
      </c>
      <c r="BT402" s="68" t="s">
        <v>1264</v>
      </c>
      <c r="BU402" s="68">
        <v>1423</v>
      </c>
      <c r="BV402" s="68">
        <v>24</v>
      </c>
      <c r="BX402" s="68" t="s">
        <v>464</v>
      </c>
      <c r="BY402" s="68" t="s">
        <v>464</v>
      </c>
      <c r="BZ402" s="68">
        <v>0</v>
      </c>
      <c r="CA402" s="68">
        <v>8.23</v>
      </c>
      <c r="CB402" s="68">
        <v>2</v>
      </c>
      <c r="CC402" s="68">
        <v>10</v>
      </c>
      <c r="CD402" s="68" t="s">
        <v>464</v>
      </c>
      <c r="CE402" s="68" t="s">
        <v>464</v>
      </c>
      <c r="CF402" s="68" t="s">
        <v>1266</v>
      </c>
      <c r="CG402" s="68">
        <v>100</v>
      </c>
      <c r="CH402" s="68">
        <v>400</v>
      </c>
      <c r="CI402" s="68" t="s">
        <v>1310</v>
      </c>
      <c r="CJ402" s="68">
        <f t="shared" si="62"/>
        <v>333</v>
      </c>
      <c r="CK402" s="70">
        <v>325.89285714285717</v>
      </c>
    </row>
    <row r="403" spans="1:89" x14ac:dyDescent="0.3">
      <c r="A403" t="s">
        <v>153</v>
      </c>
      <c r="B403" t="s">
        <v>153</v>
      </c>
      <c r="C403" t="s">
        <v>3927</v>
      </c>
      <c r="D403" s="12"/>
      <c r="E403">
        <v>3.1</v>
      </c>
      <c r="F403" t="s">
        <v>209</v>
      </c>
      <c r="G403" s="8" t="s">
        <v>578</v>
      </c>
      <c r="H403">
        <v>-1</v>
      </c>
      <c r="M403" t="b">
        <v>1</v>
      </c>
      <c r="N403" t="b">
        <v>0</v>
      </c>
      <c r="O403" t="b">
        <v>0</v>
      </c>
      <c r="P403" t="b">
        <v>0</v>
      </c>
      <c r="Q403" t="s">
        <v>578</v>
      </c>
      <c r="R403">
        <v>-1</v>
      </c>
      <c r="T403">
        <v>1</v>
      </c>
      <c r="U403" s="20">
        <v>0</v>
      </c>
      <c r="V403">
        <v>0</v>
      </c>
      <c r="W403">
        <v>0</v>
      </c>
      <c r="X403" s="1">
        <v>3.8860000000000001</v>
      </c>
      <c r="Y403" s="1">
        <v>3.8860000000000001</v>
      </c>
      <c r="Z403" s="1">
        <v>10.548299999999999</v>
      </c>
      <c r="AA403" s="1" t="s">
        <v>1097</v>
      </c>
      <c r="AB403">
        <v>10.548299999999999</v>
      </c>
      <c r="AC403" s="20">
        <v>0</v>
      </c>
      <c r="AD403" s="20"/>
      <c r="AE403" s="20"/>
      <c r="AF403">
        <v>0</v>
      </c>
      <c r="AI403">
        <v>0</v>
      </c>
      <c r="AM403">
        <v>14</v>
      </c>
      <c r="AN403" s="44">
        <f t="shared" ref="AN403:AN404" si="63">X403*Y403*Z403</f>
        <v>159.28983610679998</v>
      </c>
      <c r="AO403" s="46">
        <v>0</v>
      </c>
      <c r="AP403" s="44">
        <v>0</v>
      </c>
      <c r="AQ403" s="44">
        <v>0</v>
      </c>
      <c r="AR403" s="41">
        <f t="shared" ref="AR403:AR404" si="64">T403*AM403/AN403</f>
        <v>8.789010235790147E-2</v>
      </c>
      <c r="AS403" s="40"/>
      <c r="AT403" s="41"/>
      <c r="AU403" s="41"/>
      <c r="AV403" s="23">
        <v>1.730593607305936</v>
      </c>
      <c r="AW403" s="23">
        <v>2.557077625570777</v>
      </c>
      <c r="AX403" s="23">
        <v>0.8264840182648403</v>
      </c>
      <c r="AY403" s="23">
        <v>0</v>
      </c>
      <c r="AZ403" s="23">
        <v>0.33839285714285711</v>
      </c>
      <c r="BA403" s="23">
        <v>0.5</v>
      </c>
      <c r="BB403" s="23">
        <v>0.16160714285714289</v>
      </c>
      <c r="BC403" s="23">
        <v>0</v>
      </c>
      <c r="BD403" s="20">
        <v>1.1000000000000001</v>
      </c>
      <c r="BE403" s="20">
        <v>3.44</v>
      </c>
      <c r="BF403" s="20">
        <v>2.34</v>
      </c>
      <c r="BG403" s="20">
        <v>2.7852054794520549</v>
      </c>
      <c r="BH403">
        <v>2.7852054794520549</v>
      </c>
      <c r="BI403">
        <v>6.4239560922245156</v>
      </c>
      <c r="BJ403" s="64">
        <v>0.41874886813759421</v>
      </c>
      <c r="BK403" s="64"/>
      <c r="BL403" s="64"/>
      <c r="BM403">
        <v>4.3945051178950742E-2</v>
      </c>
      <c r="BQ403">
        <v>8.789010235790147E-2</v>
      </c>
      <c r="BR403">
        <v>4.3945051178950742E-2</v>
      </c>
      <c r="BS403">
        <v>0.41874886813759421</v>
      </c>
      <c r="BT403" s="68" t="s">
        <v>1264</v>
      </c>
      <c r="BU403" s="68">
        <v>1423</v>
      </c>
      <c r="BV403" s="68">
        <v>24</v>
      </c>
      <c r="BX403" s="68" t="s">
        <v>464</v>
      </c>
      <c r="BY403" s="68" t="s">
        <v>464</v>
      </c>
      <c r="BZ403" s="68">
        <v>0</v>
      </c>
      <c r="CA403" s="68">
        <v>4.18</v>
      </c>
      <c r="CB403" s="68">
        <v>2</v>
      </c>
      <c r="CC403" s="68">
        <v>10</v>
      </c>
      <c r="CD403" s="68" t="s">
        <v>464</v>
      </c>
      <c r="CE403" s="68" t="s">
        <v>464</v>
      </c>
      <c r="CF403" s="68" t="s">
        <v>1266</v>
      </c>
      <c r="CG403" s="68">
        <v>100</v>
      </c>
      <c r="CH403" s="68">
        <v>290</v>
      </c>
      <c r="CI403" s="68" t="s">
        <v>1310</v>
      </c>
      <c r="CJ403" s="68">
        <v>333</v>
      </c>
      <c r="CK403" s="70">
        <v>2008.9285714285716</v>
      </c>
    </row>
    <row r="404" spans="1:89" x14ac:dyDescent="0.3">
      <c r="A404" t="s">
        <v>210</v>
      </c>
      <c r="B404" t="s">
        <v>153</v>
      </c>
      <c r="C404" t="s">
        <v>4117</v>
      </c>
      <c r="D404" s="12"/>
      <c r="E404">
        <v>3.1</v>
      </c>
      <c r="F404" t="s">
        <v>209</v>
      </c>
      <c r="G404" s="25" t="s">
        <v>578</v>
      </c>
      <c r="H404">
        <v>-1</v>
      </c>
      <c r="J404" t="s">
        <v>1818</v>
      </c>
      <c r="M404" t="b">
        <v>1</v>
      </c>
      <c r="N404" t="b">
        <v>0</v>
      </c>
      <c r="O404" t="b">
        <v>0</v>
      </c>
      <c r="P404" t="b">
        <v>0</v>
      </c>
      <c r="Q404" t="s">
        <v>2056</v>
      </c>
      <c r="R404">
        <v>-1</v>
      </c>
      <c r="T404">
        <v>1</v>
      </c>
      <c r="U404" s="20">
        <v>0</v>
      </c>
      <c r="V404">
        <v>0</v>
      </c>
      <c r="W404">
        <v>0</v>
      </c>
      <c r="X404" s="1">
        <v>3.8860000000000001</v>
      </c>
      <c r="Y404" s="1">
        <v>3.8860000000000001</v>
      </c>
      <c r="Z404" s="1">
        <v>10.548299999999999</v>
      </c>
      <c r="AA404" s="1" t="s">
        <v>1097</v>
      </c>
      <c r="AB404">
        <v>10.548299999999999</v>
      </c>
      <c r="AC404" s="20">
        <v>0</v>
      </c>
      <c r="AD404" s="20"/>
      <c r="AE404" s="20"/>
      <c r="AF404">
        <v>0</v>
      </c>
      <c r="AI404">
        <v>0</v>
      </c>
      <c r="AM404">
        <v>14</v>
      </c>
      <c r="AN404" s="44">
        <f t="shared" si="63"/>
        <v>159.28983610679998</v>
      </c>
      <c r="AO404" s="46">
        <v>0</v>
      </c>
      <c r="AP404" s="44">
        <v>0</v>
      </c>
      <c r="AQ404" s="44">
        <v>0</v>
      </c>
      <c r="AR404" s="41">
        <f t="shared" si="64"/>
        <v>8.789010235790147E-2</v>
      </c>
      <c r="AS404" s="40"/>
      <c r="AT404" s="41"/>
      <c r="AU404" s="41"/>
      <c r="AV404" s="23">
        <v>1.730593607305936</v>
      </c>
      <c r="AW404" s="23">
        <v>2.557077625570777</v>
      </c>
      <c r="AX404" s="23">
        <v>0.8264840182648403</v>
      </c>
      <c r="AY404" s="23">
        <v>0</v>
      </c>
      <c r="AZ404" s="23">
        <v>0.33839285714285711</v>
      </c>
      <c r="BA404" s="23">
        <v>0.5</v>
      </c>
      <c r="BB404" s="23">
        <v>0.16160714285714289</v>
      </c>
      <c r="BC404" s="23">
        <v>0</v>
      </c>
      <c r="BD404" s="20">
        <v>1.1000000000000001</v>
      </c>
      <c r="BE404" s="20">
        <v>3.44</v>
      </c>
      <c r="BF404" s="20">
        <v>2.34</v>
      </c>
      <c r="BG404" s="20">
        <v>2.7852054794520549</v>
      </c>
      <c r="BH404">
        <v>2.7852054794520549</v>
      </c>
      <c r="BI404">
        <v>6.4239560922245156</v>
      </c>
      <c r="BJ404" s="64">
        <v>0.41874886813759421</v>
      </c>
      <c r="BK404" s="64"/>
      <c r="BL404" s="64"/>
      <c r="BM404">
        <v>4.3945051178950742E-2</v>
      </c>
      <c r="BQ404">
        <v>8.789010235790147E-2</v>
      </c>
      <c r="BR404">
        <v>4.3945051178950742E-2</v>
      </c>
      <c r="BS404">
        <v>0.41874886813759421</v>
      </c>
      <c r="BT404" s="68" t="s">
        <v>1264</v>
      </c>
      <c r="BU404" s="68">
        <v>1423</v>
      </c>
      <c r="BV404" s="68">
        <v>24</v>
      </c>
      <c r="BX404" s="68" t="s">
        <v>464</v>
      </c>
      <c r="BY404" s="68" t="s">
        <v>464</v>
      </c>
      <c r="BZ404" s="68">
        <v>0</v>
      </c>
      <c r="CA404" s="68">
        <v>4.54</v>
      </c>
      <c r="CB404" s="68">
        <v>2</v>
      </c>
      <c r="CC404" s="68">
        <v>10</v>
      </c>
      <c r="CD404" s="68" t="s">
        <v>464</v>
      </c>
      <c r="CE404" s="68" t="s">
        <v>464</v>
      </c>
      <c r="CF404" s="68" t="s">
        <v>1266</v>
      </c>
      <c r="CG404" s="68">
        <v>100</v>
      </c>
      <c r="CH404" s="68">
        <v>290</v>
      </c>
      <c r="CI404" s="68" t="s">
        <v>1310</v>
      </c>
      <c r="CJ404" s="68">
        <v>333</v>
      </c>
      <c r="CK404" s="70">
        <v>2232.1428571428573</v>
      </c>
    </row>
    <row r="405" spans="1:89" x14ac:dyDescent="0.3">
      <c r="A405" t="s">
        <v>211</v>
      </c>
      <c r="B405" t="s">
        <v>153</v>
      </c>
      <c r="C405" t="s">
        <v>4118</v>
      </c>
      <c r="D405" s="12"/>
      <c r="E405">
        <v>3.1</v>
      </c>
      <c r="F405" t="s">
        <v>209</v>
      </c>
      <c r="G405" s="25" t="s">
        <v>578</v>
      </c>
      <c r="H405">
        <v>-1</v>
      </c>
      <c r="J405" t="s">
        <v>1819</v>
      </c>
      <c r="M405" t="b">
        <v>1</v>
      </c>
      <c r="N405" t="b">
        <v>0</v>
      </c>
      <c r="O405" t="b">
        <v>0</v>
      </c>
      <c r="P405" t="b">
        <v>0</v>
      </c>
      <c r="Q405" t="s">
        <v>2058</v>
      </c>
      <c r="R405">
        <v>-1</v>
      </c>
      <c r="T405">
        <v>1</v>
      </c>
      <c r="U405" s="20">
        <v>0</v>
      </c>
      <c r="V405">
        <v>0</v>
      </c>
      <c r="W405">
        <v>0</v>
      </c>
      <c r="X405" s="1">
        <v>3.8860000000000001</v>
      </c>
      <c r="Y405" s="1">
        <v>3.8860000000000001</v>
      </c>
      <c r="Z405" s="1">
        <v>10.548299999999999</v>
      </c>
      <c r="AA405" s="1" t="s">
        <v>1097</v>
      </c>
      <c r="AB405">
        <v>10.548299999999999</v>
      </c>
      <c r="AC405" s="20">
        <v>0</v>
      </c>
      <c r="AD405" s="20"/>
      <c r="AE405" s="20"/>
      <c r="AF405">
        <v>0</v>
      </c>
      <c r="AI405">
        <v>0</v>
      </c>
      <c r="AM405">
        <v>14</v>
      </c>
      <c r="AN405" s="44">
        <f t="shared" ref="AN405:AN555" si="65">X405*Y405*Z405</f>
        <v>159.28983610679998</v>
      </c>
      <c r="AO405" s="46">
        <v>0</v>
      </c>
      <c r="AP405" s="44">
        <v>0</v>
      </c>
      <c r="AQ405" s="44">
        <v>0</v>
      </c>
      <c r="AR405" s="41">
        <f t="shared" ref="AR405:AR409" si="66">T405*AM405/AN405</f>
        <v>8.789010235790147E-2</v>
      </c>
      <c r="AS405" s="40"/>
      <c r="AT405" s="41"/>
      <c r="AU405" s="41"/>
      <c r="AV405" s="23">
        <v>1.730593607305936</v>
      </c>
      <c r="AW405" s="23">
        <v>2.557077625570777</v>
      </c>
      <c r="AX405" s="23">
        <v>0.8264840182648403</v>
      </c>
      <c r="AY405" s="23">
        <v>0</v>
      </c>
      <c r="AZ405" s="23">
        <v>0.33839285714285711</v>
      </c>
      <c r="BA405" s="23">
        <v>0.5</v>
      </c>
      <c r="BB405" s="23">
        <v>0.16160714285714289</v>
      </c>
      <c r="BC405" s="23">
        <v>0</v>
      </c>
      <c r="BD405" s="20">
        <v>1.1000000000000001</v>
      </c>
      <c r="BE405" s="20">
        <v>3.44</v>
      </c>
      <c r="BF405" s="20">
        <v>2.34</v>
      </c>
      <c r="BG405" s="20">
        <v>2.7852054794520549</v>
      </c>
      <c r="BH405">
        <v>2.7852054794520549</v>
      </c>
      <c r="BI405">
        <v>6.4239560922245156</v>
      </c>
      <c r="BJ405" s="64">
        <v>0.41874886813759421</v>
      </c>
      <c r="BK405" s="64"/>
      <c r="BL405" s="64"/>
      <c r="BM405">
        <v>4.3945051178950742E-2</v>
      </c>
      <c r="BQ405">
        <v>8.789010235790147E-2</v>
      </c>
      <c r="BR405">
        <v>4.3945051178950742E-2</v>
      </c>
      <c r="BS405">
        <v>0.41874886813759421</v>
      </c>
      <c r="BT405" s="68" t="s">
        <v>1264</v>
      </c>
      <c r="BU405" s="68">
        <v>1423</v>
      </c>
      <c r="BV405" s="68">
        <v>24</v>
      </c>
      <c r="BX405" s="68" t="s">
        <v>464</v>
      </c>
      <c r="BY405" s="68" t="s">
        <v>464</v>
      </c>
      <c r="BZ405" s="68">
        <v>0</v>
      </c>
      <c r="CA405" s="68">
        <v>11.5</v>
      </c>
      <c r="CB405" s="68">
        <v>2</v>
      </c>
      <c r="CC405" s="68">
        <v>10</v>
      </c>
      <c r="CD405" s="68" t="s">
        <v>464</v>
      </c>
      <c r="CE405" s="68" t="s">
        <v>464</v>
      </c>
      <c r="CF405" s="68" t="s">
        <v>1266</v>
      </c>
      <c r="CG405" s="68">
        <v>100</v>
      </c>
      <c r="CH405" s="68">
        <v>290</v>
      </c>
      <c r="CI405" s="68" t="s">
        <v>1310</v>
      </c>
      <c r="CJ405" s="68">
        <v>333</v>
      </c>
      <c r="CK405" s="70">
        <v>2455.3571428571431</v>
      </c>
    </row>
    <row r="406" spans="1:89" x14ac:dyDescent="0.3">
      <c r="A406" t="s">
        <v>1355</v>
      </c>
      <c r="B406" t="s">
        <v>153</v>
      </c>
      <c r="C406" t="s">
        <v>4119</v>
      </c>
      <c r="D406" s="12"/>
      <c r="E406">
        <v>3.1</v>
      </c>
      <c r="F406" t="s">
        <v>209</v>
      </c>
      <c r="G406" s="25" t="s">
        <v>578</v>
      </c>
      <c r="H406">
        <v>-1</v>
      </c>
      <c r="J406" t="s">
        <v>1820</v>
      </c>
      <c r="M406" t="b">
        <v>1</v>
      </c>
      <c r="N406" t="b">
        <v>0</v>
      </c>
      <c r="O406" t="b">
        <v>0</v>
      </c>
      <c r="P406" t="b">
        <v>0</v>
      </c>
      <c r="Q406" t="s">
        <v>2060</v>
      </c>
      <c r="R406">
        <v>-1</v>
      </c>
      <c r="T406">
        <v>1</v>
      </c>
      <c r="U406" s="20">
        <v>0</v>
      </c>
      <c r="V406">
        <v>0</v>
      </c>
      <c r="W406">
        <v>0</v>
      </c>
      <c r="X406" s="1">
        <v>3.8860000000000001</v>
      </c>
      <c r="Y406" s="1">
        <v>3.8860000000000001</v>
      </c>
      <c r="Z406" s="1">
        <v>10.548299999999999</v>
      </c>
      <c r="AA406" s="1" t="s">
        <v>1097</v>
      </c>
      <c r="AB406">
        <v>10.548299999999999</v>
      </c>
      <c r="AC406" s="20"/>
      <c r="AD406" s="20"/>
      <c r="AE406" s="20"/>
      <c r="AN406" s="44"/>
      <c r="AO406" s="46"/>
      <c r="AP406" s="44"/>
      <c r="AQ406" s="44"/>
      <c r="AR406" s="41"/>
      <c r="AS406" s="40"/>
      <c r="AT406" s="41"/>
      <c r="AU406" s="41"/>
      <c r="AV406" s="23"/>
      <c r="AW406" s="23"/>
      <c r="AX406" s="23"/>
      <c r="AY406" s="23"/>
      <c r="AZ406" s="23"/>
      <c r="BA406" s="23"/>
      <c r="BB406" s="23"/>
      <c r="BC406" s="23"/>
      <c r="BD406" s="20"/>
      <c r="BE406" s="20"/>
      <c r="BF406" s="20"/>
      <c r="BG406" s="20"/>
      <c r="BJ406" s="64"/>
      <c r="BK406" s="64"/>
      <c r="BL406" s="64"/>
      <c r="BT406" s="68" t="s">
        <v>1264</v>
      </c>
      <c r="BU406" s="68">
        <v>1423</v>
      </c>
      <c r="BV406" s="68">
        <v>24</v>
      </c>
      <c r="BX406" s="68" t="s">
        <v>464</v>
      </c>
      <c r="BY406" s="68" t="s">
        <v>464</v>
      </c>
      <c r="BZ406" s="68">
        <v>0</v>
      </c>
      <c r="CB406" s="68">
        <v>2</v>
      </c>
      <c r="CC406" s="68">
        <v>10</v>
      </c>
      <c r="CD406" s="68" t="s">
        <v>464</v>
      </c>
      <c r="CE406" s="68" t="s">
        <v>464</v>
      </c>
      <c r="CF406" s="68" t="s">
        <v>1266</v>
      </c>
      <c r="CG406" s="68">
        <v>100</v>
      </c>
      <c r="CH406" s="68">
        <v>290</v>
      </c>
      <c r="CI406" s="68" t="s">
        <v>1310</v>
      </c>
      <c r="CJ406" s="68">
        <v>333</v>
      </c>
      <c r="CK406" s="70">
        <v>1116.0714285714287</v>
      </c>
    </row>
    <row r="407" spans="1:89" x14ac:dyDescent="0.3">
      <c r="A407" t="s">
        <v>212</v>
      </c>
      <c r="B407" t="s">
        <v>153</v>
      </c>
      <c r="C407" t="s">
        <v>4120</v>
      </c>
      <c r="D407" s="12"/>
      <c r="E407">
        <v>3.1</v>
      </c>
      <c r="F407" t="s">
        <v>209</v>
      </c>
      <c r="G407" s="25" t="s">
        <v>578</v>
      </c>
      <c r="H407">
        <v>-1</v>
      </c>
      <c r="J407" t="s">
        <v>1821</v>
      </c>
      <c r="M407" t="b">
        <v>0</v>
      </c>
      <c r="N407" t="b">
        <v>0</v>
      </c>
      <c r="O407" t="b">
        <v>0</v>
      </c>
      <c r="P407" t="b">
        <v>1</v>
      </c>
      <c r="Q407" t="s">
        <v>2063</v>
      </c>
      <c r="R407">
        <v>-1</v>
      </c>
      <c r="T407">
        <v>1</v>
      </c>
      <c r="U407" s="20">
        <v>0</v>
      </c>
      <c r="V407">
        <v>0</v>
      </c>
      <c r="W407">
        <v>0</v>
      </c>
      <c r="X407" s="1">
        <v>3.8860000000000001</v>
      </c>
      <c r="Y407" s="1">
        <v>3.8860000000000001</v>
      </c>
      <c r="Z407" s="1">
        <v>10.548299999999999</v>
      </c>
      <c r="AA407" s="1" t="s">
        <v>1097</v>
      </c>
      <c r="AB407">
        <v>10.548299999999999</v>
      </c>
      <c r="AC407" s="20">
        <v>0</v>
      </c>
      <c r="AD407" s="20"/>
      <c r="AE407" s="20"/>
      <c r="AF407">
        <v>0</v>
      </c>
      <c r="AI407">
        <v>0</v>
      </c>
      <c r="AM407">
        <v>14</v>
      </c>
      <c r="AN407" s="44">
        <f t="shared" si="65"/>
        <v>159.28983610679998</v>
      </c>
      <c r="AO407" s="46">
        <v>0</v>
      </c>
      <c r="AP407" s="44">
        <v>0</v>
      </c>
      <c r="AQ407" s="44">
        <v>0</v>
      </c>
      <c r="AR407" s="41">
        <f t="shared" si="66"/>
        <v>8.789010235790147E-2</v>
      </c>
      <c r="AS407" s="40"/>
      <c r="AT407" s="41"/>
      <c r="AU407" s="41"/>
      <c r="AV407" s="23">
        <v>1.7373271889400921</v>
      </c>
      <c r="AW407" s="23">
        <v>2.580645161290323</v>
      </c>
      <c r="AX407" s="23">
        <v>0.84331797235023043</v>
      </c>
      <c r="AY407" s="23">
        <v>0</v>
      </c>
      <c r="AZ407" s="23">
        <v>0.33660714285714288</v>
      </c>
      <c r="BA407" s="23">
        <v>0.5</v>
      </c>
      <c r="BB407" s="23">
        <v>0.16339285714285709</v>
      </c>
      <c r="BC407" s="23">
        <v>0</v>
      </c>
      <c r="BD407" s="20">
        <v>1.1000000000000001</v>
      </c>
      <c r="BE407" s="20">
        <v>3.44</v>
      </c>
      <c r="BF407" s="20">
        <v>2.34</v>
      </c>
      <c r="BG407" s="20">
        <v>2.7957603686635939</v>
      </c>
      <c r="BH407">
        <v>2.7957603686635939</v>
      </c>
      <c r="BI407">
        <v>6.4177735234906308</v>
      </c>
      <c r="BJ407" s="64">
        <v>0.41874886813759421</v>
      </c>
      <c r="BK407" s="64"/>
      <c r="BL407" s="64"/>
      <c r="BM407">
        <v>4.3945051178950742E-2</v>
      </c>
      <c r="BQ407">
        <v>8.789010235790147E-2</v>
      </c>
      <c r="BR407">
        <v>4.3945051178950742E-2</v>
      </c>
      <c r="BS407">
        <v>0.41874886813759421</v>
      </c>
      <c r="BT407" s="68" t="s">
        <v>1264</v>
      </c>
      <c r="BU407" s="68">
        <v>1423</v>
      </c>
      <c r="BV407" s="68">
        <v>24</v>
      </c>
      <c r="BX407" s="68" t="s">
        <v>464</v>
      </c>
      <c r="BY407" s="68" t="s">
        <v>464</v>
      </c>
      <c r="BZ407" s="68">
        <v>0</v>
      </c>
      <c r="CA407" s="68">
        <v>7.84</v>
      </c>
      <c r="CB407" s="68">
        <v>2</v>
      </c>
      <c r="CC407" s="68">
        <v>10</v>
      </c>
      <c r="CD407" s="68" t="s">
        <v>464</v>
      </c>
      <c r="CE407" s="68" t="s">
        <v>464</v>
      </c>
      <c r="CF407" s="68" t="s">
        <v>1266</v>
      </c>
      <c r="CG407" s="68">
        <v>100</v>
      </c>
      <c r="CH407" s="68">
        <v>290</v>
      </c>
      <c r="CI407" s="68" t="s">
        <v>1310</v>
      </c>
      <c r="CJ407" s="68">
        <v>333</v>
      </c>
      <c r="CK407" s="70">
        <v>892.85714285714289</v>
      </c>
    </row>
    <row r="408" spans="1:89" x14ac:dyDescent="0.3">
      <c r="A408" t="s">
        <v>153</v>
      </c>
      <c r="B408" t="s">
        <v>153</v>
      </c>
      <c r="C408" t="s">
        <v>3927</v>
      </c>
      <c r="D408" s="12"/>
      <c r="E408">
        <v>3.1</v>
      </c>
      <c r="F408" t="s">
        <v>209</v>
      </c>
      <c r="G408" s="8" t="s">
        <v>578</v>
      </c>
      <c r="H408">
        <v>-1</v>
      </c>
      <c r="M408" t="b">
        <v>1</v>
      </c>
      <c r="N408" t="b">
        <v>0</v>
      </c>
      <c r="O408" t="b">
        <v>0</v>
      </c>
      <c r="P408" t="b">
        <v>0</v>
      </c>
      <c r="Q408" t="s">
        <v>578</v>
      </c>
      <c r="R408">
        <v>-1</v>
      </c>
      <c r="T408">
        <v>1</v>
      </c>
      <c r="U408" s="20">
        <v>0</v>
      </c>
      <c r="V408">
        <v>0</v>
      </c>
      <c r="W408">
        <v>0</v>
      </c>
      <c r="X408" s="1">
        <v>3.8860000000000001</v>
      </c>
      <c r="Y408" s="1">
        <v>3.8860000000000001</v>
      </c>
      <c r="Z408" s="1">
        <v>10.548299999999999</v>
      </c>
      <c r="AA408" s="1" t="s">
        <v>1097</v>
      </c>
      <c r="AB408">
        <v>10.548299999999999</v>
      </c>
      <c r="AC408" s="20">
        <v>0</v>
      </c>
      <c r="AD408" s="20"/>
      <c r="AE408" s="20"/>
      <c r="AF408">
        <v>0</v>
      </c>
      <c r="AI408">
        <v>0</v>
      </c>
      <c r="AM408">
        <v>14</v>
      </c>
      <c r="AN408" s="44">
        <f t="shared" si="65"/>
        <v>159.28983610679998</v>
      </c>
      <c r="AO408" s="46">
        <v>0</v>
      </c>
      <c r="AP408" s="44">
        <v>0</v>
      </c>
      <c r="AQ408" s="44">
        <v>0</v>
      </c>
      <c r="AR408" s="41">
        <f t="shared" si="66"/>
        <v>8.789010235790147E-2</v>
      </c>
      <c r="AS408" s="40"/>
      <c r="AT408" s="41"/>
      <c r="AU408" s="41"/>
      <c r="AV408" s="23">
        <v>1.730593607305936</v>
      </c>
      <c r="AW408" s="23">
        <v>2.557077625570777</v>
      </c>
      <c r="AX408" s="23">
        <v>0.8264840182648403</v>
      </c>
      <c r="AY408" s="23">
        <v>0</v>
      </c>
      <c r="AZ408" s="23">
        <v>0.33839285714285711</v>
      </c>
      <c r="BA408" s="23">
        <v>0.5</v>
      </c>
      <c r="BB408" s="23">
        <v>0.16160714285714289</v>
      </c>
      <c r="BC408" s="23">
        <v>0</v>
      </c>
      <c r="BD408" s="20">
        <v>1.1000000000000001</v>
      </c>
      <c r="BE408" s="20">
        <v>3.44</v>
      </c>
      <c r="BF408" s="20">
        <v>2.34</v>
      </c>
      <c r="BG408" s="20">
        <v>2.7852054794520549</v>
      </c>
      <c r="BH408">
        <v>2.7852054794520549</v>
      </c>
      <c r="BI408">
        <v>6.4239560922245156</v>
      </c>
      <c r="BJ408" s="64">
        <v>0.41874886813759421</v>
      </c>
      <c r="BK408" s="64"/>
      <c r="BL408" s="64"/>
      <c r="BM408">
        <v>4.3945051178950742E-2</v>
      </c>
      <c r="BQ408">
        <v>8.789010235790147E-2</v>
      </c>
      <c r="BR408">
        <v>4.3945051178950742E-2</v>
      </c>
      <c r="BS408">
        <v>0.41874886813759421</v>
      </c>
      <c r="BT408" s="68" t="s">
        <v>1264</v>
      </c>
      <c r="BU408" s="68">
        <v>1423</v>
      </c>
      <c r="BV408" s="68">
        <v>24</v>
      </c>
      <c r="BX408" s="68" t="s">
        <v>464</v>
      </c>
      <c r="BY408" s="68" t="s">
        <v>863</v>
      </c>
      <c r="BZ408" s="68">
        <v>1.34</v>
      </c>
      <c r="CA408" s="68">
        <v>4.18</v>
      </c>
      <c r="CB408" s="68">
        <v>2</v>
      </c>
      <c r="CC408" s="68">
        <v>10</v>
      </c>
      <c r="CD408" s="68" t="s">
        <v>464</v>
      </c>
      <c r="CE408" s="68" t="s">
        <v>464</v>
      </c>
      <c r="CF408" s="68" t="s">
        <v>1266</v>
      </c>
      <c r="CG408" s="68">
        <v>100</v>
      </c>
      <c r="CH408" s="68">
        <v>290</v>
      </c>
      <c r="CI408" s="68" t="s">
        <v>1310</v>
      </c>
      <c r="CJ408" s="68">
        <v>333</v>
      </c>
      <c r="CK408" s="70">
        <v>7723.2142857142862</v>
      </c>
    </row>
    <row r="409" spans="1:89" x14ac:dyDescent="0.3">
      <c r="A409" t="s">
        <v>210</v>
      </c>
      <c r="B409" t="s">
        <v>153</v>
      </c>
      <c r="C409" t="s">
        <v>4117</v>
      </c>
      <c r="D409" s="12"/>
      <c r="E409">
        <v>3.1</v>
      </c>
      <c r="F409" t="s">
        <v>209</v>
      </c>
      <c r="G409" s="25" t="s">
        <v>578</v>
      </c>
      <c r="H409">
        <v>-1</v>
      </c>
      <c r="J409" t="s">
        <v>1818</v>
      </c>
      <c r="M409" t="b">
        <v>1</v>
      </c>
      <c r="N409" t="b">
        <v>0</v>
      </c>
      <c r="O409" t="b">
        <v>0</v>
      </c>
      <c r="P409" t="b">
        <v>0</v>
      </c>
      <c r="Q409" t="s">
        <v>2066</v>
      </c>
      <c r="R409">
        <v>-1</v>
      </c>
      <c r="T409">
        <v>1</v>
      </c>
      <c r="U409" s="20">
        <v>0</v>
      </c>
      <c r="V409">
        <v>0</v>
      </c>
      <c r="W409">
        <v>0</v>
      </c>
      <c r="X409" s="1">
        <v>3.8860000000000001</v>
      </c>
      <c r="Y409" s="1">
        <v>3.8860000000000001</v>
      </c>
      <c r="Z409" s="1">
        <v>10.548299999999999</v>
      </c>
      <c r="AA409" s="1" t="s">
        <v>1097</v>
      </c>
      <c r="AB409">
        <v>10.548299999999999</v>
      </c>
      <c r="AC409" s="20">
        <v>0</v>
      </c>
      <c r="AD409" s="20"/>
      <c r="AE409" s="20"/>
      <c r="AF409">
        <v>0</v>
      </c>
      <c r="AI409">
        <v>0</v>
      </c>
      <c r="AM409">
        <v>14</v>
      </c>
      <c r="AN409" s="44">
        <f t="shared" si="65"/>
        <v>159.28983610679998</v>
      </c>
      <c r="AO409" s="46">
        <v>0</v>
      </c>
      <c r="AP409" s="44">
        <v>0</v>
      </c>
      <c r="AQ409" s="44">
        <v>0</v>
      </c>
      <c r="AR409" s="41">
        <f t="shared" si="66"/>
        <v>8.789010235790147E-2</v>
      </c>
      <c r="AS409" s="40"/>
      <c r="AT409" s="41"/>
      <c r="AU409" s="41"/>
      <c r="AV409" s="23">
        <v>1.730593607305936</v>
      </c>
      <c r="AW409" s="23">
        <v>2.557077625570777</v>
      </c>
      <c r="AX409" s="23">
        <v>0.8264840182648403</v>
      </c>
      <c r="AY409" s="23">
        <v>0</v>
      </c>
      <c r="AZ409" s="23">
        <v>0.33839285714285711</v>
      </c>
      <c r="BA409" s="23">
        <v>0.5</v>
      </c>
      <c r="BB409" s="23">
        <v>0.16160714285714289</v>
      </c>
      <c r="BC409" s="23">
        <v>0</v>
      </c>
      <c r="BD409" s="20">
        <v>1.1000000000000001</v>
      </c>
      <c r="BE409" s="20">
        <v>3.44</v>
      </c>
      <c r="BF409" s="20">
        <v>2.34</v>
      </c>
      <c r="BG409" s="20">
        <v>2.7852054794520549</v>
      </c>
      <c r="BH409">
        <v>2.7852054794520549</v>
      </c>
      <c r="BI409">
        <v>6.4239560922245156</v>
      </c>
      <c r="BJ409" s="64">
        <v>0.41874886813759421</v>
      </c>
      <c r="BK409" s="64"/>
      <c r="BL409" s="64"/>
      <c r="BM409">
        <v>4.3945051178950742E-2</v>
      </c>
      <c r="BQ409">
        <v>8.789010235790147E-2</v>
      </c>
      <c r="BR409">
        <v>4.3945051178950742E-2</v>
      </c>
      <c r="BS409">
        <v>0.41874886813759421</v>
      </c>
      <c r="BT409" s="68" t="s">
        <v>1264</v>
      </c>
      <c r="BU409" s="68">
        <v>1423</v>
      </c>
      <c r="BV409" s="68">
        <v>24</v>
      </c>
      <c r="BX409" s="68" t="s">
        <v>464</v>
      </c>
      <c r="BY409" s="68" t="s">
        <v>863</v>
      </c>
      <c r="BZ409" s="68">
        <v>1.04</v>
      </c>
      <c r="CA409" s="68">
        <v>4.54</v>
      </c>
      <c r="CB409" s="68">
        <v>2</v>
      </c>
      <c r="CC409" s="68">
        <v>10</v>
      </c>
      <c r="CD409" s="68" t="s">
        <v>464</v>
      </c>
      <c r="CE409" s="68" t="s">
        <v>464</v>
      </c>
      <c r="CF409" s="68" t="s">
        <v>1266</v>
      </c>
      <c r="CG409" s="68">
        <v>100</v>
      </c>
      <c r="CH409" s="68">
        <v>290</v>
      </c>
      <c r="CI409" s="68" t="s">
        <v>1310</v>
      </c>
      <c r="CJ409" s="68">
        <v>333</v>
      </c>
      <c r="CK409" s="70">
        <v>8750</v>
      </c>
    </row>
    <row r="410" spans="1:89" x14ac:dyDescent="0.3">
      <c r="A410" t="s">
        <v>211</v>
      </c>
      <c r="B410" t="s">
        <v>153</v>
      </c>
      <c r="C410" t="s">
        <v>4118</v>
      </c>
      <c r="D410" s="12"/>
      <c r="E410">
        <v>3.1</v>
      </c>
      <c r="F410" t="s">
        <v>209</v>
      </c>
      <c r="G410" s="25" t="s">
        <v>578</v>
      </c>
      <c r="H410">
        <v>-1</v>
      </c>
      <c r="J410" t="s">
        <v>1819</v>
      </c>
      <c r="M410" t="b">
        <v>1</v>
      </c>
      <c r="N410" t="b">
        <v>0</v>
      </c>
      <c r="O410" t="b">
        <v>0</v>
      </c>
      <c r="P410" t="b">
        <v>0</v>
      </c>
      <c r="Q410" t="s">
        <v>2069</v>
      </c>
      <c r="R410">
        <v>-1</v>
      </c>
      <c r="T410">
        <v>1</v>
      </c>
      <c r="U410" s="20">
        <v>0</v>
      </c>
      <c r="V410">
        <v>0</v>
      </c>
      <c r="W410">
        <v>0</v>
      </c>
      <c r="X410" s="1">
        <v>3.8860000000000001</v>
      </c>
      <c r="Y410" s="1">
        <v>3.8860000000000001</v>
      </c>
      <c r="Z410" s="1">
        <v>10.548299999999999</v>
      </c>
      <c r="AA410" s="1" t="s">
        <v>1097</v>
      </c>
      <c r="AB410">
        <v>10.548299999999999</v>
      </c>
      <c r="AC410" s="20">
        <v>0</v>
      </c>
      <c r="AD410" s="20"/>
      <c r="AE410" s="20"/>
      <c r="AF410">
        <v>0</v>
      </c>
      <c r="AI410">
        <v>0</v>
      </c>
      <c r="AM410">
        <v>14</v>
      </c>
      <c r="AN410" s="44">
        <f t="shared" ref="AN410" si="67">X410*Y410*Z410</f>
        <v>159.28983610679998</v>
      </c>
      <c r="AO410" s="46">
        <v>0</v>
      </c>
      <c r="AP410" s="44">
        <v>0</v>
      </c>
      <c r="AQ410" s="44">
        <v>0</v>
      </c>
      <c r="AR410" s="41">
        <f t="shared" ref="AR410" si="68">T410*AM410/AN410</f>
        <v>8.789010235790147E-2</v>
      </c>
      <c r="AS410" s="40"/>
      <c r="AT410" s="41"/>
      <c r="AU410" s="41"/>
      <c r="AV410" s="23">
        <v>1.730593607305936</v>
      </c>
      <c r="AW410" s="23">
        <v>2.557077625570777</v>
      </c>
      <c r="AX410" s="23">
        <v>0.8264840182648403</v>
      </c>
      <c r="AY410" s="23">
        <v>0</v>
      </c>
      <c r="AZ410" s="23">
        <v>0.33839285714285711</v>
      </c>
      <c r="BA410" s="23">
        <v>0.5</v>
      </c>
      <c r="BB410" s="23">
        <v>0.16160714285714289</v>
      </c>
      <c r="BC410" s="23">
        <v>0</v>
      </c>
      <c r="BD410" s="20">
        <v>1.1000000000000001</v>
      </c>
      <c r="BE410" s="20">
        <v>3.44</v>
      </c>
      <c r="BF410" s="20">
        <v>2.34</v>
      </c>
      <c r="BG410" s="20">
        <v>2.7852054794520549</v>
      </c>
      <c r="BH410">
        <v>2.7852054794520549</v>
      </c>
      <c r="BI410">
        <v>6.4239560922245156</v>
      </c>
      <c r="BJ410" s="64">
        <v>0.41874886813759421</v>
      </c>
      <c r="BK410" s="64"/>
      <c r="BL410" s="64"/>
      <c r="BM410">
        <v>4.3945051178950742E-2</v>
      </c>
      <c r="BQ410">
        <v>8.789010235790147E-2</v>
      </c>
      <c r="BR410">
        <v>4.3945051178950742E-2</v>
      </c>
      <c r="BS410">
        <v>0.41874886813759421</v>
      </c>
      <c r="BT410" s="68" t="s">
        <v>1264</v>
      </c>
      <c r="BU410" s="68">
        <v>1423</v>
      </c>
      <c r="BV410" s="68">
        <v>24</v>
      </c>
      <c r="BX410" s="68" t="s">
        <v>464</v>
      </c>
      <c r="BY410" s="68" t="s">
        <v>863</v>
      </c>
      <c r="BZ410" s="68">
        <v>1.19</v>
      </c>
      <c r="CA410" s="68">
        <v>11.5</v>
      </c>
      <c r="CB410" s="68">
        <v>2</v>
      </c>
      <c r="CC410" s="68">
        <v>10</v>
      </c>
      <c r="CD410" s="68" t="s">
        <v>464</v>
      </c>
      <c r="CE410" s="68" t="s">
        <v>464</v>
      </c>
      <c r="CF410" s="68" t="s">
        <v>1266</v>
      </c>
      <c r="CG410" s="68">
        <v>100</v>
      </c>
      <c r="CH410" s="68">
        <v>290</v>
      </c>
      <c r="CI410" s="68" t="s">
        <v>1310</v>
      </c>
      <c r="CJ410" s="68">
        <v>333</v>
      </c>
      <c r="CK410" s="70">
        <v>10714.285714285716</v>
      </c>
    </row>
    <row r="411" spans="1:89" x14ac:dyDescent="0.3">
      <c r="A411" t="s">
        <v>1355</v>
      </c>
      <c r="B411" t="s">
        <v>153</v>
      </c>
      <c r="C411" t="s">
        <v>4119</v>
      </c>
      <c r="D411" s="12"/>
      <c r="E411">
        <v>3.1</v>
      </c>
      <c r="F411" t="s">
        <v>209</v>
      </c>
      <c r="G411" s="25" t="s">
        <v>578</v>
      </c>
      <c r="H411">
        <v>-1</v>
      </c>
      <c r="J411" t="s">
        <v>1820</v>
      </c>
      <c r="M411" t="b">
        <v>1</v>
      </c>
      <c r="N411" t="b">
        <v>0</v>
      </c>
      <c r="O411" t="b">
        <v>0</v>
      </c>
      <c r="P411" t="b">
        <v>0</v>
      </c>
      <c r="Q411" t="s">
        <v>2072</v>
      </c>
      <c r="R411">
        <v>-1</v>
      </c>
      <c r="T411">
        <v>1</v>
      </c>
      <c r="U411" s="20">
        <v>0</v>
      </c>
      <c r="V411">
        <v>0</v>
      </c>
      <c r="W411">
        <v>0</v>
      </c>
      <c r="X411" s="1">
        <v>3.8860000000000001</v>
      </c>
      <c r="Y411" s="1">
        <v>3.8860000000000001</v>
      </c>
      <c r="Z411" s="1">
        <v>10.548299999999999</v>
      </c>
      <c r="AA411" s="1" t="s">
        <v>1097</v>
      </c>
      <c r="AB411">
        <v>10.548299999999999</v>
      </c>
      <c r="AC411" s="20"/>
      <c r="AD411" s="20"/>
      <c r="AE411" s="20"/>
      <c r="AN411" s="44"/>
      <c r="AO411" s="46"/>
      <c r="AP411" s="44"/>
      <c r="AQ411" s="44"/>
      <c r="AR411" s="41"/>
      <c r="AS411" s="40"/>
      <c r="AT411" s="41"/>
      <c r="AU411" s="41"/>
      <c r="AV411" s="23"/>
      <c r="AW411" s="23"/>
      <c r="AX411" s="23"/>
      <c r="AY411" s="23"/>
      <c r="AZ411" s="23"/>
      <c r="BA411" s="23"/>
      <c r="BB411" s="23"/>
      <c r="BC411" s="23"/>
      <c r="BD411" s="20"/>
      <c r="BE411" s="20"/>
      <c r="BF411" s="20"/>
      <c r="BG411" s="20"/>
      <c r="BJ411" s="64"/>
      <c r="BK411" s="64"/>
      <c r="BL411" s="64"/>
      <c r="BT411" s="68" t="s">
        <v>1264</v>
      </c>
      <c r="BU411" s="68">
        <v>1423</v>
      </c>
      <c r="BV411" s="68">
        <v>24</v>
      </c>
      <c r="BX411" s="68" t="s">
        <v>464</v>
      </c>
      <c r="BY411" s="68" t="s">
        <v>863</v>
      </c>
      <c r="BZ411" s="68">
        <f>AVERAGE(BZ408,BZ409,BZ410,BZ412)</f>
        <v>1.2949999999999999</v>
      </c>
      <c r="CA411" s="68">
        <f>AVERAGE(CA408,CA409,CA410,CA412)</f>
        <v>7.0149999999999997</v>
      </c>
      <c r="CB411" s="68">
        <v>2</v>
      </c>
      <c r="CC411" s="68">
        <v>10</v>
      </c>
      <c r="CD411" s="68" t="s">
        <v>464</v>
      </c>
      <c r="CE411" s="68" t="s">
        <v>464</v>
      </c>
      <c r="CF411" s="68" t="s">
        <v>1266</v>
      </c>
      <c r="CG411" s="68">
        <v>100</v>
      </c>
      <c r="CH411" s="68">
        <v>290</v>
      </c>
      <c r="CI411" s="68" t="s">
        <v>1310</v>
      </c>
      <c r="CJ411" s="68">
        <v>333</v>
      </c>
      <c r="CK411" s="70">
        <v>4910.7142857142862</v>
      </c>
    </row>
    <row r="412" spans="1:89" x14ac:dyDescent="0.3">
      <c r="A412" t="s">
        <v>212</v>
      </c>
      <c r="B412" t="s">
        <v>153</v>
      </c>
      <c r="C412" t="s">
        <v>4120</v>
      </c>
      <c r="D412" s="12"/>
      <c r="E412">
        <v>3.1</v>
      </c>
      <c r="F412" t="s">
        <v>209</v>
      </c>
      <c r="G412" s="25" t="s">
        <v>578</v>
      </c>
      <c r="H412">
        <v>-1</v>
      </c>
      <c r="J412" t="s">
        <v>1821</v>
      </c>
      <c r="M412" t="b">
        <v>0</v>
      </c>
      <c r="N412" t="b">
        <v>0</v>
      </c>
      <c r="O412" t="b">
        <v>0</v>
      </c>
      <c r="P412" t="b">
        <v>1</v>
      </c>
      <c r="Q412" t="s">
        <v>2075</v>
      </c>
      <c r="R412">
        <v>-1</v>
      </c>
      <c r="T412">
        <v>1</v>
      </c>
      <c r="U412" s="20">
        <v>0</v>
      </c>
      <c r="V412">
        <v>0</v>
      </c>
      <c r="W412">
        <v>0</v>
      </c>
      <c r="X412" s="1">
        <v>3.8860000000000001</v>
      </c>
      <c r="Y412" s="1">
        <v>3.8860000000000001</v>
      </c>
      <c r="Z412" s="1">
        <v>10.548299999999999</v>
      </c>
      <c r="AA412" s="1" t="s">
        <v>1097</v>
      </c>
      <c r="AB412">
        <v>10.548299999999999</v>
      </c>
      <c r="AC412" s="20">
        <v>0</v>
      </c>
      <c r="AD412" s="20"/>
      <c r="AE412" s="20"/>
      <c r="AF412">
        <v>0</v>
      </c>
      <c r="AI412">
        <v>0</v>
      </c>
      <c r="AM412">
        <v>14</v>
      </c>
      <c r="AN412" s="44">
        <f t="shared" ref="AN412" si="69">X412*Y412*Z412</f>
        <v>159.28983610679998</v>
      </c>
      <c r="AO412" s="46">
        <v>0</v>
      </c>
      <c r="AP412" s="44">
        <v>0</v>
      </c>
      <c r="AQ412" s="44">
        <v>0</v>
      </c>
      <c r="AR412" s="41">
        <f t="shared" ref="AR412" si="70">T412*AM412/AN412</f>
        <v>8.789010235790147E-2</v>
      </c>
      <c r="AS412" s="40"/>
      <c r="AT412" s="41"/>
      <c r="AU412" s="41"/>
      <c r="AV412" s="23">
        <v>1.7373271889400921</v>
      </c>
      <c r="AW412" s="23">
        <v>2.580645161290323</v>
      </c>
      <c r="AX412" s="23">
        <v>0.84331797235023043</v>
      </c>
      <c r="AY412" s="23">
        <v>0</v>
      </c>
      <c r="AZ412" s="23">
        <v>0.33660714285714288</v>
      </c>
      <c r="BA412" s="23">
        <v>0.5</v>
      </c>
      <c r="BB412" s="23">
        <v>0.16339285714285709</v>
      </c>
      <c r="BC412" s="23">
        <v>0</v>
      </c>
      <c r="BD412" s="20">
        <v>1.1000000000000001</v>
      </c>
      <c r="BE412" s="20">
        <v>3.44</v>
      </c>
      <c r="BF412" s="20">
        <v>2.34</v>
      </c>
      <c r="BG412" s="20">
        <v>2.7957603686635939</v>
      </c>
      <c r="BH412">
        <v>2.7957603686635939</v>
      </c>
      <c r="BI412">
        <v>6.4177735234906308</v>
      </c>
      <c r="BJ412" s="64">
        <v>0.41874886813759421</v>
      </c>
      <c r="BK412" s="64"/>
      <c r="BL412" s="64"/>
      <c r="BM412">
        <v>4.3945051178950742E-2</v>
      </c>
      <c r="BQ412">
        <v>8.789010235790147E-2</v>
      </c>
      <c r="BR412">
        <v>4.3945051178950742E-2</v>
      </c>
      <c r="BS412">
        <v>0.41874886813759421</v>
      </c>
      <c r="BT412" s="68" t="s">
        <v>1264</v>
      </c>
      <c r="BU412" s="68">
        <v>1423</v>
      </c>
      <c r="BV412" s="68">
        <v>24</v>
      </c>
      <c r="BX412" s="68" t="s">
        <v>464</v>
      </c>
      <c r="BY412" s="68" t="s">
        <v>863</v>
      </c>
      <c r="BZ412" s="68">
        <v>1.61</v>
      </c>
      <c r="CA412" s="68">
        <v>7.84</v>
      </c>
      <c r="CB412" s="68">
        <v>2</v>
      </c>
      <c r="CC412" s="68">
        <v>10</v>
      </c>
      <c r="CD412" s="68" t="s">
        <v>464</v>
      </c>
      <c r="CE412" s="68" t="s">
        <v>464</v>
      </c>
      <c r="CF412" s="68" t="s">
        <v>1266</v>
      </c>
      <c r="CG412" s="68">
        <v>100</v>
      </c>
      <c r="CH412" s="68">
        <v>290</v>
      </c>
      <c r="CI412" s="68" t="s">
        <v>1310</v>
      </c>
      <c r="CJ412" s="68">
        <v>333</v>
      </c>
      <c r="CK412" s="70">
        <v>2008.9285714285716</v>
      </c>
    </row>
    <row r="413" spans="1:89" x14ac:dyDescent="0.3">
      <c r="A413" t="s">
        <v>107</v>
      </c>
      <c r="C413" t="s">
        <v>4023</v>
      </c>
      <c r="D413" s="12"/>
      <c r="E413">
        <v>3.08</v>
      </c>
      <c r="F413" t="s">
        <v>214</v>
      </c>
      <c r="G413" s="8" t="s">
        <v>555</v>
      </c>
      <c r="H413" t="s">
        <v>632</v>
      </c>
      <c r="M413" t="b">
        <v>1</v>
      </c>
      <c r="N413" t="b">
        <v>1</v>
      </c>
      <c r="O413" t="b">
        <v>0</v>
      </c>
      <c r="P413" t="b">
        <v>0</v>
      </c>
      <c r="Q413" t="s">
        <v>555</v>
      </c>
      <c r="R413" t="s">
        <v>632</v>
      </c>
      <c r="U413" s="20">
        <v>1</v>
      </c>
      <c r="V413">
        <v>4</v>
      </c>
      <c r="W413">
        <v>0</v>
      </c>
      <c r="AC413" s="20">
        <v>3.86469438</v>
      </c>
      <c r="AD413" s="20">
        <v>3.86469438</v>
      </c>
      <c r="AE413" s="20">
        <v>16.978874730000001</v>
      </c>
      <c r="AF413">
        <v>32.83</v>
      </c>
      <c r="AG413">
        <v>5.4109999999999996</v>
      </c>
      <c r="AH413">
        <v>5.4480000000000004</v>
      </c>
      <c r="AI413">
        <v>0</v>
      </c>
      <c r="AM413">
        <v>24</v>
      </c>
      <c r="AN413" s="44">
        <f t="shared" ref="AN413:AN416" si="71">X413*Y413*Z413</f>
        <v>0</v>
      </c>
      <c r="AO413" s="46">
        <v>251.01098912285789</v>
      </c>
      <c r="AP413" s="44">
        <v>967.79977224000004</v>
      </c>
      <c r="AQ413" s="44">
        <v>0</v>
      </c>
      <c r="AR413" s="41"/>
      <c r="AS413" s="40">
        <v>9.5613343797681868E-2</v>
      </c>
      <c r="AT413" s="41">
        <v>9.919407170122109E-2</v>
      </c>
      <c r="AU413" s="41"/>
      <c r="AV413" s="23">
        <v>2</v>
      </c>
      <c r="AW413" s="23">
        <v>3.1578947368421049</v>
      </c>
      <c r="AX413" s="23">
        <v>2.4210526315789469</v>
      </c>
      <c r="AY413" s="23">
        <v>2.947368421052631</v>
      </c>
      <c r="AZ413" s="23">
        <v>0.19</v>
      </c>
      <c r="BA413" s="23">
        <v>0.3</v>
      </c>
      <c r="BB413" s="23">
        <v>0.23</v>
      </c>
      <c r="BC413" s="23">
        <v>0.28000000000000003</v>
      </c>
      <c r="BD413" s="20">
        <v>1.54</v>
      </c>
      <c r="BE413" s="20">
        <v>3.44</v>
      </c>
      <c r="BF413" s="20">
        <v>1.9</v>
      </c>
      <c r="BG413" s="20">
        <v>2.8410526315789468</v>
      </c>
      <c r="BH413">
        <v>2.8410526315789468</v>
      </c>
      <c r="BI413">
        <v>6.1729587136842099</v>
      </c>
      <c r="BJ413" s="64">
        <v>0.52818907539878324</v>
      </c>
      <c r="BK413" s="64">
        <v>0.54796980145127927</v>
      </c>
      <c r="BL413" s="64"/>
      <c r="BN413">
        <v>4.7806671898840941E-2</v>
      </c>
      <c r="BO413">
        <v>4.9597035850610538E-2</v>
      </c>
      <c r="BQ413">
        <v>9.7403707749451479E-2</v>
      </c>
      <c r="BR413">
        <v>4.870185387472574E-2</v>
      </c>
      <c r="BS413">
        <v>0.53807943842503125</v>
      </c>
      <c r="BT413" s="68" t="s">
        <v>1336</v>
      </c>
      <c r="BU413" s="68">
        <f t="shared" ref="BU413:BU424" si="72">750+273</f>
        <v>1023</v>
      </c>
      <c r="BV413" s="68">
        <v>3</v>
      </c>
      <c r="BX413" s="68" t="s">
        <v>464</v>
      </c>
      <c r="BY413" s="68" t="s">
        <v>464</v>
      </c>
      <c r="BZ413" s="68">
        <v>0</v>
      </c>
      <c r="CB413" s="68">
        <v>0.23799999999999999</v>
      </c>
      <c r="CC413" s="68">
        <v>4.76</v>
      </c>
      <c r="CD413" s="68" t="s">
        <v>464</v>
      </c>
      <c r="CE413" s="68" t="s">
        <v>464</v>
      </c>
      <c r="CF413" s="68" t="s">
        <v>1271</v>
      </c>
      <c r="CG413" s="68">
        <v>350</v>
      </c>
      <c r="CH413" s="68">
        <v>400</v>
      </c>
      <c r="CI413" s="68" t="s">
        <v>1310</v>
      </c>
      <c r="CK413" s="70">
        <v>35</v>
      </c>
    </row>
    <row r="414" spans="1:89" x14ac:dyDescent="0.3">
      <c r="A414" t="s">
        <v>1356</v>
      </c>
      <c r="C414" t="s">
        <v>4121</v>
      </c>
      <c r="D414" s="12"/>
      <c r="E414">
        <v>3.08</v>
      </c>
      <c r="F414" t="s">
        <v>214</v>
      </c>
      <c r="G414" s="25" t="s">
        <v>555</v>
      </c>
      <c r="H414" s="1" t="s">
        <v>632</v>
      </c>
      <c r="J414" s="58" t="s">
        <v>1746</v>
      </c>
      <c r="K414" s="58" t="s">
        <v>1746</v>
      </c>
      <c r="M414" t="b">
        <v>1</v>
      </c>
      <c r="N414" t="b">
        <v>1</v>
      </c>
      <c r="O414" t="b">
        <v>0</v>
      </c>
      <c r="P414" t="b">
        <v>0</v>
      </c>
      <c r="Q414" t="s">
        <v>2078</v>
      </c>
      <c r="R414" t="s">
        <v>2082</v>
      </c>
      <c r="U414" s="20">
        <v>1</v>
      </c>
      <c r="V414">
        <v>4</v>
      </c>
      <c r="W414">
        <v>0</v>
      </c>
      <c r="AC414" s="20">
        <v>3.86469438</v>
      </c>
      <c r="AD414" s="20">
        <v>3.86469438</v>
      </c>
      <c r="AE414" s="20">
        <v>16.978874730000001</v>
      </c>
      <c r="AF414">
        <v>32.83</v>
      </c>
      <c r="AG414">
        <v>5.4109999999999996</v>
      </c>
      <c r="AH414">
        <v>5.4480000000000004</v>
      </c>
      <c r="AI414">
        <v>0</v>
      </c>
      <c r="AM414">
        <v>24</v>
      </c>
      <c r="AN414" s="44">
        <f t="shared" si="71"/>
        <v>0</v>
      </c>
      <c r="AO414" s="46">
        <v>251.01098912285789</v>
      </c>
      <c r="AP414" s="44">
        <v>967.79977224000004</v>
      </c>
      <c r="AQ414" s="44">
        <v>0</v>
      </c>
      <c r="AR414" s="41"/>
      <c r="AS414" s="40">
        <v>9.5613343797681868E-2</v>
      </c>
      <c r="AT414" s="41">
        <v>9.919407170122109E-2</v>
      </c>
      <c r="AU414" s="41"/>
      <c r="AV414" s="23">
        <v>2</v>
      </c>
      <c r="AW414" s="23">
        <v>3.1578947368421049</v>
      </c>
      <c r="AX414" s="23">
        <v>2.4210526315789469</v>
      </c>
      <c r="AY414" s="23">
        <v>2.947368421052631</v>
      </c>
      <c r="AZ414" s="23">
        <v>0.19</v>
      </c>
      <c r="BA414" s="23">
        <v>0.3</v>
      </c>
      <c r="BB414" s="23">
        <v>0.23</v>
      </c>
      <c r="BC414" s="23">
        <v>0.28000000000000003</v>
      </c>
      <c r="BD414" s="20">
        <v>1.54</v>
      </c>
      <c r="BE414" s="20">
        <v>3.44</v>
      </c>
      <c r="BF414" s="20">
        <v>1.9</v>
      </c>
      <c r="BG414" s="20">
        <v>2.8410526315789468</v>
      </c>
      <c r="BH414">
        <v>2.8410526315789468</v>
      </c>
      <c r="BI414">
        <v>6.1729587136842099</v>
      </c>
      <c r="BJ414" s="64">
        <v>0.52818907539878324</v>
      </c>
      <c r="BK414" s="64">
        <v>0.54796980145127927</v>
      </c>
      <c r="BL414" s="64"/>
      <c r="BN414">
        <v>4.7806671898840941E-2</v>
      </c>
      <c r="BO414">
        <v>4.9597035850610538E-2</v>
      </c>
      <c r="BQ414">
        <v>9.7403707749451479E-2</v>
      </c>
      <c r="BR414">
        <v>4.870185387472574E-2</v>
      </c>
      <c r="BS414">
        <v>0.53807943842503125</v>
      </c>
      <c r="BT414" s="68" t="s">
        <v>1336</v>
      </c>
      <c r="BU414" s="68">
        <f t="shared" si="72"/>
        <v>1023</v>
      </c>
      <c r="BV414" s="68">
        <v>3</v>
      </c>
      <c r="BX414" s="68" t="s">
        <v>464</v>
      </c>
      <c r="BY414" s="68" t="s">
        <v>464</v>
      </c>
      <c r="BZ414" s="68">
        <v>0</v>
      </c>
      <c r="CB414" s="68">
        <v>0.23799999999999999</v>
      </c>
      <c r="CC414" s="68">
        <v>4.76</v>
      </c>
      <c r="CD414" s="68" t="s">
        <v>464</v>
      </c>
      <c r="CE414" s="68" t="s">
        <v>464</v>
      </c>
      <c r="CF414" s="68" t="s">
        <v>1271</v>
      </c>
      <c r="CG414" s="68">
        <v>350</v>
      </c>
      <c r="CH414" s="68">
        <v>400</v>
      </c>
      <c r="CI414" s="68" t="s">
        <v>1310</v>
      </c>
      <c r="CK414" s="70">
        <v>48</v>
      </c>
    </row>
    <row r="415" spans="1:89" x14ac:dyDescent="0.3">
      <c r="A415" t="s">
        <v>1357</v>
      </c>
      <c r="C415" t="s">
        <v>4122</v>
      </c>
      <c r="D415" s="12"/>
      <c r="E415">
        <v>3.08</v>
      </c>
      <c r="F415" t="s">
        <v>214</v>
      </c>
      <c r="G415" s="25" t="s">
        <v>555</v>
      </c>
      <c r="H415" s="1" t="s">
        <v>632</v>
      </c>
      <c r="J415" s="58" t="s">
        <v>1747</v>
      </c>
      <c r="K415" s="58" t="s">
        <v>1747</v>
      </c>
      <c r="M415" t="b">
        <v>1</v>
      </c>
      <c r="N415" t="b">
        <v>1</v>
      </c>
      <c r="O415" t="b">
        <v>0</v>
      </c>
      <c r="P415" t="b">
        <v>0</v>
      </c>
      <c r="Q415" t="s">
        <v>2081</v>
      </c>
      <c r="R415" t="s">
        <v>2085</v>
      </c>
      <c r="U415" s="20">
        <v>1</v>
      </c>
      <c r="V415">
        <v>4</v>
      </c>
      <c r="W415">
        <v>0</v>
      </c>
      <c r="AC415" s="20">
        <v>3.86469438</v>
      </c>
      <c r="AD415" s="20">
        <v>3.86469438</v>
      </c>
      <c r="AE415" s="20">
        <v>16.978874730000001</v>
      </c>
      <c r="AF415">
        <v>32.83</v>
      </c>
      <c r="AG415">
        <v>5.4109999999999996</v>
      </c>
      <c r="AH415">
        <v>5.4480000000000004</v>
      </c>
      <c r="AI415">
        <v>0</v>
      </c>
      <c r="AM415">
        <v>24</v>
      </c>
      <c r="AN415" s="44">
        <f t="shared" si="71"/>
        <v>0</v>
      </c>
      <c r="AO415" s="46">
        <v>251.01098912285789</v>
      </c>
      <c r="AP415" s="44">
        <v>967.79977224000004</v>
      </c>
      <c r="AQ415" s="44">
        <v>0</v>
      </c>
      <c r="AR415" s="41"/>
      <c r="AS415" s="40">
        <v>9.5613343797681868E-2</v>
      </c>
      <c r="AT415" s="41">
        <v>9.919407170122109E-2</v>
      </c>
      <c r="AU415" s="41"/>
      <c r="AV415" s="23">
        <v>2</v>
      </c>
      <c r="AW415" s="23">
        <v>3.1578947368421049</v>
      </c>
      <c r="AX415" s="23">
        <v>2.4210526315789469</v>
      </c>
      <c r="AY415" s="23">
        <v>2.947368421052631</v>
      </c>
      <c r="AZ415" s="23">
        <v>0.19</v>
      </c>
      <c r="BA415" s="23">
        <v>0.3</v>
      </c>
      <c r="BB415" s="23">
        <v>0.23</v>
      </c>
      <c r="BC415" s="23">
        <v>0.28000000000000003</v>
      </c>
      <c r="BD415" s="20">
        <v>1.54</v>
      </c>
      <c r="BE415" s="20">
        <v>3.44</v>
      </c>
      <c r="BF415" s="20">
        <v>1.9</v>
      </c>
      <c r="BG415" s="20">
        <v>2.8410526315789468</v>
      </c>
      <c r="BH415">
        <v>2.8410526315789468</v>
      </c>
      <c r="BI415">
        <v>6.1729587136842099</v>
      </c>
      <c r="BJ415" s="64">
        <v>0.52818907539878324</v>
      </c>
      <c r="BK415" s="64">
        <v>0.54796980145127927</v>
      </c>
      <c r="BL415" s="64"/>
      <c r="BN415">
        <v>4.7806671898840941E-2</v>
      </c>
      <c r="BO415">
        <v>4.9597035850610538E-2</v>
      </c>
      <c r="BQ415">
        <v>9.7403707749451479E-2</v>
      </c>
      <c r="BR415">
        <v>4.870185387472574E-2</v>
      </c>
      <c r="BS415">
        <v>0.53807943842503125</v>
      </c>
      <c r="BT415" s="68" t="s">
        <v>1336</v>
      </c>
      <c r="BU415" s="68">
        <f t="shared" si="72"/>
        <v>1023</v>
      </c>
      <c r="BV415" s="68">
        <v>3</v>
      </c>
      <c r="BX415" s="68" t="s">
        <v>464</v>
      </c>
      <c r="BY415" s="68" t="s">
        <v>464</v>
      </c>
      <c r="BZ415" s="68">
        <v>0</v>
      </c>
      <c r="CB415" s="68">
        <v>0.23799999999999999</v>
      </c>
      <c r="CC415" s="68">
        <v>4.76</v>
      </c>
      <c r="CD415" s="68" t="s">
        <v>464</v>
      </c>
      <c r="CE415" s="68" t="s">
        <v>464</v>
      </c>
      <c r="CF415" s="68" t="s">
        <v>1271</v>
      </c>
      <c r="CG415" s="68">
        <v>350</v>
      </c>
      <c r="CH415" s="68">
        <v>400</v>
      </c>
      <c r="CI415" s="68" t="s">
        <v>1310</v>
      </c>
      <c r="CK415" s="70">
        <v>48</v>
      </c>
    </row>
    <row r="416" spans="1:89" x14ac:dyDescent="0.3">
      <c r="A416" t="s">
        <v>1358</v>
      </c>
      <c r="C416" t="s">
        <v>4123</v>
      </c>
      <c r="D416" s="12"/>
      <c r="E416">
        <v>3.08</v>
      </c>
      <c r="F416" t="s">
        <v>214</v>
      </c>
      <c r="G416" s="25" t="s">
        <v>555</v>
      </c>
      <c r="H416" s="1" t="s">
        <v>632</v>
      </c>
      <c r="J416" s="58" t="s">
        <v>1748</v>
      </c>
      <c r="K416" s="58" t="s">
        <v>1748</v>
      </c>
      <c r="M416" t="b">
        <v>1</v>
      </c>
      <c r="N416" t="b">
        <v>1</v>
      </c>
      <c r="O416" t="b">
        <v>0</v>
      </c>
      <c r="P416" t="b">
        <v>0</v>
      </c>
      <c r="Q416" t="s">
        <v>2084</v>
      </c>
      <c r="R416" t="s">
        <v>2088</v>
      </c>
      <c r="U416" s="20">
        <v>1</v>
      </c>
      <c r="V416">
        <v>4</v>
      </c>
      <c r="W416">
        <v>0</v>
      </c>
      <c r="AC416" s="20">
        <v>3.86469438</v>
      </c>
      <c r="AD416" s="20">
        <v>3.86469438</v>
      </c>
      <c r="AE416" s="20">
        <v>16.978874730000001</v>
      </c>
      <c r="AF416">
        <v>32.83</v>
      </c>
      <c r="AG416">
        <v>5.4109999999999996</v>
      </c>
      <c r="AH416">
        <v>5.4480000000000004</v>
      </c>
      <c r="AI416">
        <v>0</v>
      </c>
      <c r="AM416">
        <v>24</v>
      </c>
      <c r="AN416" s="44">
        <f t="shared" si="71"/>
        <v>0</v>
      </c>
      <c r="AO416" s="46">
        <v>251.01098912285789</v>
      </c>
      <c r="AP416" s="44">
        <v>967.79977224000004</v>
      </c>
      <c r="AQ416" s="44">
        <v>0</v>
      </c>
      <c r="AR416" s="41"/>
      <c r="AS416" s="40">
        <v>9.5613343797681868E-2</v>
      </c>
      <c r="AT416" s="41">
        <v>9.919407170122109E-2</v>
      </c>
      <c r="AU416" s="41"/>
      <c r="AV416" s="23">
        <v>2</v>
      </c>
      <c r="AW416" s="23">
        <v>3.1578947368421049</v>
      </c>
      <c r="AX416" s="23">
        <v>2.4210526315789469</v>
      </c>
      <c r="AY416" s="23">
        <v>2.947368421052631</v>
      </c>
      <c r="AZ416" s="23">
        <v>0.19</v>
      </c>
      <c r="BA416" s="23">
        <v>0.3</v>
      </c>
      <c r="BB416" s="23">
        <v>0.23</v>
      </c>
      <c r="BC416" s="23">
        <v>0.28000000000000003</v>
      </c>
      <c r="BD416" s="20">
        <v>1.54</v>
      </c>
      <c r="BE416" s="20">
        <v>3.44</v>
      </c>
      <c r="BF416" s="20">
        <v>1.9</v>
      </c>
      <c r="BG416" s="20">
        <v>2.8410526315789468</v>
      </c>
      <c r="BH416">
        <v>2.8410526315789468</v>
      </c>
      <c r="BI416">
        <v>6.1729587136842099</v>
      </c>
      <c r="BJ416" s="64">
        <v>0.52818907539878324</v>
      </c>
      <c r="BK416" s="64">
        <v>0.54796980145127927</v>
      </c>
      <c r="BL416" s="64"/>
      <c r="BN416">
        <v>4.7806671898840941E-2</v>
      </c>
      <c r="BO416">
        <v>4.9597035850610538E-2</v>
      </c>
      <c r="BQ416">
        <v>9.7403707749451479E-2</v>
      </c>
      <c r="BR416">
        <v>4.870185387472574E-2</v>
      </c>
      <c r="BS416">
        <v>0.53807943842503125</v>
      </c>
      <c r="BT416" s="68" t="s">
        <v>1336</v>
      </c>
      <c r="BU416" s="68">
        <f t="shared" si="72"/>
        <v>1023</v>
      </c>
      <c r="BV416" s="68">
        <v>3</v>
      </c>
      <c r="BX416" s="68" t="s">
        <v>464</v>
      </c>
      <c r="BY416" s="68" t="s">
        <v>464</v>
      </c>
      <c r="BZ416" s="68">
        <v>0</v>
      </c>
      <c r="CB416" s="68">
        <v>0.23799999999999999</v>
      </c>
      <c r="CC416" s="68">
        <v>4.76</v>
      </c>
      <c r="CD416" s="68" t="s">
        <v>464</v>
      </c>
      <c r="CE416" s="68" t="s">
        <v>464</v>
      </c>
      <c r="CF416" s="68" t="s">
        <v>1271</v>
      </c>
      <c r="CG416" s="68">
        <v>350</v>
      </c>
      <c r="CH416" s="68">
        <v>400</v>
      </c>
      <c r="CI416" s="68" t="s">
        <v>1310</v>
      </c>
      <c r="CK416" s="70">
        <v>51</v>
      </c>
    </row>
    <row r="417" spans="1:89" x14ac:dyDescent="0.3">
      <c r="A417" t="s">
        <v>1359</v>
      </c>
      <c r="C417" t="s">
        <v>4124</v>
      </c>
      <c r="D417" s="12"/>
      <c r="E417">
        <v>3.08</v>
      </c>
      <c r="F417" t="s">
        <v>214</v>
      </c>
      <c r="G417" s="25" t="s">
        <v>555</v>
      </c>
      <c r="H417" s="1" t="s">
        <v>632</v>
      </c>
      <c r="J417" s="58" t="s">
        <v>1749</v>
      </c>
      <c r="K417" s="58" t="s">
        <v>1749</v>
      </c>
      <c r="M417" t="b">
        <v>1</v>
      </c>
      <c r="N417" t="b">
        <v>1</v>
      </c>
      <c r="O417" t="b">
        <v>0</v>
      </c>
      <c r="P417" t="b">
        <v>0</v>
      </c>
      <c r="Q417" t="s">
        <v>2087</v>
      </c>
      <c r="R417" t="s">
        <v>2090</v>
      </c>
      <c r="U417" s="20">
        <v>1</v>
      </c>
      <c r="V417">
        <v>4</v>
      </c>
      <c r="W417">
        <v>0</v>
      </c>
      <c r="AC417" s="20">
        <v>3.86469438</v>
      </c>
      <c r="AD417" s="20">
        <v>3.86469438</v>
      </c>
      <c r="AE417" s="20">
        <v>16.978874730000001</v>
      </c>
      <c r="AF417">
        <v>32.83</v>
      </c>
      <c r="AG417">
        <v>5.4109999999999996</v>
      </c>
      <c r="AH417">
        <v>5.4480000000000004</v>
      </c>
      <c r="AI417">
        <v>0</v>
      </c>
      <c r="AM417">
        <v>24</v>
      </c>
      <c r="AN417" s="44">
        <f t="shared" si="65"/>
        <v>0</v>
      </c>
      <c r="AO417" s="46">
        <v>251.01098912285789</v>
      </c>
      <c r="AP417" s="44">
        <v>967.79977224000004</v>
      </c>
      <c r="AQ417" s="44">
        <v>0</v>
      </c>
      <c r="AR417" s="41"/>
      <c r="AS417" s="40">
        <v>9.5613343797681868E-2</v>
      </c>
      <c r="AT417" s="41">
        <v>9.919407170122109E-2</v>
      </c>
      <c r="AU417" s="41"/>
      <c r="AV417" s="23">
        <v>2</v>
      </c>
      <c r="AW417" s="23">
        <v>3.1578947368421049</v>
      </c>
      <c r="AX417" s="23">
        <v>2.4210526315789469</v>
      </c>
      <c r="AY417" s="23">
        <v>2.947368421052631</v>
      </c>
      <c r="AZ417" s="23">
        <v>0.19</v>
      </c>
      <c r="BA417" s="23">
        <v>0.3</v>
      </c>
      <c r="BB417" s="23">
        <v>0.23</v>
      </c>
      <c r="BC417" s="23">
        <v>0.28000000000000003</v>
      </c>
      <c r="BD417" s="20">
        <v>1.54</v>
      </c>
      <c r="BE417" s="20">
        <v>3.44</v>
      </c>
      <c r="BF417" s="20">
        <v>1.9</v>
      </c>
      <c r="BG417" s="20">
        <v>2.8410526315789468</v>
      </c>
      <c r="BH417">
        <v>2.8410526315789468</v>
      </c>
      <c r="BI417">
        <v>6.1729587136842099</v>
      </c>
      <c r="BJ417" s="64">
        <v>0.52818907539878324</v>
      </c>
      <c r="BK417" s="64">
        <v>0.54796980145127927</v>
      </c>
      <c r="BL417" s="64"/>
      <c r="BN417">
        <v>4.7806671898840941E-2</v>
      </c>
      <c r="BO417">
        <v>4.9597035850610538E-2</v>
      </c>
      <c r="BQ417">
        <v>9.7403707749451479E-2</v>
      </c>
      <c r="BR417">
        <v>4.870185387472574E-2</v>
      </c>
      <c r="BS417">
        <v>0.53807943842503125</v>
      </c>
      <c r="BT417" s="68" t="s">
        <v>1336</v>
      </c>
      <c r="BU417" s="68">
        <f t="shared" si="72"/>
        <v>1023</v>
      </c>
      <c r="BV417" s="68">
        <v>3</v>
      </c>
      <c r="BX417" s="68" t="s">
        <v>464</v>
      </c>
      <c r="BY417" s="68" t="s">
        <v>464</v>
      </c>
      <c r="BZ417" s="68">
        <v>0</v>
      </c>
      <c r="CB417" s="68">
        <v>0.23799999999999999</v>
      </c>
      <c r="CC417" s="68">
        <v>4.76</v>
      </c>
      <c r="CD417" s="68" t="s">
        <v>464</v>
      </c>
      <c r="CE417" s="68" t="s">
        <v>464</v>
      </c>
      <c r="CF417" s="68" t="s">
        <v>1271</v>
      </c>
      <c r="CG417" s="68">
        <v>350</v>
      </c>
      <c r="CH417" s="68">
        <v>400</v>
      </c>
      <c r="CI417" s="68" t="s">
        <v>1310</v>
      </c>
      <c r="CK417" s="70">
        <v>58</v>
      </c>
    </row>
    <row r="418" spans="1:89" x14ac:dyDescent="0.3">
      <c r="A418" t="s">
        <v>1360</v>
      </c>
      <c r="C418" t="s">
        <v>4125</v>
      </c>
      <c r="D418" s="12"/>
      <c r="E418">
        <v>3.08</v>
      </c>
      <c r="F418" t="s">
        <v>214</v>
      </c>
      <c r="G418" s="101" t="s">
        <v>555</v>
      </c>
      <c r="H418" s="1" t="s">
        <v>632</v>
      </c>
      <c r="J418" s="58" t="s">
        <v>1750</v>
      </c>
      <c r="K418" s="58" t="s">
        <v>1750</v>
      </c>
      <c r="M418" t="b">
        <v>1</v>
      </c>
      <c r="N418" t="b">
        <v>1</v>
      </c>
      <c r="O418" t="b">
        <v>0</v>
      </c>
      <c r="P418" t="b">
        <v>0</v>
      </c>
      <c r="Q418" t="s">
        <v>2089</v>
      </c>
      <c r="R418" t="s">
        <v>2092</v>
      </c>
      <c r="U418" s="20">
        <v>1</v>
      </c>
      <c r="V418">
        <v>4</v>
      </c>
      <c r="W418">
        <v>0</v>
      </c>
      <c r="AC418" s="20">
        <v>3.86469438</v>
      </c>
      <c r="AD418" s="20">
        <v>3.86469438</v>
      </c>
      <c r="AE418" s="20">
        <v>16.978874730000001</v>
      </c>
      <c r="AF418">
        <v>32.83</v>
      </c>
      <c r="AG418">
        <v>5.4109999999999996</v>
      </c>
      <c r="AH418">
        <v>5.4480000000000004</v>
      </c>
      <c r="AI418">
        <v>0</v>
      </c>
      <c r="AM418">
        <v>24</v>
      </c>
      <c r="AN418" s="44">
        <f t="shared" ref="AN418:AN419" si="73">X418*Y418*Z418</f>
        <v>0</v>
      </c>
      <c r="AO418" s="46">
        <v>251.01098912285789</v>
      </c>
      <c r="AP418" s="44">
        <v>967.79977224000004</v>
      </c>
      <c r="AQ418" s="44">
        <v>0</v>
      </c>
      <c r="AR418" s="41"/>
      <c r="AS418" s="40">
        <v>9.5613343797681868E-2</v>
      </c>
      <c r="AT418" s="41">
        <v>9.919407170122109E-2</v>
      </c>
      <c r="AU418" s="41"/>
      <c r="AV418" s="23">
        <v>2</v>
      </c>
      <c r="AW418" s="23">
        <v>3.1578947368421049</v>
      </c>
      <c r="AX418" s="23">
        <v>2.4210526315789469</v>
      </c>
      <c r="AY418" s="23">
        <v>2.947368421052631</v>
      </c>
      <c r="AZ418" s="23">
        <v>0.19</v>
      </c>
      <c r="BA418" s="23">
        <v>0.3</v>
      </c>
      <c r="BB418" s="23">
        <v>0.23</v>
      </c>
      <c r="BC418" s="23">
        <v>0.28000000000000003</v>
      </c>
      <c r="BD418" s="20">
        <v>1.54</v>
      </c>
      <c r="BE418" s="20">
        <v>3.44</v>
      </c>
      <c r="BF418" s="20">
        <v>1.9</v>
      </c>
      <c r="BG418" s="20">
        <v>2.8410526315789468</v>
      </c>
      <c r="BH418">
        <v>2.8410526315789468</v>
      </c>
      <c r="BI418">
        <v>6.1729587136842099</v>
      </c>
      <c r="BJ418" s="64">
        <v>0.52818907539878324</v>
      </c>
      <c r="BK418" s="64">
        <v>0.54796980145127927</v>
      </c>
      <c r="BL418" s="64"/>
      <c r="BN418">
        <v>4.7806671898840941E-2</v>
      </c>
      <c r="BO418">
        <v>4.9597035850610538E-2</v>
      </c>
      <c r="BQ418">
        <v>9.7403707749451479E-2</v>
      </c>
      <c r="BR418">
        <v>4.870185387472574E-2</v>
      </c>
      <c r="BS418">
        <v>0.53807943842503125</v>
      </c>
      <c r="BT418" s="68" t="s">
        <v>1336</v>
      </c>
      <c r="BU418" s="68">
        <f t="shared" si="72"/>
        <v>1023</v>
      </c>
      <c r="BV418" s="68">
        <v>3</v>
      </c>
      <c r="BX418" s="68" t="s">
        <v>464</v>
      </c>
      <c r="BY418" s="68" t="s">
        <v>464</v>
      </c>
      <c r="BZ418" s="68">
        <v>0</v>
      </c>
      <c r="CB418" s="68">
        <v>0.23799999999999999</v>
      </c>
      <c r="CC418" s="68">
        <v>4.76</v>
      </c>
      <c r="CD418" s="68" t="s">
        <v>464</v>
      </c>
      <c r="CE418" s="68" t="s">
        <v>464</v>
      </c>
      <c r="CF418" s="68" t="s">
        <v>1271</v>
      </c>
      <c r="CG418" s="68">
        <v>350</v>
      </c>
      <c r="CH418" s="68">
        <v>400</v>
      </c>
      <c r="CI418" s="68" t="s">
        <v>1310</v>
      </c>
      <c r="CK418" s="70">
        <v>52</v>
      </c>
    </row>
    <row r="419" spans="1:89" x14ac:dyDescent="0.3">
      <c r="A419" t="s">
        <v>1359</v>
      </c>
      <c r="C419" t="s">
        <v>4124</v>
      </c>
      <c r="D419" s="12"/>
      <c r="E419">
        <v>3.08</v>
      </c>
      <c r="F419" t="s">
        <v>214</v>
      </c>
      <c r="G419" s="25" t="s">
        <v>555</v>
      </c>
      <c r="H419" s="1" t="s">
        <v>632</v>
      </c>
      <c r="J419" s="58" t="s">
        <v>1749</v>
      </c>
      <c r="K419" s="58" t="s">
        <v>1749</v>
      </c>
      <c r="M419" t="b">
        <v>1</v>
      </c>
      <c r="N419" t="b">
        <v>1</v>
      </c>
      <c r="O419" t="b">
        <v>0</v>
      </c>
      <c r="P419" t="b">
        <v>0</v>
      </c>
      <c r="Q419" t="s">
        <v>2091</v>
      </c>
      <c r="R419" t="s">
        <v>2094</v>
      </c>
      <c r="U419" s="20">
        <v>1</v>
      </c>
      <c r="V419">
        <v>4</v>
      </c>
      <c r="W419">
        <v>0</v>
      </c>
      <c r="AC419" s="20">
        <v>3.86469438</v>
      </c>
      <c r="AD419" s="20">
        <v>3.86469438</v>
      </c>
      <c r="AE419" s="20">
        <v>16.978874730000001</v>
      </c>
      <c r="AF419">
        <v>32.83</v>
      </c>
      <c r="AG419">
        <v>5.4109999999999996</v>
      </c>
      <c r="AH419">
        <v>5.4480000000000004</v>
      </c>
      <c r="AI419">
        <v>0</v>
      </c>
      <c r="AM419">
        <v>24</v>
      </c>
      <c r="AN419" s="44">
        <f t="shared" si="73"/>
        <v>0</v>
      </c>
      <c r="AO419" s="46">
        <v>251.01098912285789</v>
      </c>
      <c r="AP419" s="44">
        <v>967.79977224000004</v>
      </c>
      <c r="AQ419" s="44">
        <v>0</v>
      </c>
      <c r="AR419" s="41"/>
      <c r="AS419" s="40">
        <v>9.5613343797681868E-2</v>
      </c>
      <c r="AT419" s="41">
        <v>9.919407170122109E-2</v>
      </c>
      <c r="AU419" s="41"/>
      <c r="AV419" s="23">
        <v>2</v>
      </c>
      <c r="AW419" s="23">
        <v>3.1578947368421049</v>
      </c>
      <c r="AX419" s="23">
        <v>2.4210526315789469</v>
      </c>
      <c r="AY419" s="23">
        <v>2.947368421052631</v>
      </c>
      <c r="AZ419" s="23">
        <v>0.19</v>
      </c>
      <c r="BA419" s="23">
        <v>0.3</v>
      </c>
      <c r="BB419" s="23">
        <v>0.23</v>
      </c>
      <c r="BC419" s="23">
        <v>0.28000000000000003</v>
      </c>
      <c r="BD419" s="20">
        <v>1.54</v>
      </c>
      <c r="BE419" s="20">
        <v>3.44</v>
      </c>
      <c r="BF419" s="20">
        <v>1.9</v>
      </c>
      <c r="BG419" s="20">
        <v>2.8410526315789468</v>
      </c>
      <c r="BH419">
        <v>2.8410526315789468</v>
      </c>
      <c r="BI419">
        <v>6.1729587136842099</v>
      </c>
      <c r="BJ419" s="64">
        <v>0.52818907539878324</v>
      </c>
      <c r="BK419" s="64">
        <v>0.54796980145127927</v>
      </c>
      <c r="BL419" s="64"/>
      <c r="BN419">
        <v>4.7806671898840941E-2</v>
      </c>
      <c r="BO419">
        <v>4.9597035850610538E-2</v>
      </c>
      <c r="BQ419">
        <v>9.7403707749451479E-2</v>
      </c>
      <c r="BR419">
        <v>4.870185387472574E-2</v>
      </c>
      <c r="BS419">
        <v>0.53807943842503125</v>
      </c>
      <c r="BT419" s="68" t="s">
        <v>1336</v>
      </c>
      <c r="BU419" s="68">
        <f t="shared" si="72"/>
        <v>1023</v>
      </c>
      <c r="BV419" s="68">
        <v>3</v>
      </c>
      <c r="BX419" s="68" t="s">
        <v>1275</v>
      </c>
      <c r="BY419" s="68" t="s">
        <v>56</v>
      </c>
      <c r="BZ419" s="68">
        <v>0.05</v>
      </c>
      <c r="CB419" s="68">
        <v>0.23799999999999999</v>
      </c>
      <c r="CC419" s="68">
        <v>4.76</v>
      </c>
      <c r="CD419" s="68" t="s">
        <v>464</v>
      </c>
      <c r="CE419" s="68" t="s">
        <v>464</v>
      </c>
      <c r="CF419" s="68" t="s">
        <v>1271</v>
      </c>
      <c r="CG419" s="68">
        <v>350</v>
      </c>
      <c r="CH419" s="68">
        <v>400</v>
      </c>
      <c r="CI419" s="68" t="s">
        <v>1310</v>
      </c>
      <c r="CK419" s="70">
        <v>60.1</v>
      </c>
    </row>
    <row r="420" spans="1:89" x14ac:dyDescent="0.3">
      <c r="A420" t="s">
        <v>1359</v>
      </c>
      <c r="C420" t="s">
        <v>4124</v>
      </c>
      <c r="D420" s="12"/>
      <c r="E420">
        <v>3.08</v>
      </c>
      <c r="F420" t="s">
        <v>214</v>
      </c>
      <c r="G420" s="25" t="s">
        <v>555</v>
      </c>
      <c r="H420" s="1" t="s">
        <v>632</v>
      </c>
      <c r="J420" s="58" t="s">
        <v>1749</v>
      </c>
      <c r="K420" s="58" t="s">
        <v>1749</v>
      </c>
      <c r="M420" t="b">
        <v>1</v>
      </c>
      <c r="N420" t="b">
        <v>1</v>
      </c>
      <c r="O420" t="b">
        <v>0</v>
      </c>
      <c r="P420" t="b">
        <v>0</v>
      </c>
      <c r="Q420" t="s">
        <v>2093</v>
      </c>
      <c r="R420" t="s">
        <v>2096</v>
      </c>
      <c r="U420" s="20">
        <v>1</v>
      </c>
      <c r="V420">
        <v>4</v>
      </c>
      <c r="W420">
        <v>0</v>
      </c>
      <c r="AC420" s="20">
        <v>3.86469438</v>
      </c>
      <c r="AD420" s="20">
        <v>3.86469438</v>
      </c>
      <c r="AE420" s="20">
        <v>16.978874730000001</v>
      </c>
      <c r="AF420">
        <v>32.83</v>
      </c>
      <c r="AG420">
        <v>5.4109999999999996</v>
      </c>
      <c r="AH420">
        <v>5.4480000000000004</v>
      </c>
      <c r="AI420">
        <v>0</v>
      </c>
      <c r="AM420">
        <v>24</v>
      </c>
      <c r="AN420" s="44">
        <f t="shared" ref="AN420:AN421" si="74">X420*Y420*Z420</f>
        <v>0</v>
      </c>
      <c r="AO420" s="46">
        <v>251.01098912285789</v>
      </c>
      <c r="AP420" s="44">
        <v>967.79977224000004</v>
      </c>
      <c r="AQ420" s="44">
        <v>0</v>
      </c>
      <c r="AR420" s="41"/>
      <c r="AS420" s="40">
        <v>9.5613343797681868E-2</v>
      </c>
      <c r="AT420" s="41">
        <v>9.919407170122109E-2</v>
      </c>
      <c r="AU420" s="41"/>
      <c r="AV420" s="23">
        <v>2</v>
      </c>
      <c r="AW420" s="23">
        <v>3.1578947368421049</v>
      </c>
      <c r="AX420" s="23">
        <v>2.4210526315789469</v>
      </c>
      <c r="AY420" s="23">
        <v>2.947368421052631</v>
      </c>
      <c r="AZ420" s="23">
        <v>0.19</v>
      </c>
      <c r="BA420" s="23">
        <v>0.3</v>
      </c>
      <c r="BB420" s="23">
        <v>0.23</v>
      </c>
      <c r="BC420" s="23">
        <v>0.28000000000000003</v>
      </c>
      <c r="BD420" s="20">
        <v>1.54</v>
      </c>
      <c r="BE420" s="20">
        <v>3.44</v>
      </c>
      <c r="BF420" s="20">
        <v>1.9</v>
      </c>
      <c r="BG420" s="20">
        <v>2.8410526315789468</v>
      </c>
      <c r="BH420">
        <v>2.8410526315789468</v>
      </c>
      <c r="BI420">
        <v>6.1729587136842099</v>
      </c>
      <c r="BJ420" s="64">
        <v>0.52818907539878324</v>
      </c>
      <c r="BK420" s="64">
        <v>0.54796980145127927</v>
      </c>
      <c r="BL420" s="64"/>
      <c r="BN420">
        <v>4.7806671898840941E-2</v>
      </c>
      <c r="BO420">
        <v>4.9597035850610538E-2</v>
      </c>
      <c r="BQ420">
        <v>9.7403707749451479E-2</v>
      </c>
      <c r="BR420">
        <v>4.870185387472574E-2</v>
      </c>
      <c r="BS420">
        <v>0.53807943842503125</v>
      </c>
      <c r="BT420" s="68" t="s">
        <v>1336</v>
      </c>
      <c r="BU420" s="68">
        <f t="shared" si="72"/>
        <v>1023</v>
      </c>
      <c r="BV420" s="68">
        <v>3</v>
      </c>
      <c r="BX420" s="68" t="s">
        <v>1275</v>
      </c>
      <c r="BY420" s="68" t="s">
        <v>56</v>
      </c>
      <c r="BZ420" s="68">
        <v>0.1</v>
      </c>
      <c r="CB420" s="68">
        <v>0.23799999999999999</v>
      </c>
      <c r="CC420" s="68">
        <v>4.76</v>
      </c>
      <c r="CD420" s="68" t="s">
        <v>464</v>
      </c>
      <c r="CE420" s="68" t="s">
        <v>464</v>
      </c>
      <c r="CF420" s="68" t="s">
        <v>1271</v>
      </c>
      <c r="CG420" s="68">
        <v>350</v>
      </c>
      <c r="CH420" s="68">
        <v>400</v>
      </c>
      <c r="CI420" s="68" t="s">
        <v>1310</v>
      </c>
      <c r="CK420" s="70">
        <v>61.3</v>
      </c>
    </row>
    <row r="421" spans="1:89" x14ac:dyDescent="0.3">
      <c r="A421" t="s">
        <v>1359</v>
      </c>
      <c r="C421" t="s">
        <v>4124</v>
      </c>
      <c r="D421" s="12"/>
      <c r="E421">
        <v>3.08</v>
      </c>
      <c r="F421" t="s">
        <v>214</v>
      </c>
      <c r="G421" s="25" t="s">
        <v>555</v>
      </c>
      <c r="H421" s="1" t="s">
        <v>632</v>
      </c>
      <c r="J421" s="58" t="s">
        <v>1749</v>
      </c>
      <c r="K421" s="58" t="s">
        <v>1749</v>
      </c>
      <c r="M421" t="b">
        <v>1</v>
      </c>
      <c r="N421" t="b">
        <v>1</v>
      </c>
      <c r="O421" t="b">
        <v>0</v>
      </c>
      <c r="P421" t="b">
        <v>0</v>
      </c>
      <c r="Q421" t="s">
        <v>2095</v>
      </c>
      <c r="R421" t="s">
        <v>2098</v>
      </c>
      <c r="U421" s="20">
        <v>1</v>
      </c>
      <c r="V421">
        <v>4</v>
      </c>
      <c r="W421">
        <v>0</v>
      </c>
      <c r="AC421" s="20">
        <v>3.86469438</v>
      </c>
      <c r="AD421" s="20">
        <v>3.86469438</v>
      </c>
      <c r="AE421" s="20">
        <v>16.978874730000001</v>
      </c>
      <c r="AF421">
        <v>32.83</v>
      </c>
      <c r="AG421">
        <v>5.4109999999999996</v>
      </c>
      <c r="AH421">
        <v>5.4480000000000004</v>
      </c>
      <c r="AI421">
        <v>0</v>
      </c>
      <c r="AM421">
        <v>24</v>
      </c>
      <c r="AN421" s="44">
        <f t="shared" si="74"/>
        <v>0</v>
      </c>
      <c r="AO421" s="46">
        <v>251.01098912285789</v>
      </c>
      <c r="AP421" s="44">
        <v>967.79977224000004</v>
      </c>
      <c r="AQ421" s="44">
        <v>0</v>
      </c>
      <c r="AR421" s="41"/>
      <c r="AS421" s="40">
        <v>9.5613343797681868E-2</v>
      </c>
      <c r="AT421" s="41">
        <v>9.919407170122109E-2</v>
      </c>
      <c r="AU421" s="41"/>
      <c r="AV421" s="23">
        <v>2</v>
      </c>
      <c r="AW421" s="23">
        <v>3.1578947368421049</v>
      </c>
      <c r="AX421" s="23">
        <v>2.4210526315789469</v>
      </c>
      <c r="AY421" s="23">
        <v>2.947368421052631</v>
      </c>
      <c r="AZ421" s="23">
        <v>0.19</v>
      </c>
      <c r="BA421" s="23">
        <v>0.3</v>
      </c>
      <c r="BB421" s="23">
        <v>0.23</v>
      </c>
      <c r="BC421" s="23">
        <v>0.28000000000000003</v>
      </c>
      <c r="BD421" s="20">
        <v>1.54</v>
      </c>
      <c r="BE421" s="20">
        <v>3.44</v>
      </c>
      <c r="BF421" s="20">
        <v>1.9</v>
      </c>
      <c r="BG421" s="20">
        <v>2.8410526315789468</v>
      </c>
      <c r="BH421">
        <v>2.8410526315789468</v>
      </c>
      <c r="BI421">
        <v>6.1729587136842099</v>
      </c>
      <c r="BJ421" s="64">
        <v>0.52818907539878324</v>
      </c>
      <c r="BK421" s="64">
        <v>0.54796980145127927</v>
      </c>
      <c r="BL421" s="64"/>
      <c r="BN421">
        <v>4.7806671898840941E-2</v>
      </c>
      <c r="BO421">
        <v>4.9597035850610538E-2</v>
      </c>
      <c r="BQ421">
        <v>9.7403707749451479E-2</v>
      </c>
      <c r="BR421">
        <v>4.870185387472574E-2</v>
      </c>
      <c r="BS421">
        <v>0.53807943842503125</v>
      </c>
      <c r="BT421" s="68" t="s">
        <v>1336</v>
      </c>
      <c r="BU421" s="68">
        <f t="shared" si="72"/>
        <v>1023</v>
      </c>
      <c r="BV421" s="68">
        <v>3</v>
      </c>
      <c r="BX421" s="68" t="s">
        <v>1275</v>
      </c>
      <c r="BY421" s="68" t="s">
        <v>56</v>
      </c>
      <c r="BZ421" s="68">
        <v>0.15</v>
      </c>
      <c r="CB421" s="68">
        <v>0.23799999999999999</v>
      </c>
      <c r="CC421" s="68">
        <v>4.76</v>
      </c>
      <c r="CD421" s="68" t="s">
        <v>464</v>
      </c>
      <c r="CE421" s="68" t="s">
        <v>464</v>
      </c>
      <c r="CF421" s="68" t="s">
        <v>1271</v>
      </c>
      <c r="CG421" s="68">
        <v>350</v>
      </c>
      <c r="CH421" s="68">
        <v>400</v>
      </c>
      <c r="CI421" s="68" t="s">
        <v>1310</v>
      </c>
      <c r="CK421" s="70">
        <v>61.7</v>
      </c>
    </row>
    <row r="422" spans="1:89" x14ac:dyDescent="0.3">
      <c r="A422" t="s">
        <v>1359</v>
      </c>
      <c r="C422" t="s">
        <v>4124</v>
      </c>
      <c r="D422" s="12"/>
      <c r="E422">
        <v>3.08</v>
      </c>
      <c r="F422" t="s">
        <v>214</v>
      </c>
      <c r="G422" s="25" t="s">
        <v>555</v>
      </c>
      <c r="H422" s="1" t="s">
        <v>632</v>
      </c>
      <c r="J422" s="58" t="s">
        <v>1749</v>
      </c>
      <c r="K422" s="58" t="s">
        <v>1749</v>
      </c>
      <c r="M422" t="b">
        <v>1</v>
      </c>
      <c r="N422" t="b">
        <v>1</v>
      </c>
      <c r="O422" t="b">
        <v>0</v>
      </c>
      <c r="P422" t="b">
        <v>0</v>
      </c>
      <c r="Q422" t="s">
        <v>2097</v>
      </c>
      <c r="R422" t="s">
        <v>2100</v>
      </c>
      <c r="U422" s="20">
        <v>1</v>
      </c>
      <c r="V422">
        <v>4</v>
      </c>
      <c r="W422">
        <v>0</v>
      </c>
      <c r="AC422" s="20">
        <v>3.86469438</v>
      </c>
      <c r="AD422" s="20">
        <v>3.86469438</v>
      </c>
      <c r="AE422" s="20">
        <v>16.978874730000001</v>
      </c>
      <c r="AF422">
        <v>32.83</v>
      </c>
      <c r="AG422">
        <v>5.4109999999999996</v>
      </c>
      <c r="AH422">
        <v>5.4480000000000004</v>
      </c>
      <c r="AI422">
        <v>0</v>
      </c>
      <c r="AM422">
        <v>24</v>
      </c>
      <c r="AN422" s="44">
        <f t="shared" ref="AN422" si="75">X422*Y422*Z422</f>
        <v>0</v>
      </c>
      <c r="AO422" s="46">
        <v>251.01098912285789</v>
      </c>
      <c r="AP422" s="44">
        <v>967.79977224000004</v>
      </c>
      <c r="AQ422" s="44">
        <v>0</v>
      </c>
      <c r="AR422" s="41"/>
      <c r="AS422" s="40">
        <v>9.5613343797681868E-2</v>
      </c>
      <c r="AT422" s="41">
        <v>9.919407170122109E-2</v>
      </c>
      <c r="AU422" s="41"/>
      <c r="AV422" s="23">
        <v>2</v>
      </c>
      <c r="AW422" s="23">
        <v>3.1578947368421049</v>
      </c>
      <c r="AX422" s="23">
        <v>2.4210526315789469</v>
      </c>
      <c r="AY422" s="23">
        <v>2.947368421052631</v>
      </c>
      <c r="AZ422" s="23">
        <v>0.19</v>
      </c>
      <c r="BA422" s="23">
        <v>0.3</v>
      </c>
      <c r="BB422" s="23">
        <v>0.23</v>
      </c>
      <c r="BC422" s="23">
        <v>0.28000000000000003</v>
      </c>
      <c r="BD422" s="20">
        <v>1.54</v>
      </c>
      <c r="BE422" s="20">
        <v>3.44</v>
      </c>
      <c r="BF422" s="20">
        <v>1.9</v>
      </c>
      <c r="BG422" s="20">
        <v>2.8410526315789468</v>
      </c>
      <c r="BH422">
        <v>2.8410526315789468</v>
      </c>
      <c r="BI422">
        <v>6.1729587136842099</v>
      </c>
      <c r="BJ422" s="64">
        <v>0.52818907539878324</v>
      </c>
      <c r="BK422" s="64">
        <v>0.54796980145127927</v>
      </c>
      <c r="BL422" s="64"/>
      <c r="BN422">
        <v>4.7806671898840941E-2</v>
      </c>
      <c r="BO422">
        <v>4.9597035850610538E-2</v>
      </c>
      <c r="BQ422">
        <v>9.7403707749451479E-2</v>
      </c>
      <c r="BR422">
        <v>4.870185387472574E-2</v>
      </c>
      <c r="BS422">
        <v>0.53807943842503125</v>
      </c>
      <c r="BT422" s="68" t="s">
        <v>1336</v>
      </c>
      <c r="BU422" s="68">
        <f t="shared" si="72"/>
        <v>1023</v>
      </c>
      <c r="BV422" s="68">
        <v>3</v>
      </c>
      <c r="BX422" s="68" t="s">
        <v>1275</v>
      </c>
      <c r="BY422" s="68" t="s">
        <v>56</v>
      </c>
      <c r="BZ422" s="68">
        <v>0.2</v>
      </c>
      <c r="CB422" s="68">
        <v>0.23799999999999999</v>
      </c>
      <c r="CC422" s="68">
        <v>4.76</v>
      </c>
      <c r="CD422" s="68" t="s">
        <v>464</v>
      </c>
      <c r="CE422" s="68" t="s">
        <v>464</v>
      </c>
      <c r="CF422" s="68" t="s">
        <v>1271</v>
      </c>
      <c r="CG422" s="68">
        <v>350</v>
      </c>
      <c r="CH422" s="68">
        <v>400</v>
      </c>
      <c r="CI422" s="68" t="s">
        <v>1310</v>
      </c>
      <c r="CK422" s="70">
        <v>63</v>
      </c>
    </row>
    <row r="423" spans="1:89" x14ac:dyDescent="0.3">
      <c r="A423" t="s">
        <v>1359</v>
      </c>
      <c r="C423" t="s">
        <v>4124</v>
      </c>
      <c r="D423" s="12"/>
      <c r="E423">
        <v>3.08</v>
      </c>
      <c r="F423" t="s">
        <v>214</v>
      </c>
      <c r="G423" s="25" t="s">
        <v>555</v>
      </c>
      <c r="H423" s="1" t="s">
        <v>632</v>
      </c>
      <c r="J423" s="58" t="s">
        <v>1749</v>
      </c>
      <c r="K423" s="58" t="s">
        <v>1749</v>
      </c>
      <c r="M423" t="b">
        <v>1</v>
      </c>
      <c r="N423" t="b">
        <v>1</v>
      </c>
      <c r="O423" t="b">
        <v>0</v>
      </c>
      <c r="P423" t="b">
        <v>0</v>
      </c>
      <c r="Q423" t="s">
        <v>2099</v>
      </c>
      <c r="R423" t="s">
        <v>2102</v>
      </c>
      <c r="U423" s="20">
        <v>1</v>
      </c>
      <c r="V423">
        <v>4</v>
      </c>
      <c r="W423">
        <v>0</v>
      </c>
      <c r="AC423" s="20">
        <v>3.86469438</v>
      </c>
      <c r="AD423" s="20">
        <v>3.86469438</v>
      </c>
      <c r="AE423" s="20">
        <v>16.978874730000001</v>
      </c>
      <c r="AF423">
        <v>32.83</v>
      </c>
      <c r="AG423">
        <v>5.4109999999999996</v>
      </c>
      <c r="AH423">
        <v>5.4480000000000004</v>
      </c>
      <c r="AI423">
        <v>0</v>
      </c>
      <c r="AM423">
        <v>24</v>
      </c>
      <c r="AN423" s="44">
        <f t="shared" ref="AN423" si="76">X423*Y423*Z423</f>
        <v>0</v>
      </c>
      <c r="AO423" s="46">
        <v>251.01098912285789</v>
      </c>
      <c r="AP423" s="44">
        <v>967.79977224000004</v>
      </c>
      <c r="AQ423" s="44">
        <v>0</v>
      </c>
      <c r="AR423" s="41"/>
      <c r="AS423" s="40">
        <v>9.5613343797681868E-2</v>
      </c>
      <c r="AT423" s="41">
        <v>9.919407170122109E-2</v>
      </c>
      <c r="AU423" s="41"/>
      <c r="AV423" s="23">
        <v>2</v>
      </c>
      <c r="AW423" s="23">
        <v>3.1578947368421049</v>
      </c>
      <c r="AX423" s="23">
        <v>2.4210526315789469</v>
      </c>
      <c r="AY423" s="23">
        <v>2.947368421052631</v>
      </c>
      <c r="AZ423" s="23">
        <v>0.19</v>
      </c>
      <c r="BA423" s="23">
        <v>0.3</v>
      </c>
      <c r="BB423" s="23">
        <v>0.23</v>
      </c>
      <c r="BC423" s="23">
        <v>0.28000000000000003</v>
      </c>
      <c r="BD423" s="20">
        <v>1.54</v>
      </c>
      <c r="BE423" s="20">
        <v>3.44</v>
      </c>
      <c r="BF423" s="20">
        <v>1.9</v>
      </c>
      <c r="BG423" s="20">
        <v>2.8410526315789468</v>
      </c>
      <c r="BH423">
        <v>2.8410526315789468</v>
      </c>
      <c r="BI423">
        <v>6.1729587136842099</v>
      </c>
      <c r="BJ423" s="64">
        <v>0.52818907539878324</v>
      </c>
      <c r="BK423" s="64">
        <v>0.54796980145127927</v>
      </c>
      <c r="BL423" s="64"/>
      <c r="BN423">
        <v>4.7806671898840941E-2</v>
      </c>
      <c r="BO423">
        <v>4.9597035850610538E-2</v>
      </c>
      <c r="BQ423">
        <v>9.7403707749451479E-2</v>
      </c>
      <c r="BR423">
        <v>4.870185387472574E-2</v>
      </c>
      <c r="BS423">
        <v>0.53807943842503125</v>
      </c>
      <c r="BT423" s="68" t="s">
        <v>1336</v>
      </c>
      <c r="BU423" s="68">
        <f t="shared" si="72"/>
        <v>1023</v>
      </c>
      <c r="BV423" s="68">
        <v>3</v>
      </c>
      <c r="BX423" s="68" t="s">
        <v>1275</v>
      </c>
      <c r="BY423" s="68" t="s">
        <v>56</v>
      </c>
      <c r="BZ423" s="68">
        <v>0.25</v>
      </c>
      <c r="CB423" s="68">
        <v>0.23799999999999999</v>
      </c>
      <c r="CC423" s="68">
        <v>4.76</v>
      </c>
      <c r="CD423" s="68" t="s">
        <v>464</v>
      </c>
      <c r="CE423" s="68" t="s">
        <v>464</v>
      </c>
      <c r="CF423" s="68" t="s">
        <v>1271</v>
      </c>
      <c r="CG423" s="68">
        <v>350</v>
      </c>
      <c r="CH423" s="68">
        <v>400</v>
      </c>
      <c r="CI423" s="68" t="s">
        <v>1310</v>
      </c>
      <c r="CK423" s="70">
        <v>58.8</v>
      </c>
    </row>
    <row r="424" spans="1:89" x14ac:dyDescent="0.3">
      <c r="A424" t="s">
        <v>1359</v>
      </c>
      <c r="C424" t="s">
        <v>4124</v>
      </c>
      <c r="D424" s="12"/>
      <c r="E424">
        <v>3.08</v>
      </c>
      <c r="F424" t="s">
        <v>214</v>
      </c>
      <c r="G424" s="25" t="s">
        <v>555</v>
      </c>
      <c r="H424" s="1" t="s">
        <v>632</v>
      </c>
      <c r="J424" s="58" t="s">
        <v>1749</v>
      </c>
      <c r="K424" s="58" t="s">
        <v>1749</v>
      </c>
      <c r="M424" t="b">
        <v>1</v>
      </c>
      <c r="N424" t="b">
        <v>1</v>
      </c>
      <c r="O424" t="b">
        <v>0</v>
      </c>
      <c r="P424" t="b">
        <v>0</v>
      </c>
      <c r="Q424" t="s">
        <v>2101</v>
      </c>
      <c r="R424" t="s">
        <v>2104</v>
      </c>
      <c r="U424" s="20">
        <v>1</v>
      </c>
      <c r="V424">
        <v>4</v>
      </c>
      <c r="W424">
        <v>0</v>
      </c>
      <c r="AC424" s="20">
        <v>3.86469438</v>
      </c>
      <c r="AD424" s="20">
        <v>3.86469438</v>
      </c>
      <c r="AE424" s="20">
        <v>16.978874730000001</v>
      </c>
      <c r="AF424">
        <v>32.83</v>
      </c>
      <c r="AG424">
        <v>5.4109999999999996</v>
      </c>
      <c r="AH424">
        <v>5.4480000000000004</v>
      </c>
      <c r="AI424">
        <v>0</v>
      </c>
      <c r="AM424">
        <v>24</v>
      </c>
      <c r="AN424" s="44">
        <f t="shared" ref="AN424" si="77">X424*Y424*Z424</f>
        <v>0</v>
      </c>
      <c r="AO424" s="46">
        <v>251.01098912285789</v>
      </c>
      <c r="AP424" s="44">
        <v>967.79977224000004</v>
      </c>
      <c r="AQ424" s="44">
        <v>0</v>
      </c>
      <c r="AR424" s="41"/>
      <c r="AS424" s="40">
        <v>9.5613343797681868E-2</v>
      </c>
      <c r="AT424" s="41">
        <v>9.919407170122109E-2</v>
      </c>
      <c r="AU424" s="41"/>
      <c r="AV424" s="23">
        <v>2</v>
      </c>
      <c r="AW424" s="23">
        <v>3.1578947368421049</v>
      </c>
      <c r="AX424" s="23">
        <v>2.4210526315789469</v>
      </c>
      <c r="AY424" s="23">
        <v>2.947368421052631</v>
      </c>
      <c r="AZ424" s="23">
        <v>0.19</v>
      </c>
      <c r="BA424" s="23">
        <v>0.3</v>
      </c>
      <c r="BB424" s="23">
        <v>0.23</v>
      </c>
      <c r="BC424" s="23">
        <v>0.28000000000000003</v>
      </c>
      <c r="BD424" s="20">
        <v>1.54</v>
      </c>
      <c r="BE424" s="20">
        <v>3.44</v>
      </c>
      <c r="BF424" s="20">
        <v>1.9</v>
      </c>
      <c r="BG424" s="20">
        <v>2.8410526315789468</v>
      </c>
      <c r="BH424">
        <v>2.8410526315789468</v>
      </c>
      <c r="BI424">
        <v>6.1729587136842099</v>
      </c>
      <c r="BJ424" s="64">
        <v>0.52818907539878324</v>
      </c>
      <c r="BK424" s="64">
        <v>0.54796980145127927</v>
      </c>
      <c r="BL424" s="64"/>
      <c r="BN424">
        <v>4.7806671898840941E-2</v>
      </c>
      <c r="BO424">
        <v>4.9597035850610538E-2</v>
      </c>
      <c r="BQ424">
        <v>9.7403707749451479E-2</v>
      </c>
      <c r="BR424">
        <v>4.870185387472574E-2</v>
      </c>
      <c r="BS424">
        <v>0.53807943842503125</v>
      </c>
      <c r="BT424" s="68" t="s">
        <v>1336</v>
      </c>
      <c r="BU424" s="68">
        <f t="shared" si="72"/>
        <v>1023</v>
      </c>
      <c r="BV424" s="68">
        <v>3</v>
      </c>
      <c r="BX424" s="68" t="s">
        <v>1275</v>
      </c>
      <c r="BY424" s="68" t="s">
        <v>56</v>
      </c>
      <c r="BZ424" s="68">
        <v>0.3</v>
      </c>
      <c r="CB424" s="68">
        <v>0.23799999999999999</v>
      </c>
      <c r="CC424" s="68">
        <v>4.76</v>
      </c>
      <c r="CD424" s="68" t="s">
        <v>464</v>
      </c>
      <c r="CE424" s="68" t="s">
        <v>464</v>
      </c>
      <c r="CF424" s="68" t="s">
        <v>1271</v>
      </c>
      <c r="CG424" s="68">
        <v>350</v>
      </c>
      <c r="CH424" s="68">
        <v>400</v>
      </c>
      <c r="CI424" s="68" t="s">
        <v>1310</v>
      </c>
      <c r="CK424" s="70">
        <v>57.4</v>
      </c>
    </row>
    <row r="425" spans="1:89" x14ac:dyDescent="0.3">
      <c r="A425" t="s">
        <v>215</v>
      </c>
      <c r="B425" t="s">
        <v>4</v>
      </c>
      <c r="C425" t="s">
        <v>3984</v>
      </c>
      <c r="D425" s="12"/>
      <c r="E425">
        <v>3.8</v>
      </c>
      <c r="F425" t="s">
        <v>216</v>
      </c>
      <c r="G425" s="8" t="s">
        <v>587</v>
      </c>
      <c r="H425" t="s">
        <v>636</v>
      </c>
      <c r="M425" t="b">
        <v>1</v>
      </c>
      <c r="N425" t="b">
        <v>1</v>
      </c>
      <c r="O425" t="b">
        <v>0</v>
      </c>
      <c r="P425" t="b">
        <v>0</v>
      </c>
      <c r="Q425" t="s">
        <v>587</v>
      </c>
      <c r="R425" t="s">
        <v>636</v>
      </c>
      <c r="U425" s="20">
        <v>1</v>
      </c>
      <c r="V425">
        <v>1</v>
      </c>
      <c r="W425">
        <v>0</v>
      </c>
      <c r="AC425" s="20">
        <v>3.950634</v>
      </c>
      <c r="AD425" s="20">
        <v>3.950634</v>
      </c>
      <c r="AE425" s="20">
        <v>15.513552000000001</v>
      </c>
      <c r="AF425">
        <v>3.8658999999999999</v>
      </c>
      <c r="AG425">
        <v>3.8658999999999999</v>
      </c>
      <c r="AH425">
        <v>15.2538</v>
      </c>
      <c r="AI425">
        <v>0</v>
      </c>
      <c r="AM425">
        <v>20</v>
      </c>
      <c r="AN425" s="44">
        <f t="shared" si="65"/>
        <v>0</v>
      </c>
      <c r="AO425" s="46">
        <v>242.1279024923125</v>
      </c>
      <c r="AP425" s="44">
        <v>227.970829547178</v>
      </c>
      <c r="AQ425" s="44">
        <v>0</v>
      </c>
      <c r="AR425" s="41"/>
      <c r="AS425" s="40">
        <v>8.2600971611006269E-2</v>
      </c>
      <c r="AT425" s="41">
        <v>8.7730522539775438E-2</v>
      </c>
      <c r="AU425" s="41"/>
      <c r="AV425" s="23">
        <v>1.9375</v>
      </c>
      <c r="AW425" s="23">
        <v>2.5</v>
      </c>
      <c r="AX425" s="23">
        <v>0.5625</v>
      </c>
      <c r="AY425" s="23">
        <v>2.625</v>
      </c>
      <c r="AZ425" s="23">
        <v>0.25409836065573771</v>
      </c>
      <c r="BA425" s="23">
        <v>0.32786885245901642</v>
      </c>
      <c r="BB425" s="23">
        <v>7.3770491803278687E-2</v>
      </c>
      <c r="BC425" s="23">
        <v>0.34426229508196721</v>
      </c>
      <c r="BD425" s="20">
        <v>0.79</v>
      </c>
      <c r="BE425" s="20">
        <v>3.44</v>
      </c>
      <c r="BF425" s="20">
        <v>2.65</v>
      </c>
      <c r="BG425" s="20">
        <v>2.6056249999999999</v>
      </c>
      <c r="BH425">
        <v>2.6056249999999999</v>
      </c>
      <c r="BI425">
        <v>5.9703320286696879</v>
      </c>
      <c r="BJ425" s="64">
        <v>0.52453741991489755</v>
      </c>
      <c r="BK425" s="64">
        <v>0.55711138795694093</v>
      </c>
      <c r="BL425" s="64"/>
      <c r="BN425">
        <v>4.1300485805503127E-2</v>
      </c>
      <c r="BO425">
        <v>4.3865261269887712E-2</v>
      </c>
      <c r="BQ425">
        <v>8.5165747075390846E-2</v>
      </c>
      <c r="BR425">
        <v>4.2582873537695423E-2</v>
      </c>
      <c r="BS425">
        <v>0.54082440393591924</v>
      </c>
      <c r="BT425" s="68" t="s">
        <v>1264</v>
      </c>
      <c r="BX425" s="68" t="s">
        <v>1268</v>
      </c>
      <c r="BY425" s="68" t="s">
        <v>863</v>
      </c>
      <c r="BZ425" s="68">
        <v>0.5</v>
      </c>
      <c r="CB425" s="68">
        <v>1.67</v>
      </c>
      <c r="CC425" s="68">
        <v>20</v>
      </c>
      <c r="CD425" s="68" t="s">
        <v>464</v>
      </c>
      <c r="CE425" s="68" t="s">
        <v>464</v>
      </c>
      <c r="CF425" s="68" t="s">
        <v>1271</v>
      </c>
      <c r="CG425" s="68">
        <v>300</v>
      </c>
      <c r="CI425" s="68" t="s">
        <v>1287</v>
      </c>
      <c r="CJ425" s="68">
        <v>293</v>
      </c>
      <c r="CK425" s="70">
        <v>0</v>
      </c>
    </row>
    <row r="426" spans="1:89" x14ac:dyDescent="0.3">
      <c r="A426" t="s">
        <v>1361</v>
      </c>
      <c r="B426" t="s">
        <v>4</v>
      </c>
      <c r="C426" t="s">
        <v>4126</v>
      </c>
      <c r="D426" s="12"/>
      <c r="E426">
        <v>3.4</v>
      </c>
      <c r="F426" t="s">
        <v>216</v>
      </c>
      <c r="G426" s="25" t="s">
        <v>587</v>
      </c>
      <c r="H426" s="1" t="s">
        <v>636</v>
      </c>
      <c r="M426" t="b">
        <v>1</v>
      </c>
      <c r="N426" t="b">
        <v>1</v>
      </c>
      <c r="O426" t="b">
        <v>0</v>
      </c>
      <c r="P426" t="b">
        <v>0</v>
      </c>
      <c r="Q426" t="s">
        <v>587</v>
      </c>
      <c r="R426" t="s">
        <v>636</v>
      </c>
      <c r="U426" s="20">
        <v>1</v>
      </c>
      <c r="V426">
        <v>1</v>
      </c>
      <c r="W426">
        <v>0</v>
      </c>
      <c r="AC426" s="20">
        <v>3.950634</v>
      </c>
      <c r="AD426" s="20">
        <v>3.950634</v>
      </c>
      <c r="AE426" s="20">
        <v>15.513552000000001</v>
      </c>
      <c r="AF426">
        <v>3.8658999999999999</v>
      </c>
      <c r="AG426">
        <v>3.8658999999999999</v>
      </c>
      <c r="AH426">
        <v>15.2538</v>
      </c>
      <c r="AI426">
        <v>0</v>
      </c>
      <c r="AM426">
        <v>20</v>
      </c>
      <c r="AN426" s="44">
        <f t="shared" ref="AN426" si="78">X426*Y426*Z426</f>
        <v>0</v>
      </c>
      <c r="AO426" s="46">
        <v>242.1279024923125</v>
      </c>
      <c r="AP426" s="44">
        <v>227.970829547178</v>
      </c>
      <c r="AQ426" s="44">
        <v>0</v>
      </c>
      <c r="AR426" s="41"/>
      <c r="AS426" s="40">
        <v>8.2600971611006269E-2</v>
      </c>
      <c r="AT426" s="41">
        <v>8.7730522539775438E-2</v>
      </c>
      <c r="AU426" s="41"/>
      <c r="AV426" s="23">
        <v>1.9375</v>
      </c>
      <c r="AW426" s="23">
        <v>2.5</v>
      </c>
      <c r="AX426" s="23">
        <v>0.5625</v>
      </c>
      <c r="AY426" s="23">
        <v>2.625</v>
      </c>
      <c r="AZ426" s="23">
        <v>0.25409836065573771</v>
      </c>
      <c r="BA426" s="23">
        <v>0.32786885245901642</v>
      </c>
      <c r="BB426" s="23">
        <v>7.3770491803278687E-2</v>
      </c>
      <c r="BC426" s="23">
        <v>0.34426229508196721</v>
      </c>
      <c r="BD426" s="20">
        <v>0.79</v>
      </c>
      <c r="BE426" s="20">
        <v>3.44</v>
      </c>
      <c r="BF426" s="20">
        <v>2.65</v>
      </c>
      <c r="BG426" s="20">
        <v>2.6056249999999999</v>
      </c>
      <c r="BH426">
        <v>2.6056249999999999</v>
      </c>
      <c r="BI426">
        <v>5.9703320286696879</v>
      </c>
      <c r="BJ426" s="64">
        <v>0.52453741991489755</v>
      </c>
      <c r="BK426" s="64">
        <v>0.55711138795694093</v>
      </c>
      <c r="BL426" s="64"/>
      <c r="BN426">
        <v>4.1300485805503127E-2</v>
      </c>
      <c r="BO426">
        <v>4.3865261269887712E-2</v>
      </c>
      <c r="BQ426">
        <v>8.5165747075390846E-2</v>
      </c>
      <c r="BR426">
        <v>4.2582873537695423E-2</v>
      </c>
      <c r="BS426">
        <v>0.54082440393591924</v>
      </c>
      <c r="BT426" s="68" t="s">
        <v>1264</v>
      </c>
      <c r="BU426" s="68">
        <v>973</v>
      </c>
      <c r="BX426" s="68" t="s">
        <v>1268</v>
      </c>
      <c r="BY426" s="68" t="s">
        <v>863</v>
      </c>
      <c r="BZ426" s="68">
        <v>0.5</v>
      </c>
      <c r="CB426" s="68">
        <v>1.67</v>
      </c>
      <c r="CC426" s="68">
        <v>20</v>
      </c>
      <c r="CD426" s="68" t="s">
        <v>464</v>
      </c>
      <c r="CE426" s="68" t="s">
        <v>464</v>
      </c>
      <c r="CF426" s="68" t="s">
        <v>1271</v>
      </c>
      <c r="CG426" s="68">
        <v>300</v>
      </c>
      <c r="CI426" s="68" t="s">
        <v>1287</v>
      </c>
      <c r="CJ426" s="68">
        <v>293</v>
      </c>
      <c r="CK426" s="70">
        <v>0</v>
      </c>
    </row>
    <row r="427" spans="1:89" x14ac:dyDescent="0.3">
      <c r="A427" t="s">
        <v>1362</v>
      </c>
      <c r="B427" t="s">
        <v>4</v>
      </c>
      <c r="C427" t="s">
        <v>4127</v>
      </c>
      <c r="D427" s="12"/>
      <c r="E427">
        <v>2.9</v>
      </c>
      <c r="F427" t="s">
        <v>216</v>
      </c>
      <c r="G427" s="25" t="s">
        <v>587</v>
      </c>
      <c r="H427" s="1" t="s">
        <v>636</v>
      </c>
      <c r="M427" t="b">
        <v>1</v>
      </c>
      <c r="N427" t="b">
        <v>1</v>
      </c>
      <c r="O427" t="b">
        <v>0</v>
      </c>
      <c r="P427" t="b">
        <v>0</v>
      </c>
      <c r="Q427" t="s">
        <v>587</v>
      </c>
      <c r="R427" t="s">
        <v>636</v>
      </c>
      <c r="U427" s="20">
        <v>1</v>
      </c>
      <c r="V427">
        <v>1</v>
      </c>
      <c r="W427">
        <v>0</v>
      </c>
      <c r="AC427" s="20">
        <v>3.950634</v>
      </c>
      <c r="AD427" s="20">
        <v>3.950634</v>
      </c>
      <c r="AE427" s="20">
        <v>15.513552000000001</v>
      </c>
      <c r="AF427">
        <v>3.8658999999999999</v>
      </c>
      <c r="AG427">
        <v>3.8658999999999999</v>
      </c>
      <c r="AH427">
        <v>15.2538</v>
      </c>
      <c r="AI427">
        <v>0</v>
      </c>
      <c r="AM427">
        <v>20</v>
      </c>
      <c r="AN427" s="44">
        <f t="shared" ref="AN427" si="79">X427*Y427*Z427</f>
        <v>0</v>
      </c>
      <c r="AO427" s="46">
        <v>242.1279024923125</v>
      </c>
      <c r="AP427" s="44">
        <v>227.970829547178</v>
      </c>
      <c r="AQ427" s="44">
        <v>0</v>
      </c>
      <c r="AR427" s="41"/>
      <c r="AS427" s="40">
        <v>8.2600971611006269E-2</v>
      </c>
      <c r="AT427" s="41">
        <v>8.7730522539775438E-2</v>
      </c>
      <c r="AU427" s="41"/>
      <c r="AV427" s="23">
        <v>1.9375</v>
      </c>
      <c r="AW427" s="23">
        <v>2.5</v>
      </c>
      <c r="AX427" s="23">
        <v>0.5625</v>
      </c>
      <c r="AY427" s="23">
        <v>2.625</v>
      </c>
      <c r="AZ427" s="23">
        <v>0.25409836065573771</v>
      </c>
      <c r="BA427" s="23">
        <v>0.32786885245901642</v>
      </c>
      <c r="BB427" s="23">
        <v>7.3770491803278687E-2</v>
      </c>
      <c r="BC427" s="23">
        <v>0.34426229508196721</v>
      </c>
      <c r="BD427" s="20">
        <v>0.79</v>
      </c>
      <c r="BE427" s="20">
        <v>3.44</v>
      </c>
      <c r="BF427" s="20">
        <v>2.65</v>
      </c>
      <c r="BG427" s="20">
        <v>2.6056249999999999</v>
      </c>
      <c r="BH427">
        <v>2.6056249999999999</v>
      </c>
      <c r="BI427">
        <v>5.9703320286696879</v>
      </c>
      <c r="BJ427" s="64">
        <v>0.52453741991489755</v>
      </c>
      <c r="BK427" s="64">
        <v>0.55711138795694093</v>
      </c>
      <c r="BL427" s="64"/>
      <c r="BN427">
        <v>4.1300485805503127E-2</v>
      </c>
      <c r="BO427">
        <v>4.3865261269887712E-2</v>
      </c>
      <c r="BQ427">
        <v>8.5165747075390846E-2</v>
      </c>
      <c r="BR427">
        <v>4.2582873537695423E-2</v>
      </c>
      <c r="BS427">
        <v>0.54082440393591924</v>
      </c>
      <c r="BT427" s="68" t="s">
        <v>1264</v>
      </c>
      <c r="BU427" s="68">
        <v>1023</v>
      </c>
      <c r="BX427" s="68" t="s">
        <v>1268</v>
      </c>
      <c r="BY427" s="68" t="s">
        <v>863</v>
      </c>
      <c r="BZ427" s="68">
        <v>0.5</v>
      </c>
      <c r="CB427" s="68">
        <v>1.67</v>
      </c>
      <c r="CC427" s="68">
        <v>20</v>
      </c>
      <c r="CD427" s="68" t="s">
        <v>464</v>
      </c>
      <c r="CE427" s="68" t="s">
        <v>464</v>
      </c>
      <c r="CF427" s="68" t="s">
        <v>1271</v>
      </c>
      <c r="CG427" s="68">
        <v>300</v>
      </c>
      <c r="CI427" s="68" t="s">
        <v>1287</v>
      </c>
      <c r="CJ427" s="68">
        <v>293</v>
      </c>
      <c r="CK427" s="70">
        <v>0</v>
      </c>
    </row>
    <row r="428" spans="1:89" x14ac:dyDescent="0.3">
      <c r="A428" t="s">
        <v>1363</v>
      </c>
      <c r="B428" t="s">
        <v>4</v>
      </c>
      <c r="C428" t="s">
        <v>4128</v>
      </c>
      <c r="D428" s="12"/>
      <c r="E428">
        <v>2</v>
      </c>
      <c r="F428" t="s">
        <v>216</v>
      </c>
      <c r="G428" s="25" t="s">
        <v>587</v>
      </c>
      <c r="H428" s="1" t="s">
        <v>636</v>
      </c>
      <c r="M428" t="b">
        <v>1</v>
      </c>
      <c r="N428" t="b">
        <v>1</v>
      </c>
      <c r="O428" t="b">
        <v>0</v>
      </c>
      <c r="P428" t="b">
        <v>0</v>
      </c>
      <c r="Q428" t="s">
        <v>587</v>
      </c>
      <c r="R428" t="s">
        <v>636</v>
      </c>
      <c r="U428" s="20">
        <v>1</v>
      </c>
      <c r="V428">
        <v>1</v>
      </c>
      <c r="W428">
        <v>0</v>
      </c>
      <c r="AC428" s="20">
        <v>3.950634</v>
      </c>
      <c r="AD428" s="20">
        <v>3.950634</v>
      </c>
      <c r="AE428" s="20">
        <v>15.513552000000001</v>
      </c>
      <c r="AF428">
        <v>3.8658999999999999</v>
      </c>
      <c r="AG428">
        <v>3.8658999999999999</v>
      </c>
      <c r="AH428">
        <v>15.2538</v>
      </c>
      <c r="AI428">
        <v>0</v>
      </c>
      <c r="AM428">
        <v>20</v>
      </c>
      <c r="AN428" s="44">
        <f t="shared" ref="AN428" si="80">X428*Y428*Z428</f>
        <v>0</v>
      </c>
      <c r="AO428" s="46">
        <v>242.1279024923125</v>
      </c>
      <c r="AP428" s="44">
        <v>227.970829547178</v>
      </c>
      <c r="AQ428" s="44">
        <v>0</v>
      </c>
      <c r="AR428" s="41"/>
      <c r="AS428" s="40">
        <v>8.2600971611006269E-2</v>
      </c>
      <c r="AT428" s="41">
        <v>8.7730522539775438E-2</v>
      </c>
      <c r="AU428" s="41"/>
      <c r="AV428" s="23">
        <v>1.9375</v>
      </c>
      <c r="AW428" s="23">
        <v>2.5</v>
      </c>
      <c r="AX428" s="23">
        <v>0.5625</v>
      </c>
      <c r="AY428" s="23">
        <v>2.625</v>
      </c>
      <c r="AZ428" s="23">
        <v>0.25409836065573771</v>
      </c>
      <c r="BA428" s="23">
        <v>0.32786885245901642</v>
      </c>
      <c r="BB428" s="23">
        <v>7.3770491803278687E-2</v>
      </c>
      <c r="BC428" s="23">
        <v>0.34426229508196721</v>
      </c>
      <c r="BD428" s="20">
        <v>0.79</v>
      </c>
      <c r="BE428" s="20">
        <v>3.44</v>
      </c>
      <c r="BF428" s="20">
        <v>2.65</v>
      </c>
      <c r="BG428" s="20">
        <v>2.6056249999999999</v>
      </c>
      <c r="BH428">
        <v>2.6056249999999999</v>
      </c>
      <c r="BI428">
        <v>5.9703320286696879</v>
      </c>
      <c r="BJ428" s="64">
        <v>0.52453741991489755</v>
      </c>
      <c r="BK428" s="64">
        <v>0.55711138795694093</v>
      </c>
      <c r="BL428" s="64"/>
      <c r="BN428">
        <v>4.1300485805503127E-2</v>
      </c>
      <c r="BO428">
        <v>4.3865261269887712E-2</v>
      </c>
      <c r="BQ428">
        <v>8.5165747075390846E-2</v>
      </c>
      <c r="BR428">
        <v>4.2582873537695423E-2</v>
      </c>
      <c r="BS428">
        <v>0.54082440393591924</v>
      </c>
      <c r="BT428" s="68" t="s">
        <v>1264</v>
      </c>
      <c r="BU428" s="68">
        <v>1073</v>
      </c>
      <c r="BX428" s="68" t="s">
        <v>1268</v>
      </c>
      <c r="BY428" s="68" t="s">
        <v>863</v>
      </c>
      <c r="BZ428" s="68">
        <v>0.5</v>
      </c>
      <c r="CB428" s="68">
        <v>1.67</v>
      </c>
      <c r="CC428" s="68">
        <v>20</v>
      </c>
      <c r="CD428" s="68" t="s">
        <v>464</v>
      </c>
      <c r="CE428" s="68" t="s">
        <v>464</v>
      </c>
      <c r="CF428" s="68" t="s">
        <v>1271</v>
      </c>
      <c r="CG428" s="68">
        <v>300</v>
      </c>
      <c r="CI428" s="68" t="s">
        <v>1287</v>
      </c>
      <c r="CJ428" s="68">
        <v>293</v>
      </c>
      <c r="CK428" s="70">
        <v>0</v>
      </c>
    </row>
    <row r="429" spans="1:89" x14ac:dyDescent="0.3">
      <c r="A429" t="s">
        <v>217</v>
      </c>
      <c r="B429" t="s">
        <v>4</v>
      </c>
      <c r="C429" t="s">
        <v>4129</v>
      </c>
      <c r="D429" s="12"/>
      <c r="E429">
        <v>2.58</v>
      </c>
      <c r="F429" t="s">
        <v>218</v>
      </c>
      <c r="G429" s="8" t="s">
        <v>587</v>
      </c>
      <c r="H429" t="s">
        <v>636</v>
      </c>
      <c r="J429" t="s">
        <v>2242</v>
      </c>
      <c r="K429" t="s">
        <v>2242</v>
      </c>
      <c r="M429" t="b">
        <v>1</v>
      </c>
      <c r="N429" t="b">
        <v>1</v>
      </c>
      <c r="O429" t="b">
        <v>0</v>
      </c>
      <c r="P429" t="b">
        <v>0</v>
      </c>
      <c r="Q429" t="s">
        <v>2103</v>
      </c>
      <c r="R429" t="s">
        <v>2106</v>
      </c>
      <c r="T429">
        <v>1</v>
      </c>
      <c r="U429" s="20">
        <v>0</v>
      </c>
      <c r="V429">
        <v>0</v>
      </c>
      <c r="W429">
        <v>0</v>
      </c>
      <c r="X429">
        <v>3.93</v>
      </c>
      <c r="Y429">
        <v>3.93</v>
      </c>
      <c r="Z429">
        <v>15.3</v>
      </c>
      <c r="AB429">
        <v>15.3</v>
      </c>
      <c r="AC429" s="20">
        <v>0</v>
      </c>
      <c r="AD429" s="20"/>
      <c r="AE429" s="20"/>
      <c r="AF429">
        <v>0</v>
      </c>
      <c r="AI429">
        <v>0</v>
      </c>
      <c r="AM429">
        <v>20</v>
      </c>
      <c r="AN429" s="44">
        <f t="shared" si="65"/>
        <v>236.30697000000001</v>
      </c>
      <c r="AO429" s="46">
        <v>0</v>
      </c>
      <c r="AP429" s="44">
        <v>0</v>
      </c>
      <c r="AQ429" s="44">
        <v>0</v>
      </c>
      <c r="AR429" s="41">
        <f t="shared" ref="AR429:AR433" si="81">T429*AM429/AN429</f>
        <v>8.4635675367510321E-2</v>
      </c>
      <c r="AS429" s="40"/>
      <c r="AT429" s="41"/>
      <c r="AU429" s="41"/>
      <c r="AV429" s="23">
        <v>1.75</v>
      </c>
      <c r="AW429" s="23">
        <v>2.75</v>
      </c>
      <c r="AX429" s="23">
        <v>2</v>
      </c>
      <c r="AY429" s="23">
        <v>1.75</v>
      </c>
      <c r="AZ429" s="23">
        <v>0.2121212121212121</v>
      </c>
      <c r="BA429" s="23">
        <v>0.33333333333333331</v>
      </c>
      <c r="BB429" s="23">
        <v>0.2424242424242424</v>
      </c>
      <c r="BC429" s="23">
        <v>0.2121212121212121</v>
      </c>
      <c r="BD429" s="20">
        <v>1.6</v>
      </c>
      <c r="BE429" s="20">
        <v>3.44</v>
      </c>
      <c r="BF429" s="20">
        <v>1.84</v>
      </c>
      <c r="BG429" s="20">
        <v>2.8787500000000001</v>
      </c>
      <c r="BH429">
        <v>2.8787500000000001</v>
      </c>
      <c r="BI429">
        <v>6.3662565249906873</v>
      </c>
      <c r="BJ429" s="64"/>
      <c r="BK429" s="64"/>
      <c r="BL429" s="64"/>
      <c r="BM429">
        <v>4.2317837683755161E-2</v>
      </c>
      <c r="BQ429">
        <v>8.4635675367510321E-2</v>
      </c>
      <c r="BR429">
        <v>4.2317837683755161E-2</v>
      </c>
      <c r="BS429">
        <v>0</v>
      </c>
      <c r="BT429" s="68" t="s">
        <v>1264</v>
      </c>
      <c r="BU429" s="68">
        <v>1273</v>
      </c>
      <c r="BV429" s="68">
        <v>48</v>
      </c>
      <c r="BX429" s="68" t="s">
        <v>1268</v>
      </c>
      <c r="BY429" s="68" t="s">
        <v>863</v>
      </c>
      <c r="BZ429" s="68">
        <v>0.1</v>
      </c>
      <c r="CB429" s="68">
        <v>2.5</v>
      </c>
      <c r="CC429" s="68">
        <v>20</v>
      </c>
      <c r="CD429" s="68" t="s">
        <v>464</v>
      </c>
      <c r="CE429" s="68" t="s">
        <v>464</v>
      </c>
      <c r="CF429" s="68" t="s">
        <v>1271</v>
      </c>
      <c r="CG429" s="68">
        <v>300</v>
      </c>
      <c r="CH429" s="68">
        <v>290</v>
      </c>
      <c r="CI429" s="68" t="s">
        <v>1310</v>
      </c>
      <c r="CJ429" s="68">
        <v>303</v>
      </c>
      <c r="CK429" s="70">
        <v>65</v>
      </c>
    </row>
    <row r="430" spans="1:89" x14ac:dyDescent="0.3">
      <c r="A430" t="s">
        <v>1364</v>
      </c>
      <c r="B430" t="s">
        <v>4</v>
      </c>
      <c r="C430" t="s">
        <v>4130</v>
      </c>
      <c r="D430" s="12"/>
      <c r="E430">
        <v>2.29</v>
      </c>
      <c r="F430" t="s">
        <v>218</v>
      </c>
      <c r="G430" s="8">
        <v>-1</v>
      </c>
      <c r="H430">
        <v>-1</v>
      </c>
      <c r="M430" t="b">
        <v>0</v>
      </c>
      <c r="N430" t="b">
        <v>0</v>
      </c>
      <c r="O430" t="b">
        <v>0</v>
      </c>
      <c r="P430" t="b">
        <v>1</v>
      </c>
      <c r="Q430">
        <v>-1</v>
      </c>
      <c r="R430">
        <v>-1</v>
      </c>
      <c r="T430">
        <v>1</v>
      </c>
      <c r="U430" s="20">
        <v>0</v>
      </c>
      <c r="V430">
        <v>0</v>
      </c>
      <c r="W430">
        <v>0</v>
      </c>
      <c r="X430">
        <v>3.93</v>
      </c>
      <c r="Y430">
        <v>3.93</v>
      </c>
      <c r="Z430">
        <v>15.3</v>
      </c>
      <c r="AB430">
        <v>15.3</v>
      </c>
      <c r="AC430" s="20">
        <v>0</v>
      </c>
      <c r="AD430" s="20"/>
      <c r="AE430" s="20"/>
      <c r="AF430">
        <v>0</v>
      </c>
      <c r="AI430">
        <v>0</v>
      </c>
      <c r="AM430">
        <v>20</v>
      </c>
      <c r="AN430" s="44">
        <f t="shared" ref="AN430" si="82">X430*Y430*Z430</f>
        <v>236.30697000000001</v>
      </c>
      <c r="AO430" s="46">
        <v>0</v>
      </c>
      <c r="AP430" s="44">
        <v>0</v>
      </c>
      <c r="AQ430" s="44">
        <v>0</v>
      </c>
      <c r="AR430" s="41">
        <f t="shared" ref="AR430" si="83">T430*AM430/AN430</f>
        <v>8.4635675367510321E-2</v>
      </c>
      <c r="AS430" s="40"/>
      <c r="AT430" s="41"/>
      <c r="AU430" s="41"/>
      <c r="AV430" s="23">
        <v>1.714285714285714</v>
      </c>
      <c r="AW430" s="23">
        <v>2.6190476190476191</v>
      </c>
      <c r="AX430" s="23">
        <v>1.9285714285714279</v>
      </c>
      <c r="AY430" s="23">
        <v>1.666666666666667</v>
      </c>
      <c r="AZ430" s="23">
        <v>0.2162162162162162</v>
      </c>
      <c r="BA430" s="23">
        <v>0.33033033033033038</v>
      </c>
      <c r="BB430" s="23">
        <v>0.2432432432432432</v>
      </c>
      <c r="BC430" s="23">
        <v>0.21021021021021019</v>
      </c>
      <c r="BD430" s="20">
        <v>1.6</v>
      </c>
      <c r="BE430" s="20">
        <v>3.44</v>
      </c>
      <c r="BF430" s="20">
        <v>1.84</v>
      </c>
      <c r="BG430" s="20">
        <v>2.847857142857142</v>
      </c>
      <c r="BH430">
        <v>2.8478571428571429</v>
      </c>
      <c r="BI430">
        <v>6.402055730936417</v>
      </c>
      <c r="BJ430" s="64"/>
      <c r="BK430" s="64"/>
      <c r="BL430" s="64"/>
      <c r="BM430">
        <v>4.2317837683755161E-2</v>
      </c>
      <c r="BQ430">
        <v>8.4635675367510321E-2</v>
      </c>
      <c r="BR430">
        <v>4.2317837683755161E-2</v>
      </c>
      <c r="BS430">
        <v>0</v>
      </c>
      <c r="BT430" s="68" t="s">
        <v>1264</v>
      </c>
      <c r="BU430" s="68">
        <v>1273</v>
      </c>
      <c r="BV430" s="68">
        <v>48</v>
      </c>
      <c r="BX430" s="68" t="s">
        <v>1268</v>
      </c>
      <c r="BY430" s="68" t="s">
        <v>863</v>
      </c>
      <c r="BZ430" s="68">
        <v>0.1</v>
      </c>
      <c r="CB430" s="68">
        <v>2.5</v>
      </c>
      <c r="CC430" s="68">
        <v>20</v>
      </c>
      <c r="CD430" s="68" t="s">
        <v>464</v>
      </c>
      <c r="CE430" s="68" t="s">
        <v>464</v>
      </c>
      <c r="CF430" s="68" t="s">
        <v>1271</v>
      </c>
      <c r="CG430" s="68">
        <v>300</v>
      </c>
      <c r="CH430" s="68">
        <v>290</v>
      </c>
      <c r="CI430" s="68" t="s">
        <v>1310</v>
      </c>
      <c r="CJ430" s="68">
        <v>303</v>
      </c>
      <c r="CK430" s="70">
        <v>102</v>
      </c>
    </row>
    <row r="431" spans="1:89" x14ac:dyDescent="0.3">
      <c r="A431" t="s">
        <v>1365</v>
      </c>
      <c r="B431" t="s">
        <v>4</v>
      </c>
      <c r="C431" t="s">
        <v>4131</v>
      </c>
      <c r="D431" s="12"/>
      <c r="E431">
        <v>2.29</v>
      </c>
      <c r="F431" t="s">
        <v>218</v>
      </c>
      <c r="G431" s="8">
        <v>-1</v>
      </c>
      <c r="H431">
        <v>-1</v>
      </c>
      <c r="M431" t="b">
        <v>0</v>
      </c>
      <c r="N431" t="b">
        <v>0</v>
      </c>
      <c r="O431" t="b">
        <v>0</v>
      </c>
      <c r="P431" t="b">
        <v>1</v>
      </c>
      <c r="Q431">
        <v>-1</v>
      </c>
      <c r="R431">
        <v>-1</v>
      </c>
      <c r="T431">
        <v>1</v>
      </c>
      <c r="U431" s="20">
        <v>0</v>
      </c>
      <c r="V431">
        <v>0</v>
      </c>
      <c r="W431">
        <v>0</v>
      </c>
      <c r="X431">
        <v>3.93</v>
      </c>
      <c r="Y431">
        <v>3.93</v>
      </c>
      <c r="Z431">
        <v>15.3</v>
      </c>
      <c r="AB431">
        <v>15.3</v>
      </c>
      <c r="AC431" s="20">
        <v>0</v>
      </c>
      <c r="AD431" s="20"/>
      <c r="AE431" s="20"/>
      <c r="AF431">
        <v>0</v>
      </c>
      <c r="AI431">
        <v>0</v>
      </c>
      <c r="AM431">
        <v>20</v>
      </c>
      <c r="AN431" s="44">
        <f t="shared" si="65"/>
        <v>236.30697000000001</v>
      </c>
      <c r="AO431" s="46">
        <v>0</v>
      </c>
      <c r="AP431" s="44">
        <v>0</v>
      </c>
      <c r="AQ431" s="44">
        <v>0</v>
      </c>
      <c r="AR431" s="41">
        <f t="shared" si="81"/>
        <v>8.4635675367510321E-2</v>
      </c>
      <c r="AS431" s="40"/>
      <c r="AT431" s="41"/>
      <c r="AU431" s="41"/>
      <c r="AV431" s="23">
        <v>1.714285714285714</v>
      </c>
      <c r="AW431" s="23">
        <v>2.6190476190476191</v>
      </c>
      <c r="AX431" s="23">
        <v>1.9285714285714279</v>
      </c>
      <c r="AY431" s="23">
        <v>1.666666666666667</v>
      </c>
      <c r="AZ431" s="23">
        <v>0.2162162162162162</v>
      </c>
      <c r="BA431" s="23">
        <v>0.33033033033033038</v>
      </c>
      <c r="BB431" s="23">
        <v>0.2432432432432432</v>
      </c>
      <c r="BC431" s="23">
        <v>0.21021021021021019</v>
      </c>
      <c r="BD431" s="20">
        <v>1.6</v>
      </c>
      <c r="BE431" s="20">
        <v>3.44</v>
      </c>
      <c r="BF431" s="20">
        <v>1.84</v>
      </c>
      <c r="BG431" s="20">
        <v>2.847857142857142</v>
      </c>
      <c r="BH431">
        <v>2.8478571428571429</v>
      </c>
      <c r="BI431">
        <v>6.402055730936417</v>
      </c>
      <c r="BJ431" s="64"/>
      <c r="BK431" s="64"/>
      <c r="BL431" s="64"/>
      <c r="BM431">
        <v>4.2317837683755161E-2</v>
      </c>
      <c r="BQ431">
        <v>8.4635675367510321E-2</v>
      </c>
      <c r="BR431">
        <v>4.2317837683755161E-2</v>
      </c>
      <c r="BS431">
        <v>0</v>
      </c>
      <c r="BT431" s="68" t="s">
        <v>1264</v>
      </c>
      <c r="BU431" s="68">
        <v>1273</v>
      </c>
      <c r="BV431" s="68">
        <v>48</v>
      </c>
      <c r="BX431" s="68" t="s">
        <v>1268</v>
      </c>
      <c r="BY431" s="68" t="s">
        <v>863</v>
      </c>
      <c r="BZ431" s="68">
        <v>0.1</v>
      </c>
      <c r="CB431" s="68">
        <v>2.5</v>
      </c>
      <c r="CC431" s="68">
        <v>20</v>
      </c>
      <c r="CD431" s="68" t="s">
        <v>464</v>
      </c>
      <c r="CE431" s="68" t="s">
        <v>464</v>
      </c>
      <c r="CF431" s="68" t="s">
        <v>1271</v>
      </c>
      <c r="CG431" s="68">
        <v>300</v>
      </c>
      <c r="CH431" s="68">
        <v>290</v>
      </c>
      <c r="CI431" s="68" t="s">
        <v>1310</v>
      </c>
      <c r="CJ431" s="68">
        <v>303</v>
      </c>
      <c r="CK431" s="70">
        <v>108</v>
      </c>
    </row>
    <row r="432" spans="1:89" x14ac:dyDescent="0.3">
      <c r="A432" t="s">
        <v>1366</v>
      </c>
      <c r="B432" t="s">
        <v>4</v>
      </c>
      <c r="C432" t="s">
        <v>4132</v>
      </c>
      <c r="D432" s="12"/>
      <c r="E432">
        <v>2.29</v>
      </c>
      <c r="F432" t="s">
        <v>218</v>
      </c>
      <c r="G432" s="8">
        <v>-1</v>
      </c>
      <c r="H432">
        <v>-1</v>
      </c>
      <c r="M432" t="b">
        <v>0</v>
      </c>
      <c r="N432" t="b">
        <v>0</v>
      </c>
      <c r="O432" t="b">
        <v>0</v>
      </c>
      <c r="P432" t="b">
        <v>1</v>
      </c>
      <c r="Q432">
        <v>-1</v>
      </c>
      <c r="R432">
        <v>-1</v>
      </c>
      <c r="T432">
        <v>1</v>
      </c>
      <c r="U432" s="20">
        <v>0</v>
      </c>
      <c r="V432">
        <v>0</v>
      </c>
      <c r="W432">
        <v>0</v>
      </c>
      <c r="X432">
        <v>3.93</v>
      </c>
      <c r="Y432">
        <v>3.93</v>
      </c>
      <c r="Z432">
        <v>15.3</v>
      </c>
      <c r="AB432">
        <v>15.3</v>
      </c>
      <c r="AC432" s="20">
        <v>0</v>
      </c>
      <c r="AD432" s="20"/>
      <c r="AE432" s="20"/>
      <c r="AF432">
        <v>0</v>
      </c>
      <c r="AI432">
        <v>0</v>
      </c>
      <c r="AM432">
        <v>20</v>
      </c>
      <c r="AN432" s="44">
        <f t="shared" ref="AN432" si="84">X432*Y432*Z432</f>
        <v>236.30697000000001</v>
      </c>
      <c r="AO432" s="46">
        <v>0</v>
      </c>
      <c r="AP432" s="44">
        <v>0</v>
      </c>
      <c r="AQ432" s="44">
        <v>0</v>
      </c>
      <c r="AR432" s="41">
        <f t="shared" ref="AR432" si="85">T432*AM432/AN432</f>
        <v>8.4635675367510321E-2</v>
      </c>
      <c r="AS432" s="40"/>
      <c r="AT432" s="41"/>
      <c r="AU432" s="41"/>
      <c r="AV432" s="23">
        <v>1.714285714285714</v>
      </c>
      <c r="AW432" s="23">
        <v>2.6190476190476191</v>
      </c>
      <c r="AX432" s="23">
        <v>1.9285714285714279</v>
      </c>
      <c r="AY432" s="23">
        <v>1.666666666666667</v>
      </c>
      <c r="AZ432" s="23">
        <v>0.2162162162162162</v>
      </c>
      <c r="BA432" s="23">
        <v>0.33033033033033038</v>
      </c>
      <c r="BB432" s="23">
        <v>0.2432432432432432</v>
      </c>
      <c r="BC432" s="23">
        <v>0.21021021021021019</v>
      </c>
      <c r="BD432" s="20">
        <v>1.6</v>
      </c>
      <c r="BE432" s="20">
        <v>3.44</v>
      </c>
      <c r="BF432" s="20">
        <v>1.84</v>
      </c>
      <c r="BG432" s="20">
        <v>2.847857142857142</v>
      </c>
      <c r="BH432">
        <v>2.8478571428571429</v>
      </c>
      <c r="BI432">
        <v>6.402055730936417</v>
      </c>
      <c r="BJ432" s="64"/>
      <c r="BK432" s="64"/>
      <c r="BL432" s="64"/>
      <c r="BM432">
        <v>4.2317837683755161E-2</v>
      </c>
      <c r="BQ432">
        <v>8.4635675367510321E-2</v>
      </c>
      <c r="BR432">
        <v>4.2317837683755161E-2</v>
      </c>
      <c r="BS432">
        <v>0</v>
      </c>
      <c r="BT432" s="68" t="s">
        <v>1264</v>
      </c>
      <c r="BU432" s="68">
        <v>1273</v>
      </c>
      <c r="BV432" s="68">
        <v>48</v>
      </c>
      <c r="BX432" s="68" t="s">
        <v>1268</v>
      </c>
      <c r="BY432" s="68" t="s">
        <v>863</v>
      </c>
      <c r="BZ432" s="68">
        <v>0.1</v>
      </c>
      <c r="CB432" s="68">
        <v>2.5</v>
      </c>
      <c r="CC432" s="68">
        <v>20</v>
      </c>
      <c r="CD432" s="68" t="s">
        <v>464</v>
      </c>
      <c r="CE432" s="68" t="s">
        <v>464</v>
      </c>
      <c r="CF432" s="68" t="s">
        <v>1271</v>
      </c>
      <c r="CG432" s="68">
        <v>300</v>
      </c>
      <c r="CH432" s="68">
        <v>290</v>
      </c>
      <c r="CI432" s="68" t="s">
        <v>1310</v>
      </c>
      <c r="CJ432" s="68">
        <v>303</v>
      </c>
      <c r="CK432" s="70">
        <v>92</v>
      </c>
    </row>
    <row r="433" spans="1:89" x14ac:dyDescent="0.3">
      <c r="A433" t="s">
        <v>1367</v>
      </c>
      <c r="B433" t="s">
        <v>2776</v>
      </c>
      <c r="C433" t="s">
        <v>4133</v>
      </c>
      <c r="D433" s="12"/>
      <c r="E433">
        <v>2.29</v>
      </c>
      <c r="F433" t="s">
        <v>218</v>
      </c>
      <c r="G433" s="8">
        <v>-1</v>
      </c>
      <c r="H433">
        <v>-1</v>
      </c>
      <c r="M433" t="b">
        <v>0</v>
      </c>
      <c r="N433" t="b">
        <v>0</v>
      </c>
      <c r="O433" t="b">
        <v>0</v>
      </c>
      <c r="P433" t="b">
        <v>1</v>
      </c>
      <c r="Q433">
        <v>-1</v>
      </c>
      <c r="R433">
        <v>-1</v>
      </c>
      <c r="T433">
        <v>1</v>
      </c>
      <c r="U433" s="20">
        <v>0</v>
      </c>
      <c r="V433">
        <v>0</v>
      </c>
      <c r="W433">
        <v>0</v>
      </c>
      <c r="X433">
        <v>3.93</v>
      </c>
      <c r="Y433">
        <v>3.93</v>
      </c>
      <c r="Z433">
        <v>15.3</v>
      </c>
      <c r="AB433">
        <v>15.3</v>
      </c>
      <c r="AC433" s="20">
        <v>0</v>
      </c>
      <c r="AD433" s="20"/>
      <c r="AE433" s="20"/>
      <c r="AF433">
        <v>0</v>
      </c>
      <c r="AI433">
        <v>0</v>
      </c>
      <c r="AM433">
        <v>20</v>
      </c>
      <c r="AN433" s="44">
        <f t="shared" si="65"/>
        <v>236.30697000000001</v>
      </c>
      <c r="AO433" s="46">
        <v>0</v>
      </c>
      <c r="AP433" s="44">
        <v>0</v>
      </c>
      <c r="AQ433" s="44">
        <v>0</v>
      </c>
      <c r="AR433" s="41">
        <f t="shared" si="81"/>
        <v>8.4635675367510321E-2</v>
      </c>
      <c r="AS433" s="40"/>
      <c r="AT433" s="41"/>
      <c r="AU433" s="41"/>
      <c r="AV433" s="23">
        <v>1.714285714285714</v>
      </c>
      <c r="AW433" s="23">
        <v>2.6190476190476191</v>
      </c>
      <c r="AX433" s="23">
        <v>1.9285714285714279</v>
      </c>
      <c r="AY433" s="23">
        <v>1.666666666666667</v>
      </c>
      <c r="AZ433" s="23">
        <v>0.2162162162162162</v>
      </c>
      <c r="BA433" s="23">
        <v>0.33033033033033038</v>
      </c>
      <c r="BB433" s="23">
        <v>0.2432432432432432</v>
      </c>
      <c r="BC433" s="23">
        <v>0.21021021021021019</v>
      </c>
      <c r="BD433" s="20">
        <v>1.6</v>
      </c>
      <c r="BE433" s="20">
        <v>3.44</v>
      </c>
      <c r="BF433" s="20">
        <v>1.84</v>
      </c>
      <c r="BG433" s="20">
        <v>2.847857142857142</v>
      </c>
      <c r="BH433">
        <v>2.8478571428571429</v>
      </c>
      <c r="BI433">
        <v>6.402055730936417</v>
      </c>
      <c r="BJ433" s="64"/>
      <c r="BK433" s="64"/>
      <c r="BL433" s="64"/>
      <c r="BM433">
        <v>4.2317837683755161E-2</v>
      </c>
      <c r="BQ433">
        <v>8.4635675367510321E-2</v>
      </c>
      <c r="BR433">
        <v>4.2317837683755161E-2</v>
      </c>
      <c r="BS433">
        <v>0</v>
      </c>
      <c r="BT433" s="68" t="s">
        <v>1264</v>
      </c>
      <c r="BU433" s="68">
        <v>1273</v>
      </c>
      <c r="BV433" s="68">
        <v>48</v>
      </c>
      <c r="BX433" s="68" t="s">
        <v>1268</v>
      </c>
      <c r="BY433" s="68" t="s">
        <v>863</v>
      </c>
      <c r="BZ433" s="68">
        <v>0.1</v>
      </c>
      <c r="CB433" s="68">
        <v>2.5</v>
      </c>
      <c r="CC433" s="68">
        <v>20</v>
      </c>
      <c r="CD433" s="68" t="s">
        <v>464</v>
      </c>
      <c r="CE433" s="68" t="s">
        <v>464</v>
      </c>
      <c r="CF433" s="68" t="s">
        <v>1271</v>
      </c>
      <c r="CG433" s="68">
        <v>300</v>
      </c>
      <c r="CH433" s="68">
        <v>290</v>
      </c>
      <c r="CI433" s="68" t="s">
        <v>1310</v>
      </c>
      <c r="CJ433" s="68">
        <v>303</v>
      </c>
      <c r="CK433" s="70">
        <v>45</v>
      </c>
    </row>
    <row r="434" spans="1:89" x14ac:dyDescent="0.3">
      <c r="A434" t="s">
        <v>1368</v>
      </c>
      <c r="B434" t="s">
        <v>4</v>
      </c>
      <c r="C434" t="s">
        <v>4134</v>
      </c>
      <c r="D434" s="12"/>
      <c r="E434">
        <v>2.29</v>
      </c>
      <c r="F434" t="s">
        <v>218</v>
      </c>
      <c r="G434" s="8">
        <v>-1</v>
      </c>
      <c r="H434">
        <v>-1</v>
      </c>
      <c r="M434" t="b">
        <v>0</v>
      </c>
      <c r="N434" t="b">
        <v>0</v>
      </c>
      <c r="O434" t="b">
        <v>0</v>
      </c>
      <c r="P434" t="b">
        <v>1</v>
      </c>
      <c r="Q434">
        <v>-1</v>
      </c>
      <c r="R434">
        <v>-1</v>
      </c>
      <c r="T434">
        <v>1</v>
      </c>
      <c r="U434" s="20">
        <v>0</v>
      </c>
      <c r="V434">
        <v>0</v>
      </c>
      <c r="W434">
        <v>0</v>
      </c>
      <c r="X434">
        <v>3.93</v>
      </c>
      <c r="Y434">
        <v>3.93</v>
      </c>
      <c r="Z434">
        <v>15.3</v>
      </c>
      <c r="AB434">
        <v>15.3</v>
      </c>
      <c r="AC434" s="20">
        <v>0</v>
      </c>
      <c r="AD434" s="20"/>
      <c r="AE434" s="20"/>
      <c r="AF434">
        <v>0</v>
      </c>
      <c r="AI434">
        <v>0</v>
      </c>
      <c r="AM434">
        <v>20</v>
      </c>
      <c r="AN434" s="44">
        <f t="shared" ref="AN434:AN439" si="86">X434*Y434*Z434</f>
        <v>236.30697000000001</v>
      </c>
      <c r="AO434" s="46">
        <v>0</v>
      </c>
      <c r="AP434" s="44">
        <v>0</v>
      </c>
      <c r="AQ434" s="44">
        <v>0</v>
      </c>
      <c r="AR434" s="41">
        <f t="shared" ref="AR434:AR439" si="87">T434*AM434/AN434</f>
        <v>8.4635675367510321E-2</v>
      </c>
      <c r="AS434" s="40"/>
      <c r="AT434" s="41"/>
      <c r="AU434" s="41"/>
      <c r="AV434" s="23">
        <v>1.714285714285714</v>
      </c>
      <c r="AW434" s="23">
        <v>2.6190476190476191</v>
      </c>
      <c r="AX434" s="23">
        <v>1.9285714285714279</v>
      </c>
      <c r="AY434" s="23">
        <v>1.666666666666667</v>
      </c>
      <c r="AZ434" s="23">
        <v>0.2162162162162162</v>
      </c>
      <c r="BA434" s="23">
        <v>0.33033033033033038</v>
      </c>
      <c r="BB434" s="23">
        <v>0.2432432432432432</v>
      </c>
      <c r="BC434" s="23">
        <v>0.21021021021021019</v>
      </c>
      <c r="BD434" s="20">
        <v>1.6</v>
      </c>
      <c r="BE434" s="20">
        <v>3.44</v>
      </c>
      <c r="BF434" s="20">
        <v>1.84</v>
      </c>
      <c r="BG434" s="20">
        <v>2.847857142857142</v>
      </c>
      <c r="BH434">
        <v>2.8478571428571429</v>
      </c>
      <c r="BI434">
        <v>6.402055730936417</v>
      </c>
      <c r="BJ434" s="64"/>
      <c r="BK434" s="64"/>
      <c r="BL434" s="64"/>
      <c r="BM434">
        <v>4.2317837683755161E-2</v>
      </c>
      <c r="BQ434">
        <v>8.4635675367510321E-2</v>
      </c>
      <c r="BR434">
        <v>4.2317837683755161E-2</v>
      </c>
      <c r="BS434">
        <v>0</v>
      </c>
      <c r="BT434" s="68" t="s">
        <v>1264</v>
      </c>
      <c r="BU434" s="68">
        <v>1273</v>
      </c>
      <c r="BV434" s="68">
        <v>48</v>
      </c>
      <c r="BX434" s="68" t="s">
        <v>1268</v>
      </c>
      <c r="BY434" s="68" t="s">
        <v>863</v>
      </c>
      <c r="BZ434" s="68">
        <v>0.1</v>
      </c>
      <c r="CB434" s="68">
        <v>2.5</v>
      </c>
      <c r="CC434" s="68">
        <v>20</v>
      </c>
      <c r="CD434" s="68" t="s">
        <v>464</v>
      </c>
      <c r="CE434" s="68" t="s">
        <v>464</v>
      </c>
      <c r="CF434" s="68" t="s">
        <v>1271</v>
      </c>
      <c r="CG434" s="68">
        <v>300</v>
      </c>
      <c r="CH434" s="68">
        <v>290</v>
      </c>
      <c r="CI434" s="68" t="s">
        <v>1310</v>
      </c>
      <c r="CJ434" s="68">
        <v>303</v>
      </c>
      <c r="CK434" s="70">
        <v>20</v>
      </c>
    </row>
    <row r="435" spans="1:89" x14ac:dyDescent="0.3">
      <c r="A435" t="s">
        <v>217</v>
      </c>
      <c r="B435" t="s">
        <v>4</v>
      </c>
      <c r="C435" t="s">
        <v>4129</v>
      </c>
      <c r="D435" s="12"/>
      <c r="E435">
        <v>2.58</v>
      </c>
      <c r="F435" t="s">
        <v>218</v>
      </c>
      <c r="G435" s="8" t="s">
        <v>587</v>
      </c>
      <c r="H435" t="s">
        <v>636</v>
      </c>
      <c r="J435" t="s">
        <v>2242</v>
      </c>
      <c r="K435" t="s">
        <v>2242</v>
      </c>
      <c r="M435" t="b">
        <v>1</v>
      </c>
      <c r="N435" t="b">
        <v>1</v>
      </c>
      <c r="O435" t="b">
        <v>0</v>
      </c>
      <c r="P435" t="b">
        <v>0</v>
      </c>
      <c r="Q435" t="s">
        <v>2105</v>
      </c>
      <c r="R435" t="s">
        <v>2108</v>
      </c>
      <c r="T435">
        <v>1</v>
      </c>
      <c r="U435" s="20">
        <v>0</v>
      </c>
      <c r="V435">
        <v>0</v>
      </c>
      <c r="W435">
        <v>0</v>
      </c>
      <c r="X435">
        <v>3.93</v>
      </c>
      <c r="Y435">
        <v>3.93</v>
      </c>
      <c r="Z435">
        <v>15.3</v>
      </c>
      <c r="AB435">
        <v>15.3</v>
      </c>
      <c r="AC435" s="20">
        <v>0</v>
      </c>
      <c r="AD435" s="20"/>
      <c r="AE435" s="20"/>
      <c r="AF435">
        <v>0</v>
      </c>
      <c r="AI435">
        <v>0</v>
      </c>
      <c r="AM435">
        <v>20</v>
      </c>
      <c r="AN435" s="44">
        <f t="shared" si="86"/>
        <v>236.30697000000001</v>
      </c>
      <c r="AO435" s="46">
        <v>0</v>
      </c>
      <c r="AP435" s="44">
        <v>0</v>
      </c>
      <c r="AQ435" s="44">
        <v>0</v>
      </c>
      <c r="AR435" s="41">
        <f t="shared" si="87"/>
        <v>8.4635675367510321E-2</v>
      </c>
      <c r="AS435" s="40"/>
      <c r="AT435" s="41"/>
      <c r="AU435" s="41"/>
      <c r="AV435" s="23">
        <v>1.75</v>
      </c>
      <c r="AW435" s="23">
        <v>2.75</v>
      </c>
      <c r="AX435" s="23">
        <v>2</v>
      </c>
      <c r="AY435" s="23">
        <v>1.75</v>
      </c>
      <c r="AZ435" s="23">
        <v>0.2121212121212121</v>
      </c>
      <c r="BA435" s="23">
        <v>0.33333333333333331</v>
      </c>
      <c r="BB435" s="23">
        <v>0.2424242424242424</v>
      </c>
      <c r="BC435" s="23">
        <v>0.2121212121212121</v>
      </c>
      <c r="BD435" s="20">
        <v>1.6</v>
      </c>
      <c r="BE435" s="20">
        <v>3.44</v>
      </c>
      <c r="BF435" s="20">
        <v>1.84</v>
      </c>
      <c r="BG435" s="20">
        <v>2.8787500000000001</v>
      </c>
      <c r="BH435">
        <v>2.8787500000000001</v>
      </c>
      <c r="BI435">
        <v>6.3662565249906873</v>
      </c>
      <c r="BJ435" s="64"/>
      <c r="BK435" s="64"/>
      <c r="BL435" s="64"/>
      <c r="BM435">
        <v>4.2317837683755161E-2</v>
      </c>
      <c r="BQ435">
        <v>8.4635675367510321E-2</v>
      </c>
      <c r="BR435">
        <v>4.2317837683755161E-2</v>
      </c>
      <c r="BS435">
        <v>0</v>
      </c>
      <c r="BT435" s="68" t="s">
        <v>1264</v>
      </c>
      <c r="BU435" s="68">
        <v>1273</v>
      </c>
      <c r="BV435" s="68">
        <v>48</v>
      </c>
      <c r="BX435" s="68" t="s">
        <v>1268</v>
      </c>
      <c r="BY435" s="68" t="s">
        <v>863</v>
      </c>
      <c r="BZ435" s="68">
        <v>0.1</v>
      </c>
      <c r="CB435" s="68">
        <v>2.5</v>
      </c>
      <c r="CC435" s="68">
        <v>20</v>
      </c>
      <c r="CD435" s="68" t="s">
        <v>464</v>
      </c>
      <c r="CE435" s="68" t="s">
        <v>464</v>
      </c>
      <c r="CF435" s="68" t="s">
        <v>1271</v>
      </c>
      <c r="CG435" s="68">
        <v>300</v>
      </c>
      <c r="CH435" s="68">
        <v>400</v>
      </c>
      <c r="CI435" s="68" t="s">
        <v>1310</v>
      </c>
      <c r="CJ435" s="68">
        <v>303</v>
      </c>
      <c r="CK435" s="70">
        <v>12</v>
      </c>
    </row>
    <row r="436" spans="1:89" x14ac:dyDescent="0.3">
      <c r="A436" t="s">
        <v>1364</v>
      </c>
      <c r="B436" t="s">
        <v>4</v>
      </c>
      <c r="C436" t="s">
        <v>4130</v>
      </c>
      <c r="D436" s="12"/>
      <c r="E436">
        <v>2.29</v>
      </c>
      <c r="F436" t="s">
        <v>218</v>
      </c>
      <c r="G436" s="8">
        <v>-1</v>
      </c>
      <c r="H436">
        <v>-1</v>
      </c>
      <c r="M436" t="b">
        <v>0</v>
      </c>
      <c r="N436" t="b">
        <v>0</v>
      </c>
      <c r="O436" t="b">
        <v>0</v>
      </c>
      <c r="P436" t="b">
        <v>1</v>
      </c>
      <c r="Q436">
        <v>-1</v>
      </c>
      <c r="R436">
        <v>-1</v>
      </c>
      <c r="T436">
        <v>1</v>
      </c>
      <c r="U436" s="20">
        <v>0</v>
      </c>
      <c r="V436">
        <v>0</v>
      </c>
      <c r="W436">
        <v>0</v>
      </c>
      <c r="X436">
        <v>3.93</v>
      </c>
      <c r="Y436">
        <v>3.93</v>
      </c>
      <c r="Z436">
        <v>15.3</v>
      </c>
      <c r="AB436">
        <v>15.3</v>
      </c>
      <c r="AC436" s="20">
        <v>0</v>
      </c>
      <c r="AD436" s="20"/>
      <c r="AE436" s="20"/>
      <c r="AF436">
        <v>0</v>
      </c>
      <c r="AI436">
        <v>0</v>
      </c>
      <c r="AM436">
        <v>20</v>
      </c>
      <c r="AN436" s="44">
        <f t="shared" si="86"/>
        <v>236.30697000000001</v>
      </c>
      <c r="AO436" s="46">
        <v>0</v>
      </c>
      <c r="AP436" s="44">
        <v>0</v>
      </c>
      <c r="AQ436" s="44">
        <v>0</v>
      </c>
      <c r="AR436" s="41">
        <f t="shared" si="87"/>
        <v>8.4635675367510321E-2</v>
      </c>
      <c r="AS436" s="40"/>
      <c r="AT436" s="41"/>
      <c r="AU436" s="41"/>
      <c r="AV436" s="23">
        <v>1.714285714285714</v>
      </c>
      <c r="AW436" s="23">
        <v>2.6190476190476191</v>
      </c>
      <c r="AX436" s="23">
        <v>1.9285714285714279</v>
      </c>
      <c r="AY436" s="23">
        <v>1.666666666666667</v>
      </c>
      <c r="AZ436" s="23">
        <v>0.2162162162162162</v>
      </c>
      <c r="BA436" s="23">
        <v>0.33033033033033038</v>
      </c>
      <c r="BB436" s="23">
        <v>0.2432432432432432</v>
      </c>
      <c r="BC436" s="23">
        <v>0.21021021021021019</v>
      </c>
      <c r="BD436" s="20">
        <v>1.6</v>
      </c>
      <c r="BE436" s="20">
        <v>3.44</v>
      </c>
      <c r="BF436" s="20">
        <v>1.84</v>
      </c>
      <c r="BG436" s="20">
        <v>2.847857142857142</v>
      </c>
      <c r="BH436">
        <v>2.8478571428571429</v>
      </c>
      <c r="BI436">
        <v>6.402055730936417</v>
      </c>
      <c r="BJ436" s="64"/>
      <c r="BK436" s="64"/>
      <c r="BL436" s="64"/>
      <c r="BM436">
        <v>4.2317837683755161E-2</v>
      </c>
      <c r="BQ436">
        <v>8.4635675367510321E-2</v>
      </c>
      <c r="BR436">
        <v>4.2317837683755161E-2</v>
      </c>
      <c r="BS436">
        <v>0</v>
      </c>
      <c r="BT436" s="68" t="s">
        <v>1264</v>
      </c>
      <c r="BU436" s="68">
        <v>1273</v>
      </c>
      <c r="BV436" s="68">
        <v>48</v>
      </c>
      <c r="BX436" s="68" t="s">
        <v>1268</v>
      </c>
      <c r="BY436" s="68" t="s">
        <v>863</v>
      </c>
      <c r="BZ436" s="68">
        <v>0.1</v>
      </c>
      <c r="CB436" s="68">
        <v>2.5</v>
      </c>
      <c r="CC436" s="68">
        <v>20</v>
      </c>
      <c r="CD436" s="68" t="s">
        <v>464</v>
      </c>
      <c r="CE436" s="68" t="s">
        <v>464</v>
      </c>
      <c r="CF436" s="68" t="s">
        <v>1271</v>
      </c>
      <c r="CG436" s="68">
        <v>300</v>
      </c>
      <c r="CH436" s="68">
        <v>400</v>
      </c>
      <c r="CI436" s="68" t="s">
        <v>1310</v>
      </c>
      <c r="CJ436" s="68">
        <v>303</v>
      </c>
      <c r="CK436" s="70">
        <v>14.5</v>
      </c>
    </row>
    <row r="437" spans="1:89" x14ac:dyDescent="0.3">
      <c r="A437" t="s">
        <v>1365</v>
      </c>
      <c r="B437" t="s">
        <v>4</v>
      </c>
      <c r="C437" t="s">
        <v>4131</v>
      </c>
      <c r="D437" s="12"/>
      <c r="E437">
        <v>2.29</v>
      </c>
      <c r="F437" t="s">
        <v>218</v>
      </c>
      <c r="G437" s="8">
        <v>-1</v>
      </c>
      <c r="H437">
        <v>-1</v>
      </c>
      <c r="M437" t="b">
        <v>0</v>
      </c>
      <c r="N437" t="b">
        <v>0</v>
      </c>
      <c r="O437" t="b">
        <v>0</v>
      </c>
      <c r="P437" t="b">
        <v>1</v>
      </c>
      <c r="Q437">
        <v>-1</v>
      </c>
      <c r="R437">
        <v>-1</v>
      </c>
      <c r="T437">
        <v>1</v>
      </c>
      <c r="U437" s="20">
        <v>0</v>
      </c>
      <c r="V437">
        <v>0</v>
      </c>
      <c r="W437">
        <v>0</v>
      </c>
      <c r="X437">
        <v>3.93</v>
      </c>
      <c r="Y437">
        <v>3.93</v>
      </c>
      <c r="Z437">
        <v>15.3</v>
      </c>
      <c r="AB437">
        <v>15.3</v>
      </c>
      <c r="AC437" s="20">
        <v>0</v>
      </c>
      <c r="AD437" s="20"/>
      <c r="AE437" s="20"/>
      <c r="AF437">
        <v>0</v>
      </c>
      <c r="AI437">
        <v>0</v>
      </c>
      <c r="AM437">
        <v>20</v>
      </c>
      <c r="AN437" s="44">
        <f t="shared" si="86"/>
        <v>236.30697000000001</v>
      </c>
      <c r="AO437" s="46">
        <v>0</v>
      </c>
      <c r="AP437" s="44">
        <v>0</v>
      </c>
      <c r="AQ437" s="44">
        <v>0</v>
      </c>
      <c r="AR437" s="41">
        <f t="shared" si="87"/>
        <v>8.4635675367510321E-2</v>
      </c>
      <c r="AS437" s="40"/>
      <c r="AT437" s="41"/>
      <c r="AU437" s="41"/>
      <c r="AV437" s="23">
        <v>1.714285714285714</v>
      </c>
      <c r="AW437" s="23">
        <v>2.6190476190476191</v>
      </c>
      <c r="AX437" s="23">
        <v>1.9285714285714279</v>
      </c>
      <c r="AY437" s="23">
        <v>1.666666666666667</v>
      </c>
      <c r="AZ437" s="23">
        <v>0.2162162162162162</v>
      </c>
      <c r="BA437" s="23">
        <v>0.33033033033033038</v>
      </c>
      <c r="BB437" s="23">
        <v>0.2432432432432432</v>
      </c>
      <c r="BC437" s="23">
        <v>0.21021021021021019</v>
      </c>
      <c r="BD437" s="20">
        <v>1.6</v>
      </c>
      <c r="BE437" s="20">
        <v>3.44</v>
      </c>
      <c r="BF437" s="20">
        <v>1.84</v>
      </c>
      <c r="BG437" s="20">
        <v>2.847857142857142</v>
      </c>
      <c r="BH437">
        <v>2.8478571428571429</v>
      </c>
      <c r="BI437">
        <v>6.402055730936417</v>
      </c>
      <c r="BJ437" s="64"/>
      <c r="BK437" s="64"/>
      <c r="BL437" s="64"/>
      <c r="BM437">
        <v>4.2317837683755161E-2</v>
      </c>
      <c r="BQ437">
        <v>8.4635675367510321E-2</v>
      </c>
      <c r="BR437">
        <v>4.2317837683755161E-2</v>
      </c>
      <c r="BS437">
        <v>0</v>
      </c>
      <c r="BT437" s="68" t="s">
        <v>1264</v>
      </c>
      <c r="BU437" s="68">
        <v>1273</v>
      </c>
      <c r="BV437" s="68">
        <v>48</v>
      </c>
      <c r="BX437" s="68" t="s">
        <v>1268</v>
      </c>
      <c r="BY437" s="68" t="s">
        <v>863</v>
      </c>
      <c r="BZ437" s="68">
        <v>0.1</v>
      </c>
      <c r="CB437" s="68">
        <v>2.5</v>
      </c>
      <c r="CC437" s="68">
        <v>20</v>
      </c>
      <c r="CD437" s="68" t="s">
        <v>464</v>
      </c>
      <c r="CE437" s="68" t="s">
        <v>464</v>
      </c>
      <c r="CF437" s="68" t="s">
        <v>1271</v>
      </c>
      <c r="CG437" s="68">
        <v>300</v>
      </c>
      <c r="CH437" s="68">
        <v>400</v>
      </c>
      <c r="CI437" s="68" t="s">
        <v>1310</v>
      </c>
      <c r="CJ437" s="68">
        <v>303</v>
      </c>
      <c r="CK437" s="70">
        <v>26</v>
      </c>
    </row>
    <row r="438" spans="1:89" x14ac:dyDescent="0.3">
      <c r="A438" t="s">
        <v>1366</v>
      </c>
      <c r="B438" t="s">
        <v>4</v>
      </c>
      <c r="C438" t="s">
        <v>4132</v>
      </c>
      <c r="D438" s="12"/>
      <c r="E438">
        <v>2.29</v>
      </c>
      <c r="F438" t="s">
        <v>218</v>
      </c>
      <c r="G438" s="8">
        <v>-1</v>
      </c>
      <c r="H438">
        <v>-1</v>
      </c>
      <c r="M438" t="b">
        <v>0</v>
      </c>
      <c r="N438" t="b">
        <v>0</v>
      </c>
      <c r="O438" t="b">
        <v>0</v>
      </c>
      <c r="P438" t="b">
        <v>1</v>
      </c>
      <c r="Q438">
        <v>-1</v>
      </c>
      <c r="R438">
        <v>-1</v>
      </c>
      <c r="T438">
        <v>1</v>
      </c>
      <c r="U438" s="20">
        <v>0</v>
      </c>
      <c r="V438">
        <v>0</v>
      </c>
      <c r="W438">
        <v>0</v>
      </c>
      <c r="X438">
        <v>3.93</v>
      </c>
      <c r="Y438">
        <v>3.93</v>
      </c>
      <c r="Z438">
        <v>15.3</v>
      </c>
      <c r="AB438">
        <v>15.3</v>
      </c>
      <c r="AC438" s="20">
        <v>0</v>
      </c>
      <c r="AD438" s="20"/>
      <c r="AE438" s="20"/>
      <c r="AF438">
        <v>0</v>
      </c>
      <c r="AI438">
        <v>0</v>
      </c>
      <c r="AM438">
        <v>20</v>
      </c>
      <c r="AN438" s="44">
        <f t="shared" si="86"/>
        <v>236.30697000000001</v>
      </c>
      <c r="AO438" s="46">
        <v>0</v>
      </c>
      <c r="AP438" s="44">
        <v>0</v>
      </c>
      <c r="AQ438" s="44">
        <v>0</v>
      </c>
      <c r="AR438" s="41">
        <f t="shared" si="87"/>
        <v>8.4635675367510321E-2</v>
      </c>
      <c r="AS438" s="40"/>
      <c r="AT438" s="41"/>
      <c r="AU438" s="41"/>
      <c r="AV438" s="23">
        <v>1.714285714285714</v>
      </c>
      <c r="AW438" s="23">
        <v>2.6190476190476191</v>
      </c>
      <c r="AX438" s="23">
        <v>1.9285714285714279</v>
      </c>
      <c r="AY438" s="23">
        <v>1.666666666666667</v>
      </c>
      <c r="AZ438" s="23">
        <v>0.2162162162162162</v>
      </c>
      <c r="BA438" s="23">
        <v>0.33033033033033038</v>
      </c>
      <c r="BB438" s="23">
        <v>0.2432432432432432</v>
      </c>
      <c r="BC438" s="23">
        <v>0.21021021021021019</v>
      </c>
      <c r="BD438" s="20">
        <v>1.6</v>
      </c>
      <c r="BE438" s="20">
        <v>3.44</v>
      </c>
      <c r="BF438" s="20">
        <v>1.84</v>
      </c>
      <c r="BG438" s="20">
        <v>2.847857142857142</v>
      </c>
      <c r="BH438">
        <v>2.8478571428571429</v>
      </c>
      <c r="BI438">
        <v>6.402055730936417</v>
      </c>
      <c r="BJ438" s="64"/>
      <c r="BK438" s="64"/>
      <c r="BL438" s="64"/>
      <c r="BM438">
        <v>4.2317837683755161E-2</v>
      </c>
      <c r="BQ438">
        <v>8.4635675367510321E-2</v>
      </c>
      <c r="BR438">
        <v>4.2317837683755161E-2</v>
      </c>
      <c r="BS438">
        <v>0</v>
      </c>
      <c r="BT438" s="68" t="s">
        <v>1264</v>
      </c>
      <c r="BU438" s="68">
        <v>1273</v>
      </c>
      <c r="BV438" s="68">
        <v>48</v>
      </c>
      <c r="BX438" s="68" t="s">
        <v>1268</v>
      </c>
      <c r="BY438" s="68" t="s">
        <v>863</v>
      </c>
      <c r="BZ438" s="68">
        <v>0.1</v>
      </c>
      <c r="CB438" s="68">
        <v>2.5</v>
      </c>
      <c r="CC438" s="68">
        <v>20</v>
      </c>
      <c r="CD438" s="68" t="s">
        <v>464</v>
      </c>
      <c r="CE438" s="68" t="s">
        <v>464</v>
      </c>
      <c r="CF438" s="68" t="s">
        <v>1271</v>
      </c>
      <c r="CG438" s="68">
        <v>300</v>
      </c>
      <c r="CH438" s="68">
        <v>400</v>
      </c>
      <c r="CI438" s="68" t="s">
        <v>1310</v>
      </c>
      <c r="CJ438" s="68">
        <v>303</v>
      </c>
      <c r="CK438" s="70">
        <v>23</v>
      </c>
    </row>
    <row r="439" spans="1:89" x14ac:dyDescent="0.3">
      <c r="A439" t="s">
        <v>1367</v>
      </c>
      <c r="B439" t="s">
        <v>2776</v>
      </c>
      <c r="C439" t="s">
        <v>4133</v>
      </c>
      <c r="D439" s="12"/>
      <c r="E439">
        <v>2.29</v>
      </c>
      <c r="F439" t="s">
        <v>218</v>
      </c>
      <c r="G439" s="8">
        <v>-1</v>
      </c>
      <c r="H439">
        <v>-1</v>
      </c>
      <c r="M439" t="b">
        <v>0</v>
      </c>
      <c r="N439" t="b">
        <v>0</v>
      </c>
      <c r="O439" t="b">
        <v>0</v>
      </c>
      <c r="P439" t="b">
        <v>1</v>
      </c>
      <c r="Q439">
        <v>-1</v>
      </c>
      <c r="R439">
        <v>-1</v>
      </c>
      <c r="T439">
        <v>1</v>
      </c>
      <c r="U439" s="20">
        <v>0</v>
      </c>
      <c r="V439">
        <v>0</v>
      </c>
      <c r="W439">
        <v>0</v>
      </c>
      <c r="X439">
        <v>3.93</v>
      </c>
      <c r="Y439">
        <v>3.93</v>
      </c>
      <c r="Z439">
        <v>15.3</v>
      </c>
      <c r="AB439">
        <v>15.3</v>
      </c>
      <c r="AC439" s="20">
        <v>0</v>
      </c>
      <c r="AD439" s="20"/>
      <c r="AE439" s="20"/>
      <c r="AF439">
        <v>0</v>
      </c>
      <c r="AI439">
        <v>0</v>
      </c>
      <c r="AM439">
        <v>20</v>
      </c>
      <c r="AN439" s="44">
        <f t="shared" si="86"/>
        <v>236.30697000000001</v>
      </c>
      <c r="AO439" s="46">
        <v>0</v>
      </c>
      <c r="AP439" s="44">
        <v>0</v>
      </c>
      <c r="AQ439" s="44">
        <v>0</v>
      </c>
      <c r="AR439" s="41">
        <f t="shared" si="87"/>
        <v>8.4635675367510321E-2</v>
      </c>
      <c r="AS439" s="40"/>
      <c r="AT439" s="41"/>
      <c r="AU439" s="41"/>
      <c r="AV439" s="23">
        <v>1.714285714285714</v>
      </c>
      <c r="AW439" s="23">
        <v>2.6190476190476191</v>
      </c>
      <c r="AX439" s="23">
        <v>1.9285714285714279</v>
      </c>
      <c r="AY439" s="23">
        <v>1.666666666666667</v>
      </c>
      <c r="AZ439" s="23">
        <v>0.2162162162162162</v>
      </c>
      <c r="BA439" s="23">
        <v>0.33033033033033038</v>
      </c>
      <c r="BB439" s="23">
        <v>0.2432432432432432</v>
      </c>
      <c r="BC439" s="23">
        <v>0.21021021021021019</v>
      </c>
      <c r="BD439" s="20">
        <v>1.6</v>
      </c>
      <c r="BE439" s="20">
        <v>3.44</v>
      </c>
      <c r="BF439" s="20">
        <v>1.84</v>
      </c>
      <c r="BG439" s="20">
        <v>2.847857142857142</v>
      </c>
      <c r="BH439">
        <v>2.8478571428571429</v>
      </c>
      <c r="BI439">
        <v>6.402055730936417</v>
      </c>
      <c r="BJ439" s="64"/>
      <c r="BK439" s="64"/>
      <c r="BL439" s="64"/>
      <c r="BM439">
        <v>4.2317837683755161E-2</v>
      </c>
      <c r="BQ439">
        <v>8.4635675367510321E-2</v>
      </c>
      <c r="BR439">
        <v>4.2317837683755161E-2</v>
      </c>
      <c r="BS439">
        <v>0</v>
      </c>
      <c r="BT439" s="68" t="s">
        <v>1264</v>
      </c>
      <c r="BU439" s="68">
        <v>1273</v>
      </c>
      <c r="BV439" s="68">
        <v>48</v>
      </c>
      <c r="BX439" s="68" t="s">
        <v>1268</v>
      </c>
      <c r="BY439" s="68" t="s">
        <v>863</v>
      </c>
      <c r="BZ439" s="68">
        <v>0.1</v>
      </c>
      <c r="CB439" s="68">
        <v>2.5</v>
      </c>
      <c r="CC439" s="68">
        <v>20</v>
      </c>
      <c r="CD439" s="68" t="s">
        <v>464</v>
      </c>
      <c r="CE439" s="68" t="s">
        <v>464</v>
      </c>
      <c r="CF439" s="68" t="s">
        <v>1271</v>
      </c>
      <c r="CG439" s="68">
        <v>300</v>
      </c>
      <c r="CH439" s="68">
        <v>400</v>
      </c>
      <c r="CI439" s="68" t="s">
        <v>1310</v>
      </c>
      <c r="CJ439" s="68">
        <v>303</v>
      </c>
      <c r="CK439" s="70">
        <v>22</v>
      </c>
    </row>
    <row r="440" spans="1:89" x14ac:dyDescent="0.3">
      <c r="A440" t="s">
        <v>1368</v>
      </c>
      <c r="B440" t="s">
        <v>4</v>
      </c>
      <c r="C440" t="s">
        <v>4134</v>
      </c>
      <c r="D440" s="12"/>
      <c r="E440">
        <v>2.29</v>
      </c>
      <c r="F440" t="s">
        <v>218</v>
      </c>
      <c r="G440" s="8">
        <v>-1</v>
      </c>
      <c r="H440">
        <v>-1</v>
      </c>
      <c r="M440" t="b">
        <v>0</v>
      </c>
      <c r="N440" t="b">
        <v>0</v>
      </c>
      <c r="O440" t="b">
        <v>0</v>
      </c>
      <c r="P440" t="b">
        <v>1</v>
      </c>
      <c r="Q440">
        <v>-1</v>
      </c>
      <c r="R440">
        <v>-1</v>
      </c>
      <c r="T440">
        <v>1</v>
      </c>
      <c r="U440" s="20">
        <v>0</v>
      </c>
      <c r="V440">
        <v>0</v>
      </c>
      <c r="W440">
        <v>0</v>
      </c>
      <c r="X440">
        <v>3.93</v>
      </c>
      <c r="Y440">
        <v>3.93</v>
      </c>
      <c r="Z440">
        <v>15.3</v>
      </c>
      <c r="AB440">
        <v>15.3</v>
      </c>
      <c r="AC440" s="20">
        <v>0</v>
      </c>
      <c r="AD440" s="20"/>
      <c r="AE440" s="20"/>
      <c r="AF440">
        <v>0</v>
      </c>
      <c r="AI440">
        <v>0</v>
      </c>
      <c r="AM440">
        <v>20</v>
      </c>
      <c r="AN440" s="44">
        <f t="shared" ref="AN440" si="88">X440*Y440*Z440</f>
        <v>236.30697000000001</v>
      </c>
      <c r="AO440" s="46">
        <v>0</v>
      </c>
      <c r="AP440" s="44">
        <v>0</v>
      </c>
      <c r="AQ440" s="44">
        <v>0</v>
      </c>
      <c r="AR440" s="41">
        <f t="shared" ref="AR440" si="89">T440*AM440/AN440</f>
        <v>8.4635675367510321E-2</v>
      </c>
      <c r="AS440" s="40"/>
      <c r="AT440" s="41"/>
      <c r="AU440" s="41"/>
      <c r="AV440" s="23">
        <v>1.714285714285714</v>
      </c>
      <c r="AW440" s="23">
        <v>2.6190476190476191</v>
      </c>
      <c r="AX440" s="23">
        <v>1.9285714285714279</v>
      </c>
      <c r="AY440" s="23">
        <v>1.666666666666667</v>
      </c>
      <c r="AZ440" s="23">
        <v>0.2162162162162162</v>
      </c>
      <c r="BA440" s="23">
        <v>0.33033033033033038</v>
      </c>
      <c r="BB440" s="23">
        <v>0.2432432432432432</v>
      </c>
      <c r="BC440" s="23">
        <v>0.21021021021021019</v>
      </c>
      <c r="BD440" s="20">
        <v>1.6</v>
      </c>
      <c r="BE440" s="20">
        <v>3.44</v>
      </c>
      <c r="BF440" s="20">
        <v>1.84</v>
      </c>
      <c r="BG440" s="20">
        <v>2.847857142857142</v>
      </c>
      <c r="BH440">
        <v>2.8478571428571429</v>
      </c>
      <c r="BI440">
        <v>6.402055730936417</v>
      </c>
      <c r="BJ440" s="64"/>
      <c r="BK440" s="64"/>
      <c r="BL440" s="64"/>
      <c r="BM440">
        <v>4.2317837683755161E-2</v>
      </c>
      <c r="BQ440">
        <v>8.4635675367510321E-2</v>
      </c>
      <c r="BR440">
        <v>4.2317837683755161E-2</v>
      </c>
      <c r="BS440">
        <v>0</v>
      </c>
      <c r="BT440" s="68" t="s">
        <v>1264</v>
      </c>
      <c r="BU440" s="68">
        <v>1273</v>
      </c>
      <c r="BV440" s="68">
        <v>48</v>
      </c>
      <c r="BX440" s="68" t="s">
        <v>1268</v>
      </c>
      <c r="BY440" s="68" t="s">
        <v>863</v>
      </c>
      <c r="BZ440" s="68">
        <v>0.1</v>
      </c>
      <c r="CB440" s="68">
        <v>2.5</v>
      </c>
      <c r="CC440" s="68">
        <v>20</v>
      </c>
      <c r="CD440" s="68" t="s">
        <v>464</v>
      </c>
      <c r="CE440" s="68" t="s">
        <v>464</v>
      </c>
      <c r="CF440" s="68" t="s">
        <v>1271</v>
      </c>
      <c r="CG440" s="68">
        <v>300</v>
      </c>
      <c r="CH440" s="68">
        <v>400</v>
      </c>
      <c r="CI440" s="68" t="s">
        <v>1310</v>
      </c>
      <c r="CJ440" s="68">
        <v>303</v>
      </c>
      <c r="CK440" s="70">
        <v>10</v>
      </c>
    </row>
    <row r="441" spans="1:89" x14ac:dyDescent="0.3">
      <c r="A441" t="s">
        <v>220</v>
      </c>
      <c r="C441" t="s">
        <v>4135</v>
      </c>
      <c r="D441" s="12"/>
      <c r="E441">
        <v>4.05</v>
      </c>
      <c r="F441" t="s">
        <v>219</v>
      </c>
      <c r="G441" s="8" t="s">
        <v>588</v>
      </c>
      <c r="H441" t="s">
        <v>661</v>
      </c>
      <c r="M441" t="b">
        <v>1</v>
      </c>
      <c r="N441" t="b">
        <v>1</v>
      </c>
      <c r="O441" t="b">
        <v>0</v>
      </c>
      <c r="P441" t="b">
        <v>0</v>
      </c>
      <c r="Q441" t="s">
        <v>588</v>
      </c>
      <c r="R441" t="s">
        <v>661</v>
      </c>
      <c r="U441" s="20">
        <v>1</v>
      </c>
      <c r="V441">
        <v>1</v>
      </c>
      <c r="W441">
        <v>0</v>
      </c>
      <c r="AC441" s="20">
        <v>5.81978595</v>
      </c>
      <c r="AD441" s="20">
        <v>5.81978595</v>
      </c>
      <c r="AE441" s="20">
        <v>11.88463337</v>
      </c>
      <c r="AF441">
        <v>5.7759999999999998</v>
      </c>
      <c r="AG441">
        <v>5.7759999999999998</v>
      </c>
      <c r="AH441">
        <v>11.82</v>
      </c>
      <c r="AI441">
        <v>0</v>
      </c>
      <c r="AM441">
        <v>30</v>
      </c>
      <c r="AN441" s="44">
        <f t="shared" si="65"/>
        <v>0</v>
      </c>
      <c r="AO441" s="46">
        <v>348.60249769877402</v>
      </c>
      <c r="AP441" s="44">
        <v>341.5092547488552</v>
      </c>
      <c r="AQ441" s="44">
        <v>0</v>
      </c>
      <c r="AR441" s="41"/>
      <c r="AS441" s="40">
        <v>8.6057903193576313E-2</v>
      </c>
      <c r="AT441" s="41">
        <v>8.7845349965879851E-2</v>
      </c>
      <c r="AU441" s="41"/>
      <c r="AV441" s="23">
        <v>2</v>
      </c>
      <c r="AW441" s="23">
        <v>2.5</v>
      </c>
      <c r="AX441" s="23">
        <v>0.5</v>
      </c>
      <c r="AY441" s="23">
        <v>2.333333333333333</v>
      </c>
      <c r="AZ441" s="23">
        <v>0.27272727272727282</v>
      </c>
      <c r="BA441" s="23">
        <v>0.34090909090909088</v>
      </c>
      <c r="BB441" s="23">
        <v>6.8181818181818191E-2</v>
      </c>
      <c r="BC441" s="23">
        <v>0.31818181818181818</v>
      </c>
      <c r="BD441" s="20">
        <v>0.89</v>
      </c>
      <c r="BE441" s="20">
        <v>3.44</v>
      </c>
      <c r="BF441" s="20">
        <v>2.5499999999999998</v>
      </c>
      <c r="BG441" s="20">
        <v>2.5854166666666671</v>
      </c>
      <c r="BH441">
        <v>2.5854166666666671</v>
      </c>
      <c r="BI441">
        <v>5.9262421145833333</v>
      </c>
      <c r="BJ441" s="64">
        <v>0.58209579444379334</v>
      </c>
      <c r="BK441" s="64">
        <v>0.59418608726221844</v>
      </c>
      <c r="BL441" s="64"/>
      <c r="BN441">
        <v>4.3028951596788149E-2</v>
      </c>
      <c r="BO441">
        <v>4.3922674982939933E-2</v>
      </c>
      <c r="BQ441">
        <v>8.6951626579728075E-2</v>
      </c>
      <c r="BR441">
        <v>4.3475813289864038E-2</v>
      </c>
      <c r="BS441">
        <v>0.58814094085300583</v>
      </c>
      <c r="BT441" s="68" t="s">
        <v>1264</v>
      </c>
      <c r="BU441" s="68">
        <v>1173</v>
      </c>
      <c r="BX441" s="68" t="s">
        <v>1268</v>
      </c>
      <c r="BY441" s="68" t="s">
        <v>863</v>
      </c>
      <c r="BZ441" s="68">
        <v>0.1</v>
      </c>
      <c r="CB441" s="68">
        <v>10</v>
      </c>
      <c r="CC441" s="68">
        <v>20</v>
      </c>
      <c r="CD441" s="68" t="s">
        <v>464</v>
      </c>
      <c r="CE441" s="68" t="s">
        <v>464</v>
      </c>
      <c r="CF441" s="68" t="s">
        <v>1370</v>
      </c>
      <c r="CI441" s="68" t="s">
        <v>1287</v>
      </c>
      <c r="CK441" s="70">
        <v>3050</v>
      </c>
    </row>
    <row r="442" spans="1:89" x14ac:dyDescent="0.3">
      <c r="A442" t="s">
        <v>1369</v>
      </c>
      <c r="C442" t="s">
        <v>4136</v>
      </c>
      <c r="D442" s="12"/>
      <c r="E442">
        <v>1.75</v>
      </c>
      <c r="F442" t="s">
        <v>219</v>
      </c>
      <c r="G442" s="25" t="s">
        <v>588</v>
      </c>
      <c r="H442" s="1" t="s">
        <v>661</v>
      </c>
      <c r="M442" t="b">
        <v>1</v>
      </c>
      <c r="N442" t="b">
        <v>1</v>
      </c>
      <c r="O442" t="b">
        <v>0</v>
      </c>
      <c r="P442" t="b">
        <v>0</v>
      </c>
      <c r="Q442" t="s">
        <v>588</v>
      </c>
      <c r="R442" t="s">
        <v>661</v>
      </c>
      <c r="U442" s="20">
        <v>1</v>
      </c>
      <c r="V442">
        <v>1</v>
      </c>
      <c r="W442">
        <v>0</v>
      </c>
      <c r="AC442" s="20">
        <v>5.81978595</v>
      </c>
      <c r="AD442" s="20">
        <v>5.81978595</v>
      </c>
      <c r="AE442" s="20">
        <v>11.88463337</v>
      </c>
      <c r="AF442">
        <v>5.7759999999999998</v>
      </c>
      <c r="AG442">
        <v>5.7759999999999998</v>
      </c>
      <c r="AH442">
        <v>11.82</v>
      </c>
      <c r="AI442">
        <v>0</v>
      </c>
      <c r="AM442">
        <v>30</v>
      </c>
      <c r="AN442" s="44">
        <f t="shared" si="65"/>
        <v>0</v>
      </c>
      <c r="AO442" s="46">
        <v>348.60249769877402</v>
      </c>
      <c r="AP442" s="44">
        <v>341.5092547488552</v>
      </c>
      <c r="AQ442" s="44">
        <v>0</v>
      </c>
      <c r="AR442" s="41"/>
      <c r="AS442" s="40">
        <v>8.6057903193576313E-2</v>
      </c>
      <c r="AT442" s="41">
        <v>8.7845349965879851E-2</v>
      </c>
      <c r="AU442" s="41"/>
      <c r="AV442" s="23">
        <v>2</v>
      </c>
      <c r="AW442" s="23">
        <v>2.5</v>
      </c>
      <c r="AX442" s="23">
        <v>0.5</v>
      </c>
      <c r="AY442" s="23">
        <v>2.333333333333333</v>
      </c>
      <c r="AZ442" s="23">
        <v>0.27272727272727282</v>
      </c>
      <c r="BA442" s="23">
        <v>0.34090909090909088</v>
      </c>
      <c r="BB442" s="23">
        <v>6.8181818181818191E-2</v>
      </c>
      <c r="BC442" s="23">
        <v>0.31818181818181818</v>
      </c>
      <c r="BD442" s="20">
        <v>0.89</v>
      </c>
      <c r="BE442" s="20">
        <v>3.44</v>
      </c>
      <c r="BF442" s="20">
        <v>2.5499999999999998</v>
      </c>
      <c r="BG442" s="20">
        <v>2.5854166666666671</v>
      </c>
      <c r="BH442">
        <v>2.5854166666666671</v>
      </c>
      <c r="BI442">
        <v>5.9262421145833333</v>
      </c>
      <c r="BJ442" s="64">
        <v>0.58209579444379334</v>
      </c>
      <c r="BK442" s="64">
        <v>0.59418608726221844</v>
      </c>
      <c r="BL442" s="64"/>
      <c r="BN442">
        <v>4.3028951596788149E-2</v>
      </c>
      <c r="BO442">
        <v>4.3922674982939933E-2</v>
      </c>
      <c r="BQ442">
        <v>8.6951626579728075E-2</v>
      </c>
      <c r="BR442">
        <v>4.3475813289864038E-2</v>
      </c>
      <c r="BS442">
        <v>0.58814094085300583</v>
      </c>
      <c r="BT442" s="68" t="s">
        <v>1264</v>
      </c>
      <c r="BU442" s="68">
        <v>1173</v>
      </c>
      <c r="BW442" s="68" t="s">
        <v>1307</v>
      </c>
      <c r="BX442" s="68" t="s">
        <v>1268</v>
      </c>
      <c r="BY442" s="68" t="s">
        <v>863</v>
      </c>
      <c r="BZ442" s="68">
        <v>0.1</v>
      </c>
      <c r="CB442" s="68">
        <v>10</v>
      </c>
      <c r="CC442" s="68">
        <v>20</v>
      </c>
      <c r="CD442" s="68" t="s">
        <v>464</v>
      </c>
      <c r="CE442" s="68" t="s">
        <v>464</v>
      </c>
      <c r="CF442" s="68" t="s">
        <v>1370</v>
      </c>
      <c r="CI442" s="68" t="s">
        <v>1287</v>
      </c>
      <c r="CK442" s="70">
        <v>4950</v>
      </c>
    </row>
    <row r="443" spans="1:89" x14ac:dyDescent="0.3">
      <c r="A443" t="s">
        <v>220</v>
      </c>
      <c r="C443" t="s">
        <v>4135</v>
      </c>
      <c r="D443" s="12"/>
      <c r="E443">
        <v>4.05</v>
      </c>
      <c r="F443" t="s">
        <v>219</v>
      </c>
      <c r="G443" s="25" t="s">
        <v>588</v>
      </c>
      <c r="H443" s="1" t="s">
        <v>661</v>
      </c>
      <c r="M443" t="b">
        <v>1</v>
      </c>
      <c r="N443" t="b">
        <v>1</v>
      </c>
      <c r="O443" t="b">
        <v>0</v>
      </c>
      <c r="P443" t="b">
        <v>0</v>
      </c>
      <c r="Q443" t="s">
        <v>588</v>
      </c>
      <c r="R443" t="s">
        <v>661</v>
      </c>
      <c r="U443" s="20">
        <v>1</v>
      </c>
      <c r="V443">
        <v>1</v>
      </c>
      <c r="W443">
        <v>0</v>
      </c>
      <c r="AC443" s="20">
        <v>5.81978595</v>
      </c>
      <c r="AD443" s="20">
        <v>5.81978595</v>
      </c>
      <c r="AE443" s="20">
        <v>11.88463337</v>
      </c>
      <c r="AF443">
        <v>5.7759999999999998</v>
      </c>
      <c r="AG443">
        <v>5.7759999999999998</v>
      </c>
      <c r="AH443">
        <v>11.82</v>
      </c>
      <c r="AI443">
        <v>0</v>
      </c>
      <c r="AM443">
        <v>30</v>
      </c>
      <c r="AN443" s="44">
        <f t="shared" ref="AN443:AN444" si="90">X443*Y443*Z443</f>
        <v>0</v>
      </c>
      <c r="AO443" s="46">
        <v>348.60249769877402</v>
      </c>
      <c r="AP443" s="44">
        <v>341.5092547488552</v>
      </c>
      <c r="AQ443" s="44">
        <v>0</v>
      </c>
      <c r="AR443" s="41"/>
      <c r="AS443" s="40">
        <v>8.6057903193576313E-2</v>
      </c>
      <c r="AT443" s="41">
        <v>8.7845349965879851E-2</v>
      </c>
      <c r="AU443" s="41"/>
      <c r="AV443" s="23">
        <v>2</v>
      </c>
      <c r="AW443" s="23">
        <v>2.5</v>
      </c>
      <c r="AX443" s="23">
        <v>0.5</v>
      </c>
      <c r="AY443" s="23">
        <v>2.333333333333333</v>
      </c>
      <c r="AZ443" s="23">
        <v>0.27272727272727282</v>
      </c>
      <c r="BA443" s="23">
        <v>0.34090909090909088</v>
      </c>
      <c r="BB443" s="23">
        <v>6.8181818181818191E-2</v>
      </c>
      <c r="BC443" s="23">
        <v>0.31818181818181818</v>
      </c>
      <c r="BD443" s="20">
        <v>0.89</v>
      </c>
      <c r="BE443" s="20">
        <v>3.44</v>
      </c>
      <c r="BF443" s="20">
        <v>2.5499999999999998</v>
      </c>
      <c r="BG443" s="20">
        <v>2.5854166666666671</v>
      </c>
      <c r="BH443">
        <v>2.5854166666666671</v>
      </c>
      <c r="BI443">
        <v>5.9262421145833333</v>
      </c>
      <c r="BJ443" s="64">
        <v>0.58209579444379334</v>
      </c>
      <c r="BK443" s="64">
        <v>0.59418608726221844</v>
      </c>
      <c r="BL443" s="64"/>
      <c r="BN443">
        <v>4.3028951596788149E-2</v>
      </c>
      <c r="BO443">
        <v>4.3922674982939933E-2</v>
      </c>
      <c r="BQ443">
        <v>8.6951626579728075E-2</v>
      </c>
      <c r="BR443">
        <v>4.3475813289864038E-2</v>
      </c>
      <c r="BS443">
        <v>0.58814094085300583</v>
      </c>
      <c r="BT443" s="68" t="s">
        <v>1264</v>
      </c>
      <c r="BU443" s="68">
        <v>1173</v>
      </c>
      <c r="BX443" s="68" t="s">
        <v>1268</v>
      </c>
      <c r="BY443" s="68" t="s">
        <v>863</v>
      </c>
      <c r="BZ443" s="68">
        <v>0.1</v>
      </c>
      <c r="CB443" s="68">
        <v>10</v>
      </c>
      <c r="CC443" s="68">
        <v>20</v>
      </c>
      <c r="CD443" s="68" t="s">
        <v>464</v>
      </c>
      <c r="CE443" s="68" t="s">
        <v>464</v>
      </c>
      <c r="CF443" s="68" t="s">
        <v>1370</v>
      </c>
      <c r="CH443" s="68">
        <v>420</v>
      </c>
      <c r="CI443" s="68" t="s">
        <v>1287</v>
      </c>
      <c r="CK443" s="70">
        <v>0</v>
      </c>
    </row>
    <row r="444" spans="1:89" x14ac:dyDescent="0.3">
      <c r="A444" t="s">
        <v>1369</v>
      </c>
      <c r="C444" t="s">
        <v>4136</v>
      </c>
      <c r="D444" s="12"/>
      <c r="E444">
        <v>1.75</v>
      </c>
      <c r="F444" t="s">
        <v>219</v>
      </c>
      <c r="G444" s="25" t="s">
        <v>588</v>
      </c>
      <c r="H444" s="1" t="s">
        <v>661</v>
      </c>
      <c r="M444" t="b">
        <v>1</v>
      </c>
      <c r="N444" t="b">
        <v>1</v>
      </c>
      <c r="O444" t="b">
        <v>0</v>
      </c>
      <c r="P444" t="b">
        <v>0</v>
      </c>
      <c r="Q444" t="s">
        <v>588</v>
      </c>
      <c r="R444" t="s">
        <v>661</v>
      </c>
      <c r="U444" s="20">
        <v>1</v>
      </c>
      <c r="V444">
        <v>1</v>
      </c>
      <c r="W444">
        <v>0</v>
      </c>
      <c r="AC444" s="20">
        <v>5.81978595</v>
      </c>
      <c r="AD444" s="20">
        <v>5.81978595</v>
      </c>
      <c r="AE444" s="20">
        <v>11.88463337</v>
      </c>
      <c r="AF444">
        <v>5.7759999999999998</v>
      </c>
      <c r="AG444">
        <v>5.7759999999999998</v>
      </c>
      <c r="AH444">
        <v>11.82</v>
      </c>
      <c r="AI444">
        <v>0</v>
      </c>
      <c r="AM444">
        <v>30</v>
      </c>
      <c r="AN444" s="44">
        <f t="shared" si="90"/>
        <v>0</v>
      </c>
      <c r="AO444" s="46">
        <v>348.60249769877402</v>
      </c>
      <c r="AP444" s="44">
        <v>341.5092547488552</v>
      </c>
      <c r="AQ444" s="44">
        <v>0</v>
      </c>
      <c r="AR444" s="41"/>
      <c r="AS444" s="40">
        <v>8.6057903193576313E-2</v>
      </c>
      <c r="AT444" s="41">
        <v>8.7845349965879851E-2</v>
      </c>
      <c r="AU444" s="41"/>
      <c r="AV444" s="23">
        <v>2</v>
      </c>
      <c r="AW444" s="23">
        <v>2.5</v>
      </c>
      <c r="AX444" s="23">
        <v>0.5</v>
      </c>
      <c r="AY444" s="23">
        <v>2.333333333333333</v>
      </c>
      <c r="AZ444" s="23">
        <v>0.27272727272727282</v>
      </c>
      <c r="BA444" s="23">
        <v>0.34090909090909088</v>
      </c>
      <c r="BB444" s="23">
        <v>6.8181818181818191E-2</v>
      </c>
      <c r="BC444" s="23">
        <v>0.31818181818181818</v>
      </c>
      <c r="BD444" s="20">
        <v>0.89</v>
      </c>
      <c r="BE444" s="20">
        <v>3.44</v>
      </c>
      <c r="BF444" s="20">
        <v>2.5499999999999998</v>
      </c>
      <c r="BG444" s="20">
        <v>2.5854166666666671</v>
      </c>
      <c r="BH444">
        <v>2.5854166666666671</v>
      </c>
      <c r="BI444">
        <v>5.9262421145833333</v>
      </c>
      <c r="BJ444" s="64">
        <v>0.58209579444379334</v>
      </c>
      <c r="BK444" s="64">
        <v>0.59418608726221844</v>
      </c>
      <c r="BL444" s="64"/>
      <c r="BN444">
        <v>4.3028951596788149E-2</v>
      </c>
      <c r="BO444">
        <v>4.3922674982939933E-2</v>
      </c>
      <c r="BQ444">
        <v>8.6951626579728075E-2</v>
      </c>
      <c r="BR444">
        <v>4.3475813289864038E-2</v>
      </c>
      <c r="BS444">
        <v>0.58814094085300583</v>
      </c>
      <c r="BT444" s="68" t="s">
        <v>1264</v>
      </c>
      <c r="BU444" s="68">
        <v>1173</v>
      </c>
      <c r="BW444" s="68" t="s">
        <v>1307</v>
      </c>
      <c r="BX444" s="68" t="s">
        <v>1268</v>
      </c>
      <c r="BY444" s="68" t="s">
        <v>863</v>
      </c>
      <c r="BZ444" s="68">
        <v>0.1</v>
      </c>
      <c r="CB444" s="68">
        <v>10</v>
      </c>
      <c r="CC444" s="68">
        <v>20</v>
      </c>
      <c r="CD444" s="68" t="s">
        <v>464</v>
      </c>
      <c r="CE444" s="68" t="s">
        <v>464</v>
      </c>
      <c r="CF444" s="68" t="s">
        <v>1370</v>
      </c>
      <c r="CH444" s="68">
        <v>420</v>
      </c>
      <c r="CI444" s="68" t="s">
        <v>1287</v>
      </c>
      <c r="CK444" s="70">
        <v>420</v>
      </c>
    </row>
    <row r="445" spans="1:89" x14ac:dyDescent="0.3">
      <c r="A445" t="s">
        <v>221</v>
      </c>
      <c r="C445" t="s">
        <v>4137</v>
      </c>
      <c r="D445" s="12"/>
      <c r="E445">
        <v>4.51</v>
      </c>
      <c r="F445" t="s">
        <v>222</v>
      </c>
      <c r="G445" s="8" t="s">
        <v>589</v>
      </c>
      <c r="H445">
        <v>-1</v>
      </c>
      <c r="M445" t="b">
        <v>1</v>
      </c>
      <c r="N445" t="b">
        <v>0</v>
      </c>
      <c r="O445" t="b">
        <v>0</v>
      </c>
      <c r="P445" t="b">
        <v>0</v>
      </c>
      <c r="Q445" t="s">
        <v>589</v>
      </c>
      <c r="R445">
        <v>-1</v>
      </c>
      <c r="U445" s="20">
        <v>1</v>
      </c>
      <c r="V445">
        <v>0</v>
      </c>
      <c r="W445">
        <v>0</v>
      </c>
      <c r="AB445" s="1">
        <v>0</v>
      </c>
      <c r="AC445" s="20">
        <v>5.6694849300000003</v>
      </c>
      <c r="AD445" s="20">
        <v>5.6694842000000003</v>
      </c>
      <c r="AE445" s="20">
        <v>11.54266629</v>
      </c>
      <c r="AF445">
        <v>0</v>
      </c>
      <c r="AI445">
        <v>0</v>
      </c>
      <c r="AM445">
        <v>30</v>
      </c>
      <c r="AN445" s="44">
        <f t="shared" si="65"/>
        <v>0</v>
      </c>
      <c r="AO445" s="46">
        <v>321.30962315738361</v>
      </c>
      <c r="AP445" s="44">
        <v>0</v>
      </c>
      <c r="AQ445" s="44">
        <v>0</v>
      </c>
      <c r="AR445" s="41"/>
      <c r="AS445" s="40">
        <v>9.3367885173191417E-2</v>
      </c>
      <c r="AT445" s="41"/>
      <c r="AU445" s="41"/>
      <c r="AV445" s="23">
        <v>2</v>
      </c>
      <c r="AW445" s="23">
        <v>2.5</v>
      </c>
      <c r="AX445" s="23">
        <v>0.5</v>
      </c>
      <c r="AY445" s="23">
        <v>2.333333333333333</v>
      </c>
      <c r="AZ445" s="23">
        <v>0.27272727272727282</v>
      </c>
      <c r="BA445" s="23">
        <v>0.34090909090909088</v>
      </c>
      <c r="BB445" s="23">
        <v>6.8181818181818191E-2</v>
      </c>
      <c r="BC445" s="23">
        <v>0.31818181818181818</v>
      </c>
      <c r="BD445" s="20">
        <v>0.95</v>
      </c>
      <c r="BE445" s="20">
        <v>3.44</v>
      </c>
      <c r="BF445" s="20">
        <v>2.4900000000000002</v>
      </c>
      <c r="BG445" s="20">
        <v>2.5979166666666669</v>
      </c>
      <c r="BH445">
        <v>2.597916666666666</v>
      </c>
      <c r="BI445">
        <v>5.966934078125</v>
      </c>
      <c r="BJ445" s="64">
        <v>0.56583721757051464</v>
      </c>
      <c r="BK445" s="64"/>
      <c r="BL445" s="64"/>
      <c r="BN445">
        <v>4.6683942586595709E-2</v>
      </c>
      <c r="BQ445">
        <v>9.3367885173191417E-2</v>
      </c>
      <c r="BR445">
        <v>4.6683942586595709E-2</v>
      </c>
      <c r="BS445">
        <v>0.56583721757051464</v>
      </c>
      <c r="BT445" s="68" t="s">
        <v>1305</v>
      </c>
      <c r="BU445" s="68">
        <v>1273</v>
      </c>
      <c r="BV445" s="68">
        <v>60</v>
      </c>
      <c r="CA445" s="68">
        <v>5</v>
      </c>
      <c r="CB445" s="68">
        <v>1</v>
      </c>
      <c r="CC445" s="68">
        <v>20</v>
      </c>
      <c r="CD445" s="68" t="s">
        <v>1371</v>
      </c>
      <c r="CE445" s="68" t="s">
        <v>464</v>
      </c>
      <c r="CF445" s="68" t="s">
        <v>1271</v>
      </c>
      <c r="CG445" s="68">
        <v>300</v>
      </c>
      <c r="CH445" s="68">
        <v>420</v>
      </c>
      <c r="CI445" s="68" t="s">
        <v>1310</v>
      </c>
      <c r="CJ445" s="68">
        <v>298</v>
      </c>
    </row>
    <row r="446" spans="1:89" x14ac:dyDescent="0.3">
      <c r="A446" t="s">
        <v>3902</v>
      </c>
      <c r="C446" t="s">
        <v>4138</v>
      </c>
      <c r="D446" s="12"/>
      <c r="E446">
        <v>2.2000000000000002</v>
      </c>
      <c r="F446" t="s">
        <v>222</v>
      </c>
      <c r="G446" s="25" t="s">
        <v>589</v>
      </c>
      <c r="H446">
        <v>-1</v>
      </c>
      <c r="M446" t="b">
        <v>1</v>
      </c>
      <c r="N446" t="b">
        <v>0</v>
      </c>
      <c r="O446" t="b">
        <v>0</v>
      </c>
      <c r="P446" t="b">
        <v>0</v>
      </c>
      <c r="Q446" t="s">
        <v>589</v>
      </c>
      <c r="R446">
        <v>-1</v>
      </c>
      <c r="U446" s="20">
        <v>1</v>
      </c>
      <c r="V446">
        <v>0</v>
      </c>
      <c r="W446">
        <v>0</v>
      </c>
      <c r="AB446" s="1">
        <v>0</v>
      </c>
      <c r="AC446" s="20">
        <v>5.6694849300000003</v>
      </c>
      <c r="AD446" s="20">
        <v>5.6694842000000003</v>
      </c>
      <c r="AE446" s="20">
        <v>11.54266629</v>
      </c>
      <c r="AF446">
        <v>0</v>
      </c>
      <c r="AI446">
        <v>0</v>
      </c>
      <c r="AM446">
        <v>30</v>
      </c>
      <c r="AN446" s="44">
        <f t="shared" si="65"/>
        <v>0</v>
      </c>
      <c r="AO446" s="46">
        <v>321.30962315738361</v>
      </c>
      <c r="AP446" s="44">
        <v>0</v>
      </c>
      <c r="AQ446" s="44">
        <v>0</v>
      </c>
      <c r="AR446" s="41"/>
      <c r="AS446" s="40">
        <v>9.3367885173191417E-2</v>
      </c>
      <c r="AT446" s="41"/>
      <c r="AU446" s="41"/>
      <c r="AV446" s="23">
        <v>2</v>
      </c>
      <c r="AW446" s="23">
        <v>2.5</v>
      </c>
      <c r="AX446" s="23">
        <v>0.5</v>
      </c>
      <c r="AY446" s="23">
        <v>2.333333333333333</v>
      </c>
      <c r="AZ446" s="23">
        <v>0.27272727272727282</v>
      </c>
      <c r="BA446" s="23">
        <v>0.34090909090909088</v>
      </c>
      <c r="BB446" s="23">
        <v>6.8181818181818191E-2</v>
      </c>
      <c r="BC446" s="23">
        <v>0.31818181818181818</v>
      </c>
      <c r="BD446" s="20">
        <v>0.95</v>
      </c>
      <c r="BE446" s="20">
        <v>3.44</v>
      </c>
      <c r="BF446" s="20">
        <v>2.4900000000000002</v>
      </c>
      <c r="BG446" s="20">
        <v>2.5979166666666669</v>
      </c>
      <c r="BH446">
        <v>2.597916666666666</v>
      </c>
      <c r="BI446">
        <v>5.966934078125</v>
      </c>
      <c r="BJ446" s="64">
        <v>0.56583721757051464</v>
      </c>
      <c r="BK446" s="64"/>
      <c r="BL446" s="64"/>
      <c r="BN446">
        <v>4.6683942586595709E-2</v>
      </c>
      <c r="BQ446">
        <v>9.3367885173191417E-2</v>
      </c>
      <c r="BR446">
        <v>4.6683942586595709E-2</v>
      </c>
      <c r="BS446">
        <v>0.56583721757051464</v>
      </c>
      <c r="BT446" s="68" t="s">
        <v>1305</v>
      </c>
      <c r="BU446" s="68">
        <v>1273</v>
      </c>
      <c r="BV446" s="68">
        <v>60</v>
      </c>
      <c r="BW446" s="68" t="s">
        <v>1307</v>
      </c>
      <c r="BX446" s="68" t="s">
        <v>464</v>
      </c>
      <c r="BY446" s="68" t="s">
        <v>464</v>
      </c>
      <c r="BZ446" s="68">
        <v>0</v>
      </c>
      <c r="CA446" s="68">
        <v>5</v>
      </c>
      <c r="CB446" s="68">
        <v>1</v>
      </c>
      <c r="CC446" s="68">
        <v>20</v>
      </c>
      <c r="CD446" s="68" t="s">
        <v>1371</v>
      </c>
      <c r="CE446" s="68" t="s">
        <v>464</v>
      </c>
      <c r="CF446" s="68" t="s">
        <v>1271</v>
      </c>
      <c r="CG446" s="68">
        <v>300</v>
      </c>
      <c r="CH446" s="68">
        <v>420</v>
      </c>
      <c r="CI446" s="68" t="s">
        <v>1310</v>
      </c>
      <c r="CJ446" s="68">
        <v>298</v>
      </c>
      <c r="CK446" s="70">
        <v>0</v>
      </c>
    </row>
    <row r="447" spans="1:89" x14ac:dyDescent="0.3">
      <c r="A447" t="s">
        <v>3903</v>
      </c>
      <c r="C447" t="s">
        <v>4139</v>
      </c>
      <c r="D447" s="12"/>
      <c r="E447" s="58">
        <v>2.2000000000000002</v>
      </c>
      <c r="F447" t="s">
        <v>222</v>
      </c>
      <c r="G447" s="8" t="s">
        <v>588</v>
      </c>
      <c r="H447" t="s">
        <v>661</v>
      </c>
      <c r="M447" t="b">
        <v>1</v>
      </c>
      <c r="N447" t="b">
        <v>1</v>
      </c>
      <c r="O447" t="b">
        <v>0</v>
      </c>
      <c r="P447" t="b">
        <v>0</v>
      </c>
      <c r="Q447" t="s">
        <v>588</v>
      </c>
      <c r="R447" t="s">
        <v>661</v>
      </c>
      <c r="U447" s="20"/>
      <c r="AC447" s="20"/>
      <c r="AD447" s="20"/>
      <c r="AE447" s="20"/>
      <c r="AN447" s="44"/>
      <c r="AO447" s="46"/>
      <c r="AP447" s="44"/>
      <c r="AQ447" s="44"/>
      <c r="AR447" s="41"/>
      <c r="AS447" s="40"/>
      <c r="AT447" s="41"/>
      <c r="AU447" s="41"/>
      <c r="AV447" s="23"/>
      <c r="AW447" s="23"/>
      <c r="AX447" s="23"/>
      <c r="AY447" s="23"/>
      <c r="AZ447" s="23"/>
      <c r="BA447" s="23"/>
      <c r="BB447" s="23"/>
      <c r="BC447" s="23"/>
      <c r="BD447" s="20"/>
      <c r="BE447" s="20"/>
      <c r="BF447" s="20"/>
      <c r="BG447" s="20"/>
      <c r="BJ447" s="64"/>
      <c r="BK447" s="64"/>
      <c r="BL447" s="64"/>
      <c r="BT447" s="68" t="s">
        <v>1264</v>
      </c>
      <c r="BU447" s="68">
        <v>1373</v>
      </c>
      <c r="BV447" s="68">
        <v>32</v>
      </c>
      <c r="BW447" s="68" t="s">
        <v>1307</v>
      </c>
      <c r="BX447" s="68" t="s">
        <v>464</v>
      </c>
      <c r="BY447" s="68" t="s">
        <v>464</v>
      </c>
      <c r="BZ447" s="68">
        <v>0</v>
      </c>
      <c r="CA447" s="68">
        <v>5</v>
      </c>
      <c r="CB447" s="68">
        <v>1</v>
      </c>
      <c r="CC447" s="68">
        <v>20</v>
      </c>
      <c r="CD447" s="68" t="s">
        <v>1371</v>
      </c>
      <c r="CE447" s="68" t="s">
        <v>464</v>
      </c>
      <c r="CF447" s="68" t="s">
        <v>1271</v>
      </c>
      <c r="CG447" s="68">
        <v>300</v>
      </c>
      <c r="CH447" s="68">
        <v>420</v>
      </c>
      <c r="CI447" s="68" t="s">
        <v>1310</v>
      </c>
      <c r="CJ447" s="68">
        <v>298</v>
      </c>
      <c r="CK447" s="70">
        <v>0</v>
      </c>
    </row>
    <row r="448" spans="1:89" x14ac:dyDescent="0.3">
      <c r="A448" t="s">
        <v>3904</v>
      </c>
      <c r="C448" t="s">
        <v>4140</v>
      </c>
      <c r="D448" s="12"/>
      <c r="E448">
        <v>2.1</v>
      </c>
      <c r="F448" t="s">
        <v>222</v>
      </c>
      <c r="G448" s="8" t="s">
        <v>556</v>
      </c>
      <c r="H448" t="s">
        <v>633</v>
      </c>
      <c r="M448" t="b">
        <v>1</v>
      </c>
      <c r="N448" t="b">
        <v>1</v>
      </c>
      <c r="O448" t="b">
        <v>0</v>
      </c>
      <c r="P448" t="b">
        <v>0</v>
      </c>
      <c r="Q448" t="s">
        <v>556</v>
      </c>
      <c r="R448" t="s">
        <v>633</v>
      </c>
      <c r="U448" s="20"/>
      <c r="AB448" s="1">
        <v>0</v>
      </c>
      <c r="AC448" s="20"/>
      <c r="AD448" s="20"/>
      <c r="AE448" s="20"/>
      <c r="AN448" s="44"/>
      <c r="AO448" s="46"/>
      <c r="AP448" s="44"/>
      <c r="AQ448" s="44"/>
      <c r="AR448" s="41"/>
      <c r="AS448" s="40"/>
      <c r="AT448" s="41"/>
      <c r="AU448" s="41"/>
      <c r="AV448" s="23"/>
      <c r="AW448" s="23"/>
      <c r="AX448" s="23"/>
      <c r="AY448" s="23"/>
      <c r="AZ448" s="23"/>
      <c r="BA448" s="23"/>
      <c r="BB448" s="23"/>
      <c r="BC448" s="23"/>
      <c r="BD448" s="20"/>
      <c r="BE448" s="20"/>
      <c r="BF448" s="20"/>
      <c r="BG448" s="20"/>
      <c r="BJ448" s="64"/>
      <c r="BK448" s="64"/>
      <c r="BL448" s="64"/>
      <c r="BT448" s="68" t="s">
        <v>1264</v>
      </c>
      <c r="BU448" s="68">
        <v>1373</v>
      </c>
      <c r="BV448" s="68">
        <v>32</v>
      </c>
      <c r="BW448" s="68" t="s">
        <v>1307</v>
      </c>
      <c r="BX448" s="68" t="s">
        <v>464</v>
      </c>
      <c r="BY448" s="68" t="s">
        <v>464</v>
      </c>
      <c r="BZ448" s="68">
        <v>0</v>
      </c>
      <c r="CA448" s="68">
        <v>5</v>
      </c>
      <c r="CB448" s="68">
        <v>1</v>
      </c>
      <c r="CC448" s="68">
        <v>20</v>
      </c>
      <c r="CD448" s="68" t="s">
        <v>1371</v>
      </c>
      <c r="CE448" s="68" t="s">
        <v>464</v>
      </c>
      <c r="CF448" s="68" t="s">
        <v>1271</v>
      </c>
      <c r="CG448" s="68">
        <v>300</v>
      </c>
      <c r="CH448" s="68">
        <v>420</v>
      </c>
      <c r="CI448" s="68" t="s">
        <v>1310</v>
      </c>
      <c r="CJ448" s="68">
        <v>298</v>
      </c>
      <c r="CK448" s="70">
        <v>0</v>
      </c>
    </row>
    <row r="449" spans="1:89" x14ac:dyDescent="0.3">
      <c r="A449" t="s">
        <v>3902</v>
      </c>
      <c r="C449" t="s">
        <v>4138</v>
      </c>
      <c r="D449" s="12"/>
      <c r="E449">
        <v>2.2000000000000002</v>
      </c>
      <c r="F449" t="s">
        <v>222</v>
      </c>
      <c r="G449" s="25" t="s">
        <v>589</v>
      </c>
      <c r="H449">
        <v>-1</v>
      </c>
      <c r="M449" t="b">
        <v>1</v>
      </c>
      <c r="N449" t="b">
        <v>0</v>
      </c>
      <c r="O449" t="b">
        <v>0</v>
      </c>
      <c r="P449" t="b">
        <v>0</v>
      </c>
      <c r="Q449" t="s">
        <v>589</v>
      </c>
      <c r="R449">
        <v>-1</v>
      </c>
      <c r="U449" s="20">
        <v>1</v>
      </c>
      <c r="V449">
        <v>0</v>
      </c>
      <c r="W449">
        <v>0</v>
      </c>
      <c r="AB449" s="1">
        <v>0</v>
      </c>
      <c r="AC449" s="20">
        <v>5.6694849300000003</v>
      </c>
      <c r="AD449" s="20">
        <v>5.6694842000000003</v>
      </c>
      <c r="AE449" s="20">
        <v>11.54266629</v>
      </c>
      <c r="AF449">
        <v>0</v>
      </c>
      <c r="AI449">
        <v>0</v>
      </c>
      <c r="AM449">
        <v>30</v>
      </c>
      <c r="AN449" s="44">
        <f t="shared" ref="AN449" si="91">X449*Y449*Z449</f>
        <v>0</v>
      </c>
      <c r="AO449" s="46">
        <v>321.30962315738361</v>
      </c>
      <c r="AP449" s="44">
        <v>0</v>
      </c>
      <c r="AQ449" s="44">
        <v>0</v>
      </c>
      <c r="AR449" s="41"/>
      <c r="AS449" s="40">
        <v>9.3367885173191417E-2</v>
      </c>
      <c r="AT449" s="41"/>
      <c r="AU449" s="41"/>
      <c r="AV449" s="23">
        <v>2</v>
      </c>
      <c r="AW449" s="23">
        <v>2.5</v>
      </c>
      <c r="AX449" s="23">
        <v>0.5</v>
      </c>
      <c r="AY449" s="23">
        <v>2.333333333333333</v>
      </c>
      <c r="AZ449" s="23">
        <v>0.27272727272727282</v>
      </c>
      <c r="BA449" s="23">
        <v>0.34090909090909088</v>
      </c>
      <c r="BB449" s="23">
        <v>6.8181818181818191E-2</v>
      </c>
      <c r="BC449" s="23">
        <v>0.31818181818181818</v>
      </c>
      <c r="BD449" s="20">
        <v>0.95</v>
      </c>
      <c r="BE449" s="20">
        <v>3.44</v>
      </c>
      <c r="BF449" s="20">
        <v>2.4900000000000002</v>
      </c>
      <c r="BG449" s="20">
        <v>2.5979166666666669</v>
      </c>
      <c r="BH449">
        <v>2.597916666666666</v>
      </c>
      <c r="BI449">
        <v>5.966934078125</v>
      </c>
      <c r="BJ449" s="64">
        <v>0.56583721757051464</v>
      </c>
      <c r="BK449" s="64"/>
      <c r="BL449" s="64"/>
      <c r="BN449">
        <v>4.6683942586595709E-2</v>
      </c>
      <c r="BQ449">
        <v>9.3367885173191417E-2</v>
      </c>
      <c r="BR449">
        <v>4.6683942586595709E-2</v>
      </c>
      <c r="BS449">
        <v>0.56583721757051464</v>
      </c>
      <c r="BT449" s="68" t="s">
        <v>1305</v>
      </c>
      <c r="BU449" s="68">
        <v>1273</v>
      </c>
      <c r="BV449" s="68">
        <v>60</v>
      </c>
      <c r="BW449" s="68" t="s">
        <v>1307</v>
      </c>
      <c r="BX449" s="68" t="s">
        <v>1275</v>
      </c>
      <c r="BY449" s="68" t="s">
        <v>863</v>
      </c>
      <c r="BZ449" s="68">
        <v>0.3</v>
      </c>
      <c r="CA449" s="68">
        <v>5</v>
      </c>
      <c r="CB449" s="68">
        <v>1</v>
      </c>
      <c r="CC449" s="68">
        <v>20</v>
      </c>
      <c r="CD449" s="68" t="s">
        <v>1371</v>
      </c>
      <c r="CE449" s="68" t="s">
        <v>464</v>
      </c>
      <c r="CF449" s="68" t="s">
        <v>1271</v>
      </c>
      <c r="CG449" s="68">
        <v>300</v>
      </c>
      <c r="CH449" s="68">
        <v>420</v>
      </c>
      <c r="CI449" s="68" t="s">
        <v>1310</v>
      </c>
      <c r="CJ449" s="68">
        <v>298</v>
      </c>
      <c r="CK449" s="70">
        <v>92.666666666666671</v>
      </c>
    </row>
    <row r="450" spans="1:89" x14ac:dyDescent="0.3">
      <c r="A450" t="s">
        <v>3903</v>
      </c>
      <c r="C450" t="s">
        <v>4139</v>
      </c>
      <c r="D450" s="12"/>
      <c r="E450" s="58">
        <v>2.2000000000000002</v>
      </c>
      <c r="F450" t="s">
        <v>222</v>
      </c>
      <c r="G450" s="8" t="s">
        <v>588</v>
      </c>
      <c r="H450" t="s">
        <v>661</v>
      </c>
      <c r="M450" t="b">
        <v>1</v>
      </c>
      <c r="N450" t="b">
        <v>1</v>
      </c>
      <c r="O450" t="b">
        <v>0</v>
      </c>
      <c r="P450" t="b">
        <v>0</v>
      </c>
      <c r="Q450" t="s">
        <v>588</v>
      </c>
      <c r="R450" t="s">
        <v>661</v>
      </c>
      <c r="U450" s="20"/>
      <c r="AC450" s="20"/>
      <c r="AD450" s="20"/>
      <c r="AE450" s="20"/>
      <c r="AN450" s="44"/>
      <c r="AO450" s="46"/>
      <c r="AP450" s="44"/>
      <c r="AQ450" s="44"/>
      <c r="AR450" s="41"/>
      <c r="AS450" s="40"/>
      <c r="AT450" s="41"/>
      <c r="AU450" s="41"/>
      <c r="AV450" s="23"/>
      <c r="AW450" s="23"/>
      <c r="AX450" s="23"/>
      <c r="AY450" s="23"/>
      <c r="AZ450" s="23"/>
      <c r="BA450" s="23"/>
      <c r="BB450" s="23"/>
      <c r="BC450" s="23"/>
      <c r="BD450" s="20"/>
      <c r="BE450" s="20"/>
      <c r="BF450" s="20"/>
      <c r="BG450" s="20"/>
      <c r="BJ450" s="64"/>
      <c r="BK450" s="64"/>
      <c r="BL450" s="64"/>
      <c r="BT450" s="68" t="s">
        <v>1264</v>
      </c>
      <c r="BU450" s="68">
        <v>1373</v>
      </c>
      <c r="BV450" s="68">
        <v>32</v>
      </c>
      <c r="BW450" s="68" t="s">
        <v>1307</v>
      </c>
      <c r="BX450" s="68" t="s">
        <v>1275</v>
      </c>
      <c r="BY450" s="68" t="s">
        <v>863</v>
      </c>
      <c r="BZ450" s="68">
        <v>0.3</v>
      </c>
      <c r="CA450" s="68">
        <v>5</v>
      </c>
      <c r="CB450" s="68">
        <v>1</v>
      </c>
      <c r="CC450" s="68">
        <v>20</v>
      </c>
      <c r="CD450" s="68" t="s">
        <v>1371</v>
      </c>
      <c r="CE450" s="68" t="s">
        <v>464</v>
      </c>
      <c r="CF450" s="68" t="s">
        <v>1271</v>
      </c>
      <c r="CG450" s="68">
        <v>300</v>
      </c>
      <c r="CH450" s="68">
        <v>420</v>
      </c>
      <c r="CI450" s="68" t="s">
        <v>1310</v>
      </c>
      <c r="CJ450" s="68">
        <v>298</v>
      </c>
      <c r="CK450" s="70">
        <v>84</v>
      </c>
    </row>
    <row r="451" spans="1:89" x14ac:dyDescent="0.3">
      <c r="A451" t="s">
        <v>3904</v>
      </c>
      <c r="C451" t="s">
        <v>4140</v>
      </c>
      <c r="D451" s="12"/>
      <c r="E451">
        <v>2.1</v>
      </c>
      <c r="F451" t="s">
        <v>222</v>
      </c>
      <c r="G451" s="8" t="s">
        <v>556</v>
      </c>
      <c r="H451" t="s">
        <v>633</v>
      </c>
      <c r="M451" t="b">
        <v>1</v>
      </c>
      <c r="N451" t="b">
        <v>1</v>
      </c>
      <c r="O451" t="b">
        <v>0</v>
      </c>
      <c r="P451" t="b">
        <v>0</v>
      </c>
      <c r="Q451" t="s">
        <v>556</v>
      </c>
      <c r="R451" t="s">
        <v>633</v>
      </c>
      <c r="U451" s="20"/>
      <c r="AB451" s="1">
        <v>0</v>
      </c>
      <c r="AC451" s="20"/>
      <c r="AD451" s="20"/>
      <c r="AE451" s="20"/>
      <c r="AN451" s="44"/>
      <c r="AO451" s="46"/>
      <c r="AP451" s="44"/>
      <c r="AQ451" s="44"/>
      <c r="AR451" s="41"/>
      <c r="AS451" s="40"/>
      <c r="AT451" s="41"/>
      <c r="AU451" s="41"/>
      <c r="AV451" s="23"/>
      <c r="AW451" s="23"/>
      <c r="AX451" s="23"/>
      <c r="AY451" s="23"/>
      <c r="AZ451" s="23"/>
      <c r="BA451" s="23"/>
      <c r="BB451" s="23"/>
      <c r="BC451" s="23"/>
      <c r="BD451" s="20"/>
      <c r="BE451" s="20"/>
      <c r="BF451" s="20"/>
      <c r="BG451" s="20"/>
      <c r="BJ451" s="64"/>
      <c r="BK451" s="64"/>
      <c r="BL451" s="64"/>
      <c r="BT451" s="68" t="s">
        <v>1264</v>
      </c>
      <c r="BU451" s="68">
        <v>1373</v>
      </c>
      <c r="BV451" s="68">
        <v>32</v>
      </c>
      <c r="BW451" s="68" t="s">
        <v>1307</v>
      </c>
      <c r="BX451" s="68" t="s">
        <v>1275</v>
      </c>
      <c r="BY451" s="68" t="s">
        <v>863</v>
      </c>
      <c r="BZ451" s="68">
        <v>0.3</v>
      </c>
      <c r="CA451" s="68">
        <v>5</v>
      </c>
      <c r="CB451" s="68">
        <v>1</v>
      </c>
      <c r="CC451" s="68">
        <v>20</v>
      </c>
      <c r="CD451" s="68" t="s">
        <v>1371</v>
      </c>
      <c r="CE451" s="68" t="s">
        <v>464</v>
      </c>
      <c r="CF451" s="68" t="s">
        <v>1271</v>
      </c>
      <c r="CG451" s="68">
        <v>300</v>
      </c>
      <c r="CH451" s="68">
        <v>420</v>
      </c>
      <c r="CI451" s="68" t="s">
        <v>1310</v>
      </c>
      <c r="CJ451" s="68">
        <v>298</v>
      </c>
      <c r="CK451" s="70">
        <v>35.333333333333336</v>
      </c>
    </row>
    <row r="452" spans="1:89" x14ac:dyDescent="0.3">
      <c r="A452" t="s">
        <v>3902</v>
      </c>
      <c r="C452" t="s">
        <v>4138</v>
      </c>
      <c r="D452" s="12"/>
      <c r="E452">
        <v>2.2000000000000002</v>
      </c>
      <c r="F452" t="s">
        <v>222</v>
      </c>
      <c r="G452" s="25" t="s">
        <v>589</v>
      </c>
      <c r="H452">
        <v>-1</v>
      </c>
      <c r="M452" t="b">
        <v>1</v>
      </c>
      <c r="N452" t="b">
        <v>0</v>
      </c>
      <c r="O452" t="b">
        <v>0</v>
      </c>
      <c r="P452" t="b">
        <v>0</v>
      </c>
      <c r="Q452" t="s">
        <v>589</v>
      </c>
      <c r="R452">
        <v>-1</v>
      </c>
      <c r="U452" s="20">
        <v>1</v>
      </c>
      <c r="V452">
        <v>0</v>
      </c>
      <c r="W452">
        <v>0</v>
      </c>
      <c r="AB452" s="1">
        <v>0</v>
      </c>
      <c r="AC452" s="20">
        <v>5.6694849300000003</v>
      </c>
      <c r="AD452" s="20">
        <v>5.6694842000000003</v>
      </c>
      <c r="AE452" s="20">
        <v>11.54266629</v>
      </c>
      <c r="AF452">
        <v>0</v>
      </c>
      <c r="AI452">
        <v>0</v>
      </c>
      <c r="AM452">
        <v>30</v>
      </c>
      <c r="AN452" s="44">
        <f t="shared" ref="AN452" si="92">X452*Y452*Z452</f>
        <v>0</v>
      </c>
      <c r="AO452" s="46">
        <v>321.30962315738361</v>
      </c>
      <c r="AP452" s="44">
        <v>0</v>
      </c>
      <c r="AQ452" s="44">
        <v>0</v>
      </c>
      <c r="AR452" s="41"/>
      <c r="AS452" s="40">
        <v>9.3367885173191417E-2</v>
      </c>
      <c r="AT452" s="41"/>
      <c r="AU452" s="41"/>
      <c r="AV452" s="23">
        <v>2</v>
      </c>
      <c r="AW452" s="23">
        <v>2.5</v>
      </c>
      <c r="AX452" s="23">
        <v>0.5</v>
      </c>
      <c r="AY452" s="23">
        <v>2.333333333333333</v>
      </c>
      <c r="AZ452" s="23">
        <v>0.27272727272727282</v>
      </c>
      <c r="BA452" s="23">
        <v>0.34090909090909088</v>
      </c>
      <c r="BB452" s="23">
        <v>6.8181818181818191E-2</v>
      </c>
      <c r="BC452" s="23">
        <v>0.31818181818181818</v>
      </c>
      <c r="BD452" s="20">
        <v>0.95</v>
      </c>
      <c r="BE452" s="20">
        <v>3.44</v>
      </c>
      <c r="BF452" s="20">
        <v>2.4900000000000002</v>
      </c>
      <c r="BG452" s="20">
        <v>2.5979166666666669</v>
      </c>
      <c r="BH452">
        <v>2.597916666666666</v>
      </c>
      <c r="BI452">
        <v>5.966934078125</v>
      </c>
      <c r="BJ452" s="64">
        <v>0.56583721757051464</v>
      </c>
      <c r="BK452" s="64"/>
      <c r="BL452" s="64"/>
      <c r="BN452">
        <v>4.6683942586595709E-2</v>
      </c>
      <c r="BQ452">
        <v>9.3367885173191417E-2</v>
      </c>
      <c r="BR452">
        <v>4.6683942586595709E-2</v>
      </c>
      <c r="BS452">
        <v>0.56583721757051464</v>
      </c>
      <c r="BT452" s="68" t="s">
        <v>1305</v>
      </c>
      <c r="BU452" s="68">
        <v>1273</v>
      </c>
      <c r="BV452" s="68">
        <v>60</v>
      </c>
      <c r="BW452" s="68" t="s">
        <v>1307</v>
      </c>
      <c r="BX452" s="68" t="s">
        <v>1275</v>
      </c>
      <c r="BY452" s="68" t="s">
        <v>890</v>
      </c>
      <c r="BZ452" s="68">
        <v>0.3</v>
      </c>
      <c r="CA452" s="68">
        <v>5</v>
      </c>
      <c r="CB452" s="68">
        <v>1</v>
      </c>
      <c r="CC452" s="68">
        <v>20</v>
      </c>
      <c r="CD452" s="68" t="s">
        <v>1371</v>
      </c>
      <c r="CE452" s="68" t="s">
        <v>464</v>
      </c>
      <c r="CF452" s="68" t="s">
        <v>1271</v>
      </c>
      <c r="CG452" s="68">
        <v>300</v>
      </c>
      <c r="CH452" s="68">
        <v>420</v>
      </c>
      <c r="CI452" s="68" t="s">
        <v>1310</v>
      </c>
      <c r="CJ452" s="68">
        <v>298</v>
      </c>
      <c r="CK452" s="70">
        <v>62.666666666666671</v>
      </c>
    </row>
    <row r="453" spans="1:89" x14ac:dyDescent="0.3">
      <c r="A453" t="s">
        <v>3902</v>
      </c>
      <c r="C453" t="s">
        <v>4138</v>
      </c>
      <c r="D453" s="12"/>
      <c r="E453">
        <v>2.2000000000000002</v>
      </c>
      <c r="F453" t="s">
        <v>222</v>
      </c>
      <c r="G453" s="25" t="s">
        <v>589</v>
      </c>
      <c r="H453">
        <v>-1</v>
      </c>
      <c r="M453" t="b">
        <v>1</v>
      </c>
      <c r="N453" t="b">
        <v>0</v>
      </c>
      <c r="O453" t="b">
        <v>0</v>
      </c>
      <c r="P453" t="b">
        <v>0</v>
      </c>
      <c r="Q453" t="s">
        <v>589</v>
      </c>
      <c r="R453">
        <v>-1</v>
      </c>
      <c r="U453" s="20">
        <v>1</v>
      </c>
      <c r="V453">
        <v>0</v>
      </c>
      <c r="W453">
        <v>0</v>
      </c>
      <c r="AB453" s="1">
        <v>0</v>
      </c>
      <c r="AC453" s="20">
        <v>5.6694849300000003</v>
      </c>
      <c r="AD453" s="20">
        <v>5.6694842000000003</v>
      </c>
      <c r="AE453" s="20">
        <v>11.54266629</v>
      </c>
      <c r="AF453">
        <v>0</v>
      </c>
      <c r="AI453">
        <v>0</v>
      </c>
      <c r="AM453">
        <v>30</v>
      </c>
      <c r="AN453" s="44">
        <f t="shared" ref="AN453" si="93">X453*Y453*Z453</f>
        <v>0</v>
      </c>
      <c r="AO453" s="46">
        <v>321.30962315738361</v>
      </c>
      <c r="AP453" s="44">
        <v>0</v>
      </c>
      <c r="AQ453" s="44">
        <v>0</v>
      </c>
      <c r="AR453" s="41"/>
      <c r="AS453" s="40">
        <v>9.3367885173191417E-2</v>
      </c>
      <c r="AT453" s="41"/>
      <c r="AU453" s="41"/>
      <c r="AV453" s="23">
        <v>2</v>
      </c>
      <c r="AW453" s="23">
        <v>2.5</v>
      </c>
      <c r="AX453" s="23">
        <v>0.5</v>
      </c>
      <c r="AY453" s="23">
        <v>2.333333333333333</v>
      </c>
      <c r="AZ453" s="23">
        <v>0.27272727272727282</v>
      </c>
      <c r="BA453" s="23">
        <v>0.34090909090909088</v>
      </c>
      <c r="BB453" s="23">
        <v>6.8181818181818191E-2</v>
      </c>
      <c r="BC453" s="23">
        <v>0.31818181818181818</v>
      </c>
      <c r="BD453" s="20">
        <v>0.95</v>
      </c>
      <c r="BE453" s="20">
        <v>3.44</v>
      </c>
      <c r="BF453" s="20">
        <v>2.4900000000000002</v>
      </c>
      <c r="BG453" s="20">
        <v>2.5979166666666669</v>
      </c>
      <c r="BH453">
        <v>2.597916666666666</v>
      </c>
      <c r="BI453">
        <v>5.966934078125</v>
      </c>
      <c r="BJ453" s="64">
        <v>0.56583721757051464</v>
      </c>
      <c r="BK453" s="64"/>
      <c r="BL453" s="64"/>
      <c r="BN453">
        <v>4.6683942586595709E-2</v>
      </c>
      <c r="BQ453">
        <v>9.3367885173191417E-2</v>
      </c>
      <c r="BR453">
        <v>4.6683942586595709E-2</v>
      </c>
      <c r="BS453">
        <v>0.56583721757051464</v>
      </c>
      <c r="BT453" s="68" t="s">
        <v>1305</v>
      </c>
      <c r="BU453" s="68">
        <v>1273</v>
      </c>
      <c r="BV453" s="68">
        <v>60</v>
      </c>
      <c r="BW453" s="68" t="s">
        <v>1307</v>
      </c>
      <c r="BX453" s="68" t="s">
        <v>1275</v>
      </c>
      <c r="BY453" s="68" t="s">
        <v>1375</v>
      </c>
      <c r="BZ453" s="68">
        <v>0.3</v>
      </c>
      <c r="CA453" s="68">
        <v>5</v>
      </c>
      <c r="CB453" s="68">
        <v>1</v>
      </c>
      <c r="CC453" s="68">
        <v>20</v>
      </c>
      <c r="CD453" s="68" t="s">
        <v>1371</v>
      </c>
      <c r="CE453" s="68" t="s">
        <v>464</v>
      </c>
      <c r="CF453" s="68" t="s">
        <v>1271</v>
      </c>
      <c r="CG453" s="68">
        <v>300</v>
      </c>
      <c r="CH453" s="68">
        <v>420</v>
      </c>
      <c r="CI453" s="68" t="s">
        <v>1310</v>
      </c>
      <c r="CJ453" s="68">
        <v>298</v>
      </c>
      <c r="CK453" s="70">
        <v>46.000000000000007</v>
      </c>
    </row>
    <row r="454" spans="1:89" x14ac:dyDescent="0.3">
      <c r="A454" t="s">
        <v>3902</v>
      </c>
      <c r="C454" t="s">
        <v>4138</v>
      </c>
      <c r="D454" s="12"/>
      <c r="E454">
        <v>2.2000000000000002</v>
      </c>
      <c r="F454" t="s">
        <v>222</v>
      </c>
      <c r="G454" s="25" t="s">
        <v>589</v>
      </c>
      <c r="H454">
        <v>-1</v>
      </c>
      <c r="M454" t="b">
        <v>1</v>
      </c>
      <c r="N454" t="b">
        <v>0</v>
      </c>
      <c r="O454" t="b">
        <v>0</v>
      </c>
      <c r="P454" t="b">
        <v>0</v>
      </c>
      <c r="Q454" t="s">
        <v>589</v>
      </c>
      <c r="R454">
        <v>-1</v>
      </c>
      <c r="U454" s="20">
        <v>1</v>
      </c>
      <c r="V454">
        <v>0</v>
      </c>
      <c r="W454">
        <v>0</v>
      </c>
      <c r="AB454" s="1">
        <v>0</v>
      </c>
      <c r="AC454" s="20">
        <v>5.6694849300000003</v>
      </c>
      <c r="AD454" s="20">
        <v>5.6694842000000003</v>
      </c>
      <c r="AE454" s="20">
        <v>11.54266629</v>
      </c>
      <c r="AF454">
        <v>0</v>
      </c>
      <c r="AI454">
        <v>0</v>
      </c>
      <c r="AM454">
        <v>30</v>
      </c>
      <c r="AN454" s="44">
        <f t="shared" ref="AN454" si="94">X454*Y454*Z454</f>
        <v>0</v>
      </c>
      <c r="AO454" s="46">
        <v>321.30962315738361</v>
      </c>
      <c r="AP454" s="44">
        <v>0</v>
      </c>
      <c r="AQ454" s="44">
        <v>0</v>
      </c>
      <c r="AR454" s="41"/>
      <c r="AS454" s="40">
        <v>9.3367885173191417E-2</v>
      </c>
      <c r="AT454" s="41"/>
      <c r="AU454" s="41"/>
      <c r="AV454" s="23">
        <v>2</v>
      </c>
      <c r="AW454" s="23">
        <v>2.5</v>
      </c>
      <c r="AX454" s="23">
        <v>0.5</v>
      </c>
      <c r="AY454" s="23">
        <v>2.333333333333333</v>
      </c>
      <c r="AZ454" s="23">
        <v>0.27272727272727282</v>
      </c>
      <c r="BA454" s="23">
        <v>0.34090909090909088</v>
      </c>
      <c r="BB454" s="23">
        <v>6.8181818181818191E-2</v>
      </c>
      <c r="BC454" s="23">
        <v>0.31818181818181818</v>
      </c>
      <c r="BD454" s="20">
        <v>0.95</v>
      </c>
      <c r="BE454" s="20">
        <v>3.44</v>
      </c>
      <c r="BF454" s="20">
        <v>2.4900000000000002</v>
      </c>
      <c r="BG454" s="20">
        <v>2.5979166666666669</v>
      </c>
      <c r="BH454">
        <v>2.597916666666666</v>
      </c>
      <c r="BI454">
        <v>5.966934078125</v>
      </c>
      <c r="BJ454" s="64">
        <v>0.56583721757051464</v>
      </c>
      <c r="BK454" s="64"/>
      <c r="BL454" s="64"/>
      <c r="BN454">
        <v>4.6683942586595709E-2</v>
      </c>
      <c r="BQ454">
        <v>9.3367885173191417E-2</v>
      </c>
      <c r="BR454">
        <v>4.6683942586595709E-2</v>
      </c>
      <c r="BS454">
        <v>0.56583721757051464</v>
      </c>
      <c r="BT454" s="68" t="s">
        <v>1305</v>
      </c>
      <c r="BU454" s="68">
        <v>1273</v>
      </c>
      <c r="BV454" s="68">
        <v>60</v>
      </c>
      <c r="BW454" s="68" t="s">
        <v>1307</v>
      </c>
      <c r="BX454" s="68" t="s">
        <v>1275</v>
      </c>
      <c r="BY454" s="68" t="s">
        <v>863</v>
      </c>
      <c r="BZ454" s="68">
        <v>0.1</v>
      </c>
      <c r="CA454" s="68">
        <v>5</v>
      </c>
      <c r="CB454" s="68">
        <v>1</v>
      </c>
      <c r="CC454" s="68">
        <v>20</v>
      </c>
      <c r="CD454" s="68" t="s">
        <v>1371</v>
      </c>
      <c r="CE454" s="68" t="s">
        <v>464</v>
      </c>
      <c r="CF454" s="68" t="s">
        <v>1271</v>
      </c>
      <c r="CG454" s="68">
        <v>300</v>
      </c>
      <c r="CH454" s="68">
        <v>420</v>
      </c>
      <c r="CI454" s="68" t="s">
        <v>1310</v>
      </c>
      <c r="CJ454" s="68">
        <v>298</v>
      </c>
      <c r="CK454" s="70">
        <v>10</v>
      </c>
    </row>
    <row r="455" spans="1:89" x14ac:dyDescent="0.3">
      <c r="A455" t="s">
        <v>3902</v>
      </c>
      <c r="C455" t="s">
        <v>4138</v>
      </c>
      <c r="D455" s="12"/>
      <c r="E455">
        <v>2.2000000000000002</v>
      </c>
      <c r="F455" t="s">
        <v>222</v>
      </c>
      <c r="G455" s="25" t="s">
        <v>589</v>
      </c>
      <c r="H455">
        <v>-1</v>
      </c>
      <c r="M455" t="b">
        <v>1</v>
      </c>
      <c r="N455" t="b">
        <v>0</v>
      </c>
      <c r="O455" t="b">
        <v>0</v>
      </c>
      <c r="P455" t="b">
        <v>0</v>
      </c>
      <c r="Q455" t="s">
        <v>589</v>
      </c>
      <c r="R455">
        <v>-1</v>
      </c>
      <c r="U455" s="20">
        <v>1</v>
      </c>
      <c r="V455">
        <v>0</v>
      </c>
      <c r="W455">
        <v>0</v>
      </c>
      <c r="AB455" s="1">
        <v>0</v>
      </c>
      <c r="AC455" s="20">
        <v>5.6694849300000003</v>
      </c>
      <c r="AD455" s="20">
        <v>5.6694842000000003</v>
      </c>
      <c r="AE455" s="20">
        <v>11.54266629</v>
      </c>
      <c r="AF455">
        <v>0</v>
      </c>
      <c r="AI455">
        <v>0</v>
      </c>
      <c r="AM455">
        <v>30</v>
      </c>
      <c r="AN455" s="44">
        <f t="shared" ref="AN455:AN456" si="95">X455*Y455*Z455</f>
        <v>0</v>
      </c>
      <c r="AO455" s="46">
        <v>321.30962315738361</v>
      </c>
      <c r="AP455" s="44">
        <v>0</v>
      </c>
      <c r="AQ455" s="44">
        <v>0</v>
      </c>
      <c r="AR455" s="41"/>
      <c r="AS455" s="40">
        <v>9.3367885173191417E-2</v>
      </c>
      <c r="AT455" s="41"/>
      <c r="AU455" s="41"/>
      <c r="AV455" s="23">
        <v>2</v>
      </c>
      <c r="AW455" s="23">
        <v>2.5</v>
      </c>
      <c r="AX455" s="23">
        <v>0.5</v>
      </c>
      <c r="AY455" s="23">
        <v>2.333333333333333</v>
      </c>
      <c r="AZ455" s="23">
        <v>0.27272727272727282</v>
      </c>
      <c r="BA455" s="23">
        <v>0.34090909090909088</v>
      </c>
      <c r="BB455" s="23">
        <v>6.8181818181818191E-2</v>
      </c>
      <c r="BC455" s="23">
        <v>0.31818181818181818</v>
      </c>
      <c r="BD455" s="20">
        <v>0.95</v>
      </c>
      <c r="BE455" s="20">
        <v>3.44</v>
      </c>
      <c r="BF455" s="20">
        <v>2.4900000000000002</v>
      </c>
      <c r="BG455" s="20">
        <v>2.5979166666666669</v>
      </c>
      <c r="BH455">
        <v>2.597916666666666</v>
      </c>
      <c r="BI455">
        <v>5.966934078125</v>
      </c>
      <c r="BJ455" s="64">
        <v>0.56583721757051464</v>
      </c>
      <c r="BK455" s="64"/>
      <c r="BL455" s="64"/>
      <c r="BN455">
        <v>4.6683942586595709E-2</v>
      </c>
      <c r="BQ455">
        <v>9.3367885173191417E-2</v>
      </c>
      <c r="BR455">
        <v>4.6683942586595709E-2</v>
      </c>
      <c r="BS455">
        <v>0.56583721757051464</v>
      </c>
      <c r="BT455" s="68" t="s">
        <v>1305</v>
      </c>
      <c r="BU455" s="68">
        <v>1273</v>
      </c>
      <c r="BV455" s="68">
        <v>60</v>
      </c>
      <c r="BW455" s="68" t="s">
        <v>1307</v>
      </c>
      <c r="BX455" s="68" t="s">
        <v>1275</v>
      </c>
      <c r="BY455" s="68" t="s">
        <v>863</v>
      </c>
      <c r="BZ455" s="68">
        <v>0.5</v>
      </c>
      <c r="CA455" s="68">
        <v>5</v>
      </c>
      <c r="CB455" s="68">
        <v>1</v>
      </c>
      <c r="CC455" s="68">
        <v>20</v>
      </c>
      <c r="CD455" s="68" t="s">
        <v>1371</v>
      </c>
      <c r="CE455" s="68" t="s">
        <v>464</v>
      </c>
      <c r="CF455" s="68" t="s">
        <v>1271</v>
      </c>
      <c r="CG455" s="68">
        <v>300</v>
      </c>
      <c r="CH455" s="68">
        <v>420</v>
      </c>
      <c r="CI455" s="68" t="s">
        <v>1310</v>
      </c>
      <c r="CJ455" s="68">
        <v>298</v>
      </c>
      <c r="CK455" s="70">
        <v>83.333333333333343</v>
      </c>
    </row>
    <row r="456" spans="1:89" x14ac:dyDescent="0.3">
      <c r="A456" t="s">
        <v>3902</v>
      </c>
      <c r="C456" t="s">
        <v>4138</v>
      </c>
      <c r="D456" s="12"/>
      <c r="E456">
        <v>2.2000000000000002</v>
      </c>
      <c r="F456" t="s">
        <v>222</v>
      </c>
      <c r="G456" s="25" t="s">
        <v>589</v>
      </c>
      <c r="H456">
        <v>-1</v>
      </c>
      <c r="M456" t="b">
        <v>1</v>
      </c>
      <c r="N456" t="b">
        <v>0</v>
      </c>
      <c r="O456" t="b">
        <v>0</v>
      </c>
      <c r="P456" t="b">
        <v>0</v>
      </c>
      <c r="Q456" t="s">
        <v>589</v>
      </c>
      <c r="R456">
        <v>-1</v>
      </c>
      <c r="U456" s="20">
        <v>1</v>
      </c>
      <c r="V456">
        <v>0</v>
      </c>
      <c r="W456">
        <v>0</v>
      </c>
      <c r="AB456" s="1">
        <v>0</v>
      </c>
      <c r="AC456" s="20">
        <v>5.6694849300000003</v>
      </c>
      <c r="AD456" s="20">
        <v>5.6694842000000003</v>
      </c>
      <c r="AE456" s="20">
        <v>11.54266629</v>
      </c>
      <c r="AF456">
        <v>0</v>
      </c>
      <c r="AI456">
        <v>0</v>
      </c>
      <c r="AM456">
        <v>30</v>
      </c>
      <c r="AN456" s="44">
        <f t="shared" si="95"/>
        <v>0</v>
      </c>
      <c r="AO456" s="46">
        <v>321.30962315738361</v>
      </c>
      <c r="AP456" s="44">
        <v>0</v>
      </c>
      <c r="AQ456" s="44">
        <v>0</v>
      </c>
      <c r="AR456" s="41"/>
      <c r="AS456" s="40">
        <v>9.3367885173191417E-2</v>
      </c>
      <c r="AT456" s="41"/>
      <c r="AU456" s="41"/>
      <c r="AV456" s="23">
        <v>2</v>
      </c>
      <c r="AW456" s="23">
        <v>2.5</v>
      </c>
      <c r="AX456" s="23">
        <v>0.5</v>
      </c>
      <c r="AY456" s="23">
        <v>2.333333333333333</v>
      </c>
      <c r="AZ456" s="23">
        <v>0.27272727272727282</v>
      </c>
      <c r="BA456" s="23">
        <v>0.34090909090909088</v>
      </c>
      <c r="BB456" s="23">
        <v>6.8181818181818191E-2</v>
      </c>
      <c r="BC456" s="23">
        <v>0.31818181818181818</v>
      </c>
      <c r="BD456" s="20">
        <v>0.95</v>
      </c>
      <c r="BE456" s="20">
        <v>3.44</v>
      </c>
      <c r="BF456" s="20">
        <v>2.4900000000000002</v>
      </c>
      <c r="BG456" s="20">
        <v>2.5979166666666669</v>
      </c>
      <c r="BH456">
        <v>2.597916666666666</v>
      </c>
      <c r="BI456">
        <v>5.966934078125</v>
      </c>
      <c r="BJ456" s="64">
        <v>0.56583721757051464</v>
      </c>
      <c r="BK456" s="64"/>
      <c r="BL456" s="64"/>
      <c r="BN456">
        <v>4.6683942586595709E-2</v>
      </c>
      <c r="BQ456">
        <v>9.3367885173191417E-2</v>
      </c>
      <c r="BR456">
        <v>4.6683942586595709E-2</v>
      </c>
      <c r="BS456">
        <v>0.56583721757051464</v>
      </c>
      <c r="BT456" s="68" t="s">
        <v>1305</v>
      </c>
      <c r="BU456" s="68">
        <v>1273</v>
      </c>
      <c r="BV456" s="68">
        <v>60</v>
      </c>
      <c r="BW456" s="68" t="s">
        <v>1307</v>
      </c>
      <c r="BX456" s="68" t="s">
        <v>1275</v>
      </c>
      <c r="BY456" s="68" t="s">
        <v>863</v>
      </c>
      <c r="BZ456" s="68">
        <v>3</v>
      </c>
      <c r="CA456" s="68">
        <v>5</v>
      </c>
      <c r="CB456" s="68">
        <v>1</v>
      </c>
      <c r="CC456" s="68">
        <v>20</v>
      </c>
      <c r="CD456" s="68" t="s">
        <v>1371</v>
      </c>
      <c r="CE456" s="68" t="s">
        <v>464</v>
      </c>
      <c r="CF456" s="68" t="s">
        <v>1271</v>
      </c>
      <c r="CG456" s="68">
        <v>300</v>
      </c>
      <c r="CH456" s="68">
        <v>420</v>
      </c>
      <c r="CI456" s="68" t="s">
        <v>1310</v>
      </c>
      <c r="CJ456" s="68">
        <v>298</v>
      </c>
      <c r="CK456" s="70">
        <v>30</v>
      </c>
    </row>
    <row r="457" spans="1:89" x14ac:dyDescent="0.3">
      <c r="A457" t="s">
        <v>3902</v>
      </c>
      <c r="C457" t="s">
        <v>4138</v>
      </c>
      <c r="D457" s="12"/>
      <c r="E457">
        <v>2.2000000000000002</v>
      </c>
      <c r="F457" t="s">
        <v>222</v>
      </c>
      <c r="G457" s="25" t="s">
        <v>589</v>
      </c>
      <c r="H457">
        <v>-1</v>
      </c>
      <c r="M457" t="b">
        <v>1</v>
      </c>
      <c r="N457" t="b">
        <v>0</v>
      </c>
      <c r="O457" t="b">
        <v>0</v>
      </c>
      <c r="P457" t="b">
        <v>0</v>
      </c>
      <c r="Q457" t="s">
        <v>589</v>
      </c>
      <c r="R457">
        <v>-1</v>
      </c>
      <c r="U457" s="20">
        <v>1</v>
      </c>
      <c r="V457">
        <v>0</v>
      </c>
      <c r="W457">
        <v>0</v>
      </c>
      <c r="AB457" s="1">
        <v>0</v>
      </c>
      <c r="AC457" s="20">
        <v>5.6694849300000003</v>
      </c>
      <c r="AD457" s="20">
        <v>5.6694842000000003</v>
      </c>
      <c r="AE457" s="20">
        <v>11.54266629</v>
      </c>
      <c r="AF457">
        <v>0</v>
      </c>
      <c r="AI457">
        <v>0</v>
      </c>
      <c r="AM457">
        <v>30</v>
      </c>
      <c r="AN457" s="44">
        <f t="shared" ref="AN457" si="96">X457*Y457*Z457</f>
        <v>0</v>
      </c>
      <c r="AO457" s="46">
        <v>321.30962315738361</v>
      </c>
      <c r="AP457" s="44">
        <v>0</v>
      </c>
      <c r="AQ457" s="44">
        <v>0</v>
      </c>
      <c r="AR457" s="41"/>
      <c r="AS457" s="40">
        <v>9.3367885173191417E-2</v>
      </c>
      <c r="AT457" s="41"/>
      <c r="AU457" s="41"/>
      <c r="AV457" s="23">
        <v>2</v>
      </c>
      <c r="AW457" s="23">
        <v>2.5</v>
      </c>
      <c r="AX457" s="23">
        <v>0.5</v>
      </c>
      <c r="AY457" s="23">
        <v>2.333333333333333</v>
      </c>
      <c r="AZ457" s="23">
        <v>0.27272727272727282</v>
      </c>
      <c r="BA457" s="23">
        <v>0.34090909090909088</v>
      </c>
      <c r="BB457" s="23">
        <v>6.8181818181818191E-2</v>
      </c>
      <c r="BC457" s="23">
        <v>0.31818181818181818</v>
      </c>
      <c r="BD457" s="20">
        <v>0.95</v>
      </c>
      <c r="BE457" s="20">
        <v>3.44</v>
      </c>
      <c r="BF457" s="20">
        <v>2.4900000000000002</v>
      </c>
      <c r="BG457" s="20">
        <v>2.5979166666666669</v>
      </c>
      <c r="BH457">
        <v>2.597916666666666</v>
      </c>
      <c r="BI457">
        <v>5.966934078125</v>
      </c>
      <c r="BJ457" s="64">
        <v>0.56583721757051464</v>
      </c>
      <c r="BK457" s="64"/>
      <c r="BL457" s="64"/>
      <c r="BN457">
        <v>4.6683942586595709E-2</v>
      </c>
      <c r="BQ457">
        <v>9.3367885173191417E-2</v>
      </c>
      <c r="BR457">
        <v>4.6683942586595709E-2</v>
      </c>
      <c r="BS457">
        <v>0.56583721757051464</v>
      </c>
      <c r="BT457" s="68" t="s">
        <v>1305</v>
      </c>
      <c r="BU457" s="68">
        <v>1273</v>
      </c>
      <c r="BV457" s="68">
        <v>60</v>
      </c>
      <c r="BW457" s="68" t="s">
        <v>1307</v>
      </c>
      <c r="BX457" s="68" t="s">
        <v>1275</v>
      </c>
      <c r="BY457" s="68" t="s">
        <v>863</v>
      </c>
      <c r="BZ457" s="68">
        <v>5</v>
      </c>
      <c r="CA457" s="68">
        <v>5</v>
      </c>
      <c r="CB457" s="68">
        <v>1</v>
      </c>
      <c r="CC457" s="68">
        <v>20</v>
      </c>
      <c r="CD457" s="68" t="s">
        <v>1371</v>
      </c>
      <c r="CE457" s="68" t="s">
        <v>464</v>
      </c>
      <c r="CF457" s="68" t="s">
        <v>1271</v>
      </c>
      <c r="CG457" s="68">
        <v>300</v>
      </c>
      <c r="CH457" s="68">
        <v>420</v>
      </c>
      <c r="CI457" s="68" t="s">
        <v>1310</v>
      </c>
      <c r="CJ457" s="68">
        <v>298</v>
      </c>
      <c r="CK457" s="70">
        <v>20</v>
      </c>
    </row>
    <row r="458" spans="1:89" x14ac:dyDescent="0.3">
      <c r="A458" t="s">
        <v>185</v>
      </c>
      <c r="C458" t="s">
        <v>3966</v>
      </c>
      <c r="D458" s="12"/>
      <c r="E458">
        <v>4.2</v>
      </c>
      <c r="F458" t="s">
        <v>223</v>
      </c>
      <c r="G458" s="8" t="s">
        <v>556</v>
      </c>
      <c r="H458" t="s">
        <v>633</v>
      </c>
      <c r="M458" t="b">
        <v>1</v>
      </c>
      <c r="N458" t="b">
        <v>1</v>
      </c>
      <c r="O458" t="b">
        <v>0</v>
      </c>
      <c r="P458" t="b">
        <v>0</v>
      </c>
      <c r="Q458" t="s">
        <v>556</v>
      </c>
      <c r="R458" t="s">
        <v>633</v>
      </c>
      <c r="U458" s="20">
        <v>2</v>
      </c>
      <c r="V458">
        <v>4</v>
      </c>
      <c r="W458">
        <v>0</v>
      </c>
      <c r="AB458" s="1">
        <v>0</v>
      </c>
      <c r="AC458" s="20">
        <v>13.81974189</v>
      </c>
      <c r="AD458" s="20">
        <v>13.81974189</v>
      </c>
      <c r="AE458" s="20">
        <v>5.7110870199999999</v>
      </c>
      <c r="AF458">
        <v>3.94</v>
      </c>
      <c r="AG458">
        <v>27.15</v>
      </c>
      <c r="AH458">
        <v>5.6920000000000002</v>
      </c>
      <c r="AI458">
        <v>0</v>
      </c>
      <c r="AM458">
        <v>14</v>
      </c>
      <c r="AN458" s="44">
        <f t="shared" si="65"/>
        <v>0</v>
      </c>
      <c r="AO458" s="46">
        <v>309.44138863753989</v>
      </c>
      <c r="AP458" s="44">
        <v>608.87893199999996</v>
      </c>
      <c r="AQ458" s="44">
        <v>0</v>
      </c>
      <c r="AR458" s="41"/>
      <c r="AS458" s="40">
        <v>9.0485633235046756E-2</v>
      </c>
      <c r="AT458" s="41">
        <v>9.1972306901891634E-2</v>
      </c>
      <c r="AU458" s="41"/>
      <c r="AV458" s="23">
        <v>2</v>
      </c>
      <c r="AW458" s="23">
        <v>2.545454545454545</v>
      </c>
      <c r="AX458" s="23">
        <v>0.54545454545454541</v>
      </c>
      <c r="AY458" s="23">
        <v>2.545454545454545</v>
      </c>
      <c r="AZ458" s="23">
        <v>0.26190476190476192</v>
      </c>
      <c r="BA458" s="23">
        <v>0.33333333333333331</v>
      </c>
      <c r="BB458" s="23">
        <v>7.1428571428571425E-2</v>
      </c>
      <c r="BC458" s="23">
        <v>0.33333333333333331</v>
      </c>
      <c r="BD458" s="20">
        <v>0.95</v>
      </c>
      <c r="BE458" s="20">
        <v>3.44</v>
      </c>
      <c r="BF458" s="20">
        <v>2.4900000000000002</v>
      </c>
      <c r="BG458" s="20">
        <v>2.6345454545454539</v>
      </c>
      <c r="BH458">
        <v>2.6345454545454552</v>
      </c>
      <c r="BI458">
        <v>6.036062318181818</v>
      </c>
      <c r="BJ458" s="64">
        <v>0.52932707238284982</v>
      </c>
      <c r="BK458" s="64">
        <v>0.53802388525275069</v>
      </c>
      <c r="BL458" s="64"/>
      <c r="BN458">
        <v>4.5242816617523378E-2</v>
      </c>
      <c r="BO458">
        <v>4.5986153450945817E-2</v>
      </c>
      <c r="BQ458">
        <v>9.1228970068469195E-2</v>
      </c>
      <c r="BR458">
        <v>4.5614485034234598E-2</v>
      </c>
      <c r="BS458">
        <v>0.5336754788178002</v>
      </c>
      <c r="BT458" s="68" t="s">
        <v>1264</v>
      </c>
      <c r="BU458" s="68">
        <v>1373</v>
      </c>
      <c r="BV458" s="68">
        <v>32</v>
      </c>
      <c r="BX458" s="68" t="s">
        <v>1275</v>
      </c>
      <c r="BY458" s="68" t="s">
        <v>863</v>
      </c>
      <c r="BZ458" s="68">
        <v>0.5</v>
      </c>
      <c r="CB458" s="68">
        <v>1</v>
      </c>
      <c r="CC458" s="68">
        <v>20</v>
      </c>
      <c r="CD458" s="68" t="s">
        <v>464</v>
      </c>
      <c r="CE458" s="68" t="s">
        <v>464</v>
      </c>
      <c r="CF458" s="68" t="s">
        <v>1271</v>
      </c>
      <c r="CG458" s="68">
        <v>300</v>
      </c>
      <c r="CI458" s="68" t="s">
        <v>1287</v>
      </c>
      <c r="CK458" s="70">
        <v>1100</v>
      </c>
    </row>
    <row r="459" spans="1:89" x14ac:dyDescent="0.3">
      <c r="A459" t="s">
        <v>3904</v>
      </c>
      <c r="C459" t="s">
        <v>4140</v>
      </c>
      <c r="D459" s="12"/>
      <c r="E459">
        <v>2.2999999999999998</v>
      </c>
      <c r="F459" t="s">
        <v>223</v>
      </c>
      <c r="G459" s="25" t="s">
        <v>556</v>
      </c>
      <c r="H459" s="1" t="s">
        <v>633</v>
      </c>
      <c r="M459" t="b">
        <v>1</v>
      </c>
      <c r="N459" t="b">
        <v>1</v>
      </c>
      <c r="O459" t="b">
        <v>0</v>
      </c>
      <c r="P459" t="b">
        <v>0</v>
      </c>
      <c r="Q459" t="s">
        <v>556</v>
      </c>
      <c r="R459" t="s">
        <v>633</v>
      </c>
      <c r="U459" s="20">
        <v>2</v>
      </c>
      <c r="V459">
        <v>4</v>
      </c>
      <c r="W459">
        <v>0</v>
      </c>
      <c r="AB459" s="1">
        <v>0</v>
      </c>
      <c r="AC459" s="20">
        <v>13.81974189</v>
      </c>
      <c r="AD459" s="20">
        <v>13.81974189</v>
      </c>
      <c r="AE459" s="20">
        <v>5.7110870199999999</v>
      </c>
      <c r="AF459">
        <v>3.94</v>
      </c>
      <c r="AG459">
        <v>27.15</v>
      </c>
      <c r="AH459">
        <v>5.6920000000000002</v>
      </c>
      <c r="AI459">
        <v>0</v>
      </c>
      <c r="AM459">
        <v>14</v>
      </c>
      <c r="AN459" s="44">
        <f t="shared" si="65"/>
        <v>0</v>
      </c>
      <c r="AO459" s="46">
        <v>309.44138863753989</v>
      </c>
      <c r="AP459" s="44">
        <v>608.87893199999996</v>
      </c>
      <c r="AQ459" s="44">
        <v>0</v>
      </c>
      <c r="AR459" s="41"/>
      <c r="AS459" s="40">
        <v>9.0485633235046756E-2</v>
      </c>
      <c r="AT459" s="41">
        <v>9.1972306901891634E-2</v>
      </c>
      <c r="AU459" s="41"/>
      <c r="AV459" s="23">
        <v>2</v>
      </c>
      <c r="AW459" s="23">
        <v>2.545454545454545</v>
      </c>
      <c r="AX459" s="23">
        <v>0.54545454545454541</v>
      </c>
      <c r="AY459" s="23">
        <v>2.545454545454545</v>
      </c>
      <c r="AZ459" s="23">
        <v>0.26190476190476192</v>
      </c>
      <c r="BA459" s="23">
        <v>0.33333333333333331</v>
      </c>
      <c r="BB459" s="23">
        <v>7.1428571428571425E-2</v>
      </c>
      <c r="BC459" s="23">
        <v>0.33333333333333331</v>
      </c>
      <c r="BD459" s="20">
        <v>0.95</v>
      </c>
      <c r="BE459" s="20">
        <v>3.44</v>
      </c>
      <c r="BF459" s="20">
        <v>2.4900000000000002</v>
      </c>
      <c r="BG459" s="20">
        <v>2.6345454545454539</v>
      </c>
      <c r="BH459">
        <v>2.6345454545454552</v>
      </c>
      <c r="BI459">
        <v>6.036062318181818</v>
      </c>
      <c r="BJ459" s="64">
        <v>0.52932707238284982</v>
      </c>
      <c r="BK459" s="64">
        <v>0.53802388525275069</v>
      </c>
      <c r="BL459" s="64"/>
      <c r="BN459">
        <v>4.5242816617523378E-2</v>
      </c>
      <c r="BO459">
        <v>4.5986153450945817E-2</v>
      </c>
      <c r="BQ459">
        <v>9.1228970068469195E-2</v>
      </c>
      <c r="BR459">
        <v>4.5614485034234598E-2</v>
      </c>
      <c r="BS459">
        <v>0.5336754788178002</v>
      </c>
      <c r="BT459" s="68" t="s">
        <v>1264</v>
      </c>
      <c r="BU459" s="68">
        <v>1373</v>
      </c>
      <c r="BV459" s="68">
        <v>32</v>
      </c>
      <c r="BW459" s="68" t="s">
        <v>1307</v>
      </c>
      <c r="BX459" s="68" t="s">
        <v>1275</v>
      </c>
      <c r="BY459" s="68" t="s">
        <v>863</v>
      </c>
      <c r="BZ459" s="68">
        <v>0.5</v>
      </c>
      <c r="CB459" s="68">
        <v>1</v>
      </c>
      <c r="CC459" s="68">
        <v>20</v>
      </c>
      <c r="CD459" s="68" t="s">
        <v>464</v>
      </c>
      <c r="CE459" s="68" t="s">
        <v>464</v>
      </c>
      <c r="CF459" s="68" t="s">
        <v>1271</v>
      </c>
      <c r="CG459" s="68">
        <v>300</v>
      </c>
      <c r="CI459" s="68" t="s">
        <v>1287</v>
      </c>
      <c r="CK459" s="70">
        <v>1950</v>
      </c>
    </row>
    <row r="460" spans="1:89" x14ac:dyDescent="0.3">
      <c r="A460" t="s">
        <v>1376</v>
      </c>
      <c r="C460" t="s">
        <v>4141</v>
      </c>
      <c r="D460" s="12"/>
      <c r="F460" t="s">
        <v>224</v>
      </c>
      <c r="G460" s="8"/>
      <c r="I460" t="s">
        <v>1380</v>
      </c>
      <c r="M460" t="b">
        <v>0</v>
      </c>
      <c r="N460" t="b">
        <v>0</v>
      </c>
      <c r="O460" t="b">
        <v>1</v>
      </c>
      <c r="P460" t="b">
        <v>0</v>
      </c>
      <c r="S460" t="s">
        <v>1380</v>
      </c>
      <c r="U460" s="20"/>
      <c r="AB460">
        <v>0</v>
      </c>
      <c r="AC460" s="20"/>
      <c r="AD460" s="20"/>
      <c r="AE460" s="20"/>
      <c r="AN460" s="44"/>
      <c r="AO460" s="46"/>
      <c r="AP460" s="44"/>
      <c r="AQ460" s="44"/>
      <c r="AR460" s="41"/>
      <c r="AS460" s="40"/>
      <c r="AT460" s="41"/>
      <c r="AU460" s="41"/>
      <c r="AV460" s="23"/>
      <c r="AW460" s="23"/>
      <c r="AX460" s="23"/>
      <c r="AY460" s="23"/>
      <c r="AZ460" s="23"/>
      <c r="BA460" s="23"/>
      <c r="BB460" s="23"/>
      <c r="BC460" s="23"/>
      <c r="BD460" s="20"/>
      <c r="BE460" s="20"/>
      <c r="BF460" s="20"/>
      <c r="BG460" s="20"/>
      <c r="BJ460" s="64"/>
      <c r="BK460" s="64"/>
      <c r="BL460" s="64"/>
      <c r="BT460" s="68" t="s">
        <v>1264</v>
      </c>
      <c r="BU460" s="68">
        <v>1273</v>
      </c>
      <c r="BV460" s="68">
        <v>10</v>
      </c>
      <c r="BX460" s="68" t="s">
        <v>1275</v>
      </c>
      <c r="BY460" s="68" t="s">
        <v>56</v>
      </c>
      <c r="BZ460" s="68">
        <v>1</v>
      </c>
      <c r="CA460" s="68">
        <v>2</v>
      </c>
      <c r="CB460" s="68">
        <v>2</v>
      </c>
      <c r="CC460" s="68">
        <v>0</v>
      </c>
      <c r="CD460" s="68" t="s">
        <v>464</v>
      </c>
      <c r="CE460" s="68" t="s">
        <v>464</v>
      </c>
      <c r="CF460" s="68" t="s">
        <v>1266</v>
      </c>
      <c r="CG460" s="68">
        <v>450</v>
      </c>
      <c r="CI460" s="68" t="s">
        <v>1287</v>
      </c>
      <c r="CK460" s="70">
        <v>8</v>
      </c>
    </row>
    <row r="461" spans="1:89" x14ac:dyDescent="0.3">
      <c r="A461" t="s">
        <v>34</v>
      </c>
      <c r="C461" t="s">
        <v>3958</v>
      </c>
      <c r="D461" s="12"/>
      <c r="E461">
        <v>3.31</v>
      </c>
      <c r="F461" t="s">
        <v>224</v>
      </c>
      <c r="G461" s="8" t="s">
        <v>542</v>
      </c>
      <c r="H461" t="s">
        <v>623</v>
      </c>
      <c r="M461" t="b">
        <v>1</v>
      </c>
      <c r="N461" t="b">
        <v>1</v>
      </c>
      <c r="O461" t="b">
        <v>0</v>
      </c>
      <c r="P461" t="b">
        <v>0</v>
      </c>
      <c r="Q461" t="s">
        <v>542</v>
      </c>
      <c r="R461" t="s">
        <v>623</v>
      </c>
      <c r="U461" s="20"/>
      <c r="AB461" s="1">
        <v>0</v>
      </c>
      <c r="AC461" s="20"/>
      <c r="AD461" s="20"/>
      <c r="AE461" s="20"/>
      <c r="AN461" s="44"/>
      <c r="AO461" s="46"/>
      <c r="AP461" s="44"/>
      <c r="AQ461" s="44"/>
      <c r="AR461" s="41"/>
      <c r="AS461" s="40"/>
      <c r="AT461" s="41"/>
      <c r="AU461" s="41"/>
      <c r="AV461" s="23"/>
      <c r="AW461" s="23"/>
      <c r="AX461" s="23"/>
      <c r="AY461" s="23"/>
      <c r="AZ461" s="23"/>
      <c r="BA461" s="23"/>
      <c r="BB461" s="23"/>
      <c r="BC461" s="23"/>
      <c r="BD461" s="20"/>
      <c r="BE461" s="20"/>
      <c r="BF461" s="20"/>
      <c r="BG461" s="20"/>
      <c r="BJ461" s="64"/>
      <c r="BK461" s="64"/>
      <c r="BL461" s="64"/>
      <c r="BT461" s="68" t="s">
        <v>1264</v>
      </c>
      <c r="BU461" s="68">
        <v>1273</v>
      </c>
      <c r="BV461" s="68">
        <v>10</v>
      </c>
      <c r="BX461" s="68" t="s">
        <v>1275</v>
      </c>
      <c r="BY461" s="68" t="s">
        <v>56</v>
      </c>
      <c r="BZ461" s="68">
        <v>1</v>
      </c>
      <c r="CA461" s="68">
        <v>2</v>
      </c>
      <c r="CB461" s="68">
        <v>2</v>
      </c>
      <c r="CC461" s="68">
        <v>0</v>
      </c>
      <c r="CD461" s="68" t="s">
        <v>464</v>
      </c>
      <c r="CE461" s="68" t="s">
        <v>464</v>
      </c>
      <c r="CF461" s="68" t="s">
        <v>1266</v>
      </c>
      <c r="CG461" s="68">
        <v>450</v>
      </c>
      <c r="CI461" s="68" t="s">
        <v>1287</v>
      </c>
      <c r="CK461" s="70">
        <v>11</v>
      </c>
    </row>
    <row r="462" spans="1:89" x14ac:dyDescent="0.3">
      <c r="A462" t="s">
        <v>49</v>
      </c>
      <c r="C462" t="s">
        <v>3967</v>
      </c>
      <c r="D462" s="12"/>
      <c r="E462" s="58">
        <v>4.18</v>
      </c>
      <c r="F462" t="s">
        <v>224</v>
      </c>
      <c r="G462" s="8" t="s">
        <v>553</v>
      </c>
      <c r="H462" t="s">
        <v>631</v>
      </c>
      <c r="I462" t="s">
        <v>1378</v>
      </c>
      <c r="M462" t="b">
        <v>1</v>
      </c>
      <c r="N462" t="b">
        <v>1</v>
      </c>
      <c r="O462" t="b">
        <v>1</v>
      </c>
      <c r="P462" t="b">
        <v>0</v>
      </c>
      <c r="Q462" t="s">
        <v>553</v>
      </c>
      <c r="R462" t="s">
        <v>631</v>
      </c>
      <c r="S462" t="s">
        <v>1378</v>
      </c>
      <c r="U462" s="20"/>
      <c r="AB462" s="1">
        <v>0</v>
      </c>
      <c r="AC462" s="20"/>
      <c r="AD462" s="20"/>
      <c r="AE462" s="20"/>
      <c r="AN462" s="44"/>
      <c r="AO462" s="46"/>
      <c r="AP462" s="44"/>
      <c r="AQ462" s="44"/>
      <c r="AR462" s="41"/>
      <c r="AS462" s="40"/>
      <c r="AT462" s="41"/>
      <c r="AU462" s="41"/>
      <c r="AV462" s="23"/>
      <c r="AW462" s="23"/>
      <c r="AX462" s="23"/>
      <c r="AY462" s="23"/>
      <c r="AZ462" s="23"/>
      <c r="BA462" s="23"/>
      <c r="BB462" s="23"/>
      <c r="BC462" s="23"/>
      <c r="BD462" s="20"/>
      <c r="BE462" s="20"/>
      <c r="BF462" s="20"/>
      <c r="BG462" s="20"/>
      <c r="BJ462" s="64"/>
      <c r="BK462" s="64"/>
      <c r="BL462" s="64"/>
      <c r="BT462" s="68" t="s">
        <v>1264</v>
      </c>
      <c r="BU462" s="68">
        <v>1273</v>
      </c>
      <c r="BV462" s="68">
        <v>10</v>
      </c>
      <c r="BX462" s="68" t="s">
        <v>1275</v>
      </c>
      <c r="BY462" s="68" t="s">
        <v>56</v>
      </c>
      <c r="BZ462" s="68">
        <v>1</v>
      </c>
      <c r="CA462" s="68">
        <v>2</v>
      </c>
      <c r="CB462" s="68">
        <v>2</v>
      </c>
      <c r="CC462" s="68">
        <v>0</v>
      </c>
      <c r="CD462" s="68" t="s">
        <v>464</v>
      </c>
      <c r="CE462" s="68" t="s">
        <v>464</v>
      </c>
      <c r="CF462" s="68" t="s">
        <v>1266</v>
      </c>
      <c r="CG462" s="68">
        <v>450</v>
      </c>
      <c r="CI462" s="68" t="s">
        <v>1287</v>
      </c>
      <c r="CK462" s="70">
        <v>402</v>
      </c>
    </row>
    <row r="463" spans="1:89" x14ac:dyDescent="0.3">
      <c r="A463" t="s">
        <v>185</v>
      </c>
      <c r="C463" t="s">
        <v>3966</v>
      </c>
      <c r="D463" s="12"/>
      <c r="E463" s="58">
        <v>4.18</v>
      </c>
      <c r="F463" t="s">
        <v>224</v>
      </c>
      <c r="G463" s="8" t="s">
        <v>556</v>
      </c>
      <c r="H463" t="s">
        <v>633</v>
      </c>
      <c r="I463" t="s">
        <v>1379</v>
      </c>
      <c r="M463" t="b">
        <v>1</v>
      </c>
      <c r="N463" t="b">
        <v>1</v>
      </c>
      <c r="O463" t="b">
        <v>1</v>
      </c>
      <c r="P463" t="b">
        <v>0</v>
      </c>
      <c r="Q463" t="s">
        <v>556</v>
      </c>
      <c r="R463" t="s">
        <v>633</v>
      </c>
      <c r="S463" t="s">
        <v>1379</v>
      </c>
      <c r="U463" s="20"/>
      <c r="AB463" s="1">
        <v>0</v>
      </c>
      <c r="AC463" s="20"/>
      <c r="AD463" s="20"/>
      <c r="AE463" s="20"/>
      <c r="AN463" s="44"/>
      <c r="AO463" s="46"/>
      <c r="AP463" s="44"/>
      <c r="AQ463" s="44"/>
      <c r="AR463" s="41"/>
      <c r="AS463" s="40"/>
      <c r="AT463" s="41"/>
      <c r="AU463" s="41"/>
      <c r="AV463" s="23"/>
      <c r="AW463" s="23"/>
      <c r="AX463" s="23"/>
      <c r="AY463" s="23"/>
      <c r="AZ463" s="23"/>
      <c r="BA463" s="23"/>
      <c r="BB463" s="23"/>
      <c r="BC463" s="23"/>
      <c r="BD463" s="20"/>
      <c r="BE463" s="20"/>
      <c r="BF463" s="20"/>
      <c r="BG463" s="20"/>
      <c r="BJ463" s="64"/>
      <c r="BK463" s="64"/>
      <c r="BL463" s="64"/>
      <c r="BT463" s="68" t="s">
        <v>1264</v>
      </c>
      <c r="BU463" s="68">
        <v>1273</v>
      </c>
      <c r="BV463" s="68">
        <v>10</v>
      </c>
      <c r="BX463" s="68" t="s">
        <v>1275</v>
      </c>
      <c r="BY463" s="68" t="s">
        <v>56</v>
      </c>
      <c r="BZ463" s="68">
        <v>1</v>
      </c>
      <c r="CA463" s="68">
        <v>2</v>
      </c>
      <c r="CB463" s="68">
        <v>2</v>
      </c>
      <c r="CC463" s="68">
        <v>0</v>
      </c>
      <c r="CD463" s="68" t="s">
        <v>464</v>
      </c>
      <c r="CE463" s="68" t="s">
        <v>464</v>
      </c>
      <c r="CF463" s="68" t="s">
        <v>1266</v>
      </c>
      <c r="CG463" s="68">
        <v>450</v>
      </c>
      <c r="CI463" s="68" t="s">
        <v>1287</v>
      </c>
      <c r="CK463" s="70">
        <v>796</v>
      </c>
    </row>
    <row r="464" spans="1:89" x14ac:dyDescent="0.3">
      <c r="A464" t="s">
        <v>46</v>
      </c>
      <c r="B464" t="s">
        <v>46</v>
      </c>
      <c r="C464" t="s">
        <v>4087</v>
      </c>
      <c r="D464" s="12"/>
      <c r="E464">
        <v>3.82</v>
      </c>
      <c r="F464" t="s">
        <v>224</v>
      </c>
      <c r="G464" s="8" t="s">
        <v>551</v>
      </c>
      <c r="H464" t="s">
        <v>629</v>
      </c>
      <c r="M464" t="b">
        <v>1</v>
      </c>
      <c r="N464" t="b">
        <v>1</v>
      </c>
      <c r="O464" t="b">
        <v>0</v>
      </c>
      <c r="P464" t="b">
        <v>0</v>
      </c>
      <c r="Q464" t="s">
        <v>551</v>
      </c>
      <c r="R464" t="s">
        <v>629</v>
      </c>
      <c r="U464" s="20">
        <v>2</v>
      </c>
      <c r="V464">
        <v>4</v>
      </c>
      <c r="W464">
        <v>0</v>
      </c>
      <c r="AB464" s="1">
        <v>0</v>
      </c>
      <c r="AC464" s="20">
        <v>7.41544296</v>
      </c>
      <c r="AD464" s="20">
        <v>7.4154429599999991</v>
      </c>
      <c r="AE464" s="20">
        <v>7.41544296</v>
      </c>
      <c r="AF464">
        <v>7.8</v>
      </c>
      <c r="AG464">
        <v>13.010999999999999</v>
      </c>
      <c r="AH464">
        <v>5.5460000000000003</v>
      </c>
      <c r="AI464">
        <v>0</v>
      </c>
      <c r="AM464">
        <v>14</v>
      </c>
      <c r="AN464" s="44">
        <f t="shared" si="65"/>
        <v>0</v>
      </c>
      <c r="AO464" s="46">
        <v>288.33429290182369</v>
      </c>
      <c r="AP464" s="44">
        <v>556.51188553357167</v>
      </c>
      <c r="AQ464" s="44">
        <v>0</v>
      </c>
      <c r="AR464" s="41"/>
      <c r="AS464" s="40">
        <v>9.7109503410799117E-2</v>
      </c>
      <c r="AT464" s="41">
        <v>0.10062678166578309</v>
      </c>
      <c r="AU464" s="41"/>
      <c r="AV464" s="23">
        <v>2</v>
      </c>
      <c r="AW464" s="23">
        <v>2.545454545454545</v>
      </c>
      <c r="AX464" s="23">
        <v>0.54545454545454541</v>
      </c>
      <c r="AY464" s="23">
        <v>0</v>
      </c>
      <c r="AZ464" s="23">
        <v>0.39285714285714279</v>
      </c>
      <c r="BA464" s="23">
        <v>0.5</v>
      </c>
      <c r="BB464" s="23">
        <v>0.1071428571428571</v>
      </c>
      <c r="BC464" s="23">
        <v>0</v>
      </c>
      <c r="BD464" s="20">
        <v>1.1000000000000001</v>
      </c>
      <c r="BE464" s="20">
        <v>3.44</v>
      </c>
      <c r="BF464" s="20">
        <v>2.34</v>
      </c>
      <c r="BG464" s="20">
        <v>2.669090909090909</v>
      </c>
      <c r="BH464">
        <v>2.669090909090909</v>
      </c>
      <c r="BI464">
        <v>5.9831974772727277</v>
      </c>
      <c r="BJ464" s="64">
        <v>0.52442413903612473</v>
      </c>
      <c r="BK464" s="64">
        <v>0.54341863036636606</v>
      </c>
      <c r="BL464" s="64"/>
      <c r="BN464">
        <v>4.8554751705399558E-2</v>
      </c>
      <c r="BO464">
        <v>5.0313390832891547E-2</v>
      </c>
      <c r="BQ464">
        <v>9.8868142538291098E-2</v>
      </c>
      <c r="BR464">
        <v>4.9434071269145549E-2</v>
      </c>
      <c r="BS464">
        <v>0.53392138470124539</v>
      </c>
      <c r="BT464" s="68" t="s">
        <v>1264</v>
      </c>
      <c r="BU464" s="68">
        <v>1273</v>
      </c>
      <c r="BV464" s="68">
        <v>10</v>
      </c>
      <c r="BX464" s="68" t="s">
        <v>1275</v>
      </c>
      <c r="BY464" s="68" t="s">
        <v>56</v>
      </c>
      <c r="BZ464" s="68">
        <v>1</v>
      </c>
      <c r="CA464" s="68">
        <v>2</v>
      </c>
      <c r="CB464" s="68">
        <v>2</v>
      </c>
      <c r="CC464" s="68">
        <v>0</v>
      </c>
      <c r="CD464" s="68" t="s">
        <v>464</v>
      </c>
      <c r="CE464" s="68" t="s">
        <v>464</v>
      </c>
      <c r="CF464" s="68" t="s">
        <v>1266</v>
      </c>
      <c r="CG464" s="68">
        <v>450</v>
      </c>
      <c r="CI464" s="68" t="s">
        <v>1287</v>
      </c>
      <c r="CK464" s="70">
        <v>474</v>
      </c>
    </row>
    <row r="465" spans="1:89" ht="15" customHeight="1" x14ac:dyDescent="0.3">
      <c r="A465" t="s">
        <v>1377</v>
      </c>
      <c r="C465" t="s">
        <v>4142</v>
      </c>
      <c r="D465" s="12"/>
      <c r="F465" t="s">
        <v>224</v>
      </c>
      <c r="G465" s="8"/>
      <c r="I465" t="s">
        <v>1381</v>
      </c>
      <c r="M465" t="b">
        <v>0</v>
      </c>
      <c r="N465" t="b">
        <v>0</v>
      </c>
      <c r="O465" t="b">
        <v>1</v>
      </c>
      <c r="P465" t="b">
        <v>0</v>
      </c>
      <c r="S465" t="s">
        <v>1381</v>
      </c>
      <c r="U465" s="20"/>
      <c r="AC465" s="20"/>
      <c r="AD465" s="20"/>
      <c r="AE465" s="20"/>
      <c r="AN465" s="44"/>
      <c r="AO465" s="46"/>
      <c r="AP465" s="44"/>
      <c r="AQ465" s="44"/>
      <c r="AR465" s="41"/>
      <c r="AS465" s="40"/>
      <c r="AT465" s="41"/>
      <c r="AU465" s="41"/>
      <c r="AV465" s="23"/>
      <c r="AW465" s="23"/>
      <c r="AX465" s="23"/>
      <c r="AY465" s="23"/>
      <c r="AZ465" s="23"/>
      <c r="BA465" s="23"/>
      <c r="BB465" s="23"/>
      <c r="BC465" s="23"/>
      <c r="BD465" s="20"/>
      <c r="BE465" s="20"/>
      <c r="BF465" s="20"/>
      <c r="BG465" s="20"/>
      <c r="BJ465" s="64"/>
      <c r="BK465" s="64"/>
      <c r="BL465" s="64"/>
      <c r="BT465" s="68" t="s">
        <v>1264</v>
      </c>
      <c r="BU465" s="68">
        <v>1273</v>
      </c>
      <c r="BV465" s="68">
        <v>10</v>
      </c>
      <c r="BX465" s="68" t="s">
        <v>1275</v>
      </c>
      <c r="BY465" s="68" t="s">
        <v>56</v>
      </c>
      <c r="BZ465" s="68">
        <v>1</v>
      </c>
      <c r="CA465" s="68">
        <v>2</v>
      </c>
      <c r="CB465" s="68">
        <v>2</v>
      </c>
      <c r="CC465" s="68">
        <v>0</v>
      </c>
      <c r="CD465" s="68" t="s">
        <v>464</v>
      </c>
      <c r="CE465" s="68" t="s">
        <v>464</v>
      </c>
      <c r="CF465" s="68" t="s">
        <v>1266</v>
      </c>
      <c r="CG465" s="68">
        <v>450</v>
      </c>
      <c r="CI465" s="68" t="s">
        <v>1287</v>
      </c>
      <c r="CK465" s="70">
        <v>137</v>
      </c>
    </row>
    <row r="466" spans="1:89" x14ac:dyDescent="0.3">
      <c r="A466" t="s">
        <v>46</v>
      </c>
      <c r="B466" t="s">
        <v>46</v>
      </c>
      <c r="C466" t="s">
        <v>4087</v>
      </c>
      <c r="D466" s="12"/>
      <c r="E466">
        <v>3.82</v>
      </c>
      <c r="F466" t="s">
        <v>225</v>
      </c>
      <c r="G466" s="8" t="s">
        <v>551</v>
      </c>
      <c r="H466" t="s">
        <v>629</v>
      </c>
      <c r="M466" t="b">
        <v>1</v>
      </c>
      <c r="N466" t="b">
        <v>1</v>
      </c>
      <c r="O466" t="b">
        <v>0</v>
      </c>
      <c r="P466" t="b">
        <v>0</v>
      </c>
      <c r="Q466" t="s">
        <v>551</v>
      </c>
      <c r="R466" t="s">
        <v>629</v>
      </c>
      <c r="U466" s="20">
        <v>2</v>
      </c>
      <c r="V466">
        <v>4</v>
      </c>
      <c r="W466">
        <v>0</v>
      </c>
      <c r="AB466" s="1">
        <v>0</v>
      </c>
      <c r="AC466" s="20">
        <v>7.41544296</v>
      </c>
      <c r="AD466" s="20">
        <v>7.4154429599999991</v>
      </c>
      <c r="AE466" s="20">
        <v>7.41544296</v>
      </c>
      <c r="AF466">
        <v>7.8</v>
      </c>
      <c r="AG466">
        <v>13.010999999999999</v>
      </c>
      <c r="AH466">
        <v>5.5460000000000003</v>
      </c>
      <c r="AI466">
        <v>0</v>
      </c>
      <c r="AM466">
        <v>14</v>
      </c>
      <c r="AN466" s="44">
        <f t="shared" si="65"/>
        <v>0</v>
      </c>
      <c r="AO466" s="46">
        <v>288.33429290182369</v>
      </c>
      <c r="AP466" s="44">
        <v>556.51188553357167</v>
      </c>
      <c r="AQ466" s="44">
        <v>0</v>
      </c>
      <c r="AR466" s="41"/>
      <c r="AS466" s="40">
        <v>9.7109503410799117E-2</v>
      </c>
      <c r="AT466" s="41">
        <v>0.10062678166578309</v>
      </c>
      <c r="AU466" s="41"/>
      <c r="AV466" s="23">
        <v>2</v>
      </c>
      <c r="AW466" s="23">
        <v>2.545454545454545</v>
      </c>
      <c r="AX466" s="23">
        <v>0.54545454545454541</v>
      </c>
      <c r="AY466" s="23">
        <v>0</v>
      </c>
      <c r="AZ466" s="23">
        <v>0.39285714285714279</v>
      </c>
      <c r="BA466" s="23">
        <v>0.5</v>
      </c>
      <c r="BB466" s="23">
        <v>0.1071428571428571</v>
      </c>
      <c r="BC466" s="23">
        <v>0</v>
      </c>
      <c r="BD466" s="20">
        <v>1.1000000000000001</v>
      </c>
      <c r="BE466" s="20">
        <v>3.44</v>
      </c>
      <c r="BF466" s="20">
        <v>2.34</v>
      </c>
      <c r="BG466" s="20">
        <v>2.669090909090909</v>
      </c>
      <c r="BH466">
        <v>2.669090909090909</v>
      </c>
      <c r="BI466">
        <v>5.9831974772727277</v>
      </c>
      <c r="BJ466" s="64">
        <v>0.52442413903612473</v>
      </c>
      <c r="BK466" s="64">
        <v>0.54341863036636606</v>
      </c>
      <c r="BL466" s="64"/>
      <c r="BN466">
        <v>4.8554751705399558E-2</v>
      </c>
      <c r="BO466">
        <v>5.0313390832891547E-2</v>
      </c>
      <c r="BQ466">
        <v>9.8868142538291098E-2</v>
      </c>
      <c r="BR466">
        <v>4.9434071269145549E-2</v>
      </c>
      <c r="BS466">
        <v>0.53392138470124539</v>
      </c>
      <c r="BT466" s="70" t="s">
        <v>1305</v>
      </c>
      <c r="BU466" s="70">
        <f t="shared" ref="BU466:BU481" si="97">1250+273</f>
        <v>1523</v>
      </c>
      <c r="BV466" s="70">
        <v>2</v>
      </c>
      <c r="BX466" s="68" t="s">
        <v>1268</v>
      </c>
      <c r="BY466" s="68" t="s">
        <v>863</v>
      </c>
      <c r="BZ466" s="68">
        <v>1</v>
      </c>
      <c r="CB466" s="68">
        <v>2</v>
      </c>
      <c r="CC466" s="68">
        <v>0</v>
      </c>
      <c r="CD466" s="68" t="s">
        <v>464</v>
      </c>
      <c r="CE466" s="68" t="s">
        <v>464</v>
      </c>
      <c r="CF466" s="68" t="s">
        <v>1266</v>
      </c>
      <c r="CG466" s="68">
        <v>450</v>
      </c>
      <c r="CH466" s="68">
        <v>200</v>
      </c>
      <c r="CI466" s="68" t="s">
        <v>1287</v>
      </c>
      <c r="CK466" s="70">
        <v>120</v>
      </c>
    </row>
    <row r="467" spans="1:89" x14ac:dyDescent="0.3">
      <c r="A467" t="s">
        <v>1382</v>
      </c>
      <c r="B467" t="s">
        <v>46</v>
      </c>
      <c r="C467" t="s">
        <v>4143</v>
      </c>
      <c r="D467" s="12"/>
      <c r="E467">
        <v>2.2000000000000002</v>
      </c>
      <c r="F467" t="s">
        <v>225</v>
      </c>
      <c r="G467" s="25" t="s">
        <v>551</v>
      </c>
      <c r="H467" s="1" t="s">
        <v>629</v>
      </c>
      <c r="M467" t="b">
        <v>1</v>
      </c>
      <c r="N467" t="b">
        <v>1</v>
      </c>
      <c r="O467" t="b">
        <v>0</v>
      </c>
      <c r="P467" t="b">
        <v>0</v>
      </c>
      <c r="Q467" t="s">
        <v>551</v>
      </c>
      <c r="R467" t="s">
        <v>629</v>
      </c>
      <c r="U467" s="20">
        <v>2</v>
      </c>
      <c r="V467">
        <v>4</v>
      </c>
      <c r="W467">
        <v>0</v>
      </c>
      <c r="AC467" s="20">
        <v>7.41544296</v>
      </c>
      <c r="AD467" s="20">
        <v>7.4154429599999991</v>
      </c>
      <c r="AE467" s="20">
        <v>7.41544296</v>
      </c>
      <c r="AF467">
        <v>7.8</v>
      </c>
      <c r="AG467">
        <v>13.010999999999999</v>
      </c>
      <c r="AH467">
        <v>5.5460000000000003</v>
      </c>
      <c r="AI467">
        <v>0</v>
      </c>
      <c r="AM467">
        <v>14</v>
      </c>
      <c r="AN467" s="44">
        <f t="shared" si="65"/>
        <v>0</v>
      </c>
      <c r="AO467" s="46">
        <v>288.33429290182369</v>
      </c>
      <c r="AP467" s="44">
        <v>556.51188553357167</v>
      </c>
      <c r="AQ467" s="44">
        <v>0</v>
      </c>
      <c r="AR467" s="41"/>
      <c r="AS467" s="40">
        <v>9.7109503410799117E-2</v>
      </c>
      <c r="AT467" s="41">
        <v>0.10062678166578309</v>
      </c>
      <c r="AU467" s="41"/>
      <c r="AV467" s="23">
        <v>2</v>
      </c>
      <c r="AW467" s="23">
        <v>2.545454545454545</v>
      </c>
      <c r="AX467" s="23">
        <v>0.54545454545454541</v>
      </c>
      <c r="AY467" s="23">
        <v>0</v>
      </c>
      <c r="AZ467" s="23">
        <v>0.39285714285714279</v>
      </c>
      <c r="BA467" s="23">
        <v>0.5</v>
      </c>
      <c r="BB467" s="23">
        <v>0.1071428571428571</v>
      </c>
      <c r="BC467" s="23">
        <v>0</v>
      </c>
      <c r="BD467" s="20">
        <v>1.1000000000000001</v>
      </c>
      <c r="BE467" s="20">
        <v>3.44</v>
      </c>
      <c r="BF467" s="20">
        <v>2.34</v>
      </c>
      <c r="BG467" s="20">
        <v>2.669090909090909</v>
      </c>
      <c r="BH467">
        <v>2.669090909090909</v>
      </c>
      <c r="BI467">
        <v>5.9831974772727277</v>
      </c>
      <c r="BJ467" s="64">
        <v>0.52442413903612473</v>
      </c>
      <c r="BK467" s="64">
        <v>0.54341863036636606</v>
      </c>
      <c r="BL467" s="64"/>
      <c r="BN467">
        <v>4.8554751705399558E-2</v>
      </c>
      <c r="BO467">
        <v>5.0313390832891547E-2</v>
      </c>
      <c r="BQ467">
        <v>9.8868142538291098E-2</v>
      </c>
      <c r="BR467">
        <v>4.9434071269145549E-2</v>
      </c>
      <c r="BS467">
        <v>0.53392138470124539</v>
      </c>
      <c r="BT467" s="70" t="s">
        <v>1305</v>
      </c>
      <c r="BU467" s="70">
        <f t="shared" si="97"/>
        <v>1523</v>
      </c>
      <c r="BV467" s="70">
        <v>2</v>
      </c>
      <c r="BX467" s="68" t="s">
        <v>1268</v>
      </c>
      <c r="BY467" s="68" t="s">
        <v>863</v>
      </c>
      <c r="BZ467" s="68">
        <v>1</v>
      </c>
      <c r="CB467" s="68">
        <v>2</v>
      </c>
      <c r="CC467" s="68">
        <v>0</v>
      </c>
      <c r="CD467" s="68" t="s">
        <v>464</v>
      </c>
      <c r="CE467" s="68" t="s">
        <v>464</v>
      </c>
      <c r="CF467" s="68" t="s">
        <v>1266</v>
      </c>
      <c r="CG467" s="68">
        <v>450</v>
      </c>
      <c r="CH467" s="68">
        <v>200</v>
      </c>
      <c r="CI467" s="68" t="s">
        <v>1287</v>
      </c>
      <c r="CK467" s="70">
        <v>90</v>
      </c>
    </row>
    <row r="468" spans="1:89" x14ac:dyDescent="0.3">
      <c r="A468" t="s">
        <v>1383</v>
      </c>
      <c r="B468" t="s">
        <v>46</v>
      </c>
      <c r="C468" t="s">
        <v>4144</v>
      </c>
      <c r="D468" s="12"/>
      <c r="E468">
        <v>2.2000000000000002</v>
      </c>
      <c r="F468" t="s">
        <v>225</v>
      </c>
      <c r="G468" s="25" t="s">
        <v>551</v>
      </c>
      <c r="H468" s="1" t="s">
        <v>629</v>
      </c>
      <c r="M468" t="b">
        <v>1</v>
      </c>
      <c r="N468" t="b">
        <v>1</v>
      </c>
      <c r="O468" t="b">
        <v>0</v>
      </c>
      <c r="P468" t="b">
        <v>0</v>
      </c>
      <c r="Q468" t="s">
        <v>551</v>
      </c>
      <c r="R468" t="s">
        <v>629</v>
      </c>
      <c r="U468" s="20">
        <v>2</v>
      </c>
      <c r="V468">
        <v>4</v>
      </c>
      <c r="W468">
        <v>0</v>
      </c>
      <c r="AC468" s="20">
        <v>7.41544296</v>
      </c>
      <c r="AD468" s="20">
        <v>7.4154429599999991</v>
      </c>
      <c r="AE468" s="20">
        <v>7.41544296</v>
      </c>
      <c r="AF468">
        <v>7.8</v>
      </c>
      <c r="AG468">
        <v>13.010999999999999</v>
      </c>
      <c r="AH468">
        <v>5.5460000000000003</v>
      </c>
      <c r="AI468">
        <v>0</v>
      </c>
      <c r="AM468">
        <v>14</v>
      </c>
      <c r="AN468" s="44">
        <f t="shared" ref="AN468:AN469" si="98">X468*Y468*Z468</f>
        <v>0</v>
      </c>
      <c r="AO468" s="46">
        <v>288.33429290182369</v>
      </c>
      <c r="AP468" s="44">
        <v>556.51188553357167</v>
      </c>
      <c r="AQ468" s="44">
        <v>0</v>
      </c>
      <c r="AR468" s="41"/>
      <c r="AS468" s="40">
        <v>9.7109503410799117E-2</v>
      </c>
      <c r="AT468" s="41">
        <v>0.10062678166578309</v>
      </c>
      <c r="AU468" s="41"/>
      <c r="AV468" s="23">
        <v>2</v>
      </c>
      <c r="AW468" s="23">
        <v>2.545454545454545</v>
      </c>
      <c r="AX468" s="23">
        <v>0.54545454545454541</v>
      </c>
      <c r="AY468" s="23">
        <v>0</v>
      </c>
      <c r="AZ468" s="23">
        <v>0.39285714285714279</v>
      </c>
      <c r="BA468" s="23">
        <v>0.5</v>
      </c>
      <c r="BB468" s="23">
        <v>0.1071428571428571</v>
      </c>
      <c r="BC468" s="23">
        <v>0</v>
      </c>
      <c r="BD468" s="20">
        <v>1.1000000000000001</v>
      </c>
      <c r="BE468" s="20">
        <v>3.44</v>
      </c>
      <c r="BF468" s="20">
        <v>2.34</v>
      </c>
      <c r="BG468" s="20">
        <v>2.669090909090909</v>
      </c>
      <c r="BH468">
        <v>2.669090909090909</v>
      </c>
      <c r="BI468">
        <v>5.9831974772727277</v>
      </c>
      <c r="BJ468" s="64">
        <v>0.52442413903612473</v>
      </c>
      <c r="BK468" s="64">
        <v>0.54341863036636606</v>
      </c>
      <c r="BL468" s="64"/>
      <c r="BN468">
        <v>4.8554751705399558E-2</v>
      </c>
      <c r="BO468">
        <v>5.0313390832891547E-2</v>
      </c>
      <c r="BQ468">
        <v>9.8868142538291098E-2</v>
      </c>
      <c r="BR468">
        <v>4.9434071269145549E-2</v>
      </c>
      <c r="BS468">
        <v>0.53392138470124539</v>
      </c>
      <c r="BT468" s="70" t="s">
        <v>1305</v>
      </c>
      <c r="BU468" s="70">
        <f t="shared" si="97"/>
        <v>1523</v>
      </c>
      <c r="BV468" s="70">
        <v>2</v>
      </c>
      <c r="BX468" s="68" t="s">
        <v>1268</v>
      </c>
      <c r="BY468" s="68" t="s">
        <v>863</v>
      </c>
      <c r="BZ468" s="68">
        <v>1</v>
      </c>
      <c r="CB468" s="68">
        <v>2</v>
      </c>
      <c r="CC468" s="68">
        <v>0</v>
      </c>
      <c r="CD468" s="68" t="s">
        <v>464</v>
      </c>
      <c r="CE468" s="68" t="s">
        <v>464</v>
      </c>
      <c r="CF468" s="68" t="s">
        <v>1266</v>
      </c>
      <c r="CG468" s="68">
        <v>450</v>
      </c>
      <c r="CH468" s="68">
        <v>200</v>
      </c>
      <c r="CI468" s="68" t="s">
        <v>1287</v>
      </c>
      <c r="CK468" s="70">
        <v>50</v>
      </c>
    </row>
    <row r="469" spans="1:89" x14ac:dyDescent="0.3">
      <c r="A469" t="s">
        <v>1384</v>
      </c>
      <c r="B469" t="s">
        <v>46</v>
      </c>
      <c r="C469" t="s">
        <v>4145</v>
      </c>
      <c r="D469" s="12"/>
      <c r="E469">
        <v>2.6</v>
      </c>
      <c r="F469" t="s">
        <v>225</v>
      </c>
      <c r="G469" s="25" t="s">
        <v>551</v>
      </c>
      <c r="H469" s="1" t="s">
        <v>629</v>
      </c>
      <c r="M469" t="b">
        <v>1</v>
      </c>
      <c r="N469" t="b">
        <v>1</v>
      </c>
      <c r="O469" t="b">
        <v>0</v>
      </c>
      <c r="P469" t="b">
        <v>0</v>
      </c>
      <c r="Q469" t="s">
        <v>551</v>
      </c>
      <c r="R469" t="s">
        <v>629</v>
      </c>
      <c r="U469" s="20">
        <v>2</v>
      </c>
      <c r="V469">
        <v>4</v>
      </c>
      <c r="W469">
        <v>0</v>
      </c>
      <c r="AC469" s="20">
        <v>7.41544296</v>
      </c>
      <c r="AD469" s="20">
        <v>7.4154429599999991</v>
      </c>
      <c r="AE469" s="20">
        <v>7.41544296</v>
      </c>
      <c r="AF469">
        <v>7.8</v>
      </c>
      <c r="AG469">
        <v>13.010999999999999</v>
      </c>
      <c r="AH469">
        <v>5.5460000000000003</v>
      </c>
      <c r="AI469">
        <v>0</v>
      </c>
      <c r="AM469">
        <v>14</v>
      </c>
      <c r="AN469" s="44">
        <f t="shared" si="98"/>
        <v>0</v>
      </c>
      <c r="AO469" s="46">
        <v>288.33429290182369</v>
      </c>
      <c r="AP469" s="44">
        <v>556.51188553357167</v>
      </c>
      <c r="AQ469" s="44">
        <v>0</v>
      </c>
      <c r="AR469" s="41"/>
      <c r="AS469" s="40">
        <v>9.7109503410799117E-2</v>
      </c>
      <c r="AT469" s="41">
        <v>0.10062678166578309</v>
      </c>
      <c r="AU469" s="41"/>
      <c r="AV469" s="23">
        <v>2</v>
      </c>
      <c r="AW469" s="23">
        <v>2.545454545454545</v>
      </c>
      <c r="AX469" s="23">
        <v>0.54545454545454541</v>
      </c>
      <c r="AY469" s="23">
        <v>0</v>
      </c>
      <c r="AZ469" s="23">
        <v>0.39285714285714279</v>
      </c>
      <c r="BA469" s="23">
        <v>0.5</v>
      </c>
      <c r="BB469" s="23">
        <v>0.1071428571428571</v>
      </c>
      <c r="BC469" s="23">
        <v>0</v>
      </c>
      <c r="BD469" s="20">
        <v>1.1000000000000001</v>
      </c>
      <c r="BE469" s="20">
        <v>3.44</v>
      </c>
      <c r="BF469" s="20">
        <v>2.34</v>
      </c>
      <c r="BG469" s="20">
        <v>2.669090909090909</v>
      </c>
      <c r="BH469">
        <v>2.669090909090909</v>
      </c>
      <c r="BI469">
        <v>5.9831974772727277</v>
      </c>
      <c r="BJ469" s="64">
        <v>0.52442413903612473</v>
      </c>
      <c r="BK469" s="64">
        <v>0.54341863036636606</v>
      </c>
      <c r="BL469" s="64"/>
      <c r="BN469">
        <v>4.8554751705399558E-2</v>
      </c>
      <c r="BO469">
        <v>5.0313390832891547E-2</v>
      </c>
      <c r="BQ469">
        <v>9.8868142538291098E-2</v>
      </c>
      <c r="BR469">
        <v>4.9434071269145549E-2</v>
      </c>
      <c r="BS469">
        <v>0.53392138470124539</v>
      </c>
      <c r="BT469" s="70" t="s">
        <v>1305</v>
      </c>
      <c r="BU469" s="70">
        <f t="shared" si="97"/>
        <v>1523</v>
      </c>
      <c r="BV469" s="70">
        <v>2</v>
      </c>
      <c r="BX469" s="68" t="s">
        <v>1268</v>
      </c>
      <c r="BY469" s="68" t="s">
        <v>863</v>
      </c>
      <c r="BZ469" s="68">
        <v>1</v>
      </c>
      <c r="CB469" s="68">
        <v>2</v>
      </c>
      <c r="CC469" s="68">
        <v>0</v>
      </c>
      <c r="CD469" s="68" t="s">
        <v>464</v>
      </c>
      <c r="CE469" s="68" t="s">
        <v>464</v>
      </c>
      <c r="CF469" s="68" t="s">
        <v>1266</v>
      </c>
      <c r="CG469" s="68">
        <v>450</v>
      </c>
      <c r="CH469" s="68">
        <v>200</v>
      </c>
      <c r="CI469" s="68" t="s">
        <v>1287</v>
      </c>
      <c r="CK469" s="70">
        <v>45</v>
      </c>
    </row>
    <row r="470" spans="1:89" x14ac:dyDescent="0.3">
      <c r="A470" t="s">
        <v>1385</v>
      </c>
      <c r="B470" t="s">
        <v>46</v>
      </c>
      <c r="C470" t="s">
        <v>4146</v>
      </c>
      <c r="D470" s="12"/>
      <c r="E470">
        <v>2.6</v>
      </c>
      <c r="F470" t="s">
        <v>225</v>
      </c>
      <c r="G470" s="25" t="s">
        <v>551</v>
      </c>
      <c r="H470" s="1" t="s">
        <v>629</v>
      </c>
      <c r="M470" t="b">
        <v>1</v>
      </c>
      <c r="N470" t="b">
        <v>1</v>
      </c>
      <c r="O470" t="b">
        <v>0</v>
      </c>
      <c r="P470" t="b">
        <v>0</v>
      </c>
      <c r="Q470" t="s">
        <v>551</v>
      </c>
      <c r="R470" t="s">
        <v>629</v>
      </c>
      <c r="U470" s="20">
        <v>2</v>
      </c>
      <c r="V470">
        <v>4</v>
      </c>
      <c r="W470">
        <v>0</v>
      </c>
      <c r="AC470" s="20">
        <v>7.41544296</v>
      </c>
      <c r="AD470" s="20">
        <v>7.4154429599999991</v>
      </c>
      <c r="AE470" s="20">
        <v>7.41544296</v>
      </c>
      <c r="AF470">
        <v>7.8</v>
      </c>
      <c r="AG470">
        <v>13.010999999999999</v>
      </c>
      <c r="AH470">
        <v>5.5460000000000003</v>
      </c>
      <c r="AI470">
        <v>0</v>
      </c>
      <c r="AM470">
        <v>14</v>
      </c>
      <c r="AN470" s="44">
        <f t="shared" ref="AN470:AN477" si="99">X470*Y470*Z470</f>
        <v>0</v>
      </c>
      <c r="AO470" s="46">
        <v>288.33429290182369</v>
      </c>
      <c r="AP470" s="44">
        <v>556.51188553357167</v>
      </c>
      <c r="AQ470" s="44">
        <v>0</v>
      </c>
      <c r="AR470" s="41"/>
      <c r="AS470" s="40">
        <v>9.7109503410799117E-2</v>
      </c>
      <c r="AT470" s="41">
        <v>0.10062678166578309</v>
      </c>
      <c r="AU470" s="41"/>
      <c r="AV470" s="23">
        <v>2</v>
      </c>
      <c r="AW470" s="23">
        <v>2.545454545454545</v>
      </c>
      <c r="AX470" s="23">
        <v>0.54545454545454541</v>
      </c>
      <c r="AY470" s="23">
        <v>0</v>
      </c>
      <c r="AZ470" s="23">
        <v>0.39285714285714279</v>
      </c>
      <c r="BA470" s="23">
        <v>0.5</v>
      </c>
      <c r="BB470" s="23">
        <v>0.1071428571428571</v>
      </c>
      <c r="BC470" s="23">
        <v>0</v>
      </c>
      <c r="BD470" s="20">
        <v>1.1000000000000001</v>
      </c>
      <c r="BE470" s="20">
        <v>3.44</v>
      </c>
      <c r="BF470" s="20">
        <v>2.34</v>
      </c>
      <c r="BG470" s="20">
        <v>2.669090909090909</v>
      </c>
      <c r="BH470">
        <v>2.669090909090909</v>
      </c>
      <c r="BI470">
        <v>5.9831974772727277</v>
      </c>
      <c r="BJ470" s="64">
        <v>0.52442413903612473</v>
      </c>
      <c r="BK470" s="64">
        <v>0.54341863036636606</v>
      </c>
      <c r="BL470" s="64"/>
      <c r="BN470">
        <v>4.8554751705399558E-2</v>
      </c>
      <c r="BO470">
        <v>5.0313390832891547E-2</v>
      </c>
      <c r="BQ470">
        <v>9.8868142538291098E-2</v>
      </c>
      <c r="BR470">
        <v>4.9434071269145549E-2</v>
      </c>
      <c r="BS470">
        <v>0.53392138470124539</v>
      </c>
      <c r="BT470" s="70" t="s">
        <v>1305</v>
      </c>
      <c r="BU470" s="70">
        <f t="shared" si="97"/>
        <v>1523</v>
      </c>
      <c r="BV470" s="70">
        <v>2</v>
      </c>
      <c r="BX470" s="68" t="s">
        <v>1268</v>
      </c>
      <c r="BY470" s="68" t="s">
        <v>863</v>
      </c>
      <c r="BZ470" s="68">
        <v>1</v>
      </c>
      <c r="CB470" s="68">
        <v>2</v>
      </c>
      <c r="CC470" s="68">
        <v>0</v>
      </c>
      <c r="CD470" s="68" t="s">
        <v>464</v>
      </c>
      <c r="CE470" s="68" t="s">
        <v>464</v>
      </c>
      <c r="CF470" s="68" t="s">
        <v>1266</v>
      </c>
      <c r="CG470" s="68">
        <v>450</v>
      </c>
      <c r="CH470" s="68">
        <v>200</v>
      </c>
      <c r="CI470" s="68" t="s">
        <v>1287</v>
      </c>
      <c r="CK470" s="70">
        <v>32</v>
      </c>
    </row>
    <row r="471" spans="1:89" x14ac:dyDescent="0.3">
      <c r="A471" t="s">
        <v>46</v>
      </c>
      <c r="B471" t="s">
        <v>46</v>
      </c>
      <c r="C471" t="s">
        <v>4087</v>
      </c>
      <c r="D471" s="12"/>
      <c r="E471">
        <v>3.82</v>
      </c>
      <c r="F471" t="s">
        <v>225</v>
      </c>
      <c r="G471" s="8" t="s">
        <v>551</v>
      </c>
      <c r="H471" t="s">
        <v>629</v>
      </c>
      <c r="M471" t="b">
        <v>1</v>
      </c>
      <c r="N471" t="b">
        <v>1</v>
      </c>
      <c r="O471" t="b">
        <v>0</v>
      </c>
      <c r="P471" t="b">
        <v>0</v>
      </c>
      <c r="Q471" t="s">
        <v>551</v>
      </c>
      <c r="R471" t="s">
        <v>629</v>
      </c>
      <c r="U471" s="20">
        <v>2</v>
      </c>
      <c r="V471">
        <v>4</v>
      </c>
      <c r="W471">
        <v>0</v>
      </c>
      <c r="AB471" s="1">
        <v>0</v>
      </c>
      <c r="AC471" s="20">
        <v>7.41544296</v>
      </c>
      <c r="AD471" s="20">
        <v>7.4154429599999991</v>
      </c>
      <c r="AE471" s="20">
        <v>7.41544296</v>
      </c>
      <c r="AF471">
        <v>7.8</v>
      </c>
      <c r="AG471">
        <v>13.010999999999999</v>
      </c>
      <c r="AH471">
        <v>5.5460000000000003</v>
      </c>
      <c r="AI471">
        <v>0</v>
      </c>
      <c r="AM471">
        <v>14</v>
      </c>
      <c r="AN471" s="44">
        <f t="shared" si="99"/>
        <v>0</v>
      </c>
      <c r="AO471" s="46">
        <v>288.33429290182369</v>
      </c>
      <c r="AP471" s="44">
        <v>556.51188553357167</v>
      </c>
      <c r="AQ471" s="44">
        <v>0</v>
      </c>
      <c r="AR471" s="41"/>
      <c r="AS471" s="40">
        <v>9.7109503410799117E-2</v>
      </c>
      <c r="AT471" s="41">
        <v>0.10062678166578309</v>
      </c>
      <c r="AU471" s="41"/>
      <c r="AV471" s="23">
        <v>2</v>
      </c>
      <c r="AW471" s="23">
        <v>2.545454545454545</v>
      </c>
      <c r="AX471" s="23">
        <v>0.54545454545454541</v>
      </c>
      <c r="AY471" s="23">
        <v>0</v>
      </c>
      <c r="AZ471" s="23">
        <v>0.39285714285714279</v>
      </c>
      <c r="BA471" s="23">
        <v>0.5</v>
      </c>
      <c r="BB471" s="23">
        <v>0.1071428571428571</v>
      </c>
      <c r="BC471" s="23">
        <v>0</v>
      </c>
      <c r="BD471" s="20">
        <v>1.1000000000000001</v>
      </c>
      <c r="BE471" s="20">
        <v>3.44</v>
      </c>
      <c r="BF471" s="20">
        <v>2.34</v>
      </c>
      <c r="BG471" s="20">
        <v>2.669090909090909</v>
      </c>
      <c r="BH471">
        <v>2.669090909090909</v>
      </c>
      <c r="BI471">
        <v>5.9831974772727277</v>
      </c>
      <c r="BJ471" s="64">
        <v>0.52442413903612473</v>
      </c>
      <c r="BK471" s="64">
        <v>0.54341863036636606</v>
      </c>
      <c r="BL471" s="64"/>
      <c r="BN471">
        <v>4.8554751705399558E-2</v>
      </c>
      <c r="BO471">
        <v>5.0313390832891547E-2</v>
      </c>
      <c r="BQ471">
        <v>9.8868142538291098E-2</v>
      </c>
      <c r="BR471">
        <v>4.9434071269145549E-2</v>
      </c>
      <c r="BS471">
        <v>0.53392138470124539</v>
      </c>
      <c r="BT471" s="70" t="s">
        <v>1305</v>
      </c>
      <c r="BU471" s="70">
        <f t="shared" si="97"/>
        <v>1523</v>
      </c>
      <c r="BV471" s="70">
        <v>2</v>
      </c>
      <c r="BX471" s="68" t="s">
        <v>1275</v>
      </c>
      <c r="BY471" s="68" t="s">
        <v>56</v>
      </c>
      <c r="BZ471" s="68">
        <v>1</v>
      </c>
      <c r="CB471" s="68">
        <v>2</v>
      </c>
      <c r="CC471" s="68">
        <v>0</v>
      </c>
      <c r="CD471" s="68" t="s">
        <v>464</v>
      </c>
      <c r="CE471" s="68" t="s">
        <v>464</v>
      </c>
      <c r="CF471" s="68" t="s">
        <v>1266</v>
      </c>
      <c r="CG471" s="68">
        <v>450</v>
      </c>
      <c r="CH471" s="68">
        <v>200</v>
      </c>
      <c r="CI471" s="68" t="s">
        <v>1287</v>
      </c>
      <c r="CK471" s="70">
        <v>400</v>
      </c>
    </row>
    <row r="472" spans="1:89" x14ac:dyDescent="0.3">
      <c r="A472" t="s">
        <v>1382</v>
      </c>
      <c r="B472" t="s">
        <v>46</v>
      </c>
      <c r="C472" t="s">
        <v>4143</v>
      </c>
      <c r="D472" s="12"/>
      <c r="E472">
        <v>2.2000000000000002</v>
      </c>
      <c r="F472" t="s">
        <v>225</v>
      </c>
      <c r="G472" s="25" t="s">
        <v>551</v>
      </c>
      <c r="H472" s="1" t="s">
        <v>629</v>
      </c>
      <c r="M472" t="b">
        <v>1</v>
      </c>
      <c r="N472" t="b">
        <v>1</v>
      </c>
      <c r="O472" t="b">
        <v>0</v>
      </c>
      <c r="P472" t="b">
        <v>0</v>
      </c>
      <c r="Q472" t="s">
        <v>551</v>
      </c>
      <c r="R472" t="s">
        <v>629</v>
      </c>
      <c r="U472" s="20">
        <v>2</v>
      </c>
      <c r="V472">
        <v>4</v>
      </c>
      <c r="W472">
        <v>0</v>
      </c>
      <c r="AC472" s="20">
        <v>7.41544296</v>
      </c>
      <c r="AD472" s="20">
        <v>7.4154429599999991</v>
      </c>
      <c r="AE472" s="20">
        <v>7.41544296</v>
      </c>
      <c r="AF472">
        <v>7.8</v>
      </c>
      <c r="AG472">
        <v>13.010999999999999</v>
      </c>
      <c r="AH472">
        <v>5.5460000000000003</v>
      </c>
      <c r="AI472">
        <v>0</v>
      </c>
      <c r="AM472">
        <v>14</v>
      </c>
      <c r="AN472" s="44">
        <f t="shared" si="99"/>
        <v>0</v>
      </c>
      <c r="AO472" s="46">
        <v>288.33429290182369</v>
      </c>
      <c r="AP472" s="44">
        <v>556.51188553357167</v>
      </c>
      <c r="AQ472" s="44">
        <v>0</v>
      </c>
      <c r="AR472" s="41"/>
      <c r="AS472" s="40">
        <v>9.7109503410799117E-2</v>
      </c>
      <c r="AT472" s="41">
        <v>0.10062678166578309</v>
      </c>
      <c r="AU472" s="41"/>
      <c r="AV472" s="23">
        <v>2</v>
      </c>
      <c r="AW472" s="23">
        <v>2.545454545454545</v>
      </c>
      <c r="AX472" s="23">
        <v>0.54545454545454541</v>
      </c>
      <c r="AY472" s="23">
        <v>0</v>
      </c>
      <c r="AZ472" s="23">
        <v>0.39285714285714279</v>
      </c>
      <c r="BA472" s="23">
        <v>0.5</v>
      </c>
      <c r="BB472" s="23">
        <v>0.1071428571428571</v>
      </c>
      <c r="BC472" s="23">
        <v>0</v>
      </c>
      <c r="BD472" s="20">
        <v>1.1000000000000001</v>
      </c>
      <c r="BE472" s="20">
        <v>3.44</v>
      </c>
      <c r="BF472" s="20">
        <v>2.34</v>
      </c>
      <c r="BG472" s="20">
        <v>2.669090909090909</v>
      </c>
      <c r="BH472">
        <v>2.669090909090909</v>
      </c>
      <c r="BI472">
        <v>5.9831974772727277</v>
      </c>
      <c r="BJ472" s="64">
        <v>0.52442413903612473</v>
      </c>
      <c r="BK472" s="64">
        <v>0.54341863036636606</v>
      </c>
      <c r="BL472" s="64"/>
      <c r="BN472">
        <v>4.8554751705399558E-2</v>
      </c>
      <c r="BO472">
        <v>5.0313390832891547E-2</v>
      </c>
      <c r="BQ472">
        <v>9.8868142538291098E-2</v>
      </c>
      <c r="BR472">
        <v>4.9434071269145549E-2</v>
      </c>
      <c r="BS472">
        <v>0.53392138470124539</v>
      </c>
      <c r="BT472" s="70" t="s">
        <v>1305</v>
      </c>
      <c r="BU472" s="70">
        <f t="shared" si="97"/>
        <v>1523</v>
      </c>
      <c r="BV472" s="70">
        <v>2</v>
      </c>
      <c r="BX472" s="68" t="s">
        <v>1275</v>
      </c>
      <c r="BY472" s="68" t="s">
        <v>56</v>
      </c>
      <c r="BZ472" s="68">
        <v>1</v>
      </c>
      <c r="CB472" s="68">
        <v>2</v>
      </c>
      <c r="CC472" s="68">
        <v>0</v>
      </c>
      <c r="CD472" s="68" t="s">
        <v>464</v>
      </c>
      <c r="CE472" s="68" t="s">
        <v>464</v>
      </c>
      <c r="CF472" s="68" t="s">
        <v>1266</v>
      </c>
      <c r="CG472" s="68">
        <v>450</v>
      </c>
      <c r="CH472" s="68">
        <v>200</v>
      </c>
      <c r="CI472" s="68" t="s">
        <v>1287</v>
      </c>
      <c r="CK472" s="70">
        <v>275</v>
      </c>
    </row>
    <row r="473" spans="1:89" x14ac:dyDescent="0.3">
      <c r="A473" t="s">
        <v>1384</v>
      </c>
      <c r="B473" t="s">
        <v>46</v>
      </c>
      <c r="C473" t="s">
        <v>4145</v>
      </c>
      <c r="D473" s="12"/>
      <c r="E473">
        <v>2.6</v>
      </c>
      <c r="F473" t="s">
        <v>225</v>
      </c>
      <c r="G473" s="25" t="s">
        <v>551</v>
      </c>
      <c r="H473" s="1" t="s">
        <v>629</v>
      </c>
      <c r="M473" t="b">
        <v>1</v>
      </c>
      <c r="N473" t="b">
        <v>1</v>
      </c>
      <c r="O473" t="b">
        <v>0</v>
      </c>
      <c r="P473" t="b">
        <v>0</v>
      </c>
      <c r="Q473" t="s">
        <v>551</v>
      </c>
      <c r="R473" t="s">
        <v>629</v>
      </c>
      <c r="U473" s="20">
        <v>2</v>
      </c>
      <c r="V473">
        <v>4</v>
      </c>
      <c r="W473">
        <v>0</v>
      </c>
      <c r="AC473" s="20">
        <v>7.41544296</v>
      </c>
      <c r="AD473" s="20">
        <v>7.4154429599999991</v>
      </c>
      <c r="AE473" s="20">
        <v>7.41544296</v>
      </c>
      <c r="AF473">
        <v>7.8</v>
      </c>
      <c r="AG473">
        <v>13.010999999999999</v>
      </c>
      <c r="AH473">
        <v>5.5460000000000003</v>
      </c>
      <c r="AI473">
        <v>0</v>
      </c>
      <c r="AM473">
        <v>14</v>
      </c>
      <c r="AN473" s="44">
        <f t="shared" si="99"/>
        <v>0</v>
      </c>
      <c r="AO473" s="46">
        <v>288.33429290182369</v>
      </c>
      <c r="AP473" s="44">
        <v>556.51188553357167</v>
      </c>
      <c r="AQ473" s="44">
        <v>0</v>
      </c>
      <c r="AR473" s="41"/>
      <c r="AS473" s="40">
        <v>9.7109503410799117E-2</v>
      </c>
      <c r="AT473" s="41">
        <v>0.10062678166578309</v>
      </c>
      <c r="AU473" s="41"/>
      <c r="AV473" s="23">
        <v>2</v>
      </c>
      <c r="AW473" s="23">
        <v>2.545454545454545</v>
      </c>
      <c r="AX473" s="23">
        <v>0.54545454545454541</v>
      </c>
      <c r="AY473" s="23">
        <v>0</v>
      </c>
      <c r="AZ473" s="23">
        <v>0.39285714285714279</v>
      </c>
      <c r="BA473" s="23">
        <v>0.5</v>
      </c>
      <c r="BB473" s="23">
        <v>0.1071428571428571</v>
      </c>
      <c r="BC473" s="23">
        <v>0</v>
      </c>
      <c r="BD473" s="20">
        <v>1.1000000000000001</v>
      </c>
      <c r="BE473" s="20">
        <v>3.44</v>
      </c>
      <c r="BF473" s="20">
        <v>2.34</v>
      </c>
      <c r="BG473" s="20">
        <v>2.669090909090909</v>
      </c>
      <c r="BH473">
        <v>2.669090909090909</v>
      </c>
      <c r="BI473">
        <v>5.9831974772727277</v>
      </c>
      <c r="BJ473" s="64">
        <v>0.52442413903612473</v>
      </c>
      <c r="BK473" s="64">
        <v>0.54341863036636606</v>
      </c>
      <c r="BL473" s="64"/>
      <c r="BN473">
        <v>4.8554751705399558E-2</v>
      </c>
      <c r="BO473">
        <v>5.0313390832891547E-2</v>
      </c>
      <c r="BQ473">
        <v>9.8868142538291098E-2</v>
      </c>
      <c r="BR473">
        <v>4.9434071269145549E-2</v>
      </c>
      <c r="BS473">
        <v>0.53392138470124539</v>
      </c>
      <c r="BT473" s="70" t="s">
        <v>1305</v>
      </c>
      <c r="BU473" s="70">
        <f t="shared" si="97"/>
        <v>1523</v>
      </c>
      <c r="BV473" s="70">
        <v>2</v>
      </c>
      <c r="BX473" s="68" t="s">
        <v>1275</v>
      </c>
      <c r="BY473" s="68" t="s">
        <v>56</v>
      </c>
      <c r="BZ473" s="68">
        <v>1</v>
      </c>
      <c r="CB473" s="68">
        <v>2</v>
      </c>
      <c r="CC473" s="68">
        <v>0</v>
      </c>
      <c r="CD473" s="68" t="s">
        <v>464</v>
      </c>
      <c r="CE473" s="68" t="s">
        <v>464</v>
      </c>
      <c r="CF473" s="68" t="s">
        <v>1266</v>
      </c>
      <c r="CG473" s="68">
        <v>450</v>
      </c>
      <c r="CH473" s="68">
        <v>200</v>
      </c>
      <c r="CI473" s="68" t="s">
        <v>1287</v>
      </c>
      <c r="CK473" s="70">
        <v>269</v>
      </c>
    </row>
    <row r="474" spans="1:89" x14ac:dyDescent="0.3">
      <c r="A474" t="s">
        <v>46</v>
      </c>
      <c r="B474" t="s">
        <v>46</v>
      </c>
      <c r="C474" t="s">
        <v>4087</v>
      </c>
      <c r="D474" s="12"/>
      <c r="E474">
        <v>3.82</v>
      </c>
      <c r="F474" t="s">
        <v>225</v>
      </c>
      <c r="G474" s="8" t="s">
        <v>551</v>
      </c>
      <c r="H474" t="s">
        <v>629</v>
      </c>
      <c r="M474" t="b">
        <v>1</v>
      </c>
      <c r="N474" t="b">
        <v>1</v>
      </c>
      <c r="O474" t="b">
        <v>0</v>
      </c>
      <c r="P474" t="b">
        <v>0</v>
      </c>
      <c r="Q474" t="s">
        <v>551</v>
      </c>
      <c r="R474" t="s">
        <v>629</v>
      </c>
      <c r="U474" s="20">
        <v>2</v>
      </c>
      <c r="V474">
        <v>4</v>
      </c>
      <c r="W474">
        <v>0</v>
      </c>
      <c r="AB474" s="1">
        <v>0</v>
      </c>
      <c r="AC474" s="20">
        <v>7.41544296</v>
      </c>
      <c r="AD474" s="20">
        <v>7.4154429599999991</v>
      </c>
      <c r="AE474" s="20">
        <v>7.41544296</v>
      </c>
      <c r="AF474">
        <v>7.8</v>
      </c>
      <c r="AG474">
        <v>13.010999999999999</v>
      </c>
      <c r="AH474">
        <v>5.5460000000000003</v>
      </c>
      <c r="AI474">
        <v>0</v>
      </c>
      <c r="AM474">
        <v>14</v>
      </c>
      <c r="AN474" s="44">
        <f t="shared" si="99"/>
        <v>0</v>
      </c>
      <c r="AO474" s="46">
        <v>288.33429290182369</v>
      </c>
      <c r="AP474" s="44">
        <v>556.51188553357167</v>
      </c>
      <c r="AQ474" s="44">
        <v>0</v>
      </c>
      <c r="AR474" s="41"/>
      <c r="AS474" s="40">
        <v>9.7109503410799117E-2</v>
      </c>
      <c r="AT474" s="41">
        <v>0.10062678166578309</v>
      </c>
      <c r="AU474" s="41"/>
      <c r="AV474" s="23">
        <v>2</v>
      </c>
      <c r="AW474" s="23">
        <v>2.545454545454545</v>
      </c>
      <c r="AX474" s="23">
        <v>0.54545454545454541</v>
      </c>
      <c r="AY474" s="23">
        <v>0</v>
      </c>
      <c r="AZ474" s="23">
        <v>0.39285714285714279</v>
      </c>
      <c r="BA474" s="23">
        <v>0.5</v>
      </c>
      <c r="BB474" s="23">
        <v>0.1071428571428571</v>
      </c>
      <c r="BC474" s="23">
        <v>0</v>
      </c>
      <c r="BD474" s="20">
        <v>1.1000000000000001</v>
      </c>
      <c r="BE474" s="20">
        <v>3.44</v>
      </c>
      <c r="BF474" s="20">
        <v>2.34</v>
      </c>
      <c r="BG474" s="20">
        <v>2.669090909090909</v>
      </c>
      <c r="BH474">
        <v>2.669090909090909</v>
      </c>
      <c r="BI474">
        <v>5.9831974772727277</v>
      </c>
      <c r="BJ474" s="64">
        <v>0.52442413903612473</v>
      </c>
      <c r="BK474" s="64">
        <v>0.54341863036636606</v>
      </c>
      <c r="BL474" s="64"/>
      <c r="BN474">
        <v>4.8554751705399558E-2</v>
      </c>
      <c r="BO474">
        <v>5.0313390832891547E-2</v>
      </c>
      <c r="BQ474">
        <v>9.8868142538291098E-2</v>
      </c>
      <c r="BR474">
        <v>4.9434071269145549E-2</v>
      </c>
      <c r="BS474">
        <v>0.53392138470124539</v>
      </c>
      <c r="BT474" s="70" t="s">
        <v>1305</v>
      </c>
      <c r="BU474" s="70">
        <f t="shared" si="97"/>
        <v>1523</v>
      </c>
      <c r="BV474" s="70">
        <v>2</v>
      </c>
      <c r="BX474" s="68" t="s">
        <v>1268</v>
      </c>
      <c r="BY474" s="68" t="s">
        <v>863</v>
      </c>
      <c r="BZ474" s="68">
        <v>1</v>
      </c>
      <c r="CB474" s="68">
        <v>3.33</v>
      </c>
      <c r="CC474" s="68">
        <v>33.299999999999997</v>
      </c>
      <c r="CD474" s="68" t="s">
        <v>464</v>
      </c>
      <c r="CE474" s="68" t="s">
        <v>464</v>
      </c>
      <c r="CF474" s="68" t="s">
        <v>1266</v>
      </c>
      <c r="CG474" s="68">
        <v>500</v>
      </c>
      <c r="CH474" s="68">
        <v>420</v>
      </c>
      <c r="CI474" s="68" t="s">
        <v>1310</v>
      </c>
      <c r="CK474" s="70">
        <v>0</v>
      </c>
    </row>
    <row r="475" spans="1:89" x14ac:dyDescent="0.3">
      <c r="A475" t="s">
        <v>1382</v>
      </c>
      <c r="B475" t="s">
        <v>46</v>
      </c>
      <c r="C475" t="s">
        <v>4143</v>
      </c>
      <c r="D475" s="12"/>
      <c r="E475">
        <v>2.2000000000000002</v>
      </c>
      <c r="F475" t="s">
        <v>225</v>
      </c>
      <c r="G475" s="25" t="s">
        <v>551</v>
      </c>
      <c r="H475" s="1" t="s">
        <v>629</v>
      </c>
      <c r="M475" t="b">
        <v>1</v>
      </c>
      <c r="N475" t="b">
        <v>1</v>
      </c>
      <c r="O475" t="b">
        <v>0</v>
      </c>
      <c r="P475" t="b">
        <v>0</v>
      </c>
      <c r="Q475" t="s">
        <v>551</v>
      </c>
      <c r="R475" t="s">
        <v>629</v>
      </c>
      <c r="U475" s="20">
        <v>2</v>
      </c>
      <c r="V475">
        <v>4</v>
      </c>
      <c r="W475">
        <v>0</v>
      </c>
      <c r="AC475" s="20">
        <v>7.41544296</v>
      </c>
      <c r="AD475" s="20">
        <v>7.4154429599999991</v>
      </c>
      <c r="AE475" s="20">
        <v>7.41544296</v>
      </c>
      <c r="AF475">
        <v>7.8</v>
      </c>
      <c r="AG475">
        <v>13.010999999999999</v>
      </c>
      <c r="AH475">
        <v>5.5460000000000003</v>
      </c>
      <c r="AI475">
        <v>0</v>
      </c>
      <c r="AM475">
        <v>14</v>
      </c>
      <c r="AN475" s="44">
        <f t="shared" si="99"/>
        <v>0</v>
      </c>
      <c r="AO475" s="46">
        <v>288.33429290182369</v>
      </c>
      <c r="AP475" s="44">
        <v>556.51188553357167</v>
      </c>
      <c r="AQ475" s="44">
        <v>0</v>
      </c>
      <c r="AR475" s="41"/>
      <c r="AS475" s="40">
        <v>9.7109503410799117E-2</v>
      </c>
      <c r="AT475" s="41">
        <v>0.10062678166578309</v>
      </c>
      <c r="AU475" s="41"/>
      <c r="AV475" s="23">
        <v>2</v>
      </c>
      <c r="AW475" s="23">
        <v>2.545454545454545</v>
      </c>
      <c r="AX475" s="23">
        <v>0.54545454545454541</v>
      </c>
      <c r="AY475" s="23">
        <v>0</v>
      </c>
      <c r="AZ475" s="23">
        <v>0.39285714285714279</v>
      </c>
      <c r="BA475" s="23">
        <v>0.5</v>
      </c>
      <c r="BB475" s="23">
        <v>0.1071428571428571</v>
      </c>
      <c r="BC475" s="23">
        <v>0</v>
      </c>
      <c r="BD475" s="20">
        <v>1.1000000000000001</v>
      </c>
      <c r="BE475" s="20">
        <v>3.44</v>
      </c>
      <c r="BF475" s="20">
        <v>2.34</v>
      </c>
      <c r="BG475" s="20">
        <v>2.669090909090909</v>
      </c>
      <c r="BH475">
        <v>2.669090909090909</v>
      </c>
      <c r="BI475">
        <v>5.9831974772727277</v>
      </c>
      <c r="BJ475" s="64">
        <v>0.52442413903612473</v>
      </c>
      <c r="BK475" s="64">
        <v>0.54341863036636606</v>
      </c>
      <c r="BL475" s="64"/>
      <c r="BN475">
        <v>4.8554751705399558E-2</v>
      </c>
      <c r="BO475">
        <v>5.0313390832891547E-2</v>
      </c>
      <c r="BQ475">
        <v>9.8868142538291098E-2</v>
      </c>
      <c r="BR475">
        <v>4.9434071269145549E-2</v>
      </c>
      <c r="BS475">
        <v>0.53392138470124539</v>
      </c>
      <c r="BT475" s="70" t="s">
        <v>1305</v>
      </c>
      <c r="BU475" s="70">
        <f t="shared" si="97"/>
        <v>1523</v>
      </c>
      <c r="BV475" s="70">
        <v>2</v>
      </c>
      <c r="BX475" s="68" t="s">
        <v>1268</v>
      </c>
      <c r="BY475" s="68" t="s">
        <v>863</v>
      </c>
      <c r="BZ475" s="68">
        <v>1</v>
      </c>
      <c r="CB475" s="68">
        <v>3.33</v>
      </c>
      <c r="CC475" s="68">
        <v>33.299999999999997</v>
      </c>
      <c r="CD475" s="68" t="s">
        <v>464</v>
      </c>
      <c r="CE475" s="68" t="s">
        <v>464</v>
      </c>
      <c r="CF475" s="68" t="s">
        <v>1266</v>
      </c>
      <c r="CG475" s="68">
        <v>500</v>
      </c>
      <c r="CH475" s="68">
        <v>420</v>
      </c>
      <c r="CI475" s="68" t="s">
        <v>1310</v>
      </c>
      <c r="CK475" s="70">
        <v>30</v>
      </c>
    </row>
    <row r="476" spans="1:89" x14ac:dyDescent="0.3">
      <c r="A476" t="s">
        <v>1383</v>
      </c>
      <c r="B476" t="s">
        <v>46</v>
      </c>
      <c r="C476" t="s">
        <v>4144</v>
      </c>
      <c r="D476" s="12"/>
      <c r="E476">
        <v>2.2000000000000002</v>
      </c>
      <c r="F476" t="s">
        <v>225</v>
      </c>
      <c r="G476" s="25" t="s">
        <v>551</v>
      </c>
      <c r="H476" s="1" t="s">
        <v>629</v>
      </c>
      <c r="M476" t="b">
        <v>1</v>
      </c>
      <c r="N476" t="b">
        <v>1</v>
      </c>
      <c r="O476" t="b">
        <v>0</v>
      </c>
      <c r="P476" t="b">
        <v>0</v>
      </c>
      <c r="Q476" t="s">
        <v>551</v>
      </c>
      <c r="R476" t="s">
        <v>629</v>
      </c>
      <c r="U476" s="20">
        <v>2</v>
      </c>
      <c r="V476">
        <v>4</v>
      </c>
      <c r="W476">
        <v>0</v>
      </c>
      <c r="AC476" s="20">
        <v>7.41544296</v>
      </c>
      <c r="AD476" s="20">
        <v>7.4154429599999991</v>
      </c>
      <c r="AE476" s="20">
        <v>7.41544296</v>
      </c>
      <c r="AF476">
        <v>7.8</v>
      </c>
      <c r="AG476">
        <v>13.010999999999999</v>
      </c>
      <c r="AH476">
        <v>5.5460000000000003</v>
      </c>
      <c r="AI476">
        <v>0</v>
      </c>
      <c r="AM476">
        <v>14</v>
      </c>
      <c r="AN476" s="44">
        <f t="shared" si="99"/>
        <v>0</v>
      </c>
      <c r="AO476" s="46">
        <v>288.33429290182369</v>
      </c>
      <c r="AP476" s="44">
        <v>556.51188553357167</v>
      </c>
      <c r="AQ476" s="44">
        <v>0</v>
      </c>
      <c r="AR476" s="41"/>
      <c r="AS476" s="40">
        <v>9.7109503410799117E-2</v>
      </c>
      <c r="AT476" s="41">
        <v>0.10062678166578309</v>
      </c>
      <c r="AU476" s="41"/>
      <c r="AV476" s="23">
        <v>2</v>
      </c>
      <c r="AW476" s="23">
        <v>2.545454545454545</v>
      </c>
      <c r="AX476" s="23">
        <v>0.54545454545454541</v>
      </c>
      <c r="AY476" s="23">
        <v>0</v>
      </c>
      <c r="AZ476" s="23">
        <v>0.39285714285714279</v>
      </c>
      <c r="BA476" s="23">
        <v>0.5</v>
      </c>
      <c r="BB476" s="23">
        <v>0.1071428571428571</v>
      </c>
      <c r="BC476" s="23">
        <v>0</v>
      </c>
      <c r="BD476" s="20">
        <v>1.1000000000000001</v>
      </c>
      <c r="BE476" s="20">
        <v>3.44</v>
      </c>
      <c r="BF476" s="20">
        <v>2.34</v>
      </c>
      <c r="BG476" s="20">
        <v>2.669090909090909</v>
      </c>
      <c r="BH476">
        <v>2.669090909090909</v>
      </c>
      <c r="BI476">
        <v>5.9831974772727277</v>
      </c>
      <c r="BJ476" s="64">
        <v>0.52442413903612473</v>
      </c>
      <c r="BK476" s="64">
        <v>0.54341863036636606</v>
      </c>
      <c r="BL476" s="64"/>
      <c r="BN476">
        <v>4.8554751705399558E-2</v>
      </c>
      <c r="BO476">
        <v>5.0313390832891547E-2</v>
      </c>
      <c r="BQ476">
        <v>9.8868142538291098E-2</v>
      </c>
      <c r="BR476">
        <v>4.9434071269145549E-2</v>
      </c>
      <c r="BS476">
        <v>0.53392138470124539</v>
      </c>
      <c r="BT476" s="70" t="s">
        <v>1305</v>
      </c>
      <c r="BU476" s="70">
        <f t="shared" si="97"/>
        <v>1523</v>
      </c>
      <c r="BV476" s="70">
        <v>2</v>
      </c>
      <c r="BX476" s="68" t="s">
        <v>1268</v>
      </c>
      <c r="BY476" s="68" t="s">
        <v>863</v>
      </c>
      <c r="BZ476" s="68">
        <v>1</v>
      </c>
      <c r="CB476" s="68">
        <v>3.33</v>
      </c>
      <c r="CC476" s="68">
        <v>33.299999999999997</v>
      </c>
      <c r="CD476" s="68" t="s">
        <v>464</v>
      </c>
      <c r="CE476" s="68" t="s">
        <v>464</v>
      </c>
      <c r="CF476" s="68" t="s">
        <v>1266</v>
      </c>
      <c r="CG476" s="68">
        <v>500</v>
      </c>
      <c r="CH476" s="68">
        <v>420</v>
      </c>
      <c r="CI476" s="68" t="s">
        <v>1310</v>
      </c>
      <c r="CK476" s="70">
        <v>16</v>
      </c>
    </row>
    <row r="477" spans="1:89" x14ac:dyDescent="0.3">
      <c r="A477" t="s">
        <v>1384</v>
      </c>
      <c r="B477" t="s">
        <v>46</v>
      </c>
      <c r="C477" t="s">
        <v>4145</v>
      </c>
      <c r="D477" s="12"/>
      <c r="E477">
        <v>2.6</v>
      </c>
      <c r="F477" t="s">
        <v>225</v>
      </c>
      <c r="G477" s="25" t="s">
        <v>551</v>
      </c>
      <c r="H477" s="1" t="s">
        <v>629</v>
      </c>
      <c r="M477" t="b">
        <v>1</v>
      </c>
      <c r="N477" t="b">
        <v>1</v>
      </c>
      <c r="O477" t="b">
        <v>0</v>
      </c>
      <c r="P477" t="b">
        <v>0</v>
      </c>
      <c r="Q477" t="s">
        <v>551</v>
      </c>
      <c r="R477" t="s">
        <v>629</v>
      </c>
      <c r="U477" s="20">
        <v>2</v>
      </c>
      <c r="V477">
        <v>4</v>
      </c>
      <c r="W477">
        <v>0</v>
      </c>
      <c r="AC477" s="20">
        <v>7.41544296</v>
      </c>
      <c r="AD477" s="20">
        <v>7.4154429599999991</v>
      </c>
      <c r="AE477" s="20">
        <v>7.41544296</v>
      </c>
      <c r="AF477">
        <v>7.8</v>
      </c>
      <c r="AG477">
        <v>13.010999999999999</v>
      </c>
      <c r="AH477">
        <v>5.5460000000000003</v>
      </c>
      <c r="AI477">
        <v>0</v>
      </c>
      <c r="AM477">
        <v>14</v>
      </c>
      <c r="AN477" s="44">
        <f t="shared" si="99"/>
        <v>0</v>
      </c>
      <c r="AO477" s="46">
        <v>288.33429290182369</v>
      </c>
      <c r="AP477" s="44">
        <v>556.51188553357167</v>
      </c>
      <c r="AQ477" s="44">
        <v>0</v>
      </c>
      <c r="AR477" s="41"/>
      <c r="AS477" s="40">
        <v>9.7109503410799117E-2</v>
      </c>
      <c r="AT477" s="41">
        <v>0.10062678166578309</v>
      </c>
      <c r="AU477" s="41"/>
      <c r="AV477" s="23">
        <v>2</v>
      </c>
      <c r="AW477" s="23">
        <v>2.545454545454545</v>
      </c>
      <c r="AX477" s="23">
        <v>0.54545454545454541</v>
      </c>
      <c r="AY477" s="23">
        <v>0</v>
      </c>
      <c r="AZ477" s="23">
        <v>0.39285714285714279</v>
      </c>
      <c r="BA477" s="23">
        <v>0.5</v>
      </c>
      <c r="BB477" s="23">
        <v>0.1071428571428571</v>
      </c>
      <c r="BC477" s="23">
        <v>0</v>
      </c>
      <c r="BD477" s="20">
        <v>1.1000000000000001</v>
      </c>
      <c r="BE477" s="20">
        <v>3.44</v>
      </c>
      <c r="BF477" s="20">
        <v>2.34</v>
      </c>
      <c r="BG477" s="20">
        <v>2.669090909090909</v>
      </c>
      <c r="BH477">
        <v>2.669090909090909</v>
      </c>
      <c r="BI477">
        <v>5.9831974772727277</v>
      </c>
      <c r="BJ477" s="64">
        <v>0.52442413903612473</v>
      </c>
      <c r="BK477" s="64">
        <v>0.54341863036636606</v>
      </c>
      <c r="BL477" s="64"/>
      <c r="BN477">
        <v>4.8554751705399558E-2</v>
      </c>
      <c r="BO477">
        <v>5.0313390832891547E-2</v>
      </c>
      <c r="BQ477">
        <v>9.8868142538291098E-2</v>
      </c>
      <c r="BR477">
        <v>4.9434071269145549E-2</v>
      </c>
      <c r="BS477">
        <v>0.53392138470124539</v>
      </c>
      <c r="BT477" s="70" t="s">
        <v>1305</v>
      </c>
      <c r="BU477" s="70">
        <f t="shared" si="97"/>
        <v>1523</v>
      </c>
      <c r="BV477" s="70">
        <v>2</v>
      </c>
      <c r="BX477" s="68" t="s">
        <v>1268</v>
      </c>
      <c r="BY477" s="68" t="s">
        <v>863</v>
      </c>
      <c r="BZ477" s="68">
        <v>1</v>
      </c>
      <c r="CB477" s="68">
        <v>3.33</v>
      </c>
      <c r="CC477" s="68">
        <v>33.299999999999997</v>
      </c>
      <c r="CD477" s="68" t="s">
        <v>464</v>
      </c>
      <c r="CE477" s="68" t="s">
        <v>464</v>
      </c>
      <c r="CF477" s="68" t="s">
        <v>1266</v>
      </c>
      <c r="CG477" s="68">
        <v>500</v>
      </c>
      <c r="CH477" s="68">
        <v>420</v>
      </c>
      <c r="CI477" s="68" t="s">
        <v>1310</v>
      </c>
      <c r="CK477" s="70">
        <v>20</v>
      </c>
    </row>
    <row r="478" spans="1:89" x14ac:dyDescent="0.3">
      <c r="A478" t="s">
        <v>1385</v>
      </c>
      <c r="B478" t="s">
        <v>46</v>
      </c>
      <c r="C478" t="s">
        <v>4146</v>
      </c>
      <c r="D478" s="12"/>
      <c r="E478">
        <v>2.6</v>
      </c>
      <c r="F478" t="s">
        <v>225</v>
      </c>
      <c r="G478" s="25" t="s">
        <v>551</v>
      </c>
      <c r="H478" s="1" t="s">
        <v>629</v>
      </c>
      <c r="M478" t="b">
        <v>1</v>
      </c>
      <c r="N478" t="b">
        <v>1</v>
      </c>
      <c r="O478" t="b">
        <v>0</v>
      </c>
      <c r="P478" t="b">
        <v>0</v>
      </c>
      <c r="Q478" t="s">
        <v>551</v>
      </c>
      <c r="R478" t="s">
        <v>629</v>
      </c>
      <c r="U478" s="20">
        <v>2</v>
      </c>
      <c r="V478">
        <v>4</v>
      </c>
      <c r="W478">
        <v>0</v>
      </c>
      <c r="AC478" s="20">
        <v>7.41544296</v>
      </c>
      <c r="AD478" s="20">
        <v>7.4154429599999991</v>
      </c>
      <c r="AE478" s="20">
        <v>7.41544296</v>
      </c>
      <c r="AF478">
        <v>7.8</v>
      </c>
      <c r="AG478">
        <v>13.010999999999999</v>
      </c>
      <c r="AH478">
        <v>5.5460000000000003</v>
      </c>
      <c r="AI478">
        <v>0</v>
      </c>
      <c r="AM478">
        <v>14</v>
      </c>
      <c r="AN478" s="44">
        <f t="shared" ref="AN478:AN481" si="100">X478*Y478*Z478</f>
        <v>0</v>
      </c>
      <c r="AO478" s="46">
        <v>288.33429290182369</v>
      </c>
      <c r="AP478" s="44">
        <v>556.51188553357167</v>
      </c>
      <c r="AQ478" s="44">
        <v>0</v>
      </c>
      <c r="AR478" s="41"/>
      <c r="AS478" s="40">
        <v>9.7109503410799117E-2</v>
      </c>
      <c r="AT478" s="41">
        <v>0.10062678166578309</v>
      </c>
      <c r="AU478" s="41"/>
      <c r="AV478" s="23">
        <v>2</v>
      </c>
      <c r="AW478" s="23">
        <v>2.545454545454545</v>
      </c>
      <c r="AX478" s="23">
        <v>0.54545454545454541</v>
      </c>
      <c r="AY478" s="23">
        <v>0</v>
      </c>
      <c r="AZ478" s="23">
        <v>0.39285714285714279</v>
      </c>
      <c r="BA478" s="23">
        <v>0.5</v>
      </c>
      <c r="BB478" s="23">
        <v>0.1071428571428571</v>
      </c>
      <c r="BC478" s="23">
        <v>0</v>
      </c>
      <c r="BD478" s="20">
        <v>1.1000000000000001</v>
      </c>
      <c r="BE478" s="20">
        <v>3.44</v>
      </c>
      <c r="BF478" s="20">
        <v>2.34</v>
      </c>
      <c r="BG478" s="20">
        <v>2.669090909090909</v>
      </c>
      <c r="BH478">
        <v>2.669090909090909</v>
      </c>
      <c r="BI478">
        <v>5.9831974772727277</v>
      </c>
      <c r="BJ478" s="64">
        <v>0.52442413903612473</v>
      </c>
      <c r="BK478" s="64">
        <v>0.54341863036636606</v>
      </c>
      <c r="BL478" s="64"/>
      <c r="BN478">
        <v>4.8554751705399558E-2</v>
      </c>
      <c r="BO478">
        <v>5.0313390832891547E-2</v>
      </c>
      <c r="BQ478">
        <v>9.8868142538291098E-2</v>
      </c>
      <c r="BR478">
        <v>4.9434071269145549E-2</v>
      </c>
      <c r="BS478">
        <v>0.53392138470124539</v>
      </c>
      <c r="BT478" s="70" t="s">
        <v>1305</v>
      </c>
      <c r="BU478" s="70">
        <f t="shared" si="97"/>
        <v>1523</v>
      </c>
      <c r="BV478" s="70">
        <v>2</v>
      </c>
      <c r="BX478" s="68" t="s">
        <v>1268</v>
      </c>
      <c r="BY478" s="68" t="s">
        <v>863</v>
      </c>
      <c r="BZ478" s="68">
        <v>1</v>
      </c>
      <c r="CB478" s="68">
        <v>3.33</v>
      </c>
      <c r="CC478" s="68">
        <v>33.299999999999997</v>
      </c>
      <c r="CD478" s="68" t="s">
        <v>464</v>
      </c>
      <c r="CE478" s="68" t="s">
        <v>464</v>
      </c>
      <c r="CF478" s="68" t="s">
        <v>1266</v>
      </c>
      <c r="CG478" s="68">
        <v>500</v>
      </c>
      <c r="CH478" s="68">
        <v>420</v>
      </c>
      <c r="CI478" s="68" t="s">
        <v>1310</v>
      </c>
      <c r="CK478" s="70">
        <v>10</v>
      </c>
    </row>
    <row r="479" spans="1:89" x14ac:dyDescent="0.3">
      <c r="A479" t="s">
        <v>46</v>
      </c>
      <c r="B479" t="s">
        <v>46</v>
      </c>
      <c r="C479" t="s">
        <v>4087</v>
      </c>
      <c r="D479" s="12"/>
      <c r="E479">
        <v>3.82</v>
      </c>
      <c r="F479" t="s">
        <v>225</v>
      </c>
      <c r="G479" s="8" t="s">
        <v>551</v>
      </c>
      <c r="H479" t="s">
        <v>629</v>
      </c>
      <c r="M479" t="b">
        <v>1</v>
      </c>
      <c r="N479" t="b">
        <v>1</v>
      </c>
      <c r="O479" t="b">
        <v>0</v>
      </c>
      <c r="P479" t="b">
        <v>0</v>
      </c>
      <c r="Q479" t="s">
        <v>551</v>
      </c>
      <c r="R479" t="s">
        <v>629</v>
      </c>
      <c r="U479" s="20">
        <v>2</v>
      </c>
      <c r="V479">
        <v>4</v>
      </c>
      <c r="W479">
        <v>0</v>
      </c>
      <c r="AB479" s="1">
        <v>0</v>
      </c>
      <c r="AC479" s="20">
        <v>7.41544296</v>
      </c>
      <c r="AD479" s="20">
        <v>7.4154429599999991</v>
      </c>
      <c r="AE479" s="20">
        <v>7.41544296</v>
      </c>
      <c r="AF479">
        <v>7.8</v>
      </c>
      <c r="AG479">
        <v>13.010999999999999</v>
      </c>
      <c r="AH479">
        <v>5.5460000000000003</v>
      </c>
      <c r="AI479">
        <v>0</v>
      </c>
      <c r="AM479">
        <v>14</v>
      </c>
      <c r="AN479" s="44">
        <f t="shared" si="100"/>
        <v>0</v>
      </c>
      <c r="AO479" s="46">
        <v>288.33429290182369</v>
      </c>
      <c r="AP479" s="44">
        <v>556.51188553357167</v>
      </c>
      <c r="AQ479" s="44">
        <v>0</v>
      </c>
      <c r="AR479" s="41"/>
      <c r="AS479" s="40">
        <v>9.7109503410799117E-2</v>
      </c>
      <c r="AT479" s="41">
        <v>0.10062678166578309</v>
      </c>
      <c r="AU479" s="41"/>
      <c r="AV479" s="23">
        <v>2</v>
      </c>
      <c r="AW479" s="23">
        <v>2.545454545454545</v>
      </c>
      <c r="AX479" s="23">
        <v>0.54545454545454541</v>
      </c>
      <c r="AY479" s="23">
        <v>0</v>
      </c>
      <c r="AZ479" s="23">
        <v>0.39285714285714279</v>
      </c>
      <c r="BA479" s="23">
        <v>0.5</v>
      </c>
      <c r="BB479" s="23">
        <v>0.1071428571428571</v>
      </c>
      <c r="BC479" s="23">
        <v>0</v>
      </c>
      <c r="BD479" s="20">
        <v>1.1000000000000001</v>
      </c>
      <c r="BE479" s="20">
        <v>3.44</v>
      </c>
      <c r="BF479" s="20">
        <v>2.34</v>
      </c>
      <c r="BG479" s="20">
        <v>2.669090909090909</v>
      </c>
      <c r="BH479">
        <v>2.669090909090909</v>
      </c>
      <c r="BI479">
        <v>5.9831974772727277</v>
      </c>
      <c r="BJ479" s="64">
        <v>0.52442413903612473</v>
      </c>
      <c r="BK479" s="64">
        <v>0.54341863036636606</v>
      </c>
      <c r="BL479" s="64"/>
      <c r="BN479">
        <v>4.8554751705399558E-2</v>
      </c>
      <c r="BO479">
        <v>5.0313390832891547E-2</v>
      </c>
      <c r="BQ479">
        <v>9.8868142538291098E-2</v>
      </c>
      <c r="BR479">
        <v>4.9434071269145549E-2</v>
      </c>
      <c r="BS479">
        <v>0.53392138470124539</v>
      </c>
      <c r="BT479" s="70" t="s">
        <v>1305</v>
      </c>
      <c r="BU479" s="70">
        <f t="shared" si="97"/>
        <v>1523</v>
      </c>
      <c r="BV479" s="70">
        <v>2</v>
      </c>
      <c r="BX479" s="68" t="s">
        <v>1275</v>
      </c>
      <c r="BY479" s="68" t="s">
        <v>56</v>
      </c>
      <c r="BZ479" s="68">
        <v>1</v>
      </c>
      <c r="CB479" s="68">
        <v>3.33</v>
      </c>
      <c r="CC479" s="68">
        <v>33.299999999999997</v>
      </c>
      <c r="CD479" s="68" t="s">
        <v>464</v>
      </c>
      <c r="CE479" s="68" t="s">
        <v>464</v>
      </c>
      <c r="CF479" s="68" t="s">
        <v>1266</v>
      </c>
      <c r="CG479" s="68">
        <v>500</v>
      </c>
      <c r="CH479" s="68">
        <v>420</v>
      </c>
      <c r="CI479" s="68" t="s">
        <v>1310</v>
      </c>
      <c r="CK479" s="70">
        <v>0</v>
      </c>
    </row>
    <row r="480" spans="1:89" x14ac:dyDescent="0.3">
      <c r="A480" t="s">
        <v>1382</v>
      </c>
      <c r="B480" t="s">
        <v>46</v>
      </c>
      <c r="C480" t="s">
        <v>4143</v>
      </c>
      <c r="D480" s="12"/>
      <c r="E480">
        <v>2.2000000000000002</v>
      </c>
      <c r="F480" t="s">
        <v>225</v>
      </c>
      <c r="G480" s="25" t="s">
        <v>551</v>
      </c>
      <c r="H480" s="1" t="s">
        <v>629</v>
      </c>
      <c r="M480" t="b">
        <v>1</v>
      </c>
      <c r="N480" t="b">
        <v>1</v>
      </c>
      <c r="O480" t="b">
        <v>0</v>
      </c>
      <c r="P480" t="b">
        <v>0</v>
      </c>
      <c r="Q480" t="s">
        <v>551</v>
      </c>
      <c r="R480" t="s">
        <v>629</v>
      </c>
      <c r="U480" s="20">
        <v>2</v>
      </c>
      <c r="V480">
        <v>4</v>
      </c>
      <c r="W480">
        <v>0</v>
      </c>
      <c r="AC480" s="20">
        <v>7.41544296</v>
      </c>
      <c r="AD480" s="20">
        <v>7.4154429599999991</v>
      </c>
      <c r="AE480" s="20">
        <v>7.41544296</v>
      </c>
      <c r="AF480">
        <v>7.8</v>
      </c>
      <c r="AG480">
        <v>13.010999999999999</v>
      </c>
      <c r="AH480">
        <v>5.5460000000000003</v>
      </c>
      <c r="AI480">
        <v>0</v>
      </c>
      <c r="AM480">
        <v>14</v>
      </c>
      <c r="AN480" s="44">
        <f t="shared" si="100"/>
        <v>0</v>
      </c>
      <c r="AO480" s="46">
        <v>288.33429290182369</v>
      </c>
      <c r="AP480" s="44">
        <v>556.51188553357167</v>
      </c>
      <c r="AQ480" s="44">
        <v>0</v>
      </c>
      <c r="AR480" s="41"/>
      <c r="AS480" s="40">
        <v>9.7109503410799117E-2</v>
      </c>
      <c r="AT480" s="41">
        <v>0.10062678166578309</v>
      </c>
      <c r="AU480" s="41"/>
      <c r="AV480" s="23">
        <v>2</v>
      </c>
      <c r="AW480" s="23">
        <v>2.545454545454545</v>
      </c>
      <c r="AX480" s="23">
        <v>0.54545454545454541</v>
      </c>
      <c r="AY480" s="23">
        <v>0</v>
      </c>
      <c r="AZ480" s="23">
        <v>0.39285714285714279</v>
      </c>
      <c r="BA480" s="23">
        <v>0.5</v>
      </c>
      <c r="BB480" s="23">
        <v>0.1071428571428571</v>
      </c>
      <c r="BC480" s="23">
        <v>0</v>
      </c>
      <c r="BD480" s="20">
        <v>1.1000000000000001</v>
      </c>
      <c r="BE480" s="20">
        <v>3.44</v>
      </c>
      <c r="BF480" s="20">
        <v>2.34</v>
      </c>
      <c r="BG480" s="20">
        <v>2.669090909090909</v>
      </c>
      <c r="BH480">
        <v>2.669090909090909</v>
      </c>
      <c r="BI480">
        <v>5.9831974772727277</v>
      </c>
      <c r="BJ480" s="64">
        <v>0.52442413903612473</v>
      </c>
      <c r="BK480" s="64">
        <v>0.54341863036636606</v>
      </c>
      <c r="BL480" s="64"/>
      <c r="BN480">
        <v>4.8554751705399558E-2</v>
      </c>
      <c r="BO480">
        <v>5.0313390832891547E-2</v>
      </c>
      <c r="BQ480">
        <v>9.8868142538291098E-2</v>
      </c>
      <c r="BR480">
        <v>4.9434071269145549E-2</v>
      </c>
      <c r="BS480">
        <v>0.53392138470124539</v>
      </c>
      <c r="BT480" s="70" t="s">
        <v>1305</v>
      </c>
      <c r="BU480" s="70">
        <f t="shared" si="97"/>
        <v>1523</v>
      </c>
      <c r="BV480" s="70">
        <v>2</v>
      </c>
      <c r="BX480" s="68" t="s">
        <v>1275</v>
      </c>
      <c r="BY480" s="68" t="s">
        <v>56</v>
      </c>
      <c r="BZ480" s="68">
        <v>1</v>
      </c>
      <c r="CB480" s="68">
        <v>3.33</v>
      </c>
      <c r="CC480" s="68">
        <v>33.299999999999997</v>
      </c>
      <c r="CD480" s="68" t="s">
        <v>464</v>
      </c>
      <c r="CE480" s="68" t="s">
        <v>464</v>
      </c>
      <c r="CF480" s="68" t="s">
        <v>1266</v>
      </c>
      <c r="CG480" s="68">
        <v>500</v>
      </c>
      <c r="CH480" s="68">
        <v>420</v>
      </c>
      <c r="CI480" s="68" t="s">
        <v>1310</v>
      </c>
      <c r="CK480" s="70">
        <v>0</v>
      </c>
    </row>
    <row r="481" spans="1:89" x14ac:dyDescent="0.3">
      <c r="A481" t="s">
        <v>1384</v>
      </c>
      <c r="B481" t="s">
        <v>46</v>
      </c>
      <c r="C481" t="s">
        <v>4145</v>
      </c>
      <c r="D481" s="12"/>
      <c r="E481">
        <v>2.6</v>
      </c>
      <c r="F481" t="s">
        <v>225</v>
      </c>
      <c r="G481" s="25" t="s">
        <v>551</v>
      </c>
      <c r="H481" s="1" t="s">
        <v>629</v>
      </c>
      <c r="M481" t="b">
        <v>1</v>
      </c>
      <c r="N481" t="b">
        <v>1</v>
      </c>
      <c r="O481" t="b">
        <v>0</v>
      </c>
      <c r="P481" t="b">
        <v>0</v>
      </c>
      <c r="Q481" t="s">
        <v>551</v>
      </c>
      <c r="R481" t="s">
        <v>629</v>
      </c>
      <c r="U481" s="20">
        <v>2</v>
      </c>
      <c r="V481">
        <v>4</v>
      </c>
      <c r="W481">
        <v>0</v>
      </c>
      <c r="AC481" s="20">
        <v>7.41544296</v>
      </c>
      <c r="AD481" s="20">
        <v>7.4154429599999991</v>
      </c>
      <c r="AE481" s="20">
        <v>7.41544296</v>
      </c>
      <c r="AF481">
        <v>7.8</v>
      </c>
      <c r="AG481">
        <v>13.010999999999999</v>
      </c>
      <c r="AH481">
        <v>5.5460000000000003</v>
      </c>
      <c r="AI481">
        <v>0</v>
      </c>
      <c r="AM481">
        <v>14</v>
      </c>
      <c r="AN481" s="44">
        <f t="shared" si="100"/>
        <v>0</v>
      </c>
      <c r="AO481" s="46">
        <v>288.33429290182369</v>
      </c>
      <c r="AP481" s="44">
        <v>556.51188553357167</v>
      </c>
      <c r="AQ481" s="44">
        <v>0</v>
      </c>
      <c r="AR481" s="41"/>
      <c r="AS481" s="40">
        <v>9.7109503410799117E-2</v>
      </c>
      <c r="AT481" s="41">
        <v>0.10062678166578309</v>
      </c>
      <c r="AU481" s="41"/>
      <c r="AV481" s="23">
        <v>2</v>
      </c>
      <c r="AW481" s="23">
        <v>2.545454545454545</v>
      </c>
      <c r="AX481" s="23">
        <v>0.54545454545454541</v>
      </c>
      <c r="AY481" s="23">
        <v>0</v>
      </c>
      <c r="AZ481" s="23">
        <v>0.39285714285714279</v>
      </c>
      <c r="BA481" s="23">
        <v>0.5</v>
      </c>
      <c r="BB481" s="23">
        <v>0.1071428571428571</v>
      </c>
      <c r="BC481" s="23">
        <v>0</v>
      </c>
      <c r="BD481" s="20">
        <v>1.1000000000000001</v>
      </c>
      <c r="BE481" s="20">
        <v>3.44</v>
      </c>
      <c r="BF481" s="20">
        <v>2.34</v>
      </c>
      <c r="BG481" s="20">
        <v>2.669090909090909</v>
      </c>
      <c r="BH481">
        <v>2.669090909090909</v>
      </c>
      <c r="BI481">
        <v>5.9831974772727277</v>
      </c>
      <c r="BJ481" s="64">
        <v>0.52442413903612473</v>
      </c>
      <c r="BK481" s="64">
        <v>0.54341863036636606</v>
      </c>
      <c r="BL481" s="64"/>
      <c r="BN481">
        <v>4.8554751705399558E-2</v>
      </c>
      <c r="BO481">
        <v>5.0313390832891547E-2</v>
      </c>
      <c r="BQ481">
        <v>9.8868142538291098E-2</v>
      </c>
      <c r="BR481">
        <v>4.9434071269145549E-2</v>
      </c>
      <c r="BS481">
        <v>0.53392138470124539</v>
      </c>
      <c r="BT481" s="70" t="s">
        <v>1305</v>
      </c>
      <c r="BU481" s="70">
        <f t="shared" si="97"/>
        <v>1523</v>
      </c>
      <c r="BV481" s="70">
        <v>2</v>
      </c>
      <c r="BX481" s="68" t="s">
        <v>1275</v>
      </c>
      <c r="BY481" s="68" t="s">
        <v>56</v>
      </c>
      <c r="BZ481" s="68">
        <v>1</v>
      </c>
      <c r="CB481" s="68">
        <v>3.33</v>
      </c>
      <c r="CC481" s="68">
        <v>33.299999999999997</v>
      </c>
      <c r="CD481" s="68" t="s">
        <v>464</v>
      </c>
      <c r="CE481" s="68" t="s">
        <v>464</v>
      </c>
      <c r="CF481" s="68" t="s">
        <v>1266</v>
      </c>
      <c r="CG481" s="68">
        <v>500</v>
      </c>
      <c r="CH481" s="68">
        <v>420</v>
      </c>
      <c r="CI481" s="68" t="s">
        <v>1310</v>
      </c>
      <c r="CK481" s="70">
        <v>0</v>
      </c>
    </row>
    <row r="482" spans="1:89" x14ac:dyDescent="0.3">
      <c r="A482" t="s">
        <v>49</v>
      </c>
      <c r="C482" t="s">
        <v>3967</v>
      </c>
      <c r="D482" s="12"/>
      <c r="E482">
        <v>4</v>
      </c>
      <c r="F482" t="s">
        <v>228</v>
      </c>
      <c r="G482" s="8" t="s">
        <v>553</v>
      </c>
      <c r="H482" t="s">
        <v>631</v>
      </c>
      <c r="M482" t="b">
        <v>1</v>
      </c>
      <c r="N482" t="b">
        <v>1</v>
      </c>
      <c r="O482" t="b">
        <v>0</v>
      </c>
      <c r="P482" t="b">
        <v>0</v>
      </c>
      <c r="Q482" t="s">
        <v>553</v>
      </c>
      <c r="R482" t="s">
        <v>631</v>
      </c>
      <c r="U482" s="20">
        <v>8</v>
      </c>
      <c r="V482">
        <v>8</v>
      </c>
      <c r="W482">
        <v>0</v>
      </c>
      <c r="X482">
        <v>3.93</v>
      </c>
      <c r="Y482">
        <v>26.725999999999999</v>
      </c>
      <c r="Z482">
        <v>5.6829999999999998</v>
      </c>
      <c r="AA482" t="s">
        <v>1386</v>
      </c>
      <c r="AB482" s="1">
        <f>Y482/2</f>
        <v>13.363</v>
      </c>
      <c r="AC482" s="20">
        <v>5.8017180100000001</v>
      </c>
      <c r="AD482" s="20">
        <v>7.9756520899999996</v>
      </c>
      <c r="AE482" s="20">
        <v>27.352093400000001</v>
      </c>
      <c r="AF482">
        <v>26.646989999999999</v>
      </c>
      <c r="AG482">
        <v>7.9359999999999999</v>
      </c>
      <c r="AH482">
        <v>5.7050000000000001</v>
      </c>
      <c r="AI482">
        <v>0</v>
      </c>
      <c r="AM482">
        <v>14</v>
      </c>
      <c r="AN482" s="44">
        <f t="shared" si="65"/>
        <v>596.90356194000003</v>
      </c>
      <c r="AO482" s="46">
        <v>1265.6493143942739</v>
      </c>
      <c r="AP482" s="44">
        <v>1206.4392746112001</v>
      </c>
      <c r="AQ482" s="44">
        <v>0</v>
      </c>
      <c r="AR482" s="41"/>
      <c r="AS482" s="40">
        <v>8.8492127105210025E-2</v>
      </c>
      <c r="AT482" s="41">
        <v>9.2835174017436004E-2</v>
      </c>
      <c r="AU482" s="41"/>
      <c r="AV482" s="23">
        <v>1.8181818181818179</v>
      </c>
      <c r="AW482" s="23">
        <v>2.545454545454545</v>
      </c>
      <c r="AX482" s="23">
        <v>0.72727272727272729</v>
      </c>
      <c r="AY482" s="23">
        <v>0</v>
      </c>
      <c r="AZ482" s="23">
        <v>0.35714285714285721</v>
      </c>
      <c r="BA482" s="23">
        <v>0.5</v>
      </c>
      <c r="BB482" s="23">
        <v>0.1428571428571429</v>
      </c>
      <c r="BC482" s="23">
        <v>0</v>
      </c>
      <c r="BD482" s="20">
        <v>0.95</v>
      </c>
      <c r="BE482" s="20">
        <v>3.44</v>
      </c>
      <c r="BF482" s="20">
        <v>2.4900000000000002</v>
      </c>
      <c r="BG482" s="20">
        <v>2.6527272727272719</v>
      </c>
      <c r="BH482">
        <v>2.6527272727272728</v>
      </c>
      <c r="BI482">
        <v>6.0182046818181814</v>
      </c>
      <c r="BJ482" s="64">
        <v>0.5176653673612065</v>
      </c>
      <c r="BK482" s="64">
        <v>0.54307152550012683</v>
      </c>
      <c r="BL482" s="64"/>
      <c r="BN482">
        <v>4.4246063552605013E-2</v>
      </c>
      <c r="BO482">
        <v>4.6417587008717988E-2</v>
      </c>
      <c r="BQ482">
        <v>9.0663650561323014E-2</v>
      </c>
      <c r="BR482">
        <v>4.53318252806615E-2</v>
      </c>
      <c r="BS482">
        <v>0.53036844643066661</v>
      </c>
      <c r="BT482" s="68" t="s">
        <v>1264</v>
      </c>
      <c r="BU482" s="68">
        <v>1423</v>
      </c>
      <c r="BV482" s="68">
        <v>10</v>
      </c>
      <c r="BW482" s="68" t="s">
        <v>1307</v>
      </c>
      <c r="BX482" s="68" t="s">
        <v>1275</v>
      </c>
      <c r="BY482" s="68" t="s">
        <v>863</v>
      </c>
      <c r="BZ482" s="68">
        <v>3</v>
      </c>
      <c r="CA482" s="68">
        <v>3.4</v>
      </c>
      <c r="CB482" s="68">
        <v>1</v>
      </c>
      <c r="CC482" s="68">
        <v>20</v>
      </c>
      <c r="CD482" s="68" t="s">
        <v>464</v>
      </c>
      <c r="CE482" s="68" t="s">
        <v>464</v>
      </c>
      <c r="CF482" s="68" t="s">
        <v>1271</v>
      </c>
      <c r="CG482" s="68">
        <v>200</v>
      </c>
      <c r="CH482" s="68">
        <v>400</v>
      </c>
      <c r="CI482" s="68" t="s">
        <v>1310</v>
      </c>
      <c r="CJ482" s="68">
        <v>298</v>
      </c>
      <c r="CK482" s="70">
        <v>0</v>
      </c>
    </row>
    <row r="483" spans="1:89" x14ac:dyDescent="0.3">
      <c r="A483" t="s">
        <v>1387</v>
      </c>
      <c r="C483" t="s">
        <v>4147</v>
      </c>
      <c r="D483" s="12"/>
      <c r="F483" t="s">
        <v>228</v>
      </c>
      <c r="G483" s="25" t="s">
        <v>553</v>
      </c>
      <c r="H483" s="1" t="s">
        <v>631</v>
      </c>
      <c r="M483" t="b">
        <v>1</v>
      </c>
      <c r="N483" t="b">
        <v>1</v>
      </c>
      <c r="O483" t="b">
        <v>0</v>
      </c>
      <c r="P483" t="b">
        <v>0</v>
      </c>
      <c r="Q483" t="s">
        <v>553</v>
      </c>
      <c r="R483" t="s">
        <v>631</v>
      </c>
      <c r="U483" s="20">
        <v>8</v>
      </c>
      <c r="V483">
        <v>8</v>
      </c>
      <c r="W483">
        <v>0</v>
      </c>
      <c r="X483">
        <v>3.93</v>
      </c>
      <c r="Y483">
        <v>26.725999999999999</v>
      </c>
      <c r="Z483">
        <v>5.6829999999999998</v>
      </c>
      <c r="AA483" t="s">
        <v>1386</v>
      </c>
      <c r="AB483" s="1">
        <f t="shared" ref="AB483:AB489" si="101">Y483/2</f>
        <v>13.363</v>
      </c>
      <c r="AC483" s="20">
        <v>5.8017180100000001</v>
      </c>
      <c r="AD483" s="20">
        <v>7.9756520899999996</v>
      </c>
      <c r="AE483" s="20">
        <v>27.352093400000001</v>
      </c>
      <c r="AF483">
        <v>26.646989999999999</v>
      </c>
      <c r="AG483">
        <v>7.9359999999999999</v>
      </c>
      <c r="AH483">
        <v>5.7050000000000001</v>
      </c>
      <c r="AI483">
        <v>0</v>
      </c>
      <c r="AM483">
        <v>14</v>
      </c>
      <c r="AN483" s="44">
        <f t="shared" ref="AN483" si="102">X483*Y483*Z483</f>
        <v>596.90356194000003</v>
      </c>
      <c r="AO483" s="46">
        <v>1265.6493143942739</v>
      </c>
      <c r="AP483" s="44">
        <v>1206.4392746112001</v>
      </c>
      <c r="AQ483" s="44">
        <v>0</v>
      </c>
      <c r="AR483" s="41"/>
      <c r="AS483" s="40">
        <v>8.8492127105210025E-2</v>
      </c>
      <c r="AT483" s="41">
        <v>9.2835174017436004E-2</v>
      </c>
      <c r="AU483" s="41"/>
      <c r="AV483" s="23">
        <v>1.8181818181818179</v>
      </c>
      <c r="AW483" s="23">
        <v>2.545454545454545</v>
      </c>
      <c r="AX483" s="23">
        <v>0.72727272727272729</v>
      </c>
      <c r="AY483" s="23">
        <v>0</v>
      </c>
      <c r="AZ483" s="23">
        <v>0.35714285714285721</v>
      </c>
      <c r="BA483" s="23">
        <v>0.5</v>
      </c>
      <c r="BB483" s="23">
        <v>0.1428571428571429</v>
      </c>
      <c r="BC483" s="23">
        <v>0</v>
      </c>
      <c r="BD483" s="20">
        <v>0.95</v>
      </c>
      <c r="BE483" s="20">
        <v>3.44</v>
      </c>
      <c r="BF483" s="20">
        <v>2.4900000000000002</v>
      </c>
      <c r="BG483" s="20">
        <v>2.6527272727272719</v>
      </c>
      <c r="BH483">
        <v>2.6527272727272728</v>
      </c>
      <c r="BI483">
        <v>6.0182046818181814</v>
      </c>
      <c r="BJ483" s="64">
        <v>0.5176653673612065</v>
      </c>
      <c r="BK483" s="64">
        <v>0.54307152550012683</v>
      </c>
      <c r="BL483" s="64"/>
      <c r="BN483">
        <v>4.4246063552605013E-2</v>
      </c>
      <c r="BO483">
        <v>4.6417587008717988E-2</v>
      </c>
      <c r="BQ483">
        <v>9.0663650561323014E-2</v>
      </c>
      <c r="BR483">
        <v>4.53318252806615E-2</v>
      </c>
      <c r="BS483">
        <v>0.53036844643066661</v>
      </c>
      <c r="BT483" s="68" t="s">
        <v>1264</v>
      </c>
      <c r="BU483" s="68">
        <v>1423</v>
      </c>
      <c r="BV483" s="68">
        <v>10</v>
      </c>
      <c r="BW483" s="68" t="s">
        <v>1307</v>
      </c>
      <c r="BX483" s="68" t="s">
        <v>1275</v>
      </c>
      <c r="BY483" s="68" t="s">
        <v>863</v>
      </c>
      <c r="BZ483" s="68">
        <v>3</v>
      </c>
      <c r="CA483" s="68">
        <v>3.5</v>
      </c>
      <c r="CB483" s="68">
        <v>1</v>
      </c>
      <c r="CC483" s="68">
        <v>20</v>
      </c>
      <c r="CD483" s="68" t="s">
        <v>464</v>
      </c>
      <c r="CE483" s="68" t="s">
        <v>464</v>
      </c>
      <c r="CF483" s="68" t="s">
        <v>1271</v>
      </c>
      <c r="CG483" s="68">
        <v>200</v>
      </c>
      <c r="CH483" s="68">
        <v>400</v>
      </c>
      <c r="CI483" s="68" t="s">
        <v>1310</v>
      </c>
      <c r="CJ483" s="68">
        <v>298</v>
      </c>
      <c r="CK483" s="70">
        <v>70</v>
      </c>
    </row>
    <row r="484" spans="1:89" x14ac:dyDescent="0.3">
      <c r="A484" t="s">
        <v>1388</v>
      </c>
      <c r="C484" t="s">
        <v>4148</v>
      </c>
      <c r="D484" s="12"/>
      <c r="F484" t="s">
        <v>228</v>
      </c>
      <c r="G484" s="25" t="s">
        <v>553</v>
      </c>
      <c r="H484" s="1" t="s">
        <v>631</v>
      </c>
      <c r="M484" t="b">
        <v>1</v>
      </c>
      <c r="N484" t="b">
        <v>1</v>
      </c>
      <c r="O484" t="b">
        <v>0</v>
      </c>
      <c r="P484" t="b">
        <v>0</v>
      </c>
      <c r="Q484" t="s">
        <v>553</v>
      </c>
      <c r="R484" t="s">
        <v>631</v>
      </c>
      <c r="U484" s="20">
        <v>8</v>
      </c>
      <c r="V484">
        <v>8</v>
      </c>
      <c r="W484">
        <v>0</v>
      </c>
      <c r="X484">
        <v>3.93</v>
      </c>
      <c r="Y484">
        <v>26.725999999999999</v>
      </c>
      <c r="Z484">
        <v>5.6829999999999998</v>
      </c>
      <c r="AA484" t="s">
        <v>1386</v>
      </c>
      <c r="AB484" s="1">
        <f t="shared" si="101"/>
        <v>13.363</v>
      </c>
      <c r="AC484" s="20">
        <v>5.8017180100000001</v>
      </c>
      <c r="AD484" s="20">
        <v>7.9756520899999996</v>
      </c>
      <c r="AE484" s="20">
        <v>27.352093400000001</v>
      </c>
      <c r="AF484">
        <v>26.646989999999999</v>
      </c>
      <c r="AG484">
        <v>7.9359999999999999</v>
      </c>
      <c r="AH484">
        <v>5.7050000000000001</v>
      </c>
      <c r="AI484">
        <v>0</v>
      </c>
      <c r="AM484">
        <v>14</v>
      </c>
      <c r="AN484" s="44">
        <f t="shared" ref="AN484" si="103">X484*Y484*Z484</f>
        <v>596.90356194000003</v>
      </c>
      <c r="AO484" s="46">
        <v>1265.6493143942739</v>
      </c>
      <c r="AP484" s="44">
        <v>1206.4392746112001</v>
      </c>
      <c r="AQ484" s="44">
        <v>0</v>
      </c>
      <c r="AR484" s="41"/>
      <c r="AS484" s="40">
        <v>8.8492127105210025E-2</v>
      </c>
      <c r="AT484" s="41">
        <v>9.2835174017436004E-2</v>
      </c>
      <c r="AU484" s="41"/>
      <c r="AV484" s="23">
        <v>1.8181818181818179</v>
      </c>
      <c r="AW484" s="23">
        <v>2.545454545454545</v>
      </c>
      <c r="AX484" s="23">
        <v>0.72727272727272729</v>
      </c>
      <c r="AY484" s="23">
        <v>0</v>
      </c>
      <c r="AZ484" s="23">
        <v>0.35714285714285721</v>
      </c>
      <c r="BA484" s="23">
        <v>0.5</v>
      </c>
      <c r="BB484" s="23">
        <v>0.1428571428571429</v>
      </c>
      <c r="BC484" s="23">
        <v>0</v>
      </c>
      <c r="BD484" s="20">
        <v>0.95</v>
      </c>
      <c r="BE484" s="20">
        <v>3.44</v>
      </c>
      <c r="BF484" s="20">
        <v>2.4900000000000002</v>
      </c>
      <c r="BG484" s="20">
        <v>2.6527272727272719</v>
      </c>
      <c r="BH484">
        <v>2.6527272727272728</v>
      </c>
      <c r="BI484">
        <v>6.0182046818181814</v>
      </c>
      <c r="BJ484" s="64">
        <v>0.5176653673612065</v>
      </c>
      <c r="BK484" s="64">
        <v>0.54307152550012683</v>
      </c>
      <c r="BL484" s="64"/>
      <c r="BN484">
        <v>4.4246063552605013E-2</v>
      </c>
      <c r="BO484">
        <v>4.6417587008717988E-2</v>
      </c>
      <c r="BQ484">
        <v>9.0663650561323014E-2</v>
      </c>
      <c r="BR484">
        <v>4.53318252806615E-2</v>
      </c>
      <c r="BS484">
        <v>0.53036844643066661</v>
      </c>
      <c r="BT484" s="68" t="s">
        <v>1264</v>
      </c>
      <c r="BU484" s="68">
        <v>1423</v>
      </c>
      <c r="BV484" s="68">
        <v>10</v>
      </c>
      <c r="BW484" s="68" t="s">
        <v>1307</v>
      </c>
      <c r="BX484" s="68" t="s">
        <v>1275</v>
      </c>
      <c r="BY484" s="68" t="s">
        <v>863</v>
      </c>
      <c r="BZ484" s="68">
        <v>3</v>
      </c>
      <c r="CA484" s="68">
        <v>3.6</v>
      </c>
      <c r="CB484" s="68">
        <v>1</v>
      </c>
      <c r="CC484" s="68">
        <v>20</v>
      </c>
      <c r="CD484" s="68" t="s">
        <v>464</v>
      </c>
      <c r="CE484" s="68" t="s">
        <v>464</v>
      </c>
      <c r="CF484" s="68" t="s">
        <v>1271</v>
      </c>
      <c r="CG484" s="68">
        <v>200</v>
      </c>
      <c r="CH484" s="68">
        <v>400</v>
      </c>
      <c r="CI484" s="68" t="s">
        <v>1310</v>
      </c>
      <c r="CJ484" s="68">
        <v>298</v>
      </c>
      <c r="CK484" s="70">
        <v>79</v>
      </c>
    </row>
    <row r="485" spans="1:89" x14ac:dyDescent="0.3">
      <c r="A485" t="s">
        <v>1389</v>
      </c>
      <c r="C485" t="s">
        <v>4149</v>
      </c>
      <c r="D485" s="12"/>
      <c r="F485" t="s">
        <v>228</v>
      </c>
      <c r="G485" s="25" t="s">
        <v>553</v>
      </c>
      <c r="H485" s="1" t="s">
        <v>631</v>
      </c>
      <c r="M485" t="b">
        <v>1</v>
      </c>
      <c r="N485" t="b">
        <v>1</v>
      </c>
      <c r="O485" t="b">
        <v>0</v>
      </c>
      <c r="P485" t="b">
        <v>0</v>
      </c>
      <c r="Q485" t="s">
        <v>553</v>
      </c>
      <c r="R485" t="s">
        <v>631</v>
      </c>
      <c r="U485" s="20">
        <v>8</v>
      </c>
      <c r="V485">
        <v>8</v>
      </c>
      <c r="W485">
        <v>0</v>
      </c>
      <c r="X485">
        <v>3.93</v>
      </c>
      <c r="Y485">
        <v>26.725999999999999</v>
      </c>
      <c r="Z485">
        <v>5.6829999999999998</v>
      </c>
      <c r="AA485" t="s">
        <v>1386</v>
      </c>
      <c r="AB485" s="1">
        <f t="shared" si="101"/>
        <v>13.363</v>
      </c>
      <c r="AC485" s="20">
        <v>5.8017180100000001</v>
      </c>
      <c r="AD485" s="20">
        <v>7.9756520899999996</v>
      </c>
      <c r="AE485" s="20">
        <v>27.352093400000001</v>
      </c>
      <c r="AF485">
        <v>26.646989999999999</v>
      </c>
      <c r="AG485">
        <v>7.9359999999999999</v>
      </c>
      <c r="AH485">
        <v>5.7050000000000001</v>
      </c>
      <c r="AI485">
        <v>0</v>
      </c>
      <c r="AM485">
        <v>14</v>
      </c>
      <c r="AN485" s="44">
        <f t="shared" ref="AN485" si="104">X485*Y485*Z485</f>
        <v>596.90356194000003</v>
      </c>
      <c r="AO485" s="46">
        <v>1265.6493143942739</v>
      </c>
      <c r="AP485" s="44">
        <v>1206.4392746112001</v>
      </c>
      <c r="AQ485" s="44">
        <v>0</v>
      </c>
      <c r="AR485" s="41"/>
      <c r="AS485" s="40">
        <v>8.8492127105210025E-2</v>
      </c>
      <c r="AT485" s="41">
        <v>9.2835174017436004E-2</v>
      </c>
      <c r="AU485" s="41"/>
      <c r="AV485" s="23">
        <v>1.8181818181818179</v>
      </c>
      <c r="AW485" s="23">
        <v>2.545454545454545</v>
      </c>
      <c r="AX485" s="23">
        <v>0.72727272727272729</v>
      </c>
      <c r="AY485" s="23">
        <v>0</v>
      </c>
      <c r="AZ485" s="23">
        <v>0.35714285714285721</v>
      </c>
      <c r="BA485" s="23">
        <v>0.5</v>
      </c>
      <c r="BB485" s="23">
        <v>0.1428571428571429</v>
      </c>
      <c r="BC485" s="23">
        <v>0</v>
      </c>
      <c r="BD485" s="20">
        <v>0.95</v>
      </c>
      <c r="BE485" s="20">
        <v>3.44</v>
      </c>
      <c r="BF485" s="20">
        <v>2.4900000000000002</v>
      </c>
      <c r="BG485" s="20">
        <v>2.6527272727272719</v>
      </c>
      <c r="BH485">
        <v>2.6527272727272728</v>
      </c>
      <c r="BI485">
        <v>6.0182046818181814</v>
      </c>
      <c r="BJ485" s="64">
        <v>0.5176653673612065</v>
      </c>
      <c r="BK485" s="64">
        <v>0.54307152550012683</v>
      </c>
      <c r="BL485" s="64"/>
      <c r="BN485">
        <v>4.4246063552605013E-2</v>
      </c>
      <c r="BO485">
        <v>4.6417587008717988E-2</v>
      </c>
      <c r="BQ485">
        <v>9.0663650561323014E-2</v>
      </c>
      <c r="BR485">
        <v>4.53318252806615E-2</v>
      </c>
      <c r="BS485">
        <v>0.53036844643066661</v>
      </c>
      <c r="BT485" s="68" t="s">
        <v>1264</v>
      </c>
      <c r="BU485" s="68">
        <v>1423</v>
      </c>
      <c r="BV485" s="68">
        <v>10</v>
      </c>
      <c r="BW485" s="68" t="s">
        <v>1307</v>
      </c>
      <c r="BX485" s="68" t="s">
        <v>1275</v>
      </c>
      <c r="BY485" s="68" t="s">
        <v>863</v>
      </c>
      <c r="BZ485" s="68">
        <v>3</v>
      </c>
      <c r="CA485" s="68">
        <v>3.7</v>
      </c>
      <c r="CB485" s="68">
        <v>1</v>
      </c>
      <c r="CC485" s="68">
        <v>20</v>
      </c>
      <c r="CD485" s="68" t="s">
        <v>464</v>
      </c>
      <c r="CE485" s="68" t="s">
        <v>464</v>
      </c>
      <c r="CF485" s="68" t="s">
        <v>1271</v>
      </c>
      <c r="CG485" s="68">
        <v>200</v>
      </c>
      <c r="CH485" s="68">
        <v>400</v>
      </c>
      <c r="CI485" s="68" t="s">
        <v>1310</v>
      </c>
      <c r="CJ485" s="68">
        <v>298</v>
      </c>
      <c r="CK485" s="70">
        <v>90</v>
      </c>
    </row>
    <row r="486" spans="1:89" x14ac:dyDescent="0.3">
      <c r="A486" t="s">
        <v>1390</v>
      </c>
      <c r="C486" t="s">
        <v>4150</v>
      </c>
      <c r="D486" s="12"/>
      <c r="F486" t="s">
        <v>228</v>
      </c>
      <c r="G486" s="25" t="s">
        <v>553</v>
      </c>
      <c r="H486" s="1" t="s">
        <v>631</v>
      </c>
      <c r="M486" t="b">
        <v>1</v>
      </c>
      <c r="N486" t="b">
        <v>1</v>
      </c>
      <c r="O486" t="b">
        <v>0</v>
      </c>
      <c r="P486" t="b">
        <v>0</v>
      </c>
      <c r="Q486" t="s">
        <v>553</v>
      </c>
      <c r="R486" t="s">
        <v>631</v>
      </c>
      <c r="U486" s="20">
        <v>8</v>
      </c>
      <c r="V486">
        <v>8</v>
      </c>
      <c r="W486">
        <v>0</v>
      </c>
      <c r="X486">
        <v>3.93</v>
      </c>
      <c r="Y486">
        <v>26.725999999999999</v>
      </c>
      <c r="Z486">
        <v>5.6829999999999998</v>
      </c>
      <c r="AA486" t="s">
        <v>1386</v>
      </c>
      <c r="AB486" s="1">
        <f t="shared" si="101"/>
        <v>13.363</v>
      </c>
      <c r="AC486" s="20">
        <v>5.8017180100000001</v>
      </c>
      <c r="AD486" s="20">
        <v>7.9756520899999996</v>
      </c>
      <c r="AE486" s="20">
        <v>27.352093400000001</v>
      </c>
      <c r="AF486">
        <v>26.646989999999999</v>
      </c>
      <c r="AG486">
        <v>7.9359999999999999</v>
      </c>
      <c r="AH486">
        <v>5.7050000000000001</v>
      </c>
      <c r="AI486">
        <v>0</v>
      </c>
      <c r="AM486">
        <v>14</v>
      </c>
      <c r="AN486" s="44">
        <f t="shared" ref="AN486" si="105">X486*Y486*Z486</f>
        <v>596.90356194000003</v>
      </c>
      <c r="AO486" s="46">
        <v>1265.6493143942739</v>
      </c>
      <c r="AP486" s="44">
        <v>1206.4392746112001</v>
      </c>
      <c r="AQ486" s="44">
        <v>0</v>
      </c>
      <c r="AR486" s="41"/>
      <c r="AS486" s="40">
        <v>8.8492127105210025E-2</v>
      </c>
      <c r="AT486" s="41">
        <v>9.2835174017436004E-2</v>
      </c>
      <c r="AU486" s="41"/>
      <c r="AV486" s="23">
        <v>1.8181818181818179</v>
      </c>
      <c r="AW486" s="23">
        <v>2.545454545454545</v>
      </c>
      <c r="AX486" s="23">
        <v>0.72727272727272729</v>
      </c>
      <c r="AY486" s="23">
        <v>0</v>
      </c>
      <c r="AZ486" s="23">
        <v>0.35714285714285721</v>
      </c>
      <c r="BA486" s="23">
        <v>0.5</v>
      </c>
      <c r="BB486" s="23">
        <v>0.1428571428571429</v>
      </c>
      <c r="BC486" s="23">
        <v>0</v>
      </c>
      <c r="BD486" s="20">
        <v>0.95</v>
      </c>
      <c r="BE486" s="20">
        <v>3.44</v>
      </c>
      <c r="BF486" s="20">
        <v>2.4900000000000002</v>
      </c>
      <c r="BG486" s="20">
        <v>2.6527272727272719</v>
      </c>
      <c r="BH486">
        <v>2.6527272727272728</v>
      </c>
      <c r="BI486">
        <v>6.0182046818181814</v>
      </c>
      <c r="BJ486" s="64">
        <v>0.5176653673612065</v>
      </c>
      <c r="BK486" s="64">
        <v>0.54307152550012683</v>
      </c>
      <c r="BL486" s="64"/>
      <c r="BN486">
        <v>4.4246063552605013E-2</v>
      </c>
      <c r="BO486">
        <v>4.6417587008717988E-2</v>
      </c>
      <c r="BQ486">
        <v>9.0663650561323014E-2</v>
      </c>
      <c r="BR486">
        <v>4.53318252806615E-2</v>
      </c>
      <c r="BS486">
        <v>0.53036844643066661</v>
      </c>
      <c r="BT486" s="68" t="s">
        <v>1264</v>
      </c>
      <c r="BU486" s="68">
        <v>1423</v>
      </c>
      <c r="BV486" s="68">
        <v>10</v>
      </c>
      <c r="BW486" s="68" t="s">
        <v>1307</v>
      </c>
      <c r="BX486" s="68" t="s">
        <v>1275</v>
      </c>
      <c r="BY486" s="68" t="s">
        <v>863</v>
      </c>
      <c r="BZ486" s="68">
        <v>3</v>
      </c>
      <c r="CA486" s="68">
        <v>3.4</v>
      </c>
      <c r="CB486" s="68">
        <v>1</v>
      </c>
      <c r="CC486" s="68">
        <v>20</v>
      </c>
      <c r="CD486" s="68" t="s">
        <v>464</v>
      </c>
      <c r="CE486" s="68" t="s">
        <v>464</v>
      </c>
      <c r="CF486" s="68" t="s">
        <v>1271</v>
      </c>
      <c r="CG486" s="68">
        <v>200</v>
      </c>
      <c r="CH486" s="68">
        <v>400</v>
      </c>
      <c r="CI486" s="68" t="s">
        <v>1310</v>
      </c>
      <c r="CJ486" s="68">
        <v>298</v>
      </c>
      <c r="CK486" s="70">
        <v>82</v>
      </c>
    </row>
    <row r="487" spans="1:89" x14ac:dyDescent="0.3">
      <c r="A487" t="s">
        <v>1391</v>
      </c>
      <c r="C487" t="s">
        <v>4151</v>
      </c>
      <c r="D487" s="12"/>
      <c r="F487" t="s">
        <v>228</v>
      </c>
      <c r="G487" s="25" t="s">
        <v>553</v>
      </c>
      <c r="H487" s="1" t="s">
        <v>631</v>
      </c>
      <c r="M487" t="b">
        <v>1</v>
      </c>
      <c r="N487" t="b">
        <v>1</v>
      </c>
      <c r="O487" t="b">
        <v>0</v>
      </c>
      <c r="P487" t="b">
        <v>0</v>
      </c>
      <c r="Q487" t="s">
        <v>553</v>
      </c>
      <c r="R487" t="s">
        <v>631</v>
      </c>
      <c r="U487" s="20">
        <v>8</v>
      </c>
      <c r="V487">
        <v>8</v>
      </c>
      <c r="W487">
        <v>0</v>
      </c>
      <c r="X487">
        <v>3.93</v>
      </c>
      <c r="Y487">
        <v>26.725999999999999</v>
      </c>
      <c r="Z487">
        <v>5.6829999999999998</v>
      </c>
      <c r="AA487" t="s">
        <v>1386</v>
      </c>
      <c r="AB487" s="1">
        <f t="shared" si="101"/>
        <v>13.363</v>
      </c>
      <c r="AC487" s="20">
        <v>5.8017180100000001</v>
      </c>
      <c r="AD487" s="20">
        <v>7.9756520899999996</v>
      </c>
      <c r="AE487" s="20">
        <v>27.352093400000001</v>
      </c>
      <c r="AF487">
        <v>26.646989999999999</v>
      </c>
      <c r="AG487">
        <v>7.9359999999999999</v>
      </c>
      <c r="AH487">
        <v>5.7050000000000001</v>
      </c>
      <c r="AI487">
        <v>0</v>
      </c>
      <c r="AM487">
        <v>14</v>
      </c>
      <c r="AN487" s="44">
        <f t="shared" ref="AN487" si="106">X487*Y487*Z487</f>
        <v>596.90356194000003</v>
      </c>
      <c r="AO487" s="46">
        <v>1265.6493143942739</v>
      </c>
      <c r="AP487" s="44">
        <v>1206.4392746112001</v>
      </c>
      <c r="AQ487" s="44">
        <v>0</v>
      </c>
      <c r="AR487" s="41"/>
      <c r="AS487" s="40">
        <v>8.8492127105210025E-2</v>
      </c>
      <c r="AT487" s="41">
        <v>9.2835174017436004E-2</v>
      </c>
      <c r="AU487" s="41"/>
      <c r="AV487" s="23">
        <v>1.8181818181818179</v>
      </c>
      <c r="AW487" s="23">
        <v>2.545454545454545</v>
      </c>
      <c r="AX487" s="23">
        <v>0.72727272727272729</v>
      </c>
      <c r="AY487" s="23">
        <v>0</v>
      </c>
      <c r="AZ487" s="23">
        <v>0.35714285714285721</v>
      </c>
      <c r="BA487" s="23">
        <v>0.5</v>
      </c>
      <c r="BB487" s="23">
        <v>0.1428571428571429</v>
      </c>
      <c r="BC487" s="23">
        <v>0</v>
      </c>
      <c r="BD487" s="20">
        <v>0.95</v>
      </c>
      <c r="BE487" s="20">
        <v>3.44</v>
      </c>
      <c r="BF487" s="20">
        <v>2.4900000000000002</v>
      </c>
      <c r="BG487" s="20">
        <v>2.6527272727272719</v>
      </c>
      <c r="BH487">
        <v>2.6527272727272728</v>
      </c>
      <c r="BI487">
        <v>6.0182046818181814</v>
      </c>
      <c r="BJ487" s="64">
        <v>0.5176653673612065</v>
      </c>
      <c r="BK487" s="64">
        <v>0.54307152550012683</v>
      </c>
      <c r="BL487" s="64"/>
      <c r="BN487">
        <v>4.4246063552605013E-2</v>
      </c>
      <c r="BO487">
        <v>4.6417587008717988E-2</v>
      </c>
      <c r="BQ487">
        <v>9.0663650561323014E-2</v>
      </c>
      <c r="BR487">
        <v>4.53318252806615E-2</v>
      </c>
      <c r="BS487">
        <v>0.53036844643066661</v>
      </c>
      <c r="BT487" s="68" t="s">
        <v>1264</v>
      </c>
      <c r="BU487" s="68">
        <v>1423</v>
      </c>
      <c r="BV487" s="68">
        <v>10</v>
      </c>
      <c r="BW487" s="68" t="s">
        <v>1307</v>
      </c>
      <c r="BX487" s="68" t="s">
        <v>1275</v>
      </c>
      <c r="BY487" s="68" t="s">
        <v>863</v>
      </c>
      <c r="BZ487" s="68">
        <v>3</v>
      </c>
      <c r="CA487" s="68">
        <v>4.2</v>
      </c>
      <c r="CB487" s="68">
        <v>1</v>
      </c>
      <c r="CC487" s="68">
        <v>20</v>
      </c>
      <c r="CD487" s="68" t="s">
        <v>464</v>
      </c>
      <c r="CE487" s="68" t="s">
        <v>464</v>
      </c>
      <c r="CF487" s="68" t="s">
        <v>1271</v>
      </c>
      <c r="CG487" s="68">
        <v>200</v>
      </c>
      <c r="CH487" s="68">
        <v>400</v>
      </c>
      <c r="CI487" s="68" t="s">
        <v>1310</v>
      </c>
      <c r="CJ487" s="68">
        <v>298</v>
      </c>
      <c r="CK487" s="70">
        <v>64</v>
      </c>
    </row>
    <row r="488" spans="1:89" x14ac:dyDescent="0.3">
      <c r="A488" t="s">
        <v>1392</v>
      </c>
      <c r="C488" t="s">
        <v>4152</v>
      </c>
      <c r="D488" s="12"/>
      <c r="F488" t="s">
        <v>228</v>
      </c>
      <c r="G488" s="25" t="s">
        <v>553</v>
      </c>
      <c r="H488" s="1" t="s">
        <v>631</v>
      </c>
      <c r="M488" t="b">
        <v>1</v>
      </c>
      <c r="N488" t="b">
        <v>1</v>
      </c>
      <c r="O488" t="b">
        <v>0</v>
      </c>
      <c r="P488" t="b">
        <v>0</v>
      </c>
      <c r="Q488" t="s">
        <v>553</v>
      </c>
      <c r="R488" t="s">
        <v>631</v>
      </c>
      <c r="U488" s="20">
        <v>8</v>
      </c>
      <c r="V488">
        <v>8</v>
      </c>
      <c r="W488">
        <v>0</v>
      </c>
      <c r="X488">
        <v>3.93</v>
      </c>
      <c r="Y488">
        <v>26.725999999999999</v>
      </c>
      <c r="Z488">
        <v>5.6829999999999998</v>
      </c>
      <c r="AA488" t="s">
        <v>1386</v>
      </c>
      <c r="AB488" s="1">
        <f t="shared" si="101"/>
        <v>13.363</v>
      </c>
      <c r="AC488" s="20">
        <v>5.8017180100000001</v>
      </c>
      <c r="AD488" s="20">
        <v>7.9756520899999996</v>
      </c>
      <c r="AE488" s="20">
        <v>27.352093400000001</v>
      </c>
      <c r="AF488">
        <v>26.646989999999999</v>
      </c>
      <c r="AG488">
        <v>7.9359999999999999</v>
      </c>
      <c r="AH488">
        <v>5.7050000000000001</v>
      </c>
      <c r="AI488">
        <v>0</v>
      </c>
      <c r="AM488">
        <v>14</v>
      </c>
      <c r="AN488" s="44">
        <f t="shared" ref="AN488" si="107">X488*Y488*Z488</f>
        <v>596.90356194000003</v>
      </c>
      <c r="AO488" s="46">
        <v>1265.6493143942739</v>
      </c>
      <c r="AP488" s="44">
        <v>1206.4392746112001</v>
      </c>
      <c r="AQ488" s="44">
        <v>0</v>
      </c>
      <c r="AR488" s="41"/>
      <c r="AS488" s="40">
        <v>8.8492127105210025E-2</v>
      </c>
      <c r="AT488" s="41">
        <v>9.2835174017436004E-2</v>
      </c>
      <c r="AU488" s="41"/>
      <c r="AV488" s="23">
        <v>1.8181818181818179</v>
      </c>
      <c r="AW488" s="23">
        <v>2.545454545454545</v>
      </c>
      <c r="AX488" s="23">
        <v>0.72727272727272729</v>
      </c>
      <c r="AY488" s="23">
        <v>0</v>
      </c>
      <c r="AZ488" s="23">
        <v>0.35714285714285721</v>
      </c>
      <c r="BA488" s="23">
        <v>0.5</v>
      </c>
      <c r="BB488" s="23">
        <v>0.1428571428571429</v>
      </c>
      <c r="BC488" s="23">
        <v>0</v>
      </c>
      <c r="BD488" s="20">
        <v>0.95</v>
      </c>
      <c r="BE488" s="20">
        <v>3.44</v>
      </c>
      <c r="BF488" s="20">
        <v>2.4900000000000002</v>
      </c>
      <c r="BG488" s="20">
        <v>2.6527272727272719</v>
      </c>
      <c r="BH488">
        <v>2.6527272727272728</v>
      </c>
      <c r="BI488">
        <v>6.0182046818181814</v>
      </c>
      <c r="BJ488" s="64">
        <v>0.5176653673612065</v>
      </c>
      <c r="BK488" s="64">
        <v>0.54307152550012683</v>
      </c>
      <c r="BL488" s="64"/>
      <c r="BN488">
        <v>4.4246063552605013E-2</v>
      </c>
      <c r="BO488">
        <v>4.6417587008717988E-2</v>
      </c>
      <c r="BQ488">
        <v>9.0663650561323014E-2</v>
      </c>
      <c r="BR488">
        <v>4.53318252806615E-2</v>
      </c>
      <c r="BS488">
        <v>0.53036844643066661</v>
      </c>
      <c r="BT488" s="68" t="s">
        <v>1264</v>
      </c>
      <c r="BU488" s="68">
        <v>1423</v>
      </c>
      <c r="BV488" s="68">
        <v>10</v>
      </c>
      <c r="BW488" s="68" t="s">
        <v>1307</v>
      </c>
      <c r="BX488" s="68" t="s">
        <v>1275</v>
      </c>
      <c r="BY488" s="68" t="s">
        <v>863</v>
      </c>
      <c r="BZ488" s="68">
        <v>3</v>
      </c>
      <c r="CA488" s="68">
        <v>4.5999999999999996</v>
      </c>
      <c r="CB488" s="68">
        <v>1</v>
      </c>
      <c r="CC488" s="68">
        <v>20</v>
      </c>
      <c r="CD488" s="68" t="s">
        <v>464</v>
      </c>
      <c r="CE488" s="68" t="s">
        <v>464</v>
      </c>
      <c r="CF488" s="68" t="s">
        <v>1271</v>
      </c>
      <c r="CG488" s="68">
        <v>200</v>
      </c>
      <c r="CH488" s="68">
        <v>400</v>
      </c>
      <c r="CI488" s="68" t="s">
        <v>1310</v>
      </c>
      <c r="CJ488" s="68">
        <v>298</v>
      </c>
      <c r="CK488" s="70">
        <v>40</v>
      </c>
    </row>
    <row r="489" spans="1:89" x14ac:dyDescent="0.3">
      <c r="A489" t="s">
        <v>1392</v>
      </c>
      <c r="C489" t="s">
        <v>4152</v>
      </c>
      <c r="D489" s="12"/>
      <c r="F489" t="s">
        <v>228</v>
      </c>
      <c r="G489" s="25" t="s">
        <v>553</v>
      </c>
      <c r="H489" s="1" t="s">
        <v>631</v>
      </c>
      <c r="M489" t="b">
        <v>1</v>
      </c>
      <c r="N489" t="b">
        <v>1</v>
      </c>
      <c r="O489" t="b">
        <v>0</v>
      </c>
      <c r="P489" t="b">
        <v>0</v>
      </c>
      <c r="Q489" t="s">
        <v>553</v>
      </c>
      <c r="R489" t="s">
        <v>631</v>
      </c>
      <c r="U489" s="20">
        <v>8</v>
      </c>
      <c r="V489">
        <v>8</v>
      </c>
      <c r="W489">
        <v>0</v>
      </c>
      <c r="X489">
        <v>3.93</v>
      </c>
      <c r="Y489">
        <v>26.725999999999999</v>
      </c>
      <c r="Z489">
        <v>5.6829999999999998</v>
      </c>
      <c r="AA489" t="s">
        <v>1386</v>
      </c>
      <c r="AB489" s="1">
        <f t="shared" si="101"/>
        <v>13.363</v>
      </c>
      <c r="AC489" s="20">
        <v>5.8017180100000001</v>
      </c>
      <c r="AD489" s="20">
        <v>7.9756520899999996</v>
      </c>
      <c r="AE489" s="20">
        <v>27.352093400000001</v>
      </c>
      <c r="AF489">
        <v>26.646989999999999</v>
      </c>
      <c r="AG489">
        <v>7.9359999999999999</v>
      </c>
      <c r="AH489">
        <v>5.7050000000000001</v>
      </c>
      <c r="AI489">
        <v>0</v>
      </c>
      <c r="AM489">
        <v>14</v>
      </c>
      <c r="AN489" s="44">
        <f t="shared" ref="AN489" si="108">X489*Y489*Z489</f>
        <v>596.90356194000003</v>
      </c>
      <c r="AO489" s="46">
        <v>1265.6493143942739</v>
      </c>
      <c r="AP489" s="44">
        <v>1206.4392746112001</v>
      </c>
      <c r="AQ489" s="44">
        <v>0</v>
      </c>
      <c r="AR489" s="41"/>
      <c r="AS489" s="40">
        <v>8.8492127105210025E-2</v>
      </c>
      <c r="AT489" s="41">
        <v>9.2835174017436004E-2</v>
      </c>
      <c r="AU489" s="41"/>
      <c r="AV489" s="23">
        <v>1.8181818181818179</v>
      </c>
      <c r="AW489" s="23">
        <v>2.545454545454545</v>
      </c>
      <c r="AX489" s="23">
        <v>0.72727272727272729</v>
      </c>
      <c r="AY489" s="23">
        <v>0</v>
      </c>
      <c r="AZ489" s="23">
        <v>0.35714285714285721</v>
      </c>
      <c r="BA489" s="23">
        <v>0.5</v>
      </c>
      <c r="BB489" s="23">
        <v>0.1428571428571429</v>
      </c>
      <c r="BC489" s="23">
        <v>0</v>
      </c>
      <c r="BD489" s="20">
        <v>0.95</v>
      </c>
      <c r="BE489" s="20">
        <v>3.44</v>
      </c>
      <c r="BF489" s="20">
        <v>2.4900000000000002</v>
      </c>
      <c r="BG489" s="20">
        <v>2.6527272727272719</v>
      </c>
      <c r="BH489">
        <v>2.6527272727272728</v>
      </c>
      <c r="BI489">
        <v>6.0182046818181814</v>
      </c>
      <c r="BJ489" s="64">
        <v>0.5176653673612065</v>
      </c>
      <c r="BK489" s="64">
        <v>0.54307152550012683</v>
      </c>
      <c r="BL489" s="64"/>
      <c r="BN489">
        <v>4.4246063552605013E-2</v>
      </c>
      <c r="BO489">
        <v>4.6417587008717988E-2</v>
      </c>
      <c r="BQ489">
        <v>9.0663650561323014E-2</v>
      </c>
      <c r="BR489">
        <v>4.53318252806615E-2</v>
      </c>
      <c r="BS489">
        <v>0.53036844643066661</v>
      </c>
      <c r="BT489" s="68" t="s">
        <v>1264</v>
      </c>
      <c r="BU489" s="68">
        <v>1423</v>
      </c>
      <c r="BV489" s="68">
        <v>10</v>
      </c>
      <c r="BW489" s="68" t="s">
        <v>1307</v>
      </c>
      <c r="BX489" s="68" t="s">
        <v>1275</v>
      </c>
      <c r="BY489" s="68" t="s">
        <v>863</v>
      </c>
      <c r="BZ489" s="68">
        <v>3</v>
      </c>
      <c r="CA489" s="68">
        <v>6.4</v>
      </c>
      <c r="CB489" s="68">
        <v>1</v>
      </c>
      <c r="CC489" s="68">
        <v>20</v>
      </c>
      <c r="CD489" s="68" t="s">
        <v>464</v>
      </c>
      <c r="CE489" s="68" t="s">
        <v>464</v>
      </c>
      <c r="CF489" s="68" t="s">
        <v>1271</v>
      </c>
      <c r="CG489" s="68">
        <v>200</v>
      </c>
      <c r="CH489" s="68">
        <v>400</v>
      </c>
      <c r="CI489" s="68" t="s">
        <v>1310</v>
      </c>
      <c r="CJ489" s="68">
        <v>298</v>
      </c>
      <c r="CK489" s="70">
        <v>20</v>
      </c>
    </row>
    <row r="490" spans="1:89" x14ac:dyDescent="0.3">
      <c r="A490" t="s">
        <v>46</v>
      </c>
      <c r="B490" t="s">
        <v>46</v>
      </c>
      <c r="C490" t="s">
        <v>4087</v>
      </c>
      <c r="D490" s="12"/>
      <c r="E490">
        <v>3.9</v>
      </c>
      <c r="F490" t="s">
        <v>229</v>
      </c>
      <c r="G490" s="98" t="s">
        <v>551</v>
      </c>
      <c r="H490" t="s">
        <v>629</v>
      </c>
      <c r="M490" t="b">
        <v>1</v>
      </c>
      <c r="N490" t="b">
        <v>1</v>
      </c>
      <c r="O490" t="b">
        <v>0</v>
      </c>
      <c r="P490" t="b">
        <v>0</v>
      </c>
      <c r="Q490" t="s">
        <v>551</v>
      </c>
      <c r="R490" t="s">
        <v>629</v>
      </c>
      <c r="U490" s="20">
        <v>2</v>
      </c>
      <c r="V490">
        <v>4</v>
      </c>
      <c r="W490">
        <v>0</v>
      </c>
      <c r="AB490" s="1">
        <v>0</v>
      </c>
      <c r="AC490" s="20">
        <v>7.41544296</v>
      </c>
      <c r="AD490" s="20">
        <v>7.4154429599999991</v>
      </c>
      <c r="AE490" s="20">
        <v>7.41544296</v>
      </c>
      <c r="AF490">
        <v>7.8</v>
      </c>
      <c r="AG490">
        <v>13.010999999999999</v>
      </c>
      <c r="AH490">
        <v>5.5460000000000003</v>
      </c>
      <c r="AI490">
        <v>0</v>
      </c>
      <c r="AM490">
        <v>14</v>
      </c>
      <c r="AN490" s="44">
        <f t="shared" si="65"/>
        <v>0</v>
      </c>
      <c r="AO490" s="46">
        <v>288.33429290182369</v>
      </c>
      <c r="AP490" s="44">
        <v>556.51188553357167</v>
      </c>
      <c r="AQ490" s="44">
        <v>0</v>
      </c>
      <c r="AR490" s="41"/>
      <c r="AS490" s="40">
        <v>9.7109503410799117E-2</v>
      </c>
      <c r="AT490" s="41">
        <v>0.10062678166578309</v>
      </c>
      <c r="AU490" s="41"/>
      <c r="AV490" s="23">
        <v>2</v>
      </c>
      <c r="AW490" s="23">
        <v>2.545454545454545</v>
      </c>
      <c r="AX490" s="23">
        <v>0.54545454545454541</v>
      </c>
      <c r="AY490" s="23">
        <v>0</v>
      </c>
      <c r="AZ490" s="23">
        <v>0.39285714285714279</v>
      </c>
      <c r="BA490" s="23">
        <v>0.5</v>
      </c>
      <c r="BB490" s="23">
        <v>0.1071428571428571</v>
      </c>
      <c r="BC490" s="23">
        <v>0</v>
      </c>
      <c r="BD490" s="20">
        <v>1.1000000000000001</v>
      </c>
      <c r="BE490" s="20">
        <v>3.44</v>
      </c>
      <c r="BF490" s="20">
        <v>2.34</v>
      </c>
      <c r="BG490" s="20">
        <v>2.669090909090909</v>
      </c>
      <c r="BH490">
        <v>2.669090909090909</v>
      </c>
      <c r="BI490">
        <v>5.9831974772727277</v>
      </c>
      <c r="BJ490" s="64">
        <v>0.52442413903612473</v>
      </c>
      <c r="BK490" s="64">
        <v>0.54341863036636606</v>
      </c>
      <c r="BL490" s="64"/>
      <c r="BN490">
        <v>4.8554751705399558E-2</v>
      </c>
      <c r="BO490">
        <v>5.0313390832891547E-2</v>
      </c>
      <c r="BQ490">
        <v>9.8868142538291098E-2</v>
      </c>
      <c r="BR490">
        <v>4.9434071269145549E-2</v>
      </c>
      <c r="BS490">
        <v>0.53392138470124539</v>
      </c>
      <c r="BT490" s="68" t="s">
        <v>1393</v>
      </c>
      <c r="BU490" s="68">
        <v>1273</v>
      </c>
      <c r="BV490" s="68">
        <v>12</v>
      </c>
      <c r="BX490" s="68" t="s">
        <v>1268</v>
      </c>
      <c r="BY490" s="68" t="s">
        <v>863</v>
      </c>
      <c r="BZ490" s="68">
        <v>0.5</v>
      </c>
      <c r="CA490" s="68">
        <v>8</v>
      </c>
      <c r="CB490" s="68">
        <v>2</v>
      </c>
      <c r="CC490" s="68">
        <v>10</v>
      </c>
      <c r="CD490" s="68" t="s">
        <v>464</v>
      </c>
      <c r="CE490" s="68" t="s">
        <v>464</v>
      </c>
      <c r="CF490" s="68" t="s">
        <v>1271</v>
      </c>
      <c r="CG490" s="68">
        <v>300</v>
      </c>
      <c r="CH490" s="68">
        <v>420</v>
      </c>
      <c r="CI490" s="68" t="s">
        <v>1310</v>
      </c>
      <c r="CK490" s="70">
        <v>0</v>
      </c>
    </row>
    <row r="491" spans="1:89" x14ac:dyDescent="0.3">
      <c r="A491" t="s">
        <v>1394</v>
      </c>
      <c r="B491" t="s">
        <v>46</v>
      </c>
      <c r="C491" t="s">
        <v>4153</v>
      </c>
      <c r="D491" s="12"/>
      <c r="E491">
        <v>3.78</v>
      </c>
      <c r="F491" t="s">
        <v>229</v>
      </c>
      <c r="G491" s="101" t="s">
        <v>551</v>
      </c>
      <c r="H491" s="1" t="s">
        <v>629</v>
      </c>
      <c r="M491" t="b">
        <v>1</v>
      </c>
      <c r="N491" t="b">
        <v>1</v>
      </c>
      <c r="O491" t="b">
        <v>0</v>
      </c>
      <c r="P491" t="b">
        <v>0</v>
      </c>
      <c r="Q491" t="s">
        <v>551</v>
      </c>
      <c r="R491" t="s">
        <v>629</v>
      </c>
      <c r="U491" s="20">
        <v>2</v>
      </c>
      <c r="V491">
        <v>4</v>
      </c>
      <c r="W491">
        <v>0</v>
      </c>
      <c r="AC491" s="20">
        <v>7.41544296</v>
      </c>
      <c r="AD491" s="20">
        <v>7.4154429599999991</v>
      </c>
      <c r="AE491" s="20">
        <v>7.41544296</v>
      </c>
      <c r="AF491">
        <v>7.8</v>
      </c>
      <c r="AG491">
        <v>13.010999999999999</v>
      </c>
      <c r="AH491">
        <v>5.5460000000000003</v>
      </c>
      <c r="AI491">
        <v>0</v>
      </c>
      <c r="AM491">
        <v>14</v>
      </c>
      <c r="AN491" s="44">
        <f t="shared" si="65"/>
        <v>0</v>
      </c>
      <c r="AO491" s="46">
        <v>288.33429290182369</v>
      </c>
      <c r="AP491" s="44">
        <v>556.51188553357167</v>
      </c>
      <c r="AQ491" s="44">
        <v>0</v>
      </c>
      <c r="AR491" s="41"/>
      <c r="AS491" s="40">
        <v>9.7109503410799117E-2</v>
      </c>
      <c r="AT491" s="41">
        <v>0.10062678166578309</v>
      </c>
      <c r="AU491" s="41"/>
      <c r="AV491" s="23">
        <v>2</v>
      </c>
      <c r="AW491" s="23">
        <v>2.545454545454545</v>
      </c>
      <c r="AX491" s="23">
        <v>0.54545454545454541</v>
      </c>
      <c r="AY491" s="23">
        <v>0</v>
      </c>
      <c r="AZ491" s="23">
        <v>0.39285714285714279</v>
      </c>
      <c r="BA491" s="23">
        <v>0.5</v>
      </c>
      <c r="BB491" s="23">
        <v>0.1071428571428571</v>
      </c>
      <c r="BC491" s="23">
        <v>0</v>
      </c>
      <c r="BD491" s="20">
        <v>1.1000000000000001</v>
      </c>
      <c r="BE491" s="20">
        <v>3.44</v>
      </c>
      <c r="BF491" s="20">
        <v>2.34</v>
      </c>
      <c r="BG491" s="20">
        <v>2.669090909090909</v>
      </c>
      <c r="BH491">
        <v>2.669090909090909</v>
      </c>
      <c r="BI491">
        <v>5.9831974772727277</v>
      </c>
      <c r="BJ491" s="64">
        <v>0.52442413903612473</v>
      </c>
      <c r="BK491" s="64">
        <v>0.54341863036636606</v>
      </c>
      <c r="BL491" s="64"/>
      <c r="BN491">
        <v>4.8554751705399558E-2</v>
      </c>
      <c r="BO491">
        <v>5.0313390832891547E-2</v>
      </c>
      <c r="BQ491">
        <v>9.8868142538291098E-2</v>
      </c>
      <c r="BR491">
        <v>4.9434071269145549E-2</v>
      </c>
      <c r="BS491">
        <v>0.53392138470124539</v>
      </c>
      <c r="BT491" s="68" t="s">
        <v>1393</v>
      </c>
      <c r="BU491" s="68">
        <v>1273</v>
      </c>
      <c r="BV491" s="68">
        <v>12</v>
      </c>
      <c r="BX491" s="68" t="s">
        <v>1268</v>
      </c>
      <c r="BY491" s="68" t="s">
        <v>863</v>
      </c>
      <c r="BZ491" s="68">
        <v>0.5</v>
      </c>
      <c r="CA491" s="68">
        <v>10</v>
      </c>
      <c r="CB491" s="68">
        <v>2</v>
      </c>
      <c r="CC491" s="68">
        <v>10</v>
      </c>
      <c r="CD491" s="68" t="s">
        <v>464</v>
      </c>
      <c r="CE491" s="68" t="s">
        <v>464</v>
      </c>
      <c r="CF491" s="68" t="s">
        <v>1271</v>
      </c>
      <c r="CG491" s="68">
        <v>300</v>
      </c>
      <c r="CH491" s="68">
        <v>420</v>
      </c>
      <c r="CI491" s="68" t="s">
        <v>1310</v>
      </c>
      <c r="CK491" s="70">
        <v>5.67</v>
      </c>
    </row>
    <row r="492" spans="1:89" x14ac:dyDescent="0.3">
      <c r="A492" t="s">
        <v>1394</v>
      </c>
      <c r="B492" t="s">
        <v>46</v>
      </c>
      <c r="C492" t="s">
        <v>4153</v>
      </c>
      <c r="D492" s="12"/>
      <c r="E492">
        <v>3.78</v>
      </c>
      <c r="F492" t="s">
        <v>229</v>
      </c>
      <c r="G492" s="101" t="s">
        <v>551</v>
      </c>
      <c r="H492" s="1" t="s">
        <v>629</v>
      </c>
      <c r="M492" t="b">
        <v>1</v>
      </c>
      <c r="N492" t="b">
        <v>1</v>
      </c>
      <c r="O492" t="b">
        <v>0</v>
      </c>
      <c r="P492" t="b">
        <v>0</v>
      </c>
      <c r="Q492" t="s">
        <v>551</v>
      </c>
      <c r="R492" t="s">
        <v>629</v>
      </c>
      <c r="U492" s="20">
        <v>2</v>
      </c>
      <c r="V492">
        <v>4</v>
      </c>
      <c r="W492">
        <v>0</v>
      </c>
      <c r="AC492" s="20"/>
      <c r="AD492" s="20"/>
      <c r="AE492" s="20"/>
      <c r="AN492" s="44"/>
      <c r="AO492" s="46"/>
      <c r="AP492" s="44"/>
      <c r="AQ492" s="44"/>
      <c r="AR492" s="41"/>
      <c r="AS492" s="40"/>
      <c r="AT492" s="41"/>
      <c r="AU492" s="41"/>
      <c r="AV492" s="23"/>
      <c r="AW492" s="23"/>
      <c r="AX492" s="23"/>
      <c r="AY492" s="23"/>
      <c r="AZ492" s="23"/>
      <c r="BA492" s="23"/>
      <c r="BB492" s="23"/>
      <c r="BC492" s="23"/>
      <c r="BD492" s="20"/>
      <c r="BE492" s="20"/>
      <c r="BF492" s="20"/>
      <c r="BG492" s="20"/>
      <c r="BJ492" s="64"/>
      <c r="BK492" s="64"/>
      <c r="BL492" s="64"/>
      <c r="BT492" s="68" t="s">
        <v>1264</v>
      </c>
      <c r="BU492" s="68">
        <v>1423</v>
      </c>
      <c r="BV492" s="68">
        <v>10</v>
      </c>
      <c r="BX492" s="68" t="s">
        <v>1268</v>
      </c>
      <c r="BY492" s="68" t="s">
        <v>863</v>
      </c>
      <c r="BZ492" s="68">
        <v>0.5</v>
      </c>
      <c r="CA492" s="68">
        <v>7.9</v>
      </c>
      <c r="CB492" s="68">
        <v>2</v>
      </c>
      <c r="CC492" s="68">
        <v>10</v>
      </c>
      <c r="CD492" s="68" t="s">
        <v>464</v>
      </c>
      <c r="CE492" s="68" t="s">
        <v>464</v>
      </c>
      <c r="CF492" s="68" t="s">
        <v>1271</v>
      </c>
      <c r="CG492" s="68">
        <v>300</v>
      </c>
      <c r="CH492" s="68">
        <v>420</v>
      </c>
      <c r="CI492" s="68" t="s">
        <v>1310</v>
      </c>
      <c r="CK492" s="70">
        <v>0</v>
      </c>
    </row>
    <row r="493" spans="1:89" x14ac:dyDescent="0.3">
      <c r="A493" t="s">
        <v>1394</v>
      </c>
      <c r="B493" t="s">
        <v>46</v>
      </c>
      <c r="C493" t="s">
        <v>4153</v>
      </c>
      <c r="D493" s="12"/>
      <c r="E493">
        <v>3.78</v>
      </c>
      <c r="F493" t="s">
        <v>229</v>
      </c>
      <c r="G493" s="101" t="s">
        <v>551</v>
      </c>
      <c r="H493" s="1" t="s">
        <v>629</v>
      </c>
      <c r="M493" t="b">
        <v>1</v>
      </c>
      <c r="N493" t="b">
        <v>1</v>
      </c>
      <c r="O493" t="b">
        <v>0</v>
      </c>
      <c r="P493" t="b">
        <v>0</v>
      </c>
      <c r="Q493" t="s">
        <v>551</v>
      </c>
      <c r="R493" t="s">
        <v>629</v>
      </c>
      <c r="U493" s="20">
        <v>2</v>
      </c>
      <c r="V493">
        <v>4</v>
      </c>
      <c r="W493">
        <v>0</v>
      </c>
      <c r="AC493" s="20"/>
      <c r="AD493" s="20"/>
      <c r="AE493" s="20"/>
      <c r="AN493" s="44"/>
      <c r="AO493" s="46"/>
      <c r="AP493" s="44"/>
      <c r="AQ493" s="44"/>
      <c r="AR493" s="41"/>
      <c r="AS493" s="40"/>
      <c r="AT493" s="41"/>
      <c r="AU493" s="41"/>
      <c r="AV493" s="23"/>
      <c r="AW493" s="23"/>
      <c r="AX493" s="23"/>
      <c r="AY493" s="23"/>
      <c r="AZ493" s="23"/>
      <c r="BA493" s="23"/>
      <c r="BB493" s="23"/>
      <c r="BC493" s="23"/>
      <c r="BD493" s="20"/>
      <c r="BE493" s="20"/>
      <c r="BF493" s="20"/>
      <c r="BG493" s="20"/>
      <c r="BJ493" s="64"/>
      <c r="BK493" s="64"/>
      <c r="BL493" s="64"/>
      <c r="BT493" s="68" t="s">
        <v>1305</v>
      </c>
      <c r="BU493" s="68">
        <v>1323</v>
      </c>
      <c r="BV493" s="68">
        <v>2</v>
      </c>
      <c r="BX493" s="68" t="s">
        <v>1268</v>
      </c>
      <c r="BY493" s="68" t="s">
        <v>863</v>
      </c>
      <c r="BZ493" s="68">
        <v>0.5</v>
      </c>
      <c r="CA493" s="68">
        <v>8.6999999999999993</v>
      </c>
      <c r="CB493" s="68">
        <v>2</v>
      </c>
      <c r="CC493" s="68">
        <v>10</v>
      </c>
      <c r="CD493" s="68" t="s">
        <v>464</v>
      </c>
      <c r="CE493" s="68" t="s">
        <v>464</v>
      </c>
      <c r="CF493" s="68" t="s">
        <v>1271</v>
      </c>
      <c r="CG493" s="68">
        <v>300</v>
      </c>
      <c r="CH493" s="68">
        <v>420</v>
      </c>
      <c r="CI493" s="68" t="s">
        <v>1310</v>
      </c>
      <c r="CK493" s="70">
        <f>0.6/0.3</f>
        <v>2</v>
      </c>
    </row>
    <row r="494" spans="1:89" x14ac:dyDescent="0.3">
      <c r="A494" t="s">
        <v>1394</v>
      </c>
      <c r="B494" t="s">
        <v>46</v>
      </c>
      <c r="C494" t="s">
        <v>4153</v>
      </c>
      <c r="D494" s="12"/>
      <c r="E494">
        <v>3.78</v>
      </c>
      <c r="F494" t="s">
        <v>229</v>
      </c>
      <c r="G494" s="101" t="s">
        <v>551</v>
      </c>
      <c r="H494" s="1" t="s">
        <v>629</v>
      </c>
      <c r="M494" t="b">
        <v>1</v>
      </c>
      <c r="N494" t="b">
        <v>1</v>
      </c>
      <c r="O494" t="b">
        <v>0</v>
      </c>
      <c r="P494" t="b">
        <v>0</v>
      </c>
      <c r="Q494" t="s">
        <v>551</v>
      </c>
      <c r="R494" t="s">
        <v>629</v>
      </c>
      <c r="U494" s="20">
        <v>2</v>
      </c>
      <c r="V494">
        <v>4</v>
      </c>
      <c r="W494">
        <v>0</v>
      </c>
      <c r="AC494" s="20">
        <v>7.41544296</v>
      </c>
      <c r="AD494" s="20">
        <v>7.4154429599999991</v>
      </c>
      <c r="AE494" s="20">
        <v>7.41544296</v>
      </c>
      <c r="AF494">
        <v>7.8</v>
      </c>
      <c r="AG494">
        <v>13.010999999999999</v>
      </c>
      <c r="AH494">
        <v>5.5460000000000003</v>
      </c>
      <c r="AI494">
        <v>0</v>
      </c>
      <c r="AM494">
        <v>14</v>
      </c>
      <c r="AN494" s="44">
        <f t="shared" ref="AN494:AN497" si="109">X494*Y494*Z494</f>
        <v>0</v>
      </c>
      <c r="AO494" s="46">
        <v>288.33429290182369</v>
      </c>
      <c r="AP494" s="44">
        <v>556.51188553357167</v>
      </c>
      <c r="AQ494" s="44">
        <v>0</v>
      </c>
      <c r="AR494" s="41"/>
      <c r="AS494" s="40">
        <v>9.7109503410799117E-2</v>
      </c>
      <c r="AT494" s="41">
        <v>0.10062678166578309</v>
      </c>
      <c r="AU494" s="41"/>
      <c r="AV494" s="23">
        <v>2</v>
      </c>
      <c r="AW494" s="23">
        <v>2.545454545454545</v>
      </c>
      <c r="AX494" s="23">
        <v>0.54545454545454541</v>
      </c>
      <c r="AY494" s="23">
        <v>0</v>
      </c>
      <c r="AZ494" s="23">
        <v>0.39285714285714279</v>
      </c>
      <c r="BA494" s="23">
        <v>0.5</v>
      </c>
      <c r="BB494" s="23">
        <v>0.1071428571428571</v>
      </c>
      <c r="BC494" s="23">
        <v>0</v>
      </c>
      <c r="BD494" s="20">
        <v>1.1000000000000001</v>
      </c>
      <c r="BE494" s="20">
        <v>3.44</v>
      </c>
      <c r="BF494" s="20">
        <v>2.34</v>
      </c>
      <c r="BG494" s="20">
        <v>2.669090909090909</v>
      </c>
      <c r="BH494">
        <v>2.669090909090909</v>
      </c>
      <c r="BI494">
        <v>5.9831974772727277</v>
      </c>
      <c r="BJ494" s="64">
        <v>0.52442413903612473</v>
      </c>
      <c r="BK494" s="64">
        <v>0.54341863036636606</v>
      </c>
      <c r="BL494" s="64"/>
      <c r="BN494">
        <v>4.8554751705399558E-2</v>
      </c>
      <c r="BO494">
        <v>5.0313390832891547E-2</v>
      </c>
      <c r="BQ494">
        <v>9.8868142538291098E-2</v>
      </c>
      <c r="BR494">
        <v>4.9434071269145549E-2</v>
      </c>
      <c r="BS494">
        <v>0.53392138470124539</v>
      </c>
      <c r="BT494" s="68" t="s">
        <v>1393</v>
      </c>
      <c r="BU494" s="68">
        <v>1273</v>
      </c>
      <c r="BV494" s="68">
        <v>12</v>
      </c>
      <c r="BX494" s="68" t="s">
        <v>1268</v>
      </c>
      <c r="BY494" s="68" t="s">
        <v>863</v>
      </c>
      <c r="BZ494" s="68">
        <v>0.5</v>
      </c>
      <c r="CA494" s="68">
        <v>10</v>
      </c>
      <c r="CB494" s="68">
        <v>2</v>
      </c>
      <c r="CC494" s="68">
        <v>10</v>
      </c>
      <c r="CD494" s="68" t="s">
        <v>464</v>
      </c>
      <c r="CE494" s="68" t="s">
        <v>464</v>
      </c>
      <c r="CF494" s="68" t="s">
        <v>1271</v>
      </c>
      <c r="CG494" s="68">
        <v>300</v>
      </c>
      <c r="CH494" s="68">
        <v>525</v>
      </c>
      <c r="CI494" s="68" t="s">
        <v>1310</v>
      </c>
      <c r="CK494" s="70">
        <f>0.3/0.3</f>
        <v>1</v>
      </c>
    </row>
    <row r="495" spans="1:89" x14ac:dyDescent="0.3">
      <c r="A495" t="s">
        <v>1394</v>
      </c>
      <c r="B495" t="s">
        <v>46</v>
      </c>
      <c r="C495" t="s">
        <v>4153</v>
      </c>
      <c r="D495" s="12"/>
      <c r="E495">
        <v>3.78</v>
      </c>
      <c r="F495" t="s">
        <v>229</v>
      </c>
      <c r="G495" s="101" t="s">
        <v>551</v>
      </c>
      <c r="H495" s="1" t="s">
        <v>629</v>
      </c>
      <c r="M495" t="b">
        <v>1</v>
      </c>
      <c r="N495" t="b">
        <v>1</v>
      </c>
      <c r="O495" t="b">
        <v>0</v>
      </c>
      <c r="P495" t="b">
        <v>0</v>
      </c>
      <c r="Q495" t="s">
        <v>551</v>
      </c>
      <c r="R495" t="s">
        <v>629</v>
      </c>
      <c r="U495" s="20">
        <v>2</v>
      </c>
      <c r="V495">
        <v>4</v>
      </c>
      <c r="W495">
        <v>0</v>
      </c>
      <c r="AC495" s="20">
        <v>7.41544296</v>
      </c>
      <c r="AD495" s="20">
        <v>7.4154429599999991</v>
      </c>
      <c r="AE495" s="20">
        <v>7.41544296</v>
      </c>
      <c r="AF495">
        <v>7.8</v>
      </c>
      <c r="AG495">
        <v>13.010999999999999</v>
      </c>
      <c r="AH495">
        <v>5.5460000000000003</v>
      </c>
      <c r="AI495">
        <v>0</v>
      </c>
      <c r="AM495">
        <v>14</v>
      </c>
      <c r="AN495" s="44">
        <f t="shared" si="109"/>
        <v>0</v>
      </c>
      <c r="AO495" s="46">
        <v>288.33429290182369</v>
      </c>
      <c r="AP495" s="44">
        <v>556.51188553357167</v>
      </c>
      <c r="AQ495" s="44">
        <v>0</v>
      </c>
      <c r="AR495" s="41"/>
      <c r="AS495" s="40">
        <v>9.7109503410799117E-2</v>
      </c>
      <c r="AT495" s="41">
        <v>0.10062678166578309</v>
      </c>
      <c r="AU495" s="41"/>
      <c r="AV495" s="23">
        <v>2</v>
      </c>
      <c r="AW495" s="23">
        <v>2.545454545454545</v>
      </c>
      <c r="AX495" s="23">
        <v>0.54545454545454541</v>
      </c>
      <c r="AY495" s="23">
        <v>0</v>
      </c>
      <c r="AZ495" s="23">
        <v>0.39285714285714279</v>
      </c>
      <c r="BA495" s="23">
        <v>0.5</v>
      </c>
      <c r="BB495" s="23">
        <v>0.1071428571428571</v>
      </c>
      <c r="BC495" s="23">
        <v>0</v>
      </c>
      <c r="BD495" s="20">
        <v>1.1000000000000001</v>
      </c>
      <c r="BE495" s="20">
        <v>3.44</v>
      </c>
      <c r="BF495" s="20">
        <v>2.34</v>
      </c>
      <c r="BG495" s="20">
        <v>2.669090909090909</v>
      </c>
      <c r="BH495">
        <v>2.669090909090909</v>
      </c>
      <c r="BI495">
        <v>5.9831974772727277</v>
      </c>
      <c r="BJ495" s="64">
        <v>0.52442413903612473</v>
      </c>
      <c r="BK495" s="64">
        <v>0.54341863036636606</v>
      </c>
      <c r="BL495" s="64"/>
      <c r="BN495">
        <v>4.8554751705399558E-2</v>
      </c>
      <c r="BO495">
        <v>5.0313390832891547E-2</v>
      </c>
      <c r="BQ495">
        <v>9.8868142538291098E-2</v>
      </c>
      <c r="BR495">
        <v>4.9434071269145549E-2</v>
      </c>
      <c r="BS495">
        <v>0.53392138470124539</v>
      </c>
      <c r="BT495" s="68" t="s">
        <v>1393</v>
      </c>
      <c r="BU495" s="68">
        <v>1273</v>
      </c>
      <c r="BV495" s="68">
        <v>12</v>
      </c>
      <c r="BX495" s="68" t="s">
        <v>1268</v>
      </c>
      <c r="BY495" s="68" t="s">
        <v>863</v>
      </c>
      <c r="BZ495" s="68">
        <v>0.5</v>
      </c>
      <c r="CA495" s="68">
        <v>10</v>
      </c>
      <c r="CB495" s="68">
        <v>2</v>
      </c>
      <c r="CC495" s="68">
        <v>10</v>
      </c>
      <c r="CD495" s="68" t="s">
        <v>464</v>
      </c>
      <c r="CE495" s="68" t="s">
        <v>464</v>
      </c>
      <c r="CF495" s="68" t="s">
        <v>1271</v>
      </c>
      <c r="CG495" s="68">
        <v>300</v>
      </c>
      <c r="CH495" s="68">
        <v>580</v>
      </c>
      <c r="CI495" s="68" t="s">
        <v>1310</v>
      </c>
      <c r="CK495" s="70">
        <f>0.1/0.3</f>
        <v>0.33333333333333337</v>
      </c>
    </row>
    <row r="496" spans="1:89" x14ac:dyDescent="0.3">
      <c r="A496" t="s">
        <v>1394</v>
      </c>
      <c r="B496" t="s">
        <v>46</v>
      </c>
      <c r="C496" t="s">
        <v>4153</v>
      </c>
      <c r="D496" s="12"/>
      <c r="E496">
        <v>3.78</v>
      </c>
      <c r="F496" t="s">
        <v>229</v>
      </c>
      <c r="G496" s="101" t="s">
        <v>551</v>
      </c>
      <c r="H496" s="1" t="s">
        <v>629</v>
      </c>
      <c r="M496" t="b">
        <v>1</v>
      </c>
      <c r="N496" t="b">
        <v>1</v>
      </c>
      <c r="O496" t="b">
        <v>0</v>
      </c>
      <c r="P496" t="b">
        <v>0</v>
      </c>
      <c r="Q496" t="s">
        <v>551</v>
      </c>
      <c r="R496" t="s">
        <v>629</v>
      </c>
      <c r="U496" s="20">
        <v>2</v>
      </c>
      <c r="V496">
        <v>4</v>
      </c>
      <c r="W496">
        <v>0</v>
      </c>
      <c r="AC496" s="20">
        <v>7.41544296</v>
      </c>
      <c r="AD496" s="20">
        <v>7.4154429599999991</v>
      </c>
      <c r="AE496" s="20">
        <v>7.41544296</v>
      </c>
      <c r="AF496">
        <v>7.8</v>
      </c>
      <c r="AG496">
        <v>13.010999999999999</v>
      </c>
      <c r="AH496">
        <v>5.5460000000000003</v>
      </c>
      <c r="AI496">
        <v>0</v>
      </c>
      <c r="AM496">
        <v>14</v>
      </c>
      <c r="AN496" s="44">
        <f t="shared" si="109"/>
        <v>0</v>
      </c>
      <c r="AO496" s="46">
        <v>288.33429290182369</v>
      </c>
      <c r="AP496" s="44">
        <v>556.51188553357167</v>
      </c>
      <c r="AQ496" s="44">
        <v>0</v>
      </c>
      <c r="AR496" s="41"/>
      <c r="AS496" s="40">
        <v>9.7109503410799117E-2</v>
      </c>
      <c r="AT496" s="41">
        <v>0.10062678166578309</v>
      </c>
      <c r="AU496" s="41"/>
      <c r="AV496" s="23">
        <v>2</v>
      </c>
      <c r="AW496" s="23">
        <v>2.545454545454545</v>
      </c>
      <c r="AX496" s="23">
        <v>0.54545454545454541</v>
      </c>
      <c r="AY496" s="23">
        <v>0</v>
      </c>
      <c r="AZ496" s="23">
        <v>0.39285714285714279</v>
      </c>
      <c r="BA496" s="23">
        <v>0.5</v>
      </c>
      <c r="BB496" s="23">
        <v>0.1071428571428571</v>
      </c>
      <c r="BC496" s="23">
        <v>0</v>
      </c>
      <c r="BD496" s="20">
        <v>1.1000000000000001</v>
      </c>
      <c r="BE496" s="20">
        <v>3.44</v>
      </c>
      <c r="BF496" s="20">
        <v>2.34</v>
      </c>
      <c r="BG496" s="20">
        <v>2.669090909090909</v>
      </c>
      <c r="BH496">
        <v>2.669090909090909</v>
      </c>
      <c r="BI496">
        <v>5.9831974772727277</v>
      </c>
      <c r="BJ496" s="64">
        <v>0.52442413903612473</v>
      </c>
      <c r="BK496" s="64">
        <v>0.54341863036636606</v>
      </c>
      <c r="BL496" s="64"/>
      <c r="BN496">
        <v>4.8554751705399558E-2</v>
      </c>
      <c r="BO496">
        <v>5.0313390832891547E-2</v>
      </c>
      <c r="BQ496">
        <v>9.8868142538291098E-2</v>
      </c>
      <c r="BR496">
        <v>4.9434071269145549E-2</v>
      </c>
      <c r="BS496">
        <v>0.53392138470124539</v>
      </c>
      <c r="BT496" s="68" t="s">
        <v>1393</v>
      </c>
      <c r="BU496" s="68">
        <v>1273</v>
      </c>
      <c r="BV496" s="68">
        <v>12</v>
      </c>
      <c r="BX496" s="68" t="s">
        <v>1268</v>
      </c>
      <c r="BY496" s="68" t="s">
        <v>863</v>
      </c>
      <c r="BZ496" s="68">
        <v>0.5</v>
      </c>
      <c r="CA496" s="68">
        <v>10</v>
      </c>
      <c r="CB496" s="68">
        <v>2</v>
      </c>
      <c r="CC496" s="68">
        <v>10</v>
      </c>
      <c r="CD496" s="68" t="s">
        <v>464</v>
      </c>
      <c r="CE496" s="68" t="s">
        <v>464</v>
      </c>
      <c r="CF496" s="68" t="s">
        <v>1271</v>
      </c>
      <c r="CG496" s="68">
        <v>300</v>
      </c>
      <c r="CH496" s="68">
        <v>660</v>
      </c>
      <c r="CI496" s="68" t="s">
        <v>1310</v>
      </c>
      <c r="CK496" s="70">
        <v>0</v>
      </c>
    </row>
    <row r="497" spans="1:89" x14ac:dyDescent="0.3">
      <c r="A497" t="s">
        <v>1395</v>
      </c>
      <c r="B497" t="s">
        <v>46</v>
      </c>
      <c r="C497" t="s">
        <v>4154</v>
      </c>
      <c r="D497" s="12"/>
      <c r="E497">
        <v>3.78</v>
      </c>
      <c r="F497" t="s">
        <v>229</v>
      </c>
      <c r="G497" s="101" t="s">
        <v>551</v>
      </c>
      <c r="H497" s="1" t="s">
        <v>629</v>
      </c>
      <c r="M497" t="b">
        <v>1</v>
      </c>
      <c r="N497" t="b">
        <v>1</v>
      </c>
      <c r="O497" t="b">
        <v>0</v>
      </c>
      <c r="P497" t="b">
        <v>0</v>
      </c>
      <c r="Q497" t="s">
        <v>551</v>
      </c>
      <c r="R497" t="s">
        <v>629</v>
      </c>
      <c r="U497" s="20">
        <v>2</v>
      </c>
      <c r="V497">
        <v>4</v>
      </c>
      <c r="W497">
        <v>0</v>
      </c>
      <c r="AC497" s="20">
        <v>7.41544296</v>
      </c>
      <c r="AD497" s="20">
        <v>7.4154429599999991</v>
      </c>
      <c r="AE497" s="20">
        <v>7.41544296</v>
      </c>
      <c r="AF497">
        <v>7.8</v>
      </c>
      <c r="AG497">
        <v>13.010999999999999</v>
      </c>
      <c r="AH497">
        <v>5.5460000000000003</v>
      </c>
      <c r="AI497">
        <v>0</v>
      </c>
      <c r="AM497">
        <v>14</v>
      </c>
      <c r="AN497" s="44">
        <f t="shared" si="109"/>
        <v>0</v>
      </c>
      <c r="AO497" s="46">
        <v>288.33429290182369</v>
      </c>
      <c r="AP497" s="44">
        <v>556.51188553357167</v>
      </c>
      <c r="AQ497" s="44">
        <v>0</v>
      </c>
      <c r="AR497" s="41"/>
      <c r="AS497" s="40">
        <v>9.7109503410799117E-2</v>
      </c>
      <c r="AT497" s="41">
        <v>0.10062678166578309</v>
      </c>
      <c r="AU497" s="41"/>
      <c r="AV497" s="23">
        <v>2</v>
      </c>
      <c r="AW497" s="23">
        <v>2.545454545454545</v>
      </c>
      <c r="AX497" s="23">
        <v>0.54545454545454541</v>
      </c>
      <c r="AY497" s="23">
        <v>0</v>
      </c>
      <c r="AZ497" s="23">
        <v>0.39285714285714279</v>
      </c>
      <c r="BA497" s="23">
        <v>0.5</v>
      </c>
      <c r="BB497" s="23">
        <v>0.1071428571428571</v>
      </c>
      <c r="BC497" s="23">
        <v>0</v>
      </c>
      <c r="BD497" s="20">
        <v>1.1000000000000001</v>
      </c>
      <c r="BE497" s="20">
        <v>3.44</v>
      </c>
      <c r="BF497" s="20">
        <v>2.34</v>
      </c>
      <c r="BG497" s="20">
        <v>2.669090909090909</v>
      </c>
      <c r="BH497">
        <v>2.669090909090909</v>
      </c>
      <c r="BI497">
        <v>5.9831974772727277</v>
      </c>
      <c r="BJ497" s="64">
        <v>0.52442413903612473</v>
      </c>
      <c r="BK497" s="64">
        <v>0.54341863036636606</v>
      </c>
      <c r="BL497" s="64"/>
      <c r="BN497">
        <v>4.8554751705399558E-2</v>
      </c>
      <c r="BO497">
        <v>5.0313390832891547E-2</v>
      </c>
      <c r="BQ497">
        <v>9.8868142538291098E-2</v>
      </c>
      <c r="BR497">
        <v>4.9434071269145549E-2</v>
      </c>
      <c r="BS497">
        <v>0.53392138470124539</v>
      </c>
      <c r="BT497" s="68" t="s">
        <v>1393</v>
      </c>
      <c r="BU497" s="68">
        <v>1273</v>
      </c>
      <c r="BV497" s="68">
        <v>12</v>
      </c>
      <c r="BX497" s="68" t="s">
        <v>1268</v>
      </c>
      <c r="BY497" s="68" t="s">
        <v>863</v>
      </c>
      <c r="BZ497" s="68">
        <v>0.5</v>
      </c>
      <c r="CA497" s="68">
        <v>10</v>
      </c>
      <c r="CB497" s="68">
        <v>2</v>
      </c>
      <c r="CC497" s="68">
        <v>10</v>
      </c>
      <c r="CD497" s="68" t="s">
        <v>464</v>
      </c>
      <c r="CE497" s="68" t="s">
        <v>464</v>
      </c>
      <c r="CF497" s="68" t="s">
        <v>1271</v>
      </c>
      <c r="CG497" s="68">
        <v>300</v>
      </c>
      <c r="CH497" s="68">
        <v>420</v>
      </c>
      <c r="CI497" s="68" t="s">
        <v>1310</v>
      </c>
      <c r="CK497" s="70">
        <v>1</v>
      </c>
    </row>
    <row r="498" spans="1:89" x14ac:dyDescent="0.3">
      <c r="A498" t="s">
        <v>1396</v>
      </c>
      <c r="B498" t="s">
        <v>46</v>
      </c>
      <c r="C498" t="s">
        <v>4155</v>
      </c>
      <c r="D498" s="12"/>
      <c r="E498">
        <v>3.78</v>
      </c>
      <c r="F498" t="s">
        <v>229</v>
      </c>
      <c r="G498" s="101" t="s">
        <v>551</v>
      </c>
      <c r="H498" s="1" t="s">
        <v>629</v>
      </c>
      <c r="M498" t="b">
        <v>1</v>
      </c>
      <c r="N498" t="b">
        <v>1</v>
      </c>
      <c r="O498" t="b">
        <v>0</v>
      </c>
      <c r="P498" t="b">
        <v>0</v>
      </c>
      <c r="Q498" t="s">
        <v>551</v>
      </c>
      <c r="R498" t="s">
        <v>629</v>
      </c>
      <c r="U498" s="20">
        <v>2</v>
      </c>
      <c r="V498">
        <v>4</v>
      </c>
      <c r="W498">
        <v>0</v>
      </c>
      <c r="AC498" s="20">
        <v>7.41544296</v>
      </c>
      <c r="AD498" s="20">
        <v>7.4154429599999991</v>
      </c>
      <c r="AE498" s="20">
        <v>7.41544296</v>
      </c>
      <c r="AF498">
        <v>7.8</v>
      </c>
      <c r="AG498">
        <v>13.010999999999999</v>
      </c>
      <c r="AH498">
        <v>5.5460000000000003</v>
      </c>
      <c r="AI498">
        <v>0</v>
      </c>
      <c r="AM498">
        <v>14</v>
      </c>
      <c r="AN498" s="44">
        <f t="shared" ref="AN498" si="110">X498*Y498*Z498</f>
        <v>0</v>
      </c>
      <c r="AO498" s="46">
        <v>288.33429290182369</v>
      </c>
      <c r="AP498" s="44">
        <v>556.51188553357167</v>
      </c>
      <c r="AQ498" s="44">
        <v>0</v>
      </c>
      <c r="AR498" s="41"/>
      <c r="AS498" s="40">
        <v>9.7109503410799117E-2</v>
      </c>
      <c r="AT498" s="41">
        <v>0.10062678166578309</v>
      </c>
      <c r="AU498" s="41"/>
      <c r="AV498" s="23">
        <v>2</v>
      </c>
      <c r="AW498" s="23">
        <v>2.545454545454545</v>
      </c>
      <c r="AX498" s="23">
        <v>0.54545454545454541</v>
      </c>
      <c r="AY498" s="23">
        <v>0</v>
      </c>
      <c r="AZ498" s="23">
        <v>0.39285714285714279</v>
      </c>
      <c r="BA498" s="23">
        <v>0.5</v>
      </c>
      <c r="BB498" s="23">
        <v>0.1071428571428571</v>
      </c>
      <c r="BC498" s="23">
        <v>0</v>
      </c>
      <c r="BD498" s="20">
        <v>1.1000000000000001</v>
      </c>
      <c r="BE498" s="20">
        <v>3.44</v>
      </c>
      <c r="BF498" s="20">
        <v>2.34</v>
      </c>
      <c r="BG498" s="20">
        <v>2.669090909090909</v>
      </c>
      <c r="BH498">
        <v>2.669090909090909</v>
      </c>
      <c r="BI498">
        <v>5.9831974772727277</v>
      </c>
      <c r="BJ498" s="64">
        <v>0.52442413903612473</v>
      </c>
      <c r="BK498" s="64">
        <v>0.54341863036636606</v>
      </c>
      <c r="BL498" s="64"/>
      <c r="BN498">
        <v>4.8554751705399558E-2</v>
      </c>
      <c r="BO498">
        <v>5.0313390832891547E-2</v>
      </c>
      <c r="BQ498">
        <v>9.8868142538291098E-2</v>
      </c>
      <c r="BR498">
        <v>4.9434071269145549E-2</v>
      </c>
      <c r="BS498">
        <v>0.53392138470124539</v>
      </c>
      <c r="BT498" s="68" t="s">
        <v>1393</v>
      </c>
      <c r="BU498" s="68">
        <v>1273</v>
      </c>
      <c r="BV498" s="68">
        <v>12</v>
      </c>
      <c r="BX498" s="68" t="s">
        <v>1268</v>
      </c>
      <c r="BY498" s="68" t="s">
        <v>863</v>
      </c>
      <c r="BZ498" s="68">
        <v>0.5</v>
      </c>
      <c r="CA498" s="68">
        <v>10</v>
      </c>
      <c r="CB498" s="68">
        <v>2</v>
      </c>
      <c r="CC498" s="68">
        <v>10</v>
      </c>
      <c r="CD498" s="68" t="s">
        <v>464</v>
      </c>
      <c r="CE498" s="68" t="s">
        <v>464</v>
      </c>
      <c r="CF498" s="68" t="s">
        <v>1271</v>
      </c>
      <c r="CG498" s="68">
        <v>300</v>
      </c>
      <c r="CH498" s="68">
        <v>420</v>
      </c>
      <c r="CI498" s="68" t="s">
        <v>1310</v>
      </c>
      <c r="CK498" s="70">
        <f>1.1/0.3</f>
        <v>3.666666666666667</v>
      </c>
    </row>
    <row r="499" spans="1:89" x14ac:dyDescent="0.3">
      <c r="A499" t="s">
        <v>44</v>
      </c>
      <c r="B499" t="s">
        <v>2776</v>
      </c>
      <c r="C499" t="s">
        <v>3997</v>
      </c>
      <c r="D499" s="12"/>
      <c r="E499">
        <v>3.5</v>
      </c>
      <c r="F499" s="6" t="s">
        <v>230</v>
      </c>
      <c r="G499" s="98" t="s">
        <v>549</v>
      </c>
      <c r="H499">
        <v>-1</v>
      </c>
      <c r="I499" t="s">
        <v>1505</v>
      </c>
      <c r="M499" t="b">
        <v>1</v>
      </c>
      <c r="N499" t="b">
        <v>0</v>
      </c>
      <c r="O499" t="b">
        <v>0</v>
      </c>
      <c r="P499" t="b">
        <v>0</v>
      </c>
      <c r="Q499" t="s">
        <v>549</v>
      </c>
      <c r="R499">
        <v>-1</v>
      </c>
      <c r="S499" t="s">
        <v>1505</v>
      </c>
      <c r="T499" s="6"/>
      <c r="U499" s="20">
        <v>1</v>
      </c>
      <c r="V499">
        <v>0</v>
      </c>
      <c r="W499">
        <v>0</v>
      </c>
      <c r="AC499" s="20">
        <v>15.28115725</v>
      </c>
      <c r="AD499" s="20">
        <v>15.28115725</v>
      </c>
      <c r="AE499" s="20">
        <v>15.28115725</v>
      </c>
      <c r="AF499">
        <v>0</v>
      </c>
      <c r="AI499">
        <v>0</v>
      </c>
      <c r="AM499">
        <v>20</v>
      </c>
      <c r="AN499" s="44">
        <f t="shared" si="65"/>
        <v>0</v>
      </c>
      <c r="AO499" s="46">
        <v>229.90248606119221</v>
      </c>
      <c r="AP499" s="44">
        <v>0</v>
      </c>
      <c r="AQ499" s="44">
        <v>0</v>
      </c>
      <c r="AR499" s="41"/>
      <c r="AS499" s="40">
        <v>8.6993404650164072E-2</v>
      </c>
      <c r="AT499" s="41"/>
      <c r="AU499" s="41"/>
      <c r="AV499" s="23">
        <v>1.882352941176471</v>
      </c>
      <c r="AW499" s="23">
        <v>2.3529411764705879</v>
      </c>
      <c r="AX499" s="23">
        <v>0.47058823529411759</v>
      </c>
      <c r="AY499" s="23">
        <v>0</v>
      </c>
      <c r="AZ499" s="23">
        <v>0.4</v>
      </c>
      <c r="BA499" s="23">
        <v>0.5</v>
      </c>
      <c r="BB499" s="23">
        <v>9.9999999999999992E-2</v>
      </c>
      <c r="BC499" s="23">
        <v>0</v>
      </c>
      <c r="BD499" s="20">
        <v>0.82</v>
      </c>
      <c r="BE499" s="20">
        <v>3.44</v>
      </c>
      <c r="BF499" s="20">
        <v>2.62</v>
      </c>
      <c r="BG499" s="20">
        <v>2.5211764705882351</v>
      </c>
      <c r="BH499">
        <v>2.521176470588236</v>
      </c>
      <c r="BI499">
        <v>5.6898745917647062</v>
      </c>
      <c r="BJ499" s="64">
        <v>0.57369840599679445</v>
      </c>
      <c r="BK499" s="64"/>
      <c r="BL499" s="64"/>
      <c r="BN499">
        <v>4.3496702325082043E-2</v>
      </c>
      <c r="BQ499">
        <v>8.6993404650164072E-2</v>
      </c>
      <c r="BR499">
        <v>4.3496702325082043E-2</v>
      </c>
      <c r="BS499">
        <v>0.57369840599679445</v>
      </c>
      <c r="BT499" s="70" t="s">
        <v>1336</v>
      </c>
      <c r="BU499" s="68">
        <v>1273</v>
      </c>
      <c r="BV499" s="68">
        <v>2</v>
      </c>
      <c r="BX499" s="68" t="s">
        <v>464</v>
      </c>
      <c r="BY499" s="68" t="s">
        <v>464</v>
      </c>
      <c r="BZ499" s="68">
        <v>0</v>
      </c>
      <c r="CB499" s="68">
        <v>4</v>
      </c>
      <c r="CC499" s="68">
        <v>0</v>
      </c>
      <c r="CD499" s="68" t="s">
        <v>1398</v>
      </c>
      <c r="CE499" s="68" t="s">
        <v>1399</v>
      </c>
      <c r="CF499" s="68" t="s">
        <v>1266</v>
      </c>
      <c r="CG499" s="68">
        <v>300</v>
      </c>
      <c r="CK499" s="70">
        <v>83510</v>
      </c>
    </row>
    <row r="500" spans="1:89" x14ac:dyDescent="0.3">
      <c r="A500" t="s">
        <v>1397</v>
      </c>
      <c r="B500" t="s">
        <v>2776</v>
      </c>
      <c r="C500" t="s">
        <v>4156</v>
      </c>
      <c r="D500" s="12"/>
      <c r="E500">
        <v>3.06</v>
      </c>
      <c r="F500" s="6" t="s">
        <v>230</v>
      </c>
      <c r="G500" s="101" t="s">
        <v>549</v>
      </c>
      <c r="H500" s="1">
        <v>-1</v>
      </c>
      <c r="I500" s="1" t="s">
        <v>1505</v>
      </c>
      <c r="J500" s="1" t="s">
        <v>1726</v>
      </c>
      <c r="K500" s="1"/>
      <c r="L500" s="1" t="s">
        <v>1726</v>
      </c>
      <c r="M500" t="b">
        <v>0</v>
      </c>
      <c r="N500" t="b">
        <v>0</v>
      </c>
      <c r="O500" t="b">
        <v>0</v>
      </c>
      <c r="P500" t="b">
        <v>1</v>
      </c>
      <c r="Q500" t="s">
        <v>2107</v>
      </c>
      <c r="R500">
        <v>-1</v>
      </c>
      <c r="S500" t="s">
        <v>2051</v>
      </c>
      <c r="T500" s="6"/>
      <c r="U500" s="20">
        <v>1</v>
      </c>
      <c r="V500">
        <v>0</v>
      </c>
      <c r="W500">
        <v>0</v>
      </c>
      <c r="AC500" s="20">
        <v>15.28115725</v>
      </c>
      <c r="AD500" s="20">
        <v>15.28115725</v>
      </c>
      <c r="AE500" s="20">
        <v>15.28115725</v>
      </c>
      <c r="AF500">
        <v>0</v>
      </c>
      <c r="AI500">
        <v>0</v>
      </c>
      <c r="AM500">
        <v>20</v>
      </c>
      <c r="AN500" s="44">
        <f t="shared" si="65"/>
        <v>0</v>
      </c>
      <c r="AO500" s="46">
        <v>229.90248606119221</v>
      </c>
      <c r="AP500" s="44">
        <v>0</v>
      </c>
      <c r="AQ500" s="44">
        <v>0</v>
      </c>
      <c r="AR500" s="41"/>
      <c r="AS500" s="40">
        <v>8.6993404650164072E-2</v>
      </c>
      <c r="AT500" s="41"/>
      <c r="AU500" s="41"/>
      <c r="AV500" s="23">
        <v>1.882352941176471</v>
      </c>
      <c r="AW500" s="23">
        <v>2.3529411764705879</v>
      </c>
      <c r="AX500" s="23">
        <v>0.47058823529411759</v>
      </c>
      <c r="AY500" s="23">
        <v>0</v>
      </c>
      <c r="AZ500" s="23">
        <v>0.4</v>
      </c>
      <c r="BA500" s="23">
        <v>0.5</v>
      </c>
      <c r="BB500" s="23">
        <v>9.9999999999999992E-2</v>
      </c>
      <c r="BC500" s="23">
        <v>0</v>
      </c>
      <c r="BD500" s="20">
        <v>0.82</v>
      </c>
      <c r="BE500" s="20">
        <v>3.44</v>
      </c>
      <c r="BF500" s="20">
        <v>2.62</v>
      </c>
      <c r="BG500" s="20">
        <v>2.5211764705882351</v>
      </c>
      <c r="BH500">
        <v>2.521176470588236</v>
      </c>
      <c r="BI500">
        <v>5.6898745917647062</v>
      </c>
      <c r="BJ500" s="64">
        <v>0.57369840599679445</v>
      </c>
      <c r="BK500" s="64"/>
      <c r="BL500" s="64"/>
      <c r="BN500">
        <v>4.3496702325082043E-2</v>
      </c>
      <c r="BQ500">
        <v>8.6993404650164072E-2</v>
      </c>
      <c r="BR500">
        <v>4.3496702325082043E-2</v>
      </c>
      <c r="BS500">
        <v>0.57369840599679445</v>
      </c>
      <c r="BT500" s="70" t="s">
        <v>1336</v>
      </c>
      <c r="BU500" s="68">
        <v>1273</v>
      </c>
      <c r="BV500" s="68">
        <v>2</v>
      </c>
      <c r="BX500" s="68" t="s">
        <v>464</v>
      </c>
      <c r="BY500" s="68" t="s">
        <v>464</v>
      </c>
      <c r="BZ500" s="68">
        <v>0</v>
      </c>
      <c r="CB500" s="68">
        <v>4</v>
      </c>
      <c r="CC500" s="68">
        <v>0</v>
      </c>
      <c r="CD500" s="68" t="s">
        <v>1398</v>
      </c>
      <c r="CE500" s="68" t="s">
        <v>1399</v>
      </c>
      <c r="CF500" s="68" t="s">
        <v>1266</v>
      </c>
      <c r="CG500" s="68">
        <v>300</v>
      </c>
      <c r="CK500" s="70">
        <v>127190</v>
      </c>
    </row>
    <row r="501" spans="1:89" x14ac:dyDescent="0.3">
      <c r="A501" t="s">
        <v>8</v>
      </c>
      <c r="B501" t="s">
        <v>2777</v>
      </c>
      <c r="C501" t="s">
        <v>3926</v>
      </c>
      <c r="D501" s="12"/>
      <c r="E501">
        <v>3.26</v>
      </c>
      <c r="F501" t="s">
        <v>231</v>
      </c>
      <c r="G501" s="8" t="s">
        <v>530</v>
      </c>
      <c r="H501" t="s">
        <v>612</v>
      </c>
      <c r="M501" t="b">
        <v>1</v>
      </c>
      <c r="N501" t="b">
        <v>1</v>
      </c>
      <c r="O501" t="b">
        <v>0</v>
      </c>
      <c r="P501" t="b">
        <v>0</v>
      </c>
      <c r="Q501" t="s">
        <v>530</v>
      </c>
      <c r="R501" t="s">
        <v>612</v>
      </c>
      <c r="U501" s="20">
        <v>30</v>
      </c>
      <c r="V501">
        <v>4</v>
      </c>
      <c r="W501">
        <v>0</v>
      </c>
      <c r="AB501">
        <v>0</v>
      </c>
      <c r="AC501" s="20">
        <v>10.59112378</v>
      </c>
      <c r="AD501" s="20">
        <v>10.784736629999999</v>
      </c>
      <c r="AE501" s="20">
        <v>10.486176179999999</v>
      </c>
      <c r="AF501">
        <v>3.73</v>
      </c>
      <c r="AG501">
        <v>3.73</v>
      </c>
      <c r="AH501">
        <v>9.3699999999999992</v>
      </c>
      <c r="AI501">
        <v>0</v>
      </c>
      <c r="AM501">
        <v>4</v>
      </c>
      <c r="AN501" s="44">
        <f t="shared" si="65"/>
        <v>0</v>
      </c>
      <c r="AO501" s="46">
        <v>1182.741260108548</v>
      </c>
      <c r="AP501" s="44">
        <v>130.36387300000001</v>
      </c>
      <c r="AQ501" s="44">
        <v>0</v>
      </c>
      <c r="AR501" s="41"/>
      <c r="AS501" s="40">
        <v>0.1014592151701775</v>
      </c>
      <c r="AT501" s="41">
        <v>0.1227333894874388</v>
      </c>
      <c r="AU501" s="41"/>
      <c r="AV501" s="23">
        <v>2</v>
      </c>
      <c r="AW501" s="23">
        <v>2.666666666666667</v>
      </c>
      <c r="AX501" s="23">
        <v>0.66666666666666663</v>
      </c>
      <c r="AY501" s="23">
        <v>0</v>
      </c>
      <c r="AZ501" s="23">
        <v>0.375</v>
      </c>
      <c r="BA501" s="23">
        <v>0.5</v>
      </c>
      <c r="BB501" s="23">
        <v>0.125</v>
      </c>
      <c r="BC501" s="23">
        <v>0</v>
      </c>
      <c r="BD501" s="20">
        <v>1.54</v>
      </c>
      <c r="BE501" s="20">
        <v>3.44</v>
      </c>
      <c r="BF501" s="20">
        <v>1.9</v>
      </c>
      <c r="BG501" s="20">
        <v>2.8066666666666671</v>
      </c>
      <c r="BH501">
        <v>2.8066666666666662</v>
      </c>
      <c r="BI501">
        <v>6.1769976</v>
      </c>
      <c r="BJ501" s="64">
        <v>0.46900407026869628</v>
      </c>
      <c r="BK501" s="64">
        <v>0.56734579634715776</v>
      </c>
      <c r="BL501" s="64"/>
      <c r="BN501">
        <v>5.072960758508873E-2</v>
      </c>
      <c r="BO501">
        <v>6.136669474371937E-2</v>
      </c>
      <c r="BQ501">
        <v>0.1120963023288082</v>
      </c>
      <c r="BR501">
        <v>5.604815116440405E-2</v>
      </c>
      <c r="BS501">
        <v>0.51817493330792708</v>
      </c>
      <c r="BT501" s="68" t="s">
        <v>1264</v>
      </c>
      <c r="BU501" s="68">
        <f t="shared" ref="BU501:BU508" si="111">1150+273</f>
        <v>1423</v>
      </c>
      <c r="BV501" s="68">
        <v>24</v>
      </c>
      <c r="BX501" s="68" t="s">
        <v>464</v>
      </c>
      <c r="BY501" s="68" t="s">
        <v>464</v>
      </c>
      <c r="BZ501" s="68">
        <v>0</v>
      </c>
      <c r="CA501" s="68">
        <v>47.1</v>
      </c>
      <c r="CB501" s="68">
        <v>2</v>
      </c>
      <c r="CC501" s="68">
        <v>10</v>
      </c>
      <c r="CD501" s="68" t="s">
        <v>464</v>
      </c>
      <c r="CE501" s="68" t="s">
        <v>464</v>
      </c>
      <c r="CF501" s="68" t="s">
        <v>1266</v>
      </c>
      <c r="CG501" s="68">
        <v>100</v>
      </c>
      <c r="CH501" s="68">
        <v>290</v>
      </c>
      <c r="CJ501" s="68">
        <f t="shared" ref="CJ501:CJ509" si="112">273+60</f>
        <v>333</v>
      </c>
      <c r="CK501" s="70">
        <v>133.92857142857144</v>
      </c>
    </row>
    <row r="502" spans="1:89" x14ac:dyDescent="0.3">
      <c r="A502" t="s">
        <v>153</v>
      </c>
      <c r="B502" t="s">
        <v>153</v>
      </c>
      <c r="C502" t="s">
        <v>3927</v>
      </c>
      <c r="D502" s="12"/>
      <c r="E502">
        <v>3.1</v>
      </c>
      <c r="F502" t="s">
        <v>231</v>
      </c>
      <c r="G502" s="8" t="s">
        <v>578</v>
      </c>
      <c r="H502">
        <v>-1</v>
      </c>
      <c r="M502" t="b">
        <v>1</v>
      </c>
      <c r="N502" t="b">
        <v>0</v>
      </c>
      <c r="O502" t="b">
        <v>0</v>
      </c>
      <c r="P502" t="b">
        <v>0</v>
      </c>
      <c r="Q502" t="s">
        <v>578</v>
      </c>
      <c r="R502">
        <v>-1</v>
      </c>
      <c r="T502">
        <v>1</v>
      </c>
      <c r="U502" s="20">
        <v>1</v>
      </c>
      <c r="V502">
        <v>0</v>
      </c>
      <c r="W502">
        <v>0</v>
      </c>
      <c r="X502" s="1">
        <v>3.8849999999999998</v>
      </c>
      <c r="Y502" s="1">
        <v>3.8849999999999998</v>
      </c>
      <c r="Z502" s="1">
        <v>10.989000000000001</v>
      </c>
      <c r="AB502" s="1">
        <v>10.989000000000001</v>
      </c>
      <c r="AC502" s="20">
        <v>3.9263319999999999</v>
      </c>
      <c r="AD502" s="20">
        <v>3.9263319999999999</v>
      </c>
      <c r="AE502" s="20">
        <v>10.74639</v>
      </c>
      <c r="AF502">
        <v>0</v>
      </c>
      <c r="AI502">
        <v>0</v>
      </c>
      <c r="AM502">
        <v>14</v>
      </c>
      <c r="AN502" s="44">
        <f t="shared" si="65"/>
        <v>165.859449525</v>
      </c>
      <c r="AO502" s="46">
        <v>165.66723991337099</v>
      </c>
      <c r="AP502" s="44">
        <v>0</v>
      </c>
      <c r="AQ502" s="44">
        <v>0</v>
      </c>
      <c r="AR502" s="41"/>
      <c r="AS502" s="40">
        <v>8.4506749839743392E-2</v>
      </c>
      <c r="AT502" s="41"/>
      <c r="AU502" s="41"/>
      <c r="AV502" s="23">
        <v>1.7272727272727271</v>
      </c>
      <c r="AW502" s="23">
        <v>2.545454545454545</v>
      </c>
      <c r="AX502" s="23">
        <v>0.81818181818181823</v>
      </c>
      <c r="AY502" s="23">
        <v>0</v>
      </c>
      <c r="AZ502" s="23">
        <v>0.3392857142857143</v>
      </c>
      <c r="BA502" s="23">
        <v>0.5</v>
      </c>
      <c r="BB502" s="23">
        <v>0.1607142857142857</v>
      </c>
      <c r="BC502" s="23">
        <v>0</v>
      </c>
      <c r="BD502" s="20">
        <v>1.1000000000000001</v>
      </c>
      <c r="BE502" s="20">
        <v>3.44</v>
      </c>
      <c r="BF502" s="20">
        <v>2.34</v>
      </c>
      <c r="BG502" s="20">
        <v>2.78</v>
      </c>
      <c r="BH502">
        <v>2.78</v>
      </c>
      <c r="BI502">
        <v>6.4270052227137269</v>
      </c>
      <c r="BJ502" s="64">
        <v>0.41874886813759421</v>
      </c>
      <c r="BK502" s="64"/>
      <c r="BL502" s="64"/>
      <c r="BN502">
        <v>4.2253374919871717E-2</v>
      </c>
      <c r="BQ502">
        <v>8.4506749839743392E-2</v>
      </c>
      <c r="BR502">
        <v>4.2253374919871717E-2</v>
      </c>
      <c r="BS502">
        <v>0.41874886813759421</v>
      </c>
      <c r="BT502" s="68" t="s">
        <v>1264</v>
      </c>
      <c r="BU502" s="68">
        <f t="shared" si="111"/>
        <v>1423</v>
      </c>
      <c r="BV502" s="68">
        <v>24</v>
      </c>
      <c r="BX502" s="68" t="s">
        <v>464</v>
      </c>
      <c r="BY502" s="68" t="s">
        <v>464</v>
      </c>
      <c r="BZ502" s="68">
        <v>0</v>
      </c>
      <c r="CA502" s="68">
        <v>4.18</v>
      </c>
      <c r="CB502" s="68">
        <v>2</v>
      </c>
      <c r="CC502" s="68">
        <v>10</v>
      </c>
      <c r="CD502" s="68" t="s">
        <v>464</v>
      </c>
      <c r="CE502" s="68" t="s">
        <v>464</v>
      </c>
      <c r="CF502" s="68" t="s">
        <v>1266</v>
      </c>
      <c r="CG502" s="68">
        <v>100</v>
      </c>
      <c r="CH502" s="68">
        <v>290</v>
      </c>
      <c r="CJ502" s="68">
        <f t="shared" si="112"/>
        <v>333</v>
      </c>
      <c r="CK502" s="70">
        <v>357.14285714285717</v>
      </c>
    </row>
    <row r="503" spans="1:89" x14ac:dyDescent="0.3">
      <c r="A503" t="s">
        <v>153</v>
      </c>
      <c r="B503" t="s">
        <v>153</v>
      </c>
      <c r="C503" t="s">
        <v>3927</v>
      </c>
      <c r="D503" s="12"/>
      <c r="E503">
        <v>3.1</v>
      </c>
      <c r="F503" t="s">
        <v>231</v>
      </c>
      <c r="G503" s="8" t="s">
        <v>578</v>
      </c>
      <c r="H503">
        <v>-1</v>
      </c>
      <c r="M503" t="b">
        <v>1</v>
      </c>
      <c r="N503" t="b">
        <v>0</v>
      </c>
      <c r="O503" t="b">
        <v>0</v>
      </c>
      <c r="P503" t="b">
        <v>0</v>
      </c>
      <c r="Q503" t="s">
        <v>578</v>
      </c>
      <c r="R503">
        <v>-1</v>
      </c>
      <c r="T503">
        <v>1</v>
      </c>
      <c r="U503" s="20">
        <v>1</v>
      </c>
      <c r="V503">
        <v>0</v>
      </c>
      <c r="W503">
        <v>0</v>
      </c>
      <c r="X503" s="1">
        <v>3.8849999999999998</v>
      </c>
      <c r="Y503" s="1">
        <v>3.8849999999999998</v>
      </c>
      <c r="Z503" s="1">
        <v>10.989000000000001</v>
      </c>
      <c r="AB503" s="1">
        <v>10.989000000000001</v>
      </c>
      <c r="AC503" s="20">
        <v>3.9263319999999999</v>
      </c>
      <c r="AD503" s="20">
        <v>3.9263319999999999</v>
      </c>
      <c r="AE503" s="20">
        <v>10.74639</v>
      </c>
      <c r="AF503">
        <v>0</v>
      </c>
      <c r="AI503">
        <v>0</v>
      </c>
      <c r="AM503">
        <v>14</v>
      </c>
      <c r="AN503" s="44">
        <f t="shared" si="65"/>
        <v>165.859449525</v>
      </c>
      <c r="AO503" s="46">
        <v>165.66723991337099</v>
      </c>
      <c r="AP503" s="44">
        <v>0</v>
      </c>
      <c r="AQ503" s="44">
        <v>0</v>
      </c>
      <c r="AR503" s="41"/>
      <c r="AS503" s="40">
        <v>8.4506749839743392E-2</v>
      </c>
      <c r="AT503" s="41"/>
      <c r="AU503" s="41"/>
      <c r="AV503" s="23">
        <v>1.7272727272727271</v>
      </c>
      <c r="AW503" s="23">
        <v>2.545454545454545</v>
      </c>
      <c r="AX503" s="23">
        <v>0.81818181818181823</v>
      </c>
      <c r="AY503" s="23">
        <v>0</v>
      </c>
      <c r="AZ503" s="23">
        <v>0.3392857142857143</v>
      </c>
      <c r="BA503" s="23">
        <v>0.5</v>
      </c>
      <c r="BB503" s="23">
        <v>0.1607142857142857</v>
      </c>
      <c r="BC503" s="23">
        <v>0</v>
      </c>
      <c r="BD503" s="20">
        <v>1.1000000000000001</v>
      </c>
      <c r="BE503" s="20">
        <v>3.44</v>
      </c>
      <c r="BF503" s="20">
        <v>2.34</v>
      </c>
      <c r="BG503" s="20">
        <v>2.78</v>
      </c>
      <c r="BH503">
        <v>2.78</v>
      </c>
      <c r="BI503">
        <v>6.4270052227137269</v>
      </c>
      <c r="BJ503" s="64">
        <v>0.41874886813759421</v>
      </c>
      <c r="BK503" s="64"/>
      <c r="BL503" s="64"/>
      <c r="BN503">
        <v>4.2253374919871717E-2</v>
      </c>
      <c r="BQ503">
        <v>8.4506749839743392E-2</v>
      </c>
      <c r="BR503">
        <v>4.2253374919871717E-2</v>
      </c>
      <c r="BS503">
        <v>0.41874886813759421</v>
      </c>
      <c r="BT503" s="68" t="s">
        <v>1264</v>
      </c>
      <c r="BU503" s="68">
        <f t="shared" si="111"/>
        <v>1423</v>
      </c>
      <c r="BV503" s="68">
        <v>24</v>
      </c>
      <c r="BX503" s="68" t="s">
        <v>1268</v>
      </c>
      <c r="BY503" s="68" t="s">
        <v>863</v>
      </c>
      <c r="BZ503" s="68">
        <v>0.74</v>
      </c>
      <c r="CA503" s="68">
        <v>7.67</v>
      </c>
      <c r="CB503" s="68">
        <v>2</v>
      </c>
      <c r="CC503" s="68">
        <v>10</v>
      </c>
      <c r="CD503" s="68" t="s">
        <v>464</v>
      </c>
      <c r="CE503" s="68" t="s">
        <v>464</v>
      </c>
      <c r="CF503" s="68" t="s">
        <v>1266</v>
      </c>
      <c r="CG503" s="68">
        <v>100</v>
      </c>
      <c r="CH503" s="68">
        <v>290</v>
      </c>
      <c r="CJ503" s="68">
        <f t="shared" si="112"/>
        <v>333</v>
      </c>
      <c r="CK503" s="70">
        <v>5133.9285714285716</v>
      </c>
    </row>
    <row r="504" spans="1:89" x14ac:dyDescent="0.3">
      <c r="A504" t="s">
        <v>1400</v>
      </c>
      <c r="B504" t="s">
        <v>153</v>
      </c>
      <c r="C504" t="s">
        <v>4157</v>
      </c>
      <c r="D504" s="12"/>
      <c r="E504">
        <v>3.1</v>
      </c>
      <c r="F504" t="s">
        <v>231</v>
      </c>
      <c r="G504" s="25" t="s">
        <v>578</v>
      </c>
      <c r="H504">
        <v>-1</v>
      </c>
      <c r="M504" t="b">
        <v>0</v>
      </c>
      <c r="N504" t="b">
        <v>0</v>
      </c>
      <c r="O504" t="b">
        <v>0</v>
      </c>
      <c r="P504" t="b">
        <v>1</v>
      </c>
      <c r="Q504" t="s">
        <v>578</v>
      </c>
      <c r="R504">
        <v>-1</v>
      </c>
      <c r="U504" s="20">
        <v>1</v>
      </c>
      <c r="V504">
        <v>0</v>
      </c>
      <c r="W504">
        <v>0</v>
      </c>
      <c r="AC504" s="20">
        <v>3.9263319999999999</v>
      </c>
      <c r="AD504" s="20">
        <v>3.9263319999999999</v>
      </c>
      <c r="AE504" s="20">
        <v>10.74639</v>
      </c>
      <c r="AF504">
        <v>0</v>
      </c>
      <c r="AI504">
        <v>0</v>
      </c>
      <c r="AM504">
        <v>14</v>
      </c>
      <c r="AN504" s="44">
        <f t="shared" si="65"/>
        <v>0</v>
      </c>
      <c r="AO504" s="46">
        <v>165.66723991337099</v>
      </c>
      <c r="AP504" s="44">
        <v>0</v>
      </c>
      <c r="AQ504" s="44">
        <v>0</v>
      </c>
      <c r="AR504" s="41"/>
      <c r="AS504" s="40">
        <v>8.4506749839743392E-2</v>
      </c>
      <c r="AT504" s="41"/>
      <c r="AU504" s="41"/>
      <c r="AV504" s="23">
        <v>1.7272727272727271</v>
      </c>
      <c r="AW504" s="23">
        <v>2.545454545454545</v>
      </c>
      <c r="AX504" s="23">
        <v>0.81818181818181823</v>
      </c>
      <c r="AY504" s="23">
        <v>0</v>
      </c>
      <c r="AZ504" s="23">
        <v>0.3392857142857143</v>
      </c>
      <c r="BA504" s="23">
        <v>0.5</v>
      </c>
      <c r="BB504" s="23">
        <v>0.1607142857142857</v>
      </c>
      <c r="BC504" s="23">
        <v>0</v>
      </c>
      <c r="BD504" s="20">
        <v>1.1000000000000001</v>
      </c>
      <c r="BE504" s="20">
        <v>3.44</v>
      </c>
      <c r="BF504" s="20">
        <v>2.34</v>
      </c>
      <c r="BG504" s="20">
        <v>2.78</v>
      </c>
      <c r="BH504">
        <v>2.78</v>
      </c>
      <c r="BI504">
        <v>6.4270052227137269</v>
      </c>
      <c r="BJ504" s="64">
        <v>0.41874886813759421</v>
      </c>
      <c r="BK504" s="64"/>
      <c r="BL504" s="64"/>
      <c r="BN504">
        <v>4.2253374919871717E-2</v>
      </c>
      <c r="BQ504">
        <v>8.4506749839743392E-2</v>
      </c>
      <c r="BR504">
        <v>4.2253374919871717E-2</v>
      </c>
      <c r="BS504">
        <v>0.41874886813759421</v>
      </c>
      <c r="BT504" s="68" t="s">
        <v>1264</v>
      </c>
      <c r="BU504" s="68">
        <f t="shared" si="111"/>
        <v>1423</v>
      </c>
      <c r="BV504" s="68">
        <v>24</v>
      </c>
      <c r="BX504" s="68" t="s">
        <v>464</v>
      </c>
      <c r="BY504" s="68" t="s">
        <v>464</v>
      </c>
      <c r="BZ504" s="68">
        <v>0</v>
      </c>
      <c r="CA504" s="68">
        <v>17.920000000000002</v>
      </c>
      <c r="CB504" s="68">
        <v>2</v>
      </c>
      <c r="CC504" s="68">
        <v>10</v>
      </c>
      <c r="CD504" s="68" t="s">
        <v>464</v>
      </c>
      <c r="CE504" s="68" t="s">
        <v>464</v>
      </c>
      <c r="CF504" s="68" t="s">
        <v>1266</v>
      </c>
      <c r="CG504" s="68">
        <v>100</v>
      </c>
      <c r="CH504" s="68">
        <v>290</v>
      </c>
      <c r="CJ504" s="68">
        <f t="shared" si="112"/>
        <v>333</v>
      </c>
      <c r="CK504" s="70">
        <v>982.14285714285722</v>
      </c>
    </row>
    <row r="505" spans="1:89" x14ac:dyDescent="0.3">
      <c r="A505" t="s">
        <v>1401</v>
      </c>
      <c r="B505" t="s">
        <v>153</v>
      </c>
      <c r="C505" t="s">
        <v>4158</v>
      </c>
      <c r="D505" s="12"/>
      <c r="E505">
        <v>3.1</v>
      </c>
      <c r="F505" t="s">
        <v>231</v>
      </c>
      <c r="G505" s="25" t="s">
        <v>578</v>
      </c>
      <c r="H505">
        <v>-1</v>
      </c>
      <c r="M505" t="b">
        <v>1</v>
      </c>
      <c r="N505" t="b">
        <v>0</v>
      </c>
      <c r="O505" t="b">
        <v>0</v>
      </c>
      <c r="P505" t="b">
        <v>0</v>
      </c>
      <c r="Q505" t="s">
        <v>578</v>
      </c>
      <c r="R505">
        <v>-1</v>
      </c>
      <c r="U505" s="20">
        <v>1</v>
      </c>
      <c r="V505">
        <v>0</v>
      </c>
      <c r="W505">
        <v>0</v>
      </c>
      <c r="AC505" s="20">
        <v>3.9263319999999999</v>
      </c>
      <c r="AD505" s="20">
        <v>3.9263319999999999</v>
      </c>
      <c r="AE505" s="20">
        <v>10.74639</v>
      </c>
      <c r="AF505">
        <v>0</v>
      </c>
      <c r="AI505">
        <v>0</v>
      </c>
      <c r="AM505">
        <v>14</v>
      </c>
      <c r="AN505" s="44">
        <f t="shared" ref="AN505" si="113">X505*Y505*Z505</f>
        <v>0</v>
      </c>
      <c r="AO505" s="46">
        <v>165.66723991337099</v>
      </c>
      <c r="AP505" s="44">
        <v>0</v>
      </c>
      <c r="AQ505" s="44">
        <v>0</v>
      </c>
      <c r="AR505" s="41"/>
      <c r="AS505" s="40">
        <v>8.4506749839743392E-2</v>
      </c>
      <c r="AT505" s="41"/>
      <c r="AU505" s="41"/>
      <c r="AV505" s="23">
        <v>1.7272727272727271</v>
      </c>
      <c r="AW505" s="23">
        <v>2.545454545454545</v>
      </c>
      <c r="AX505" s="23">
        <v>0.81818181818181823</v>
      </c>
      <c r="AY505" s="23">
        <v>0</v>
      </c>
      <c r="AZ505" s="23">
        <v>0.3392857142857143</v>
      </c>
      <c r="BA505" s="23">
        <v>0.5</v>
      </c>
      <c r="BB505" s="23">
        <v>0.1607142857142857</v>
      </c>
      <c r="BC505" s="23">
        <v>0</v>
      </c>
      <c r="BD505" s="20">
        <v>1.1000000000000001</v>
      </c>
      <c r="BE505" s="20">
        <v>3.44</v>
      </c>
      <c r="BF505" s="20">
        <v>2.34</v>
      </c>
      <c r="BG505" s="20">
        <v>2.78</v>
      </c>
      <c r="BH505">
        <v>2.78</v>
      </c>
      <c r="BI505">
        <v>6.4270052227137269</v>
      </c>
      <c r="BJ505" s="64">
        <v>0.41874886813759421</v>
      </c>
      <c r="BK505" s="64"/>
      <c r="BL505" s="64"/>
      <c r="BN505">
        <v>4.2253374919871717E-2</v>
      </c>
      <c r="BQ505">
        <v>8.4506749839743392E-2</v>
      </c>
      <c r="BR505">
        <v>4.2253374919871717E-2</v>
      </c>
      <c r="BS505">
        <v>0.41874886813759421</v>
      </c>
      <c r="BT505" s="68" t="s">
        <v>1264</v>
      </c>
      <c r="BU505" s="68">
        <f t="shared" si="111"/>
        <v>1423</v>
      </c>
      <c r="BV505" s="68">
        <v>24</v>
      </c>
      <c r="BX505" s="68" t="s">
        <v>1268</v>
      </c>
      <c r="BY505" s="68" t="s">
        <v>863</v>
      </c>
      <c r="BZ505" s="68">
        <v>0.91</v>
      </c>
      <c r="CA505" s="68">
        <v>26.53</v>
      </c>
      <c r="CB505" s="68">
        <v>2</v>
      </c>
      <c r="CC505" s="68">
        <v>10</v>
      </c>
      <c r="CD505" s="68" t="s">
        <v>464</v>
      </c>
      <c r="CE505" s="68" t="s">
        <v>464</v>
      </c>
      <c r="CF505" s="68" t="s">
        <v>1266</v>
      </c>
      <c r="CG505" s="68">
        <v>100</v>
      </c>
      <c r="CH505" s="68">
        <v>290</v>
      </c>
      <c r="CJ505" s="68">
        <f t="shared" si="112"/>
        <v>333</v>
      </c>
      <c r="CK505" s="70">
        <v>10714.285714285716</v>
      </c>
    </row>
    <row r="506" spans="1:89" x14ac:dyDescent="0.3">
      <c r="A506" t="s">
        <v>63</v>
      </c>
      <c r="B506" t="s">
        <v>4</v>
      </c>
      <c r="C506" t="s">
        <v>3928</v>
      </c>
      <c r="D506" s="12"/>
      <c r="E506">
        <v>3.66</v>
      </c>
      <c r="F506" t="s">
        <v>233</v>
      </c>
      <c r="G506" s="99" t="s">
        <v>587</v>
      </c>
      <c r="H506" s="58">
        <v>1522043</v>
      </c>
      <c r="J506" t="s">
        <v>1729</v>
      </c>
      <c r="K506" t="s">
        <v>1729</v>
      </c>
      <c r="M506" t="b">
        <v>1</v>
      </c>
      <c r="N506" t="b">
        <v>1</v>
      </c>
      <c r="O506" t="b">
        <v>0</v>
      </c>
      <c r="P506" t="b">
        <v>0</v>
      </c>
      <c r="Q506" t="s">
        <v>2109</v>
      </c>
      <c r="R506" t="s">
        <v>2110</v>
      </c>
      <c r="T506">
        <v>1</v>
      </c>
      <c r="U506" s="20">
        <v>0</v>
      </c>
      <c r="V506">
        <v>0</v>
      </c>
      <c r="W506">
        <v>0</v>
      </c>
      <c r="X506">
        <v>3.85</v>
      </c>
      <c r="Y506">
        <v>3.85</v>
      </c>
      <c r="Z506">
        <v>14.379</v>
      </c>
      <c r="AB506">
        <v>14.379</v>
      </c>
      <c r="AC506" s="20">
        <v>0</v>
      </c>
      <c r="AD506" s="20"/>
      <c r="AE506" s="20"/>
      <c r="AF506">
        <v>0</v>
      </c>
      <c r="AI506">
        <v>0</v>
      </c>
      <c r="AM506">
        <v>20</v>
      </c>
      <c r="AN506" s="44">
        <f t="shared" si="65"/>
        <v>213.13272750000002</v>
      </c>
      <c r="AO506" s="46">
        <v>0</v>
      </c>
      <c r="AP506" s="44">
        <v>0</v>
      </c>
      <c r="AQ506" s="44">
        <v>0</v>
      </c>
      <c r="AR506" s="41">
        <f t="shared" ref="AR506:AR509" si="114">T506*AM506/AN506</f>
        <v>9.3838239835784945E-2</v>
      </c>
      <c r="AS506" s="40"/>
      <c r="AT506" s="41"/>
      <c r="AU506" s="41"/>
      <c r="AV506" s="23">
        <v>1.75</v>
      </c>
      <c r="AW506" s="23">
        <v>2.5</v>
      </c>
      <c r="AX506" s="23">
        <v>0.75</v>
      </c>
      <c r="AY506" s="23">
        <v>0</v>
      </c>
      <c r="AZ506" s="23">
        <v>0.35</v>
      </c>
      <c r="BA506" s="23">
        <v>0.5</v>
      </c>
      <c r="BB506" s="23">
        <v>0.15</v>
      </c>
      <c r="BC506" s="23">
        <v>0</v>
      </c>
      <c r="BD506" s="20">
        <v>1</v>
      </c>
      <c r="BE506" s="20">
        <v>3.44</v>
      </c>
      <c r="BF506" s="20">
        <v>2.44</v>
      </c>
      <c r="BG506" s="20">
        <v>2.7124999999999999</v>
      </c>
      <c r="BH506">
        <v>2.7124999999999999</v>
      </c>
      <c r="BI506">
        <v>6.264025610615688</v>
      </c>
      <c r="BJ506" s="64"/>
      <c r="BK506" s="64"/>
      <c r="BL506" s="64"/>
      <c r="BM506">
        <v>4.6919119917892473E-2</v>
      </c>
      <c r="BQ506">
        <v>9.3838239835784945E-2</v>
      </c>
      <c r="BR506">
        <v>4.6919119917892473E-2</v>
      </c>
      <c r="BS506">
        <v>0</v>
      </c>
      <c r="BT506" s="68" t="s">
        <v>1264</v>
      </c>
      <c r="BU506" s="68">
        <f t="shared" si="111"/>
        <v>1423</v>
      </c>
      <c r="BV506" s="68">
        <v>24</v>
      </c>
      <c r="BX506" s="68" t="s">
        <v>464</v>
      </c>
      <c r="BY506" s="68" t="s">
        <v>464</v>
      </c>
      <c r="BZ506" s="68">
        <v>0</v>
      </c>
      <c r="CB506" s="68">
        <v>2</v>
      </c>
      <c r="CC506" s="68">
        <v>0</v>
      </c>
      <c r="CD506" s="68" t="s">
        <v>1402</v>
      </c>
      <c r="CE506" s="68" t="s">
        <v>1403</v>
      </c>
      <c r="CF506" s="68" t="s">
        <v>1266</v>
      </c>
      <c r="CG506" s="68">
        <v>300</v>
      </c>
      <c r="CI506" s="68" t="s">
        <v>1310</v>
      </c>
      <c r="CJ506" s="68">
        <f t="shared" si="112"/>
        <v>333</v>
      </c>
      <c r="CK506" s="70">
        <v>892.85714285714289</v>
      </c>
    </row>
    <row r="507" spans="1:89" x14ac:dyDescent="0.3">
      <c r="A507" t="s">
        <v>1404</v>
      </c>
      <c r="B507" t="s">
        <v>4</v>
      </c>
      <c r="C507" t="s">
        <v>4159</v>
      </c>
      <c r="D507" s="12"/>
      <c r="E507">
        <v>3.65</v>
      </c>
      <c r="F507" t="s">
        <v>233</v>
      </c>
      <c r="G507" s="99" t="s">
        <v>587</v>
      </c>
      <c r="H507" s="58">
        <v>1522043</v>
      </c>
      <c r="J507" t="s">
        <v>1822</v>
      </c>
      <c r="K507" t="s">
        <v>1822</v>
      </c>
      <c r="M507" t="b">
        <v>1</v>
      </c>
      <c r="N507" t="b">
        <v>1</v>
      </c>
      <c r="O507" t="b">
        <v>0</v>
      </c>
      <c r="P507" t="b">
        <v>0</v>
      </c>
      <c r="Q507" t="s">
        <v>2111</v>
      </c>
      <c r="R507" t="s">
        <v>2112</v>
      </c>
      <c r="T507">
        <v>1</v>
      </c>
      <c r="U507" s="20">
        <v>0</v>
      </c>
      <c r="V507">
        <v>0</v>
      </c>
      <c r="W507">
        <v>0</v>
      </c>
      <c r="X507" s="1">
        <v>3.85</v>
      </c>
      <c r="Y507" s="1">
        <v>3.85</v>
      </c>
      <c r="Z507" s="1">
        <v>14.379</v>
      </c>
      <c r="AB507">
        <v>14.379</v>
      </c>
      <c r="AC507" s="20">
        <v>0</v>
      </c>
      <c r="AD507" s="20"/>
      <c r="AE507" s="20"/>
      <c r="AF507">
        <v>0</v>
      </c>
      <c r="AI507">
        <v>0</v>
      </c>
      <c r="AM507">
        <v>20</v>
      </c>
      <c r="AN507" s="44">
        <f t="shared" si="65"/>
        <v>213.13272750000002</v>
      </c>
      <c r="AO507" s="46">
        <v>0</v>
      </c>
      <c r="AP507" s="44">
        <v>0</v>
      </c>
      <c r="AQ507" s="44">
        <v>0</v>
      </c>
      <c r="AR507" s="41">
        <f t="shared" si="114"/>
        <v>9.3838239835784945E-2</v>
      </c>
      <c r="AS507" s="40"/>
      <c r="AT507" s="41"/>
      <c r="AU507" s="41"/>
      <c r="AV507" s="23">
        <v>1.8125</v>
      </c>
      <c r="AW507" s="23">
        <v>2.5</v>
      </c>
      <c r="AX507" s="23">
        <v>0.6875</v>
      </c>
      <c r="AY507" s="23">
        <v>0.875</v>
      </c>
      <c r="AZ507" s="23">
        <v>0.30851063829787229</v>
      </c>
      <c r="BA507" s="23">
        <v>0.42553191489361702</v>
      </c>
      <c r="BB507" s="23">
        <v>0.1170212765957447</v>
      </c>
      <c r="BC507" s="23">
        <v>0.14893617021276601</v>
      </c>
      <c r="BD507" s="20">
        <v>1</v>
      </c>
      <c r="BE507" s="20">
        <v>3.44</v>
      </c>
      <c r="BF507" s="20">
        <v>2.44</v>
      </c>
      <c r="BG507" s="20">
        <v>2.7062499999999998</v>
      </c>
      <c r="BH507">
        <v>2.7062499999999998</v>
      </c>
      <c r="BI507">
        <v>6.2701641731156874</v>
      </c>
      <c r="BJ507" s="64"/>
      <c r="BK507" s="64"/>
      <c r="BL507" s="64"/>
      <c r="BM507">
        <v>4.6919119917892473E-2</v>
      </c>
      <c r="BQ507">
        <v>9.3838239835784945E-2</v>
      </c>
      <c r="BR507">
        <v>4.6919119917892473E-2</v>
      </c>
      <c r="BS507">
        <v>0</v>
      </c>
      <c r="BT507" s="68" t="s">
        <v>1264</v>
      </c>
      <c r="BU507" s="68">
        <f t="shared" si="111"/>
        <v>1423</v>
      </c>
      <c r="BV507" s="68">
        <v>24</v>
      </c>
      <c r="BX507" s="68" t="s">
        <v>464</v>
      </c>
      <c r="BY507" s="68" t="s">
        <v>464</v>
      </c>
      <c r="BZ507" s="68">
        <v>0</v>
      </c>
      <c r="CB507" s="68">
        <v>2</v>
      </c>
      <c r="CC507" s="68">
        <v>0</v>
      </c>
      <c r="CD507" s="68" t="s">
        <v>1402</v>
      </c>
      <c r="CE507" s="68" t="s">
        <v>1403</v>
      </c>
      <c r="CF507" s="68" t="s">
        <v>1266</v>
      </c>
      <c r="CG507" s="68">
        <v>300</v>
      </c>
      <c r="CI507" s="68" t="s">
        <v>1310</v>
      </c>
      <c r="CJ507" s="68">
        <f t="shared" si="112"/>
        <v>333</v>
      </c>
      <c r="CK507" s="70">
        <v>10714.285714285716</v>
      </c>
    </row>
    <row r="508" spans="1:89" x14ac:dyDescent="0.3">
      <c r="A508" t="s">
        <v>1405</v>
      </c>
      <c r="B508" t="s">
        <v>4</v>
      </c>
      <c r="C508" t="s">
        <v>4160</v>
      </c>
      <c r="D508" s="12"/>
      <c r="E508">
        <v>3.54</v>
      </c>
      <c r="F508" t="s">
        <v>233</v>
      </c>
      <c r="G508" s="99" t="s">
        <v>587</v>
      </c>
      <c r="H508" s="58">
        <v>1522043</v>
      </c>
      <c r="J508" t="s">
        <v>1729</v>
      </c>
      <c r="K508" t="s">
        <v>1729</v>
      </c>
      <c r="M508" t="b">
        <v>1</v>
      </c>
      <c r="N508" t="b">
        <v>1</v>
      </c>
      <c r="O508" t="b">
        <v>0</v>
      </c>
      <c r="P508" t="b">
        <v>0</v>
      </c>
      <c r="Q508" t="s">
        <v>2113</v>
      </c>
      <c r="R508" t="s">
        <v>2114</v>
      </c>
      <c r="T508">
        <v>1</v>
      </c>
      <c r="U508" s="20">
        <v>0</v>
      </c>
      <c r="V508">
        <v>0</v>
      </c>
      <c r="W508">
        <v>0</v>
      </c>
      <c r="X508" s="1">
        <v>3.85</v>
      </c>
      <c r="Y508" s="1">
        <v>3.85</v>
      </c>
      <c r="Z508" s="1">
        <v>14.379</v>
      </c>
      <c r="AB508">
        <v>14.379</v>
      </c>
      <c r="AC508" s="20">
        <v>0</v>
      </c>
      <c r="AD508" s="20"/>
      <c r="AE508" s="20"/>
      <c r="AF508">
        <v>0</v>
      </c>
      <c r="AI508">
        <v>0</v>
      </c>
      <c r="AM508">
        <v>20</v>
      </c>
      <c r="AN508" s="44">
        <f t="shared" si="65"/>
        <v>213.13272750000002</v>
      </c>
      <c r="AO508" s="46">
        <v>0</v>
      </c>
      <c r="AP508" s="44">
        <v>0</v>
      </c>
      <c r="AQ508" s="44">
        <v>0</v>
      </c>
      <c r="AR508" s="41">
        <f t="shared" si="114"/>
        <v>9.3838239835784945E-2</v>
      </c>
      <c r="AS508" s="40"/>
      <c r="AT508" s="41"/>
      <c r="AU508" s="41"/>
      <c r="AV508" s="23">
        <v>1.75</v>
      </c>
      <c r="AW508" s="23">
        <v>2.5</v>
      </c>
      <c r="AX508" s="23">
        <v>0.75</v>
      </c>
      <c r="AY508" s="23">
        <v>0</v>
      </c>
      <c r="AZ508" s="23">
        <v>0.35</v>
      </c>
      <c r="BA508" s="23">
        <v>0.5</v>
      </c>
      <c r="BB508" s="23">
        <v>0.15</v>
      </c>
      <c r="BC508" s="23">
        <v>0</v>
      </c>
      <c r="BD508" s="20">
        <v>1</v>
      </c>
      <c r="BE508" s="20">
        <v>3.44</v>
      </c>
      <c r="BF508" s="20">
        <v>2.44</v>
      </c>
      <c r="BG508" s="20">
        <v>2.7124999999999999</v>
      </c>
      <c r="BH508">
        <v>2.7124999999999999</v>
      </c>
      <c r="BI508">
        <v>6.264025610615688</v>
      </c>
      <c r="BJ508" s="64"/>
      <c r="BK508" s="64"/>
      <c r="BL508" s="64"/>
      <c r="BM508">
        <v>4.6919119917892473E-2</v>
      </c>
      <c r="BQ508">
        <v>9.3838239835784945E-2</v>
      </c>
      <c r="BR508">
        <v>4.6919119917892473E-2</v>
      </c>
      <c r="BS508">
        <v>0</v>
      </c>
      <c r="BT508" s="68" t="s">
        <v>1264</v>
      </c>
      <c r="BU508" s="68">
        <f t="shared" si="111"/>
        <v>1423</v>
      </c>
      <c r="BV508" s="68">
        <v>24</v>
      </c>
      <c r="BX508" s="68" t="s">
        <v>464</v>
      </c>
      <c r="BY508" s="68" t="s">
        <v>464</v>
      </c>
      <c r="BZ508" s="68">
        <v>0</v>
      </c>
      <c r="CB508" s="68">
        <v>2</v>
      </c>
      <c r="CC508" s="68">
        <v>0</v>
      </c>
      <c r="CD508" s="68" t="s">
        <v>1402</v>
      </c>
      <c r="CE508" s="68" t="s">
        <v>1403</v>
      </c>
      <c r="CF508" s="68" t="s">
        <v>1266</v>
      </c>
      <c r="CG508" s="68">
        <v>300</v>
      </c>
      <c r="CI508" s="68" t="s">
        <v>1310</v>
      </c>
      <c r="CJ508" s="68">
        <f t="shared" si="112"/>
        <v>333</v>
      </c>
      <c r="CK508" s="70">
        <v>6473.2142857142862</v>
      </c>
    </row>
    <row r="509" spans="1:89" x14ac:dyDescent="0.3">
      <c r="A509" t="s">
        <v>232</v>
      </c>
      <c r="B509" t="s">
        <v>4</v>
      </c>
      <c r="C509" t="s">
        <v>4077</v>
      </c>
      <c r="D509" s="12"/>
      <c r="E509">
        <v>3.54</v>
      </c>
      <c r="F509" t="s">
        <v>233</v>
      </c>
      <c r="G509" s="99" t="s">
        <v>587</v>
      </c>
      <c r="H509" s="58">
        <v>1522043</v>
      </c>
      <c r="J509" t="s">
        <v>1822</v>
      </c>
      <c r="K509" t="s">
        <v>1822</v>
      </c>
      <c r="M509" t="b">
        <v>1</v>
      </c>
      <c r="N509" t="b">
        <v>1</v>
      </c>
      <c r="O509" t="b">
        <v>0</v>
      </c>
      <c r="P509" t="b">
        <v>0</v>
      </c>
      <c r="Q509" t="s">
        <v>2117</v>
      </c>
      <c r="R509" t="s">
        <v>2118</v>
      </c>
      <c r="T509">
        <v>1</v>
      </c>
      <c r="U509" s="20">
        <v>0</v>
      </c>
      <c r="V509">
        <v>0</v>
      </c>
      <c r="W509">
        <v>0</v>
      </c>
      <c r="X509" s="1">
        <v>3.85</v>
      </c>
      <c r="Y509" s="1">
        <v>3.85</v>
      </c>
      <c r="Z509" s="1">
        <v>14.379</v>
      </c>
      <c r="AB509">
        <v>14.379</v>
      </c>
      <c r="AC509" s="20">
        <v>0</v>
      </c>
      <c r="AD509" s="20"/>
      <c r="AE509" s="20"/>
      <c r="AF509">
        <v>0</v>
      </c>
      <c r="AI509">
        <v>0</v>
      </c>
      <c r="AM509">
        <v>20</v>
      </c>
      <c r="AN509" s="44">
        <f t="shared" si="65"/>
        <v>213.13272750000002</v>
      </c>
      <c r="AO509" s="46">
        <v>0</v>
      </c>
      <c r="AP509" s="44">
        <v>0</v>
      </c>
      <c r="AQ509" s="44">
        <v>0</v>
      </c>
      <c r="AR509" s="41">
        <f t="shared" si="114"/>
        <v>9.3838239835784945E-2</v>
      </c>
      <c r="AS509" s="40"/>
      <c r="AT509" s="41"/>
      <c r="AU509" s="41"/>
      <c r="AV509" s="23">
        <v>1.8125</v>
      </c>
      <c r="AW509" s="23">
        <v>2.5</v>
      </c>
      <c r="AX509" s="23">
        <v>0.6875</v>
      </c>
      <c r="AY509" s="23">
        <v>0.875</v>
      </c>
      <c r="AZ509" s="23">
        <v>0.30851063829787229</v>
      </c>
      <c r="BA509" s="23">
        <v>0.42553191489361702</v>
      </c>
      <c r="BB509" s="23">
        <v>0.1170212765957447</v>
      </c>
      <c r="BC509" s="23">
        <v>0.14893617021276601</v>
      </c>
      <c r="BD509" s="20">
        <v>1</v>
      </c>
      <c r="BE509" s="20">
        <v>3.44</v>
      </c>
      <c r="BF509" s="20">
        <v>2.44</v>
      </c>
      <c r="BG509" s="20">
        <v>2.7062499999999998</v>
      </c>
      <c r="BH509">
        <v>2.7062499999999998</v>
      </c>
      <c r="BI509">
        <v>6.2701641731156874</v>
      </c>
      <c r="BJ509" s="64"/>
      <c r="BK509" s="64"/>
      <c r="BL509" s="64"/>
      <c r="BM509">
        <v>4.6919119917892473E-2</v>
      </c>
      <c r="BQ509">
        <v>9.3838239835784945E-2</v>
      </c>
      <c r="BR509">
        <v>4.6919119917892473E-2</v>
      </c>
      <c r="BS509">
        <v>0</v>
      </c>
      <c r="BT509" s="68" t="s">
        <v>1305</v>
      </c>
      <c r="BU509" s="68">
        <f>650+273</f>
        <v>923</v>
      </c>
      <c r="BV509" s="68">
        <v>2</v>
      </c>
      <c r="BX509" s="68" t="s">
        <v>464</v>
      </c>
      <c r="BY509" s="68" t="s">
        <v>464</v>
      </c>
      <c r="BZ509" s="68">
        <v>0</v>
      </c>
      <c r="CB509" s="68">
        <v>2</v>
      </c>
      <c r="CC509" s="68">
        <v>0</v>
      </c>
      <c r="CD509" s="68" t="s">
        <v>1402</v>
      </c>
      <c r="CE509" s="68" t="s">
        <v>1403</v>
      </c>
      <c r="CF509" s="68" t="s">
        <v>1266</v>
      </c>
      <c r="CG509" s="68">
        <v>300</v>
      </c>
      <c r="CI509" s="68" t="s">
        <v>1310</v>
      </c>
      <c r="CJ509" s="68">
        <f t="shared" si="112"/>
        <v>333</v>
      </c>
      <c r="CK509" s="70">
        <v>4285.7142857142862</v>
      </c>
    </row>
    <row r="510" spans="1:89" x14ac:dyDescent="0.3">
      <c r="A510" t="s">
        <v>46</v>
      </c>
      <c r="B510" t="s">
        <v>46</v>
      </c>
      <c r="C510" t="s">
        <v>4087</v>
      </c>
      <c r="D510" s="12"/>
      <c r="E510">
        <v>3.87</v>
      </c>
      <c r="F510" t="s">
        <v>234</v>
      </c>
      <c r="G510" s="8" t="s">
        <v>551</v>
      </c>
      <c r="H510" t="s">
        <v>629</v>
      </c>
      <c r="M510" t="b">
        <v>1</v>
      </c>
      <c r="N510" t="b">
        <v>1</v>
      </c>
      <c r="O510" t="b">
        <v>0</v>
      </c>
      <c r="P510" t="b">
        <v>0</v>
      </c>
      <c r="Q510" t="s">
        <v>551</v>
      </c>
      <c r="R510" t="s">
        <v>629</v>
      </c>
      <c r="U510" s="20">
        <v>2</v>
      </c>
      <c r="V510">
        <v>4</v>
      </c>
      <c r="W510">
        <v>0</v>
      </c>
      <c r="AB510" s="1">
        <v>0</v>
      </c>
      <c r="AC510" s="20">
        <v>7.41544296</v>
      </c>
      <c r="AD510" s="20">
        <v>7.4154429599999991</v>
      </c>
      <c r="AE510" s="20">
        <v>7.41544296</v>
      </c>
      <c r="AF510">
        <v>7.8</v>
      </c>
      <c r="AG510">
        <v>13.010999999999999</v>
      </c>
      <c r="AH510">
        <v>5.5460000000000003</v>
      </c>
      <c r="AI510">
        <v>0</v>
      </c>
      <c r="AM510">
        <v>14</v>
      </c>
      <c r="AN510" s="44">
        <f t="shared" ref="AN510" si="115">X510*Y510*Z510</f>
        <v>0</v>
      </c>
      <c r="AO510" s="46">
        <v>288.33429290182369</v>
      </c>
      <c r="AP510" s="44">
        <v>556.51188553357167</v>
      </c>
      <c r="AQ510" s="44">
        <v>0</v>
      </c>
      <c r="AR510" s="41"/>
      <c r="AS510" s="40">
        <v>9.7109503410799117E-2</v>
      </c>
      <c r="AT510" s="41">
        <v>0.10062678166578309</v>
      </c>
      <c r="AU510" s="41"/>
      <c r="AV510" s="23">
        <v>2</v>
      </c>
      <c r="AW510" s="23">
        <v>2.545454545454545</v>
      </c>
      <c r="AX510" s="23">
        <v>0.54545454545454541</v>
      </c>
      <c r="AY510" s="23">
        <v>0</v>
      </c>
      <c r="AZ510" s="23">
        <v>0.39285714285714279</v>
      </c>
      <c r="BA510" s="23">
        <v>0.5</v>
      </c>
      <c r="BB510" s="23">
        <v>0.1071428571428571</v>
      </c>
      <c r="BC510" s="23">
        <v>0</v>
      </c>
      <c r="BD510" s="20">
        <v>1.1000000000000001</v>
      </c>
      <c r="BE510" s="20">
        <v>3.44</v>
      </c>
      <c r="BF510" s="20">
        <v>2.34</v>
      </c>
      <c r="BG510" s="20">
        <v>2.669090909090909</v>
      </c>
      <c r="BH510">
        <v>2.669090909090909</v>
      </c>
      <c r="BI510">
        <v>5.9831974772727277</v>
      </c>
      <c r="BJ510" s="64">
        <v>0.52442413903612473</v>
      </c>
      <c r="BK510" s="64">
        <v>0.54341863036636606</v>
      </c>
      <c r="BL510" s="64"/>
      <c r="BN510">
        <v>4.8554751705399558E-2</v>
      </c>
      <c r="BO510">
        <v>5.0313390832891547E-2</v>
      </c>
      <c r="BQ510">
        <v>9.8868142538291098E-2</v>
      </c>
      <c r="BR510">
        <v>4.9434071269145549E-2</v>
      </c>
      <c r="BS510">
        <v>0.53392138470124539</v>
      </c>
      <c r="BT510" s="68" t="s">
        <v>1305</v>
      </c>
      <c r="BU510" s="68">
        <f>650+273</f>
        <v>923</v>
      </c>
      <c r="BV510" s="68">
        <v>2</v>
      </c>
      <c r="BX510" s="68" t="s">
        <v>1275</v>
      </c>
      <c r="BY510" s="68" t="s">
        <v>56</v>
      </c>
      <c r="BZ510" s="68">
        <v>1</v>
      </c>
      <c r="CA510" s="68">
        <v>20</v>
      </c>
      <c r="CB510" s="68">
        <v>0.6</v>
      </c>
      <c r="CC510" s="68">
        <v>0</v>
      </c>
      <c r="CD510" s="68" t="s">
        <v>464</v>
      </c>
      <c r="CE510" s="68" t="s">
        <v>464</v>
      </c>
      <c r="CF510" s="68" t="s">
        <v>1266</v>
      </c>
      <c r="CG510" s="68">
        <v>450</v>
      </c>
      <c r="CI510" s="68" t="s">
        <v>1287</v>
      </c>
      <c r="CK510" s="70">
        <v>0</v>
      </c>
    </row>
    <row r="511" spans="1:89" x14ac:dyDescent="0.3">
      <c r="A511" t="s">
        <v>46</v>
      </c>
      <c r="B511" t="s">
        <v>46</v>
      </c>
      <c r="C511" t="s">
        <v>4087</v>
      </c>
      <c r="D511" s="12"/>
      <c r="E511">
        <v>3.87</v>
      </c>
      <c r="F511" t="s">
        <v>234</v>
      </c>
      <c r="G511" s="8" t="s">
        <v>551</v>
      </c>
      <c r="H511" t="s">
        <v>629</v>
      </c>
      <c r="M511" t="b">
        <v>1</v>
      </c>
      <c r="N511" t="b">
        <v>1</v>
      </c>
      <c r="O511" t="b">
        <v>0</v>
      </c>
      <c r="P511" t="b">
        <v>0</v>
      </c>
      <c r="Q511" t="s">
        <v>551</v>
      </c>
      <c r="R511" t="s">
        <v>629</v>
      </c>
      <c r="U511" s="20">
        <v>2</v>
      </c>
      <c r="V511">
        <v>4</v>
      </c>
      <c r="W511">
        <v>0</v>
      </c>
      <c r="AB511" s="1">
        <v>0</v>
      </c>
      <c r="AC511" s="20">
        <v>7.41544296</v>
      </c>
      <c r="AD511" s="20">
        <v>7.4154429599999991</v>
      </c>
      <c r="AE511" s="20">
        <v>7.41544296</v>
      </c>
      <c r="AF511">
        <v>7.8</v>
      </c>
      <c r="AG511">
        <v>13.010999999999999</v>
      </c>
      <c r="AH511">
        <v>5.5460000000000003</v>
      </c>
      <c r="AI511">
        <v>0</v>
      </c>
      <c r="AM511">
        <v>14</v>
      </c>
      <c r="AN511" s="44">
        <f t="shared" si="65"/>
        <v>0</v>
      </c>
      <c r="AO511" s="46">
        <v>288.33429290182369</v>
      </c>
      <c r="AP511" s="44">
        <v>556.51188553357167</v>
      </c>
      <c r="AQ511" s="44">
        <v>0</v>
      </c>
      <c r="AR511" s="41"/>
      <c r="AS511" s="40">
        <v>9.7109503410799117E-2</v>
      </c>
      <c r="AT511" s="41">
        <v>0.10062678166578309</v>
      </c>
      <c r="AU511" s="41"/>
      <c r="AV511" s="23">
        <v>2</v>
      </c>
      <c r="AW511" s="23">
        <v>2.545454545454545</v>
      </c>
      <c r="AX511" s="23">
        <v>0.54545454545454541</v>
      </c>
      <c r="AY511" s="23">
        <v>0</v>
      </c>
      <c r="AZ511" s="23">
        <v>0.39285714285714279</v>
      </c>
      <c r="BA511" s="23">
        <v>0.5</v>
      </c>
      <c r="BB511" s="23">
        <v>0.1071428571428571</v>
      </c>
      <c r="BC511" s="23">
        <v>0</v>
      </c>
      <c r="BD511" s="20">
        <v>1.1000000000000001</v>
      </c>
      <c r="BE511" s="20">
        <v>3.44</v>
      </c>
      <c r="BF511" s="20">
        <v>2.34</v>
      </c>
      <c r="BG511" s="20">
        <v>2.669090909090909</v>
      </c>
      <c r="BH511">
        <v>2.669090909090909</v>
      </c>
      <c r="BI511">
        <v>5.9831974772727277</v>
      </c>
      <c r="BJ511" s="64">
        <v>0.52442413903612473</v>
      </c>
      <c r="BK511" s="64">
        <v>0.54341863036636606</v>
      </c>
      <c r="BL511" s="64"/>
      <c r="BN511">
        <v>4.8554751705399558E-2</v>
      </c>
      <c r="BO511">
        <v>5.0313390832891547E-2</v>
      </c>
      <c r="BQ511">
        <v>9.8868142538291098E-2</v>
      </c>
      <c r="BR511">
        <v>4.9434071269145549E-2</v>
      </c>
      <c r="BS511">
        <v>0.53392138470124539</v>
      </c>
      <c r="BT511" s="68" t="s">
        <v>1305</v>
      </c>
      <c r="BU511" s="68">
        <f>700+273</f>
        <v>973</v>
      </c>
      <c r="BV511" s="68">
        <v>2</v>
      </c>
      <c r="BX511" s="68" t="s">
        <v>1275</v>
      </c>
      <c r="BY511" s="68" t="s">
        <v>56</v>
      </c>
      <c r="BZ511" s="68">
        <v>1</v>
      </c>
      <c r="CA511" s="68">
        <v>20</v>
      </c>
      <c r="CB511" s="68">
        <v>0.6</v>
      </c>
      <c r="CC511" s="68">
        <v>0</v>
      </c>
      <c r="CD511" s="68" t="s">
        <v>464</v>
      </c>
      <c r="CE511" s="68" t="s">
        <v>464</v>
      </c>
      <c r="CF511" s="68" t="s">
        <v>1266</v>
      </c>
      <c r="CG511" s="68">
        <v>450</v>
      </c>
      <c r="CI511" s="68" t="s">
        <v>1287</v>
      </c>
      <c r="CK511" s="70">
        <v>0</v>
      </c>
    </row>
    <row r="512" spans="1:89" x14ac:dyDescent="0.3">
      <c r="A512" t="s">
        <v>46</v>
      </c>
      <c r="B512" t="s">
        <v>46</v>
      </c>
      <c r="C512" t="s">
        <v>4087</v>
      </c>
      <c r="D512" s="12"/>
      <c r="E512">
        <v>3.87</v>
      </c>
      <c r="F512" t="s">
        <v>234</v>
      </c>
      <c r="G512" s="8" t="s">
        <v>551</v>
      </c>
      <c r="H512" t="s">
        <v>629</v>
      </c>
      <c r="M512" t="b">
        <v>1</v>
      </c>
      <c r="N512" t="b">
        <v>1</v>
      </c>
      <c r="O512" t="b">
        <v>0</v>
      </c>
      <c r="P512" t="b">
        <v>0</v>
      </c>
      <c r="Q512" t="s">
        <v>551</v>
      </c>
      <c r="R512" t="s">
        <v>629</v>
      </c>
      <c r="U512" s="20">
        <v>2</v>
      </c>
      <c r="V512">
        <v>4</v>
      </c>
      <c r="W512">
        <v>0</v>
      </c>
      <c r="AB512" s="1">
        <v>0</v>
      </c>
      <c r="AC512" s="20">
        <v>7.41544296</v>
      </c>
      <c r="AD512" s="20">
        <v>7.4154429599999991</v>
      </c>
      <c r="AE512" s="20">
        <v>7.41544296</v>
      </c>
      <c r="AF512">
        <v>7.8</v>
      </c>
      <c r="AG512">
        <v>13.010999999999999</v>
      </c>
      <c r="AH512">
        <v>5.5460000000000003</v>
      </c>
      <c r="AI512">
        <v>0</v>
      </c>
      <c r="AM512">
        <v>14</v>
      </c>
      <c r="AN512" s="44">
        <f t="shared" ref="AN512" si="116">X512*Y512*Z512</f>
        <v>0</v>
      </c>
      <c r="AO512" s="46">
        <v>288.33429290182369</v>
      </c>
      <c r="AP512" s="44">
        <v>556.51188553357167</v>
      </c>
      <c r="AQ512" s="44">
        <v>0</v>
      </c>
      <c r="AR512" s="41"/>
      <c r="AS512" s="40">
        <v>9.7109503410799117E-2</v>
      </c>
      <c r="AT512" s="41">
        <v>0.10062678166578309</v>
      </c>
      <c r="AU512" s="41"/>
      <c r="AV512" s="23">
        <v>2</v>
      </c>
      <c r="AW512" s="23">
        <v>2.545454545454545</v>
      </c>
      <c r="AX512" s="23">
        <v>0.54545454545454541</v>
      </c>
      <c r="AY512" s="23">
        <v>0</v>
      </c>
      <c r="AZ512" s="23">
        <v>0.39285714285714279</v>
      </c>
      <c r="BA512" s="23">
        <v>0.5</v>
      </c>
      <c r="BB512" s="23">
        <v>0.1071428571428571</v>
      </c>
      <c r="BC512" s="23">
        <v>0</v>
      </c>
      <c r="BD512" s="20">
        <v>1.1000000000000001</v>
      </c>
      <c r="BE512" s="20">
        <v>3.44</v>
      </c>
      <c r="BF512" s="20">
        <v>2.34</v>
      </c>
      <c r="BG512" s="20">
        <v>2.669090909090909</v>
      </c>
      <c r="BH512">
        <v>2.669090909090909</v>
      </c>
      <c r="BI512">
        <v>5.9831974772727277</v>
      </c>
      <c r="BJ512" s="64">
        <v>0.52442413903612473</v>
      </c>
      <c r="BK512" s="64">
        <v>0.54341863036636606</v>
      </c>
      <c r="BL512" s="64"/>
      <c r="BN512">
        <v>4.8554751705399558E-2</v>
      </c>
      <c r="BO512">
        <v>5.0313390832891547E-2</v>
      </c>
      <c r="BQ512">
        <v>9.8868142538291098E-2</v>
      </c>
      <c r="BR512">
        <v>4.9434071269145549E-2</v>
      </c>
      <c r="BS512">
        <v>0.53392138470124539</v>
      </c>
      <c r="BT512" s="68" t="s">
        <v>1305</v>
      </c>
      <c r="BU512" s="68">
        <f>750+273</f>
        <v>1023</v>
      </c>
      <c r="BV512" s="68">
        <v>2</v>
      </c>
      <c r="BX512" s="68" t="s">
        <v>1275</v>
      </c>
      <c r="BY512" s="68" t="s">
        <v>56</v>
      </c>
      <c r="BZ512" s="68">
        <v>1</v>
      </c>
      <c r="CA512" s="68">
        <v>20</v>
      </c>
      <c r="CB512" s="68">
        <v>0.6</v>
      </c>
      <c r="CC512" s="68">
        <v>0</v>
      </c>
      <c r="CD512" s="68" t="s">
        <v>464</v>
      </c>
      <c r="CE512" s="68" t="s">
        <v>464</v>
      </c>
      <c r="CF512" s="68" t="s">
        <v>1266</v>
      </c>
      <c r="CG512" s="68">
        <v>450</v>
      </c>
      <c r="CI512" s="68" t="s">
        <v>1287</v>
      </c>
      <c r="CK512" s="70">
        <v>0</v>
      </c>
    </row>
    <row r="513" spans="1:89" x14ac:dyDescent="0.3">
      <c r="A513" t="s">
        <v>46</v>
      </c>
      <c r="B513" t="s">
        <v>46</v>
      </c>
      <c r="C513" t="s">
        <v>4087</v>
      </c>
      <c r="D513" s="12"/>
      <c r="E513">
        <v>3.87</v>
      </c>
      <c r="F513" t="s">
        <v>234</v>
      </c>
      <c r="G513" s="8" t="s">
        <v>551</v>
      </c>
      <c r="H513" t="s">
        <v>629</v>
      </c>
      <c r="M513" t="b">
        <v>1</v>
      </c>
      <c r="N513" t="b">
        <v>1</v>
      </c>
      <c r="O513" t="b">
        <v>0</v>
      </c>
      <c r="P513" t="b">
        <v>0</v>
      </c>
      <c r="Q513" t="s">
        <v>551</v>
      </c>
      <c r="R513" t="s">
        <v>629</v>
      </c>
      <c r="U513" s="20">
        <v>2</v>
      </c>
      <c r="V513">
        <v>4</v>
      </c>
      <c r="W513">
        <v>0</v>
      </c>
      <c r="AB513" s="1">
        <v>0</v>
      </c>
      <c r="AC513" s="20">
        <v>7.41544296</v>
      </c>
      <c r="AD513" s="20">
        <v>7.4154429599999991</v>
      </c>
      <c r="AE513" s="20">
        <v>7.41544296</v>
      </c>
      <c r="AF513">
        <v>7.8</v>
      </c>
      <c r="AG513">
        <v>13.010999999999999</v>
      </c>
      <c r="AH513">
        <v>5.5460000000000003</v>
      </c>
      <c r="AI513">
        <v>0</v>
      </c>
      <c r="AM513">
        <v>14</v>
      </c>
      <c r="AN513" s="44">
        <f t="shared" ref="AN513" si="117">X513*Y513*Z513</f>
        <v>0</v>
      </c>
      <c r="AO513" s="46">
        <v>288.33429290182369</v>
      </c>
      <c r="AP513" s="44">
        <v>556.51188553357167</v>
      </c>
      <c r="AQ513" s="44">
        <v>0</v>
      </c>
      <c r="AR513" s="41"/>
      <c r="AS513" s="40">
        <v>9.7109503410799117E-2</v>
      </c>
      <c r="AT513" s="41">
        <v>0.10062678166578309</v>
      </c>
      <c r="AU513" s="41"/>
      <c r="AV513" s="23">
        <v>2</v>
      </c>
      <c r="AW513" s="23">
        <v>2.545454545454545</v>
      </c>
      <c r="AX513" s="23">
        <v>0.54545454545454541</v>
      </c>
      <c r="AY513" s="23">
        <v>0</v>
      </c>
      <c r="AZ513" s="23">
        <v>0.39285714285714279</v>
      </c>
      <c r="BA513" s="23">
        <v>0.5</v>
      </c>
      <c r="BB513" s="23">
        <v>0.1071428571428571</v>
      </c>
      <c r="BC513" s="23">
        <v>0</v>
      </c>
      <c r="BD513" s="20">
        <v>1.1000000000000001</v>
      </c>
      <c r="BE513" s="20">
        <v>3.44</v>
      </c>
      <c r="BF513" s="20">
        <v>2.34</v>
      </c>
      <c r="BG513" s="20">
        <v>2.669090909090909</v>
      </c>
      <c r="BH513">
        <v>2.669090909090909</v>
      </c>
      <c r="BI513">
        <v>5.9831974772727277</v>
      </c>
      <c r="BJ513" s="64">
        <v>0.52442413903612473</v>
      </c>
      <c r="BK513" s="64">
        <v>0.54341863036636606</v>
      </c>
      <c r="BL513" s="64"/>
      <c r="BN513">
        <v>4.8554751705399558E-2</v>
      </c>
      <c r="BO513">
        <v>5.0313390832891547E-2</v>
      </c>
      <c r="BQ513">
        <v>9.8868142538291098E-2</v>
      </c>
      <c r="BR513">
        <v>4.9434071269145549E-2</v>
      </c>
      <c r="BS513">
        <v>0.53392138470124539</v>
      </c>
      <c r="BT513" s="68" t="s">
        <v>1305</v>
      </c>
      <c r="BU513" s="68">
        <f>800+273</f>
        <v>1073</v>
      </c>
      <c r="BV513" s="68">
        <v>2</v>
      </c>
      <c r="BX513" s="68" t="s">
        <v>1275</v>
      </c>
      <c r="BY513" s="68" t="s">
        <v>56</v>
      </c>
      <c r="BZ513" s="68">
        <v>1</v>
      </c>
      <c r="CA513" s="68">
        <v>19</v>
      </c>
      <c r="CB513" s="68">
        <v>0.6</v>
      </c>
      <c r="CC513" s="68">
        <v>0</v>
      </c>
      <c r="CD513" s="68" t="s">
        <v>464</v>
      </c>
      <c r="CE513" s="68" t="s">
        <v>464</v>
      </c>
      <c r="CF513" s="68" t="s">
        <v>1266</v>
      </c>
      <c r="CG513" s="68">
        <v>450</v>
      </c>
      <c r="CI513" s="68" t="s">
        <v>1287</v>
      </c>
      <c r="CK513" s="70">
        <v>2</v>
      </c>
    </row>
    <row r="514" spans="1:89" x14ac:dyDescent="0.3">
      <c r="A514" t="s">
        <v>46</v>
      </c>
      <c r="B514" t="s">
        <v>46</v>
      </c>
      <c r="C514" t="s">
        <v>4087</v>
      </c>
      <c r="D514" s="12"/>
      <c r="E514">
        <v>3.87</v>
      </c>
      <c r="F514" t="s">
        <v>234</v>
      </c>
      <c r="G514" s="8" t="s">
        <v>551</v>
      </c>
      <c r="H514" t="s">
        <v>629</v>
      </c>
      <c r="M514" t="b">
        <v>1</v>
      </c>
      <c r="N514" t="b">
        <v>1</v>
      </c>
      <c r="O514" t="b">
        <v>0</v>
      </c>
      <c r="P514" t="b">
        <v>0</v>
      </c>
      <c r="Q514" t="s">
        <v>551</v>
      </c>
      <c r="R514" t="s">
        <v>629</v>
      </c>
      <c r="U514" s="20">
        <v>2</v>
      </c>
      <c r="V514">
        <v>4</v>
      </c>
      <c r="W514">
        <v>0</v>
      </c>
      <c r="AB514" s="1">
        <v>0</v>
      </c>
      <c r="AC514" s="20">
        <v>7.41544296</v>
      </c>
      <c r="AD514" s="20">
        <v>7.4154429599999991</v>
      </c>
      <c r="AE514" s="20">
        <v>7.41544296</v>
      </c>
      <c r="AF514">
        <v>7.8</v>
      </c>
      <c r="AG514">
        <v>13.010999999999999</v>
      </c>
      <c r="AH514">
        <v>5.5460000000000003</v>
      </c>
      <c r="AI514">
        <v>0</v>
      </c>
      <c r="AM514">
        <v>14</v>
      </c>
      <c r="AN514" s="44">
        <f t="shared" ref="AN514:AN515" si="118">X514*Y514*Z514</f>
        <v>0</v>
      </c>
      <c r="AO514" s="46">
        <v>288.33429290182369</v>
      </c>
      <c r="AP514" s="44">
        <v>556.51188553357167</v>
      </c>
      <c r="AQ514" s="44">
        <v>0</v>
      </c>
      <c r="AR514" s="41"/>
      <c r="AS514" s="40">
        <v>9.7109503410799117E-2</v>
      </c>
      <c r="AT514" s="41">
        <v>0.10062678166578309</v>
      </c>
      <c r="AU514" s="41"/>
      <c r="AV514" s="23">
        <v>2</v>
      </c>
      <c r="AW514" s="23">
        <v>2.545454545454545</v>
      </c>
      <c r="AX514" s="23">
        <v>0.54545454545454541</v>
      </c>
      <c r="AY514" s="23">
        <v>0</v>
      </c>
      <c r="AZ514" s="23">
        <v>0.39285714285714279</v>
      </c>
      <c r="BA514" s="23">
        <v>0.5</v>
      </c>
      <c r="BB514" s="23">
        <v>0.1071428571428571</v>
      </c>
      <c r="BC514" s="23">
        <v>0</v>
      </c>
      <c r="BD514" s="20">
        <v>1.1000000000000001</v>
      </c>
      <c r="BE514" s="20">
        <v>3.44</v>
      </c>
      <c r="BF514" s="20">
        <v>2.34</v>
      </c>
      <c r="BG514" s="20">
        <v>2.669090909090909</v>
      </c>
      <c r="BH514">
        <v>2.669090909090909</v>
      </c>
      <c r="BI514">
        <v>5.9831974772727277</v>
      </c>
      <c r="BJ514" s="64">
        <v>0.52442413903612473</v>
      </c>
      <c r="BK514" s="64">
        <v>0.54341863036636606</v>
      </c>
      <c r="BL514" s="64"/>
      <c r="BN514">
        <v>4.8554751705399558E-2</v>
      </c>
      <c r="BO514">
        <v>5.0313390832891547E-2</v>
      </c>
      <c r="BQ514">
        <v>9.8868142538291098E-2</v>
      </c>
      <c r="BR514">
        <v>4.9434071269145549E-2</v>
      </c>
      <c r="BS514">
        <v>0.53392138470124539</v>
      </c>
      <c r="BT514" s="68" t="s">
        <v>1305</v>
      </c>
      <c r="BU514" s="68">
        <f>850+273</f>
        <v>1123</v>
      </c>
      <c r="BV514" s="68">
        <v>2</v>
      </c>
      <c r="BX514" s="68" t="s">
        <v>1275</v>
      </c>
      <c r="BY514" s="68" t="s">
        <v>56</v>
      </c>
      <c r="BZ514" s="68">
        <v>1</v>
      </c>
      <c r="CA514" s="68">
        <v>17</v>
      </c>
      <c r="CB514" s="68">
        <v>0.6</v>
      </c>
      <c r="CC514" s="68">
        <v>0</v>
      </c>
      <c r="CD514" s="68" t="s">
        <v>464</v>
      </c>
      <c r="CE514" s="68" t="s">
        <v>464</v>
      </c>
      <c r="CF514" s="68" t="s">
        <v>1266</v>
      </c>
      <c r="CG514" s="68">
        <v>450</v>
      </c>
      <c r="CI514" s="68" t="s">
        <v>1287</v>
      </c>
      <c r="CK514" s="70">
        <v>7</v>
      </c>
    </row>
    <row r="515" spans="1:89" x14ac:dyDescent="0.3">
      <c r="A515" t="s">
        <v>46</v>
      </c>
      <c r="B515" t="s">
        <v>46</v>
      </c>
      <c r="C515" t="s">
        <v>4087</v>
      </c>
      <c r="D515" s="12"/>
      <c r="E515">
        <v>3.87</v>
      </c>
      <c r="F515" t="s">
        <v>234</v>
      </c>
      <c r="G515" s="8" t="s">
        <v>551</v>
      </c>
      <c r="H515" t="s">
        <v>629</v>
      </c>
      <c r="M515" t="b">
        <v>1</v>
      </c>
      <c r="N515" t="b">
        <v>1</v>
      </c>
      <c r="O515" t="b">
        <v>0</v>
      </c>
      <c r="P515" t="b">
        <v>0</v>
      </c>
      <c r="Q515" t="s">
        <v>551</v>
      </c>
      <c r="R515" t="s">
        <v>629</v>
      </c>
      <c r="U515" s="20">
        <v>2</v>
      </c>
      <c r="V515">
        <v>4</v>
      </c>
      <c r="W515">
        <v>0</v>
      </c>
      <c r="AB515" s="1">
        <v>0</v>
      </c>
      <c r="AC515" s="20">
        <v>7.41544296</v>
      </c>
      <c r="AD515" s="20">
        <v>7.4154429599999991</v>
      </c>
      <c r="AE515" s="20">
        <v>7.41544296</v>
      </c>
      <c r="AF515">
        <v>7.8</v>
      </c>
      <c r="AG515">
        <v>13.010999999999999</v>
      </c>
      <c r="AH515">
        <v>5.5460000000000003</v>
      </c>
      <c r="AI515">
        <v>0</v>
      </c>
      <c r="AM515">
        <v>14</v>
      </c>
      <c r="AN515" s="44">
        <f t="shared" si="118"/>
        <v>0</v>
      </c>
      <c r="AO515" s="46">
        <v>288.33429290182369</v>
      </c>
      <c r="AP515" s="44">
        <v>556.51188553357167</v>
      </c>
      <c r="AQ515" s="44">
        <v>0</v>
      </c>
      <c r="AR515" s="41"/>
      <c r="AS515" s="40">
        <v>9.7109503410799117E-2</v>
      </c>
      <c r="AT515" s="41">
        <v>0.10062678166578309</v>
      </c>
      <c r="AU515" s="41"/>
      <c r="AV515" s="23">
        <v>2</v>
      </c>
      <c r="AW515" s="23">
        <v>2.545454545454545</v>
      </c>
      <c r="AX515" s="23">
        <v>0.54545454545454541</v>
      </c>
      <c r="AY515" s="23">
        <v>0</v>
      </c>
      <c r="AZ515" s="23">
        <v>0.39285714285714279</v>
      </c>
      <c r="BA515" s="23">
        <v>0.5</v>
      </c>
      <c r="BB515" s="23">
        <v>0.1071428571428571</v>
      </c>
      <c r="BC515" s="23">
        <v>0</v>
      </c>
      <c r="BD515" s="20">
        <v>1.1000000000000001</v>
      </c>
      <c r="BE515" s="20">
        <v>3.44</v>
      </c>
      <c r="BF515" s="20">
        <v>2.34</v>
      </c>
      <c r="BG515" s="20">
        <v>2.669090909090909</v>
      </c>
      <c r="BH515">
        <v>2.669090909090909</v>
      </c>
      <c r="BI515">
        <v>5.9831974772727277</v>
      </c>
      <c r="BJ515" s="64">
        <v>0.52442413903612473</v>
      </c>
      <c r="BK515" s="64">
        <v>0.54341863036636606</v>
      </c>
      <c r="BL515" s="64"/>
      <c r="BN515">
        <v>4.8554751705399558E-2</v>
      </c>
      <c r="BO515">
        <v>5.0313390832891547E-2</v>
      </c>
      <c r="BQ515">
        <v>9.8868142538291098E-2</v>
      </c>
      <c r="BR515">
        <v>4.9434071269145549E-2</v>
      </c>
      <c r="BS515">
        <v>0.53392138470124539</v>
      </c>
      <c r="BT515" s="68" t="s">
        <v>1305</v>
      </c>
      <c r="BU515" s="68">
        <f>900+273</f>
        <v>1173</v>
      </c>
      <c r="BV515" s="68">
        <v>2</v>
      </c>
      <c r="BX515" s="68" t="s">
        <v>1275</v>
      </c>
      <c r="BY515" s="68" t="s">
        <v>56</v>
      </c>
      <c r="BZ515" s="68">
        <v>1</v>
      </c>
      <c r="CA515" s="68">
        <v>12</v>
      </c>
      <c r="CB515" s="68">
        <v>0.6</v>
      </c>
      <c r="CC515" s="68">
        <v>0</v>
      </c>
      <c r="CD515" s="68" t="s">
        <v>464</v>
      </c>
      <c r="CE515" s="68" t="s">
        <v>464</v>
      </c>
      <c r="CF515" s="68" t="s">
        <v>1266</v>
      </c>
      <c r="CG515" s="68">
        <v>450</v>
      </c>
      <c r="CI515" s="68" t="s">
        <v>1287</v>
      </c>
      <c r="CK515" s="70">
        <v>11</v>
      </c>
    </row>
    <row r="516" spans="1:89" x14ac:dyDescent="0.3">
      <c r="A516" t="s">
        <v>46</v>
      </c>
      <c r="B516" t="s">
        <v>46</v>
      </c>
      <c r="C516" t="s">
        <v>4087</v>
      </c>
      <c r="D516" s="12"/>
      <c r="E516">
        <v>3.87</v>
      </c>
      <c r="F516" t="s">
        <v>234</v>
      </c>
      <c r="G516" s="8" t="s">
        <v>551</v>
      </c>
      <c r="H516" t="s">
        <v>629</v>
      </c>
      <c r="M516" t="b">
        <v>1</v>
      </c>
      <c r="N516" t="b">
        <v>1</v>
      </c>
      <c r="O516" t="b">
        <v>0</v>
      </c>
      <c r="P516" t="b">
        <v>0</v>
      </c>
      <c r="Q516" t="s">
        <v>551</v>
      </c>
      <c r="R516" t="s">
        <v>629</v>
      </c>
      <c r="U516" s="20">
        <v>2</v>
      </c>
      <c r="V516">
        <v>4</v>
      </c>
      <c r="W516">
        <v>0</v>
      </c>
      <c r="AB516" s="1">
        <v>0</v>
      </c>
      <c r="AC516" s="20">
        <v>7.41544296</v>
      </c>
      <c r="AD516" s="20">
        <v>7.4154429599999991</v>
      </c>
      <c r="AE516" s="20">
        <v>7.41544296</v>
      </c>
      <c r="AF516">
        <v>7.8</v>
      </c>
      <c r="AG516">
        <v>13.010999999999999</v>
      </c>
      <c r="AH516">
        <v>5.5460000000000003</v>
      </c>
      <c r="AI516">
        <v>0</v>
      </c>
      <c r="AM516">
        <v>14</v>
      </c>
      <c r="AN516" s="44">
        <f t="shared" ref="AN516:AN519" si="119">X516*Y516*Z516</f>
        <v>0</v>
      </c>
      <c r="AO516" s="46">
        <v>288.33429290182369</v>
      </c>
      <c r="AP516" s="44">
        <v>556.51188553357167</v>
      </c>
      <c r="AQ516" s="44">
        <v>0</v>
      </c>
      <c r="AR516" s="41"/>
      <c r="AS516" s="40">
        <v>9.7109503410799117E-2</v>
      </c>
      <c r="AT516" s="41">
        <v>0.10062678166578309</v>
      </c>
      <c r="AU516" s="41"/>
      <c r="AV516" s="23">
        <v>2</v>
      </c>
      <c r="AW516" s="23">
        <v>2.545454545454545</v>
      </c>
      <c r="AX516" s="23">
        <v>0.54545454545454541</v>
      </c>
      <c r="AY516" s="23">
        <v>0</v>
      </c>
      <c r="AZ516" s="23">
        <v>0.39285714285714279</v>
      </c>
      <c r="BA516" s="23">
        <v>0.5</v>
      </c>
      <c r="BB516" s="23">
        <v>0.1071428571428571</v>
      </c>
      <c r="BC516" s="23">
        <v>0</v>
      </c>
      <c r="BD516" s="20">
        <v>1.1000000000000001</v>
      </c>
      <c r="BE516" s="20">
        <v>3.44</v>
      </c>
      <c r="BF516" s="20">
        <v>2.34</v>
      </c>
      <c r="BG516" s="20">
        <v>2.669090909090909</v>
      </c>
      <c r="BH516">
        <v>2.669090909090909</v>
      </c>
      <c r="BI516">
        <v>5.9831974772727277</v>
      </c>
      <c r="BJ516" s="64">
        <v>0.52442413903612473</v>
      </c>
      <c r="BK516" s="64">
        <v>0.54341863036636606</v>
      </c>
      <c r="BL516" s="64"/>
      <c r="BN516">
        <v>4.8554751705399558E-2</v>
      </c>
      <c r="BO516">
        <v>5.0313390832891547E-2</v>
      </c>
      <c r="BQ516">
        <v>9.8868142538291098E-2</v>
      </c>
      <c r="BR516">
        <v>4.9434071269145549E-2</v>
      </c>
      <c r="BS516">
        <v>0.53392138470124539</v>
      </c>
      <c r="BT516" s="68" t="s">
        <v>1305</v>
      </c>
      <c r="BU516" s="68">
        <f>950+273</f>
        <v>1223</v>
      </c>
      <c r="BV516" s="68">
        <v>2</v>
      </c>
      <c r="BX516" s="68" t="s">
        <v>1275</v>
      </c>
      <c r="BY516" s="68" t="s">
        <v>56</v>
      </c>
      <c r="BZ516" s="68">
        <v>1</v>
      </c>
      <c r="CA516" s="68">
        <v>8</v>
      </c>
      <c r="CB516" s="68">
        <v>0.6</v>
      </c>
      <c r="CC516" s="68">
        <v>0</v>
      </c>
      <c r="CD516" s="68" t="s">
        <v>464</v>
      </c>
      <c r="CE516" s="68" t="s">
        <v>464</v>
      </c>
      <c r="CF516" s="68" t="s">
        <v>1266</v>
      </c>
      <c r="CG516" s="68">
        <v>450</v>
      </c>
      <c r="CI516" s="68" t="s">
        <v>1287</v>
      </c>
      <c r="CK516" s="70">
        <v>18</v>
      </c>
    </row>
    <row r="517" spans="1:89" x14ac:dyDescent="0.3">
      <c r="A517" t="s">
        <v>46</v>
      </c>
      <c r="B517" t="s">
        <v>46</v>
      </c>
      <c r="C517" t="s">
        <v>4087</v>
      </c>
      <c r="D517" s="12"/>
      <c r="E517">
        <v>3.87</v>
      </c>
      <c r="F517" t="s">
        <v>234</v>
      </c>
      <c r="G517" s="8" t="s">
        <v>551</v>
      </c>
      <c r="H517" t="s">
        <v>629</v>
      </c>
      <c r="M517" t="b">
        <v>1</v>
      </c>
      <c r="N517" t="b">
        <v>1</v>
      </c>
      <c r="O517" t="b">
        <v>0</v>
      </c>
      <c r="P517" t="b">
        <v>0</v>
      </c>
      <c r="Q517" t="s">
        <v>551</v>
      </c>
      <c r="R517" t="s">
        <v>629</v>
      </c>
      <c r="U517" s="20">
        <v>2</v>
      </c>
      <c r="V517">
        <v>4</v>
      </c>
      <c r="W517">
        <v>0</v>
      </c>
      <c r="AB517" s="1">
        <v>0</v>
      </c>
      <c r="AC517" s="20">
        <v>7.41544296</v>
      </c>
      <c r="AD517" s="20">
        <v>7.4154429599999991</v>
      </c>
      <c r="AE517" s="20">
        <v>7.41544296</v>
      </c>
      <c r="AF517">
        <v>7.8</v>
      </c>
      <c r="AG517">
        <v>13.010999999999999</v>
      </c>
      <c r="AH517">
        <v>5.5460000000000003</v>
      </c>
      <c r="AI517">
        <v>0</v>
      </c>
      <c r="AM517">
        <v>14</v>
      </c>
      <c r="AN517" s="44">
        <f t="shared" si="119"/>
        <v>0</v>
      </c>
      <c r="AO517" s="46">
        <v>288.33429290182369</v>
      </c>
      <c r="AP517" s="44">
        <v>556.51188553357167</v>
      </c>
      <c r="AQ517" s="44">
        <v>0</v>
      </c>
      <c r="AR517" s="41"/>
      <c r="AS517" s="40">
        <v>9.7109503410799117E-2</v>
      </c>
      <c r="AT517" s="41">
        <v>0.10062678166578309</v>
      </c>
      <c r="AU517" s="41"/>
      <c r="AV517" s="23">
        <v>2</v>
      </c>
      <c r="AW517" s="23">
        <v>2.545454545454545</v>
      </c>
      <c r="AX517" s="23">
        <v>0.54545454545454541</v>
      </c>
      <c r="AY517" s="23">
        <v>0</v>
      </c>
      <c r="AZ517" s="23">
        <v>0.39285714285714279</v>
      </c>
      <c r="BA517" s="23">
        <v>0.5</v>
      </c>
      <c r="BB517" s="23">
        <v>0.1071428571428571</v>
      </c>
      <c r="BC517" s="23">
        <v>0</v>
      </c>
      <c r="BD517" s="20">
        <v>1.1000000000000001</v>
      </c>
      <c r="BE517" s="20">
        <v>3.44</v>
      </c>
      <c r="BF517" s="20">
        <v>2.34</v>
      </c>
      <c r="BG517" s="20">
        <v>2.669090909090909</v>
      </c>
      <c r="BH517">
        <v>2.669090909090909</v>
      </c>
      <c r="BI517">
        <v>5.9831974772727277</v>
      </c>
      <c r="BJ517" s="64">
        <v>0.52442413903612473</v>
      </c>
      <c r="BK517" s="64">
        <v>0.54341863036636606</v>
      </c>
      <c r="BL517" s="64"/>
      <c r="BN517">
        <v>4.8554751705399558E-2</v>
      </c>
      <c r="BO517">
        <v>5.0313390832891547E-2</v>
      </c>
      <c r="BQ517">
        <v>9.8868142538291098E-2</v>
      </c>
      <c r="BR517">
        <v>4.9434071269145549E-2</v>
      </c>
      <c r="BS517">
        <v>0.53392138470124539</v>
      </c>
      <c r="BT517" s="68" t="s">
        <v>1305</v>
      </c>
      <c r="BU517" s="68">
        <f>1000+273</f>
        <v>1273</v>
      </c>
      <c r="BV517" s="68">
        <v>2</v>
      </c>
      <c r="BX517" s="68" t="s">
        <v>1275</v>
      </c>
      <c r="BY517" s="68" t="s">
        <v>56</v>
      </c>
      <c r="BZ517" s="68">
        <v>1</v>
      </c>
      <c r="CA517" s="68">
        <v>6</v>
      </c>
      <c r="CB517" s="68">
        <v>0.6</v>
      </c>
      <c r="CC517" s="68">
        <v>0</v>
      </c>
      <c r="CD517" s="68" t="s">
        <v>464</v>
      </c>
      <c r="CE517" s="68" t="s">
        <v>464</v>
      </c>
      <c r="CF517" s="68" t="s">
        <v>1266</v>
      </c>
      <c r="CG517" s="68">
        <v>450</v>
      </c>
      <c r="CI517" s="68" t="s">
        <v>1287</v>
      </c>
      <c r="CK517" s="70">
        <v>47</v>
      </c>
    </row>
    <row r="518" spans="1:89" x14ac:dyDescent="0.3">
      <c r="A518" t="s">
        <v>46</v>
      </c>
      <c r="B518" t="s">
        <v>46</v>
      </c>
      <c r="C518" t="s">
        <v>4087</v>
      </c>
      <c r="D518" s="12"/>
      <c r="E518">
        <v>3.87</v>
      </c>
      <c r="F518" t="s">
        <v>234</v>
      </c>
      <c r="G518" s="8" t="s">
        <v>551</v>
      </c>
      <c r="H518" t="s">
        <v>629</v>
      </c>
      <c r="M518" t="b">
        <v>1</v>
      </c>
      <c r="N518" t="b">
        <v>1</v>
      </c>
      <c r="O518" t="b">
        <v>0</v>
      </c>
      <c r="P518" t="b">
        <v>0</v>
      </c>
      <c r="Q518" t="s">
        <v>551</v>
      </c>
      <c r="R518" t="s">
        <v>629</v>
      </c>
      <c r="U518" s="20">
        <v>2</v>
      </c>
      <c r="V518">
        <v>4</v>
      </c>
      <c r="W518">
        <v>0</v>
      </c>
      <c r="AB518" s="1">
        <v>0</v>
      </c>
      <c r="AC518" s="20">
        <v>7.41544296</v>
      </c>
      <c r="AD518" s="20">
        <v>7.4154429599999991</v>
      </c>
      <c r="AE518" s="20">
        <v>7.41544296</v>
      </c>
      <c r="AF518">
        <v>7.8</v>
      </c>
      <c r="AG518">
        <v>13.010999999999999</v>
      </c>
      <c r="AH518">
        <v>5.5460000000000003</v>
      </c>
      <c r="AI518">
        <v>0</v>
      </c>
      <c r="AM518">
        <v>14</v>
      </c>
      <c r="AN518" s="44">
        <f t="shared" si="119"/>
        <v>0</v>
      </c>
      <c r="AO518" s="46">
        <v>288.33429290182369</v>
      </c>
      <c r="AP518" s="44">
        <v>556.51188553357167</v>
      </c>
      <c r="AQ518" s="44">
        <v>0</v>
      </c>
      <c r="AR518" s="41"/>
      <c r="AS518" s="40">
        <v>9.7109503410799117E-2</v>
      </c>
      <c r="AT518" s="41">
        <v>0.10062678166578309</v>
      </c>
      <c r="AU518" s="41"/>
      <c r="AV518" s="23">
        <v>2</v>
      </c>
      <c r="AW518" s="23">
        <v>2.545454545454545</v>
      </c>
      <c r="AX518" s="23">
        <v>0.54545454545454541</v>
      </c>
      <c r="AY518" s="23">
        <v>0</v>
      </c>
      <c r="AZ518" s="23">
        <v>0.39285714285714279</v>
      </c>
      <c r="BA518" s="23">
        <v>0.5</v>
      </c>
      <c r="BB518" s="23">
        <v>0.1071428571428571</v>
      </c>
      <c r="BC518" s="23">
        <v>0</v>
      </c>
      <c r="BD518" s="20">
        <v>1.1000000000000001</v>
      </c>
      <c r="BE518" s="20">
        <v>3.44</v>
      </c>
      <c r="BF518" s="20">
        <v>2.34</v>
      </c>
      <c r="BG518" s="20">
        <v>2.669090909090909</v>
      </c>
      <c r="BH518">
        <v>2.669090909090909</v>
      </c>
      <c r="BI518">
        <v>5.9831974772727277</v>
      </c>
      <c r="BJ518" s="64">
        <v>0.52442413903612473</v>
      </c>
      <c r="BK518" s="64">
        <v>0.54341863036636606</v>
      </c>
      <c r="BL518" s="64"/>
      <c r="BN518">
        <v>4.8554751705399558E-2</v>
      </c>
      <c r="BO518">
        <v>5.0313390832891547E-2</v>
      </c>
      <c r="BQ518">
        <v>9.8868142538291098E-2</v>
      </c>
      <c r="BR518">
        <v>4.9434071269145549E-2</v>
      </c>
      <c r="BS518">
        <v>0.53392138470124539</v>
      </c>
      <c r="BT518" s="68" t="s">
        <v>1305</v>
      </c>
      <c r="BU518" s="68">
        <f>1050+273</f>
        <v>1323</v>
      </c>
      <c r="BV518" s="68">
        <v>2</v>
      </c>
      <c r="BX518" s="68" t="s">
        <v>1275</v>
      </c>
      <c r="BY518" s="68" t="s">
        <v>56</v>
      </c>
      <c r="BZ518" s="68">
        <v>1</v>
      </c>
      <c r="CA518" s="68">
        <v>5</v>
      </c>
      <c r="CB518" s="68">
        <v>0.6</v>
      </c>
      <c r="CC518" s="68">
        <v>0</v>
      </c>
      <c r="CD518" s="68" t="s">
        <v>464</v>
      </c>
      <c r="CE518" s="68" t="s">
        <v>464</v>
      </c>
      <c r="CF518" s="68" t="s">
        <v>1266</v>
      </c>
      <c r="CG518" s="68">
        <v>450</v>
      </c>
      <c r="CI518" s="68" t="s">
        <v>1287</v>
      </c>
      <c r="CK518" s="70">
        <v>960</v>
      </c>
    </row>
    <row r="519" spans="1:89" x14ac:dyDescent="0.3">
      <c r="A519" t="s">
        <v>46</v>
      </c>
      <c r="B519" t="s">
        <v>46</v>
      </c>
      <c r="C519" t="s">
        <v>4087</v>
      </c>
      <c r="D519" s="12"/>
      <c r="E519">
        <v>3.87</v>
      </c>
      <c r="F519" t="s">
        <v>234</v>
      </c>
      <c r="G519" s="8" t="s">
        <v>551</v>
      </c>
      <c r="H519" t="s">
        <v>629</v>
      </c>
      <c r="M519" t="b">
        <v>1</v>
      </c>
      <c r="N519" t="b">
        <v>1</v>
      </c>
      <c r="O519" t="b">
        <v>0</v>
      </c>
      <c r="P519" t="b">
        <v>0</v>
      </c>
      <c r="Q519" t="s">
        <v>551</v>
      </c>
      <c r="R519" t="s">
        <v>629</v>
      </c>
      <c r="U519" s="20">
        <v>2</v>
      </c>
      <c r="V519">
        <v>4</v>
      </c>
      <c r="W519">
        <v>0</v>
      </c>
      <c r="AB519" s="1">
        <v>0</v>
      </c>
      <c r="AC519" s="20">
        <v>7.41544296</v>
      </c>
      <c r="AD519" s="20">
        <v>7.4154429599999991</v>
      </c>
      <c r="AE519" s="20">
        <v>7.41544296</v>
      </c>
      <c r="AF519">
        <v>7.8</v>
      </c>
      <c r="AG519">
        <v>13.010999999999999</v>
      </c>
      <c r="AH519">
        <v>5.5460000000000003</v>
      </c>
      <c r="AI519">
        <v>0</v>
      </c>
      <c r="AM519">
        <v>14</v>
      </c>
      <c r="AN519" s="44">
        <f t="shared" si="119"/>
        <v>0</v>
      </c>
      <c r="AO519" s="46">
        <v>288.33429290182369</v>
      </c>
      <c r="AP519" s="44">
        <v>556.51188553357167</v>
      </c>
      <c r="AQ519" s="44">
        <v>0</v>
      </c>
      <c r="AR519" s="41"/>
      <c r="AS519" s="40">
        <v>9.7109503410799117E-2</v>
      </c>
      <c r="AT519" s="41">
        <v>0.10062678166578309</v>
      </c>
      <c r="AU519" s="41"/>
      <c r="AV519" s="23">
        <v>2</v>
      </c>
      <c r="AW519" s="23">
        <v>2.545454545454545</v>
      </c>
      <c r="AX519" s="23">
        <v>0.54545454545454541</v>
      </c>
      <c r="AY519" s="23">
        <v>0</v>
      </c>
      <c r="AZ519" s="23">
        <v>0.39285714285714279</v>
      </c>
      <c r="BA519" s="23">
        <v>0.5</v>
      </c>
      <c r="BB519" s="23">
        <v>0.1071428571428571</v>
      </c>
      <c r="BC519" s="23">
        <v>0</v>
      </c>
      <c r="BD519" s="20">
        <v>1.1000000000000001</v>
      </c>
      <c r="BE519" s="20">
        <v>3.44</v>
      </c>
      <c r="BF519" s="20">
        <v>2.34</v>
      </c>
      <c r="BG519" s="20">
        <v>2.669090909090909</v>
      </c>
      <c r="BH519">
        <v>2.669090909090909</v>
      </c>
      <c r="BI519">
        <v>5.9831974772727277</v>
      </c>
      <c r="BJ519" s="64">
        <v>0.52442413903612473</v>
      </c>
      <c r="BK519" s="64">
        <v>0.54341863036636606</v>
      </c>
      <c r="BL519" s="64"/>
      <c r="BN519">
        <v>4.8554751705399558E-2</v>
      </c>
      <c r="BO519">
        <v>5.0313390832891547E-2</v>
      </c>
      <c r="BQ519">
        <v>9.8868142538291098E-2</v>
      </c>
      <c r="BR519">
        <v>4.9434071269145549E-2</v>
      </c>
      <c r="BS519">
        <v>0.53392138470124539</v>
      </c>
      <c r="BT519" s="68" t="s">
        <v>1305</v>
      </c>
      <c r="BU519" s="68">
        <f>1100+273</f>
        <v>1373</v>
      </c>
      <c r="BV519" s="68">
        <v>2</v>
      </c>
      <c r="BX519" s="68" t="s">
        <v>1275</v>
      </c>
      <c r="BY519" s="68" t="s">
        <v>56</v>
      </c>
      <c r="BZ519" s="68">
        <v>1</v>
      </c>
      <c r="CA519" s="68">
        <v>2</v>
      </c>
      <c r="CB519" s="68">
        <v>0.6</v>
      </c>
      <c r="CC519" s="68">
        <v>0</v>
      </c>
      <c r="CD519" s="68" t="s">
        <v>464</v>
      </c>
      <c r="CE519" s="68" t="s">
        <v>464</v>
      </c>
      <c r="CF519" s="68" t="s">
        <v>1266</v>
      </c>
      <c r="CG519" s="68">
        <v>450</v>
      </c>
      <c r="CI519" s="68" t="s">
        <v>1287</v>
      </c>
      <c r="CK519" s="70">
        <v>790</v>
      </c>
    </row>
    <row r="520" spans="1:89" x14ac:dyDescent="0.3">
      <c r="A520" t="s">
        <v>46</v>
      </c>
      <c r="B520" t="s">
        <v>46</v>
      </c>
      <c r="C520" t="s">
        <v>4087</v>
      </c>
      <c r="D520" s="12"/>
      <c r="E520">
        <v>3.87</v>
      </c>
      <c r="F520" t="s">
        <v>234</v>
      </c>
      <c r="G520" s="8" t="s">
        <v>551</v>
      </c>
      <c r="H520" t="s">
        <v>629</v>
      </c>
      <c r="M520" t="b">
        <v>1</v>
      </c>
      <c r="N520" t="b">
        <v>1</v>
      </c>
      <c r="O520" t="b">
        <v>0</v>
      </c>
      <c r="P520" t="b">
        <v>0</v>
      </c>
      <c r="Q520" t="s">
        <v>551</v>
      </c>
      <c r="R520" t="s">
        <v>629</v>
      </c>
      <c r="U520" s="20">
        <v>2</v>
      </c>
      <c r="V520">
        <v>4</v>
      </c>
      <c r="W520">
        <v>0</v>
      </c>
      <c r="AB520" s="1">
        <v>0</v>
      </c>
      <c r="AC520" s="20">
        <v>7.41544296</v>
      </c>
      <c r="AD520" s="20">
        <v>7.4154429599999991</v>
      </c>
      <c r="AE520" s="20">
        <v>7.41544296</v>
      </c>
      <c r="AF520">
        <v>7.8</v>
      </c>
      <c r="AG520">
        <v>13.010999999999999</v>
      </c>
      <c r="AH520">
        <v>5.5460000000000003</v>
      </c>
      <c r="AI520">
        <v>0</v>
      </c>
      <c r="AM520">
        <v>14</v>
      </c>
      <c r="AN520" s="44">
        <f t="shared" ref="AN520:AN524" si="120">X520*Y520*Z520</f>
        <v>0</v>
      </c>
      <c r="AO520" s="46">
        <v>288.33429290182369</v>
      </c>
      <c r="AP520" s="44">
        <v>556.51188553357167</v>
      </c>
      <c r="AQ520" s="44">
        <v>0</v>
      </c>
      <c r="AR520" s="41"/>
      <c r="AS520" s="40">
        <v>9.7109503410799117E-2</v>
      </c>
      <c r="AT520" s="41">
        <v>0.10062678166578309</v>
      </c>
      <c r="AU520" s="41"/>
      <c r="AV520" s="23">
        <v>2</v>
      </c>
      <c r="AW520" s="23">
        <v>2.545454545454545</v>
      </c>
      <c r="AX520" s="23">
        <v>0.54545454545454541</v>
      </c>
      <c r="AY520" s="23">
        <v>0</v>
      </c>
      <c r="AZ520" s="23">
        <v>0.39285714285714279</v>
      </c>
      <c r="BA520" s="23">
        <v>0.5</v>
      </c>
      <c r="BB520" s="23">
        <v>0.1071428571428571</v>
      </c>
      <c r="BC520" s="23">
        <v>0</v>
      </c>
      <c r="BD520" s="20">
        <v>1.1000000000000001</v>
      </c>
      <c r="BE520" s="20">
        <v>3.44</v>
      </c>
      <c r="BF520" s="20">
        <v>2.34</v>
      </c>
      <c r="BG520" s="20">
        <v>2.669090909090909</v>
      </c>
      <c r="BH520">
        <v>2.669090909090909</v>
      </c>
      <c r="BI520">
        <v>5.9831974772727277</v>
      </c>
      <c r="BJ520" s="64">
        <v>0.52442413903612473</v>
      </c>
      <c r="BK520" s="64">
        <v>0.54341863036636606</v>
      </c>
      <c r="BL520" s="64"/>
      <c r="BN520">
        <v>4.8554751705399558E-2</v>
      </c>
      <c r="BO520">
        <v>5.0313390832891547E-2</v>
      </c>
      <c r="BQ520">
        <v>9.8868142538291098E-2</v>
      </c>
      <c r="BR520">
        <v>4.9434071269145549E-2</v>
      </c>
      <c r="BS520">
        <v>0.53392138470124539</v>
      </c>
      <c r="BT520" s="68" t="s">
        <v>1305</v>
      </c>
      <c r="BU520" s="68">
        <f>1150+273</f>
        <v>1423</v>
      </c>
      <c r="BV520" s="68">
        <v>2</v>
      </c>
      <c r="BX520" s="68" t="s">
        <v>1275</v>
      </c>
      <c r="BY520" s="68" t="s">
        <v>56</v>
      </c>
      <c r="BZ520" s="68">
        <v>1</v>
      </c>
      <c r="CA520" s="68">
        <v>1</v>
      </c>
      <c r="CB520" s="68">
        <v>0.6</v>
      </c>
      <c r="CC520" s="68">
        <v>0</v>
      </c>
      <c r="CD520" s="68" t="s">
        <v>464</v>
      </c>
      <c r="CE520" s="68" t="s">
        <v>464</v>
      </c>
      <c r="CF520" s="68" t="s">
        <v>1266</v>
      </c>
      <c r="CG520" s="68">
        <v>450</v>
      </c>
      <c r="CI520" s="68" t="s">
        <v>1287</v>
      </c>
      <c r="CK520" s="70">
        <v>442</v>
      </c>
    </row>
    <row r="521" spans="1:89" x14ac:dyDescent="0.3">
      <c r="A521" t="s">
        <v>46</v>
      </c>
      <c r="B521" t="s">
        <v>46</v>
      </c>
      <c r="C521" t="s">
        <v>4087</v>
      </c>
      <c r="D521" s="12"/>
      <c r="E521">
        <v>3.87</v>
      </c>
      <c r="F521" t="s">
        <v>234</v>
      </c>
      <c r="G521" s="8" t="s">
        <v>551</v>
      </c>
      <c r="H521" t="s">
        <v>629</v>
      </c>
      <c r="M521" t="b">
        <v>1</v>
      </c>
      <c r="N521" t="b">
        <v>1</v>
      </c>
      <c r="O521" t="b">
        <v>0</v>
      </c>
      <c r="P521" t="b">
        <v>0</v>
      </c>
      <c r="Q521" t="s">
        <v>551</v>
      </c>
      <c r="R521" t="s">
        <v>629</v>
      </c>
      <c r="U521" s="20">
        <v>2</v>
      </c>
      <c r="V521">
        <v>4</v>
      </c>
      <c r="W521">
        <v>0</v>
      </c>
      <c r="AB521" s="1">
        <v>0</v>
      </c>
      <c r="AC521" s="20">
        <v>7.41544296</v>
      </c>
      <c r="AD521" s="20">
        <v>7.4154429599999991</v>
      </c>
      <c r="AE521" s="20">
        <v>7.41544296</v>
      </c>
      <c r="AF521">
        <v>7.8</v>
      </c>
      <c r="AG521">
        <v>13.010999999999999</v>
      </c>
      <c r="AH521">
        <v>5.5460000000000003</v>
      </c>
      <c r="AI521">
        <v>0</v>
      </c>
      <c r="AM521">
        <v>14</v>
      </c>
      <c r="AN521" s="44">
        <f t="shared" si="120"/>
        <v>0</v>
      </c>
      <c r="AO521" s="46">
        <v>288.33429290182369</v>
      </c>
      <c r="AP521" s="44">
        <v>556.51188553357167</v>
      </c>
      <c r="AQ521" s="44">
        <v>0</v>
      </c>
      <c r="AR521" s="41"/>
      <c r="AS521" s="40">
        <v>9.7109503410799117E-2</v>
      </c>
      <c r="AT521" s="41">
        <v>0.10062678166578309</v>
      </c>
      <c r="AU521" s="41"/>
      <c r="AV521" s="23">
        <v>2</v>
      </c>
      <c r="AW521" s="23">
        <v>2.545454545454545</v>
      </c>
      <c r="AX521" s="23">
        <v>0.54545454545454541</v>
      </c>
      <c r="AY521" s="23">
        <v>0</v>
      </c>
      <c r="AZ521" s="23">
        <v>0.39285714285714279</v>
      </c>
      <c r="BA521" s="23">
        <v>0.5</v>
      </c>
      <c r="BB521" s="23">
        <v>0.1071428571428571</v>
      </c>
      <c r="BC521" s="23">
        <v>0</v>
      </c>
      <c r="BD521" s="20">
        <v>1.1000000000000001</v>
      </c>
      <c r="BE521" s="20">
        <v>3.44</v>
      </c>
      <c r="BF521" s="20">
        <v>2.34</v>
      </c>
      <c r="BG521" s="20">
        <v>2.669090909090909</v>
      </c>
      <c r="BH521">
        <v>2.669090909090909</v>
      </c>
      <c r="BI521">
        <v>5.9831974772727277</v>
      </c>
      <c r="BJ521" s="64">
        <v>0.52442413903612473</v>
      </c>
      <c r="BK521" s="64">
        <v>0.54341863036636606</v>
      </c>
      <c r="BL521" s="64"/>
      <c r="BN521">
        <v>4.8554751705399558E-2</v>
      </c>
      <c r="BO521">
        <v>5.0313390832891547E-2</v>
      </c>
      <c r="BQ521">
        <v>9.8868142538291098E-2</v>
      </c>
      <c r="BR521">
        <v>4.9434071269145549E-2</v>
      </c>
      <c r="BS521">
        <v>0.53392138470124539</v>
      </c>
      <c r="BT521" s="68" t="s">
        <v>1264</v>
      </c>
      <c r="BU521" s="68">
        <f>1000+273</f>
        <v>1273</v>
      </c>
      <c r="BV521" s="68">
        <v>24</v>
      </c>
      <c r="BX521" s="68" t="s">
        <v>1275</v>
      </c>
      <c r="BY521" s="68" t="s">
        <v>56</v>
      </c>
      <c r="BZ521" s="68">
        <v>1</v>
      </c>
      <c r="CA521" s="68">
        <v>2</v>
      </c>
      <c r="CB521" s="68">
        <v>0.6</v>
      </c>
      <c r="CC521" s="68">
        <v>0</v>
      </c>
      <c r="CD521" s="68" t="s">
        <v>464</v>
      </c>
      <c r="CE521" s="68" t="s">
        <v>464</v>
      </c>
      <c r="CF521" s="68" t="s">
        <v>1266</v>
      </c>
      <c r="CG521" s="68">
        <v>450</v>
      </c>
      <c r="CI521" s="68" t="s">
        <v>1287</v>
      </c>
      <c r="CK521" s="70">
        <v>340</v>
      </c>
    </row>
    <row r="522" spans="1:89" x14ac:dyDescent="0.3">
      <c r="A522" t="s">
        <v>46</v>
      </c>
      <c r="B522" t="s">
        <v>46</v>
      </c>
      <c r="C522" t="s">
        <v>4087</v>
      </c>
      <c r="D522" s="12"/>
      <c r="E522">
        <v>3.87</v>
      </c>
      <c r="F522" t="s">
        <v>234</v>
      </c>
      <c r="G522" s="8" t="s">
        <v>551</v>
      </c>
      <c r="H522" t="s">
        <v>629</v>
      </c>
      <c r="M522" t="b">
        <v>1</v>
      </c>
      <c r="N522" t="b">
        <v>1</v>
      </c>
      <c r="O522" t="b">
        <v>0</v>
      </c>
      <c r="P522" t="b">
        <v>0</v>
      </c>
      <c r="Q522" t="s">
        <v>551</v>
      </c>
      <c r="R522" t="s">
        <v>629</v>
      </c>
      <c r="U522" s="20">
        <v>2</v>
      </c>
      <c r="V522">
        <v>4</v>
      </c>
      <c r="W522">
        <v>0</v>
      </c>
      <c r="AB522" s="1">
        <v>0</v>
      </c>
      <c r="AC522" s="20">
        <v>7.41544296</v>
      </c>
      <c r="AD522" s="20">
        <v>7.4154429599999991</v>
      </c>
      <c r="AE522" s="20">
        <v>7.41544296</v>
      </c>
      <c r="AF522">
        <v>7.8</v>
      </c>
      <c r="AG522">
        <v>13.010999999999999</v>
      </c>
      <c r="AH522">
        <v>5.5460000000000003</v>
      </c>
      <c r="AI522">
        <v>0</v>
      </c>
      <c r="AM522">
        <v>14</v>
      </c>
      <c r="AN522" s="44">
        <f t="shared" si="120"/>
        <v>0</v>
      </c>
      <c r="AO522" s="46">
        <v>288.33429290182369</v>
      </c>
      <c r="AP522" s="44">
        <v>556.51188553357167</v>
      </c>
      <c r="AQ522" s="44">
        <v>0</v>
      </c>
      <c r="AR522" s="41"/>
      <c r="AS522" s="40">
        <v>9.7109503410799117E-2</v>
      </c>
      <c r="AT522" s="41">
        <v>0.10062678166578309</v>
      </c>
      <c r="AU522" s="41"/>
      <c r="AV522" s="23">
        <v>2</v>
      </c>
      <c r="AW522" s="23">
        <v>2.545454545454545</v>
      </c>
      <c r="AX522" s="23">
        <v>0.54545454545454541</v>
      </c>
      <c r="AY522" s="23">
        <v>0</v>
      </c>
      <c r="AZ522" s="23">
        <v>0.39285714285714279</v>
      </c>
      <c r="BA522" s="23">
        <v>0.5</v>
      </c>
      <c r="BB522" s="23">
        <v>0.1071428571428571</v>
      </c>
      <c r="BC522" s="23">
        <v>0</v>
      </c>
      <c r="BD522" s="20">
        <v>1.1000000000000001</v>
      </c>
      <c r="BE522" s="20">
        <v>3.44</v>
      </c>
      <c r="BF522" s="20">
        <v>2.34</v>
      </c>
      <c r="BG522" s="20">
        <v>2.669090909090909</v>
      </c>
      <c r="BH522">
        <v>2.669090909090909</v>
      </c>
      <c r="BI522">
        <v>5.9831974772727277</v>
      </c>
      <c r="BJ522" s="64">
        <v>0.52442413903612473</v>
      </c>
      <c r="BK522" s="64">
        <v>0.54341863036636606</v>
      </c>
      <c r="BL522" s="64"/>
      <c r="BN522">
        <v>4.8554751705399558E-2</v>
      </c>
      <c r="BO522">
        <v>5.0313390832891547E-2</v>
      </c>
      <c r="BQ522">
        <v>9.8868142538291098E-2</v>
      </c>
      <c r="BR522">
        <v>4.9434071269145549E-2</v>
      </c>
      <c r="BS522">
        <v>0.53392138470124539</v>
      </c>
      <c r="BT522" s="68" t="s">
        <v>1264</v>
      </c>
      <c r="BU522" s="68">
        <f>1050+273</f>
        <v>1323</v>
      </c>
      <c r="BV522" s="68">
        <v>24</v>
      </c>
      <c r="BX522" s="68" t="s">
        <v>1275</v>
      </c>
      <c r="BY522" s="68" t="s">
        <v>56</v>
      </c>
      <c r="BZ522" s="68">
        <v>1</v>
      </c>
      <c r="CA522" s="68">
        <v>2</v>
      </c>
      <c r="CB522" s="68">
        <v>0.6</v>
      </c>
      <c r="CC522" s="68">
        <v>0</v>
      </c>
      <c r="CD522" s="68" t="s">
        <v>464</v>
      </c>
      <c r="CE522" s="68" t="s">
        <v>464</v>
      </c>
      <c r="CF522" s="68" t="s">
        <v>1266</v>
      </c>
      <c r="CG522" s="68">
        <v>450</v>
      </c>
      <c r="CI522" s="68" t="s">
        <v>1287</v>
      </c>
      <c r="CK522" s="70">
        <v>387</v>
      </c>
    </row>
    <row r="523" spans="1:89" x14ac:dyDescent="0.3">
      <c r="A523" t="s">
        <v>46</v>
      </c>
      <c r="B523" t="s">
        <v>46</v>
      </c>
      <c r="C523" t="s">
        <v>4087</v>
      </c>
      <c r="D523" s="12"/>
      <c r="E523">
        <v>3.87</v>
      </c>
      <c r="F523" t="s">
        <v>234</v>
      </c>
      <c r="G523" s="8" t="s">
        <v>551</v>
      </c>
      <c r="H523" t="s">
        <v>629</v>
      </c>
      <c r="M523" t="b">
        <v>1</v>
      </c>
      <c r="N523" t="b">
        <v>1</v>
      </c>
      <c r="O523" t="b">
        <v>0</v>
      </c>
      <c r="P523" t="b">
        <v>0</v>
      </c>
      <c r="Q523" t="s">
        <v>551</v>
      </c>
      <c r="R523" t="s">
        <v>629</v>
      </c>
      <c r="U523" s="20">
        <v>2</v>
      </c>
      <c r="V523">
        <v>4</v>
      </c>
      <c r="W523">
        <v>0</v>
      </c>
      <c r="AB523" s="1">
        <v>0</v>
      </c>
      <c r="AC523" s="20">
        <v>7.41544296</v>
      </c>
      <c r="AD523" s="20">
        <v>7.4154429599999991</v>
      </c>
      <c r="AE523" s="20">
        <v>7.41544296</v>
      </c>
      <c r="AF523">
        <v>7.8</v>
      </c>
      <c r="AG523">
        <v>13.010999999999999</v>
      </c>
      <c r="AH523">
        <v>5.5460000000000003</v>
      </c>
      <c r="AI523">
        <v>0</v>
      </c>
      <c r="AM523">
        <v>14</v>
      </c>
      <c r="AN523" s="44">
        <f t="shared" si="120"/>
        <v>0</v>
      </c>
      <c r="AO523" s="46">
        <v>288.33429290182369</v>
      </c>
      <c r="AP523" s="44">
        <v>556.51188553357167</v>
      </c>
      <c r="AQ523" s="44">
        <v>0</v>
      </c>
      <c r="AR523" s="41"/>
      <c r="AS523" s="40">
        <v>9.7109503410799117E-2</v>
      </c>
      <c r="AT523" s="41">
        <v>0.10062678166578309</v>
      </c>
      <c r="AU523" s="41"/>
      <c r="AV523" s="23">
        <v>2</v>
      </c>
      <c r="AW523" s="23">
        <v>2.545454545454545</v>
      </c>
      <c r="AX523" s="23">
        <v>0.54545454545454541</v>
      </c>
      <c r="AY523" s="23">
        <v>0</v>
      </c>
      <c r="AZ523" s="23">
        <v>0.39285714285714279</v>
      </c>
      <c r="BA523" s="23">
        <v>0.5</v>
      </c>
      <c r="BB523" s="23">
        <v>0.1071428571428571</v>
      </c>
      <c r="BC523" s="23">
        <v>0</v>
      </c>
      <c r="BD523" s="20">
        <v>1.1000000000000001</v>
      </c>
      <c r="BE523" s="20">
        <v>3.44</v>
      </c>
      <c r="BF523" s="20">
        <v>2.34</v>
      </c>
      <c r="BG523" s="20">
        <v>2.669090909090909</v>
      </c>
      <c r="BH523">
        <v>2.669090909090909</v>
      </c>
      <c r="BI523">
        <v>5.9831974772727277</v>
      </c>
      <c r="BJ523" s="64">
        <v>0.52442413903612473</v>
      </c>
      <c r="BK523" s="64">
        <v>0.54341863036636606</v>
      </c>
      <c r="BL523" s="64"/>
      <c r="BN523">
        <v>4.8554751705399558E-2</v>
      </c>
      <c r="BO523">
        <v>5.0313390832891547E-2</v>
      </c>
      <c r="BQ523">
        <v>9.8868142538291098E-2</v>
      </c>
      <c r="BR523">
        <v>4.9434071269145549E-2</v>
      </c>
      <c r="BS523">
        <v>0.53392138470124539</v>
      </c>
      <c r="BT523" s="68" t="s">
        <v>1264</v>
      </c>
      <c r="BU523" s="68">
        <f>1100+273</f>
        <v>1373</v>
      </c>
      <c r="BV523" s="68">
        <v>24</v>
      </c>
      <c r="BX523" s="68" t="s">
        <v>1275</v>
      </c>
      <c r="BY523" s="68" t="s">
        <v>56</v>
      </c>
      <c r="BZ523" s="68">
        <v>1</v>
      </c>
      <c r="CA523" s="68">
        <v>1</v>
      </c>
      <c r="CB523" s="68">
        <v>0.6</v>
      </c>
      <c r="CC523" s="68">
        <v>0</v>
      </c>
      <c r="CD523" s="68" t="s">
        <v>464</v>
      </c>
      <c r="CE523" s="68" t="s">
        <v>464</v>
      </c>
      <c r="CF523" s="68" t="s">
        <v>1266</v>
      </c>
      <c r="CG523" s="68">
        <v>450</v>
      </c>
      <c r="CI523" s="68" t="s">
        <v>1287</v>
      </c>
      <c r="CK523" s="70">
        <v>408</v>
      </c>
    </row>
    <row r="524" spans="1:89" x14ac:dyDescent="0.3">
      <c r="A524" t="s">
        <v>46</v>
      </c>
      <c r="B524" t="s">
        <v>46</v>
      </c>
      <c r="C524" t="s">
        <v>4087</v>
      </c>
      <c r="D524" s="12"/>
      <c r="E524">
        <v>3.87</v>
      </c>
      <c r="F524" t="s">
        <v>234</v>
      </c>
      <c r="G524" s="8" t="s">
        <v>551</v>
      </c>
      <c r="H524" t="s">
        <v>629</v>
      </c>
      <c r="M524" t="b">
        <v>1</v>
      </c>
      <c r="N524" t="b">
        <v>1</v>
      </c>
      <c r="O524" t="b">
        <v>0</v>
      </c>
      <c r="P524" t="b">
        <v>0</v>
      </c>
      <c r="Q524" t="s">
        <v>551</v>
      </c>
      <c r="R524" t="s">
        <v>629</v>
      </c>
      <c r="U524" s="20">
        <v>2</v>
      </c>
      <c r="V524">
        <v>4</v>
      </c>
      <c r="W524">
        <v>0</v>
      </c>
      <c r="AB524" s="1">
        <v>0</v>
      </c>
      <c r="AC524" s="20">
        <v>7.41544296</v>
      </c>
      <c r="AD524" s="20">
        <v>7.4154429599999991</v>
      </c>
      <c r="AE524" s="20">
        <v>7.41544296</v>
      </c>
      <c r="AF524">
        <v>7.8</v>
      </c>
      <c r="AG524">
        <v>13.010999999999999</v>
      </c>
      <c r="AH524">
        <v>5.5460000000000003</v>
      </c>
      <c r="AI524">
        <v>0</v>
      </c>
      <c r="AM524">
        <v>14</v>
      </c>
      <c r="AN524" s="44">
        <f t="shared" si="120"/>
        <v>0</v>
      </c>
      <c r="AO524" s="46">
        <v>288.33429290182369</v>
      </c>
      <c r="AP524" s="44">
        <v>556.51188553357167</v>
      </c>
      <c r="AQ524" s="44">
        <v>0</v>
      </c>
      <c r="AR524" s="41"/>
      <c r="AS524" s="40">
        <v>9.7109503410799117E-2</v>
      </c>
      <c r="AT524" s="41">
        <v>0.10062678166578309</v>
      </c>
      <c r="AU524" s="41"/>
      <c r="AV524" s="23">
        <v>2</v>
      </c>
      <c r="AW524" s="23">
        <v>2.545454545454545</v>
      </c>
      <c r="AX524" s="23">
        <v>0.54545454545454541</v>
      </c>
      <c r="AY524" s="23">
        <v>0</v>
      </c>
      <c r="AZ524" s="23">
        <v>0.39285714285714279</v>
      </c>
      <c r="BA524" s="23">
        <v>0.5</v>
      </c>
      <c r="BB524" s="23">
        <v>0.1071428571428571</v>
      </c>
      <c r="BC524" s="23">
        <v>0</v>
      </c>
      <c r="BD524" s="20">
        <v>1.1000000000000001</v>
      </c>
      <c r="BE524" s="20">
        <v>3.44</v>
      </c>
      <c r="BF524" s="20">
        <v>2.34</v>
      </c>
      <c r="BG524" s="20">
        <v>2.669090909090909</v>
      </c>
      <c r="BH524">
        <v>2.669090909090909</v>
      </c>
      <c r="BI524">
        <v>5.9831974772727277</v>
      </c>
      <c r="BJ524" s="64">
        <v>0.52442413903612473</v>
      </c>
      <c r="BK524" s="64">
        <v>0.54341863036636606</v>
      </c>
      <c r="BL524" s="64"/>
      <c r="BN524">
        <v>4.8554751705399558E-2</v>
      </c>
      <c r="BO524">
        <v>5.0313390832891547E-2</v>
      </c>
      <c r="BQ524">
        <v>9.8868142538291098E-2</v>
      </c>
      <c r="BR524">
        <v>4.9434071269145549E-2</v>
      </c>
      <c r="BS524">
        <v>0.53392138470124539</v>
      </c>
      <c r="BT524" s="68" t="s">
        <v>1264</v>
      </c>
      <c r="BU524" s="68">
        <f>1150+273</f>
        <v>1423</v>
      </c>
      <c r="BV524" s="68">
        <v>24</v>
      </c>
      <c r="BX524" s="68" t="s">
        <v>1275</v>
      </c>
      <c r="BY524" s="68" t="s">
        <v>56</v>
      </c>
      <c r="BZ524" s="68">
        <v>1</v>
      </c>
      <c r="CA524" s="68">
        <v>1</v>
      </c>
      <c r="CB524" s="68">
        <v>0.6</v>
      </c>
      <c r="CC524" s="68">
        <v>0</v>
      </c>
      <c r="CD524" s="68" t="s">
        <v>464</v>
      </c>
      <c r="CE524" s="68" t="s">
        <v>464</v>
      </c>
      <c r="CF524" s="68" t="s">
        <v>1266</v>
      </c>
      <c r="CG524" s="68">
        <v>450</v>
      </c>
      <c r="CI524" s="68" t="s">
        <v>1287</v>
      </c>
      <c r="CK524" s="70">
        <v>440</v>
      </c>
    </row>
    <row r="525" spans="1:89" x14ac:dyDescent="0.3">
      <c r="A525" t="s">
        <v>19</v>
      </c>
      <c r="C525" t="s">
        <v>3943</v>
      </c>
      <c r="D525" s="12"/>
      <c r="E525">
        <v>3.53</v>
      </c>
      <c r="F525" t="s">
        <v>235</v>
      </c>
      <c r="G525" s="8">
        <v>-2</v>
      </c>
      <c r="H525" t="s">
        <v>1167</v>
      </c>
      <c r="M525" t="b">
        <v>0</v>
      </c>
      <c r="N525" t="b">
        <v>1</v>
      </c>
      <c r="O525" t="b">
        <v>0</v>
      </c>
      <c r="P525" t="b">
        <v>0</v>
      </c>
      <c r="Q525">
        <v>-2</v>
      </c>
      <c r="R525" t="s">
        <v>1167</v>
      </c>
      <c r="U525" s="20">
        <v>0</v>
      </c>
      <c r="V525">
        <v>0</v>
      </c>
      <c r="W525">
        <v>4</v>
      </c>
      <c r="AA525" t="s">
        <v>450</v>
      </c>
      <c r="AB525" s="4"/>
      <c r="AC525" s="31">
        <v>0</v>
      </c>
      <c r="AD525" s="31"/>
      <c r="AE525" s="31"/>
      <c r="AF525">
        <v>0</v>
      </c>
      <c r="AI525">
        <v>24.8627</v>
      </c>
      <c r="AJ525">
        <v>5.4355000000000002</v>
      </c>
      <c r="AK525">
        <v>5.4478</v>
      </c>
      <c r="AL525" s="4"/>
      <c r="AM525" s="4">
        <v>18</v>
      </c>
      <c r="AN525" s="44">
        <f t="shared" si="65"/>
        <v>0</v>
      </c>
      <c r="AO525" s="46">
        <v>0</v>
      </c>
      <c r="AP525" s="44">
        <v>0</v>
      </c>
      <c r="AQ525" s="44">
        <f t="shared" ref="AQ525:AQ533" si="121">AI525*AJ525*AK525</f>
        <v>736.22226122963002</v>
      </c>
      <c r="AR525" s="41"/>
      <c r="AS525" s="40"/>
      <c r="AT525" s="41"/>
      <c r="AU525" s="56">
        <f t="shared" ref="AU525:AU533" si="122">W525*AM525/AQ525</f>
        <v>9.7796553828386576E-2</v>
      </c>
      <c r="AV525" s="4">
        <v>1.8666666666666669</v>
      </c>
      <c r="AW525" s="4">
        <v>2.8</v>
      </c>
      <c r="AX525" s="4">
        <v>1.8666666666666669</v>
      </c>
      <c r="AY525" s="4">
        <v>1.8666666666666669</v>
      </c>
      <c r="AZ525" s="4">
        <v>0.22222222222222221</v>
      </c>
      <c r="BA525" s="4">
        <v>0.33333333333333331</v>
      </c>
      <c r="BB525" s="4">
        <v>0.22222222222222221</v>
      </c>
      <c r="BC525" s="4">
        <v>0.22222222222222221</v>
      </c>
      <c r="BD525" s="31">
        <v>1</v>
      </c>
      <c r="BE525" s="31">
        <v>3.44</v>
      </c>
      <c r="BF525" s="31">
        <v>2.44</v>
      </c>
      <c r="BG525" s="31">
        <v>2.68</v>
      </c>
      <c r="BH525" s="4">
        <v>2.68</v>
      </c>
      <c r="BI525" s="4">
        <v>5.9932041966666656</v>
      </c>
      <c r="BJ525" s="64"/>
      <c r="BK525" s="64"/>
      <c r="BL525" s="64"/>
      <c r="BP525">
        <v>4.8898276914193288E-2</v>
      </c>
      <c r="BQ525">
        <v>9.7796553828386576E-2</v>
      </c>
      <c r="BR525">
        <v>4.8898276914193288E-2</v>
      </c>
      <c r="BS525">
        <v>0</v>
      </c>
      <c r="BT525" s="68" t="s">
        <v>1393</v>
      </c>
      <c r="BU525" s="68">
        <f t="shared" ref="BU525:BU533" si="123">850+273</f>
        <v>1123</v>
      </c>
      <c r="BV525" s="68">
        <v>4</v>
      </c>
      <c r="BX525" s="68" t="s">
        <v>464</v>
      </c>
      <c r="BY525" s="68" t="s">
        <v>464</v>
      </c>
      <c r="BZ525" s="68">
        <v>0</v>
      </c>
      <c r="CB525" s="68">
        <v>1.5</v>
      </c>
      <c r="CC525" s="68">
        <v>0</v>
      </c>
      <c r="CD525" s="68" t="s">
        <v>1406</v>
      </c>
      <c r="CE525" s="68" t="s">
        <v>464</v>
      </c>
      <c r="CF525" s="68" t="s">
        <v>1271</v>
      </c>
      <c r="CG525" s="68">
        <v>300</v>
      </c>
      <c r="CI525" s="68" t="s">
        <v>1310</v>
      </c>
      <c r="CK525" s="70">
        <v>0</v>
      </c>
    </row>
    <row r="526" spans="1:89" x14ac:dyDescent="0.3">
      <c r="A526" t="s">
        <v>20</v>
      </c>
      <c r="C526" t="s">
        <v>3944</v>
      </c>
      <c r="D526" s="12"/>
      <c r="E526">
        <v>3.42</v>
      </c>
      <c r="F526" t="s">
        <v>235</v>
      </c>
      <c r="G526" s="8">
        <v>-2</v>
      </c>
      <c r="H526" t="s">
        <v>1168</v>
      </c>
      <c r="M526" t="b">
        <v>0</v>
      </c>
      <c r="N526" t="b">
        <v>1</v>
      </c>
      <c r="O526" t="b">
        <v>0</v>
      </c>
      <c r="P526" t="b">
        <v>0</v>
      </c>
      <c r="Q526">
        <v>-2</v>
      </c>
      <c r="R526" t="s">
        <v>1168</v>
      </c>
      <c r="T526" s="1">
        <v>4</v>
      </c>
      <c r="U526" s="20">
        <v>0</v>
      </c>
      <c r="V526">
        <v>0</v>
      </c>
      <c r="W526">
        <v>4</v>
      </c>
      <c r="X526" s="1">
        <v>5.4729999999999999</v>
      </c>
      <c r="Y526" s="1">
        <v>5.5269999999999992</v>
      </c>
      <c r="Z526" s="1">
        <v>25.030999999999999</v>
      </c>
      <c r="AA526" t="s">
        <v>450</v>
      </c>
      <c r="AB526" s="1">
        <v>12.515499999999999</v>
      </c>
      <c r="AC526" s="31">
        <v>0</v>
      </c>
      <c r="AD526" s="31"/>
      <c r="AE526" s="31"/>
      <c r="AF526">
        <v>0</v>
      </c>
      <c r="AI526">
        <v>24.556999999999999</v>
      </c>
      <c r="AJ526">
        <v>5.5289999999999999</v>
      </c>
      <c r="AK526">
        <v>5.5289999999999999</v>
      </c>
      <c r="AL526" s="4"/>
      <c r="AM526" s="4">
        <v>18</v>
      </c>
      <c r="AN526" s="44">
        <f t="shared" si="65"/>
        <v>757.16950240099993</v>
      </c>
      <c r="AO526" s="46">
        <v>0</v>
      </c>
      <c r="AP526" s="44">
        <v>0</v>
      </c>
      <c r="AQ526" s="44">
        <f t="shared" si="121"/>
        <v>750.7035854369999</v>
      </c>
      <c r="AR526" s="41"/>
      <c r="AS526" s="40"/>
      <c r="AT526" s="41"/>
      <c r="AU526" s="56">
        <f t="shared" si="122"/>
        <v>9.5910025470422294E-2</v>
      </c>
      <c r="AV526" s="4">
        <v>1.8666666666666669</v>
      </c>
      <c r="AW526" s="4">
        <v>2.8</v>
      </c>
      <c r="AX526" s="4">
        <v>1.8666666666666669</v>
      </c>
      <c r="AY526" s="4">
        <v>1.8666666666666669</v>
      </c>
      <c r="AZ526" s="4">
        <v>0.22222222222222221</v>
      </c>
      <c r="BA526" s="4">
        <v>0.33333333333333331</v>
      </c>
      <c r="BB526" s="4">
        <v>0.22222222222222221</v>
      </c>
      <c r="BC526" s="4">
        <v>0.22222222222222221</v>
      </c>
      <c r="BD526" s="31">
        <v>0.95</v>
      </c>
      <c r="BE526" s="31">
        <v>3.44</v>
      </c>
      <c r="BF526" s="31">
        <v>2.4900000000000002</v>
      </c>
      <c r="BG526" s="31">
        <v>2.6733333333333329</v>
      </c>
      <c r="BH526" s="4">
        <v>2.6733333333333329</v>
      </c>
      <c r="BI526" s="4">
        <v>5.9671526619999993</v>
      </c>
      <c r="BJ526" s="64"/>
      <c r="BK526" s="64"/>
      <c r="BL526" s="64"/>
      <c r="BP526">
        <v>4.7955012735211147E-2</v>
      </c>
      <c r="BQ526">
        <v>9.5910025470422294E-2</v>
      </c>
      <c r="BR526">
        <v>4.7955012735211147E-2</v>
      </c>
      <c r="BS526">
        <v>0</v>
      </c>
      <c r="BT526" s="68" t="s">
        <v>1393</v>
      </c>
      <c r="BU526" s="68">
        <f t="shared" si="123"/>
        <v>1123</v>
      </c>
      <c r="BV526" s="68">
        <v>4</v>
      </c>
      <c r="BX526" s="68" t="s">
        <v>464</v>
      </c>
      <c r="BY526" s="68" t="s">
        <v>464</v>
      </c>
      <c r="BZ526" s="68">
        <v>0</v>
      </c>
      <c r="CB526" s="68">
        <v>1.5</v>
      </c>
      <c r="CC526" s="68">
        <v>0</v>
      </c>
      <c r="CD526" s="68" t="s">
        <v>1406</v>
      </c>
      <c r="CE526" s="68" t="s">
        <v>464</v>
      </c>
      <c r="CF526" s="68" t="s">
        <v>1271</v>
      </c>
      <c r="CG526" s="68">
        <v>300</v>
      </c>
      <c r="CI526" s="68" t="s">
        <v>1310</v>
      </c>
      <c r="CK526" s="70">
        <v>0</v>
      </c>
    </row>
    <row r="527" spans="1:89" x14ac:dyDescent="0.3">
      <c r="A527" t="s">
        <v>21</v>
      </c>
      <c r="C527" t="s">
        <v>3945</v>
      </c>
      <c r="D527" s="12"/>
      <c r="E527">
        <v>2.82</v>
      </c>
      <c r="F527" t="s">
        <v>235</v>
      </c>
      <c r="G527" s="8"/>
      <c r="I527" t="s">
        <v>1169</v>
      </c>
      <c r="M527" t="b">
        <v>0</v>
      </c>
      <c r="N527" t="b">
        <v>0</v>
      </c>
      <c r="O527" t="b">
        <v>1</v>
      </c>
      <c r="P527" t="b">
        <v>0</v>
      </c>
      <c r="S527" t="s">
        <v>1169</v>
      </c>
      <c r="U527" s="20">
        <v>0</v>
      </c>
      <c r="V527">
        <v>0</v>
      </c>
      <c r="W527">
        <v>4</v>
      </c>
      <c r="AA527" t="s">
        <v>440</v>
      </c>
      <c r="AB527" s="4"/>
      <c r="AC527" s="31">
        <v>0</v>
      </c>
      <c r="AD527" s="31"/>
      <c r="AE527" s="31"/>
      <c r="AF527">
        <v>0</v>
      </c>
      <c r="AI527">
        <v>25.574999999999999</v>
      </c>
      <c r="AJ527">
        <v>5.5629999999999997</v>
      </c>
      <c r="AK527">
        <v>5.5629999999999997</v>
      </c>
      <c r="AL527" s="4"/>
      <c r="AM527" s="4">
        <v>18</v>
      </c>
      <c r="AN527" s="44">
        <f t="shared" si="65"/>
        <v>0</v>
      </c>
      <c r="AO527" s="46">
        <v>0</v>
      </c>
      <c r="AP527" s="44">
        <v>0</v>
      </c>
      <c r="AQ527" s="44">
        <f t="shared" si="121"/>
        <v>791.4687321749999</v>
      </c>
      <c r="AR527" s="41"/>
      <c r="AS527" s="40"/>
      <c r="AT527" s="41"/>
      <c r="AU527" s="56">
        <f t="shared" si="122"/>
        <v>9.0970112997565952E-2</v>
      </c>
      <c r="AV527" s="4">
        <v>1.8666666666666669</v>
      </c>
      <c r="AW527" s="4">
        <v>2.8</v>
      </c>
      <c r="AX527" s="4">
        <v>1.8666666666666669</v>
      </c>
      <c r="AY527" s="4">
        <v>1.8666666666666669</v>
      </c>
      <c r="AZ527" s="4">
        <v>0.22222222222222221</v>
      </c>
      <c r="BA527" s="4">
        <v>0.33333333333333331</v>
      </c>
      <c r="BB527" s="4">
        <v>0.22222222222222221</v>
      </c>
      <c r="BC527" s="4">
        <v>0.22222222222222221</v>
      </c>
      <c r="BD527" s="31">
        <v>0.89</v>
      </c>
      <c r="BE527" s="31">
        <v>3.44</v>
      </c>
      <c r="BF527" s="31">
        <v>2.5499999999999998</v>
      </c>
      <c r="BG527" s="31">
        <v>2.6653333333333342</v>
      </c>
      <c r="BH527" s="4">
        <v>2.6653333333333329</v>
      </c>
      <c r="BI527" s="4">
        <v>5.9411098053333333</v>
      </c>
      <c r="BJ527" s="64"/>
      <c r="BK527" s="64"/>
      <c r="BL527" s="64"/>
      <c r="BP527">
        <v>4.5485056498782983E-2</v>
      </c>
      <c r="BQ527">
        <v>9.0970112997565952E-2</v>
      </c>
      <c r="BR527">
        <v>4.5485056498782983E-2</v>
      </c>
      <c r="BS527">
        <v>0</v>
      </c>
      <c r="BT527" s="68" t="s">
        <v>1393</v>
      </c>
      <c r="BU527" s="68">
        <f t="shared" si="123"/>
        <v>1123</v>
      </c>
      <c r="BV527" s="68">
        <v>4</v>
      </c>
      <c r="BX527" s="68" t="s">
        <v>464</v>
      </c>
      <c r="BY527" s="68" t="s">
        <v>464</v>
      </c>
      <c r="BZ527" s="68">
        <v>0</v>
      </c>
      <c r="CB527" s="68">
        <v>1.5</v>
      </c>
      <c r="CC527" s="68">
        <v>0</v>
      </c>
      <c r="CD527" s="68" t="s">
        <v>1406</v>
      </c>
      <c r="CE527" s="68" t="s">
        <v>464</v>
      </c>
      <c r="CF527" s="68" t="s">
        <v>1271</v>
      </c>
      <c r="CG527" s="68">
        <v>300</v>
      </c>
      <c r="CI527" s="68" t="s">
        <v>1310</v>
      </c>
      <c r="CK527" s="70">
        <v>0</v>
      </c>
    </row>
    <row r="528" spans="1:89" x14ac:dyDescent="0.3">
      <c r="A528" t="s">
        <v>19</v>
      </c>
      <c r="C528" t="s">
        <v>3943</v>
      </c>
      <c r="D528" s="12"/>
      <c r="E528">
        <v>3.53</v>
      </c>
      <c r="F528" t="s">
        <v>235</v>
      </c>
      <c r="G528" s="8">
        <v>-2</v>
      </c>
      <c r="H528" t="s">
        <v>1167</v>
      </c>
      <c r="M528" t="b">
        <v>0</v>
      </c>
      <c r="N528" t="b">
        <v>1</v>
      </c>
      <c r="O528" t="b">
        <v>0</v>
      </c>
      <c r="P528" t="b">
        <v>0</v>
      </c>
      <c r="Q528">
        <v>-2</v>
      </c>
      <c r="R528" t="s">
        <v>1167</v>
      </c>
      <c r="U528" s="20">
        <v>0</v>
      </c>
      <c r="V528">
        <v>0</v>
      </c>
      <c r="W528">
        <v>4</v>
      </c>
      <c r="AA528" t="s">
        <v>450</v>
      </c>
      <c r="AB528" s="4"/>
      <c r="AC528" s="31">
        <v>0</v>
      </c>
      <c r="AD528" s="31"/>
      <c r="AE528" s="31"/>
      <c r="AF528">
        <v>0</v>
      </c>
      <c r="AI528">
        <v>24.8627</v>
      </c>
      <c r="AJ528">
        <v>5.4355000000000002</v>
      </c>
      <c r="AK528">
        <v>5.4478</v>
      </c>
      <c r="AL528" s="4"/>
      <c r="AM528" s="4">
        <v>18</v>
      </c>
      <c r="AN528" s="44">
        <f t="shared" ref="AN528:AN530" si="124">X528*Y528*Z528</f>
        <v>0</v>
      </c>
      <c r="AO528" s="46">
        <v>0</v>
      </c>
      <c r="AP528" s="44">
        <v>0</v>
      </c>
      <c r="AQ528" s="44">
        <f t="shared" ref="AQ528:AQ530" si="125">AI528*AJ528*AK528</f>
        <v>736.22226122963002</v>
      </c>
      <c r="AR528" s="41"/>
      <c r="AS528" s="40"/>
      <c r="AT528" s="41"/>
      <c r="AU528" s="56">
        <f t="shared" ref="AU528:AU530" si="126">W528*AM528/AQ528</f>
        <v>9.7796553828386576E-2</v>
      </c>
      <c r="AV528" s="4">
        <v>1.8666666666666669</v>
      </c>
      <c r="AW528" s="4">
        <v>2.8</v>
      </c>
      <c r="AX528" s="4">
        <v>1.8666666666666669</v>
      </c>
      <c r="AY528" s="4">
        <v>1.8666666666666669</v>
      </c>
      <c r="AZ528" s="4">
        <v>0.22222222222222221</v>
      </c>
      <c r="BA528" s="4">
        <v>0.33333333333333331</v>
      </c>
      <c r="BB528" s="4">
        <v>0.22222222222222221</v>
      </c>
      <c r="BC528" s="4">
        <v>0.22222222222222221</v>
      </c>
      <c r="BD528" s="31">
        <v>1</v>
      </c>
      <c r="BE528" s="31">
        <v>3.44</v>
      </c>
      <c r="BF528" s="31">
        <v>2.44</v>
      </c>
      <c r="BG528" s="31">
        <v>2.68</v>
      </c>
      <c r="BH528" s="4">
        <v>2.68</v>
      </c>
      <c r="BI528" s="4">
        <v>5.9932041966666656</v>
      </c>
      <c r="BJ528" s="64"/>
      <c r="BK528" s="64"/>
      <c r="BL528" s="64"/>
      <c r="BP528">
        <v>4.8898276914193288E-2</v>
      </c>
      <c r="BQ528">
        <v>9.7796553828386576E-2</v>
      </c>
      <c r="BR528">
        <v>4.8898276914193288E-2</v>
      </c>
      <c r="BS528">
        <v>0</v>
      </c>
      <c r="BT528" s="68" t="s">
        <v>1393</v>
      </c>
      <c r="BU528" s="68">
        <f t="shared" si="123"/>
        <v>1123</v>
      </c>
      <c r="BV528" s="68">
        <v>4</v>
      </c>
      <c r="BX528" s="68" t="s">
        <v>1268</v>
      </c>
      <c r="BY528" s="68" t="s">
        <v>863</v>
      </c>
      <c r="BZ528" s="68">
        <v>0.5</v>
      </c>
      <c r="CB528" s="68">
        <v>1.5</v>
      </c>
      <c r="CC528" s="68">
        <v>0</v>
      </c>
      <c r="CD528" s="68" t="s">
        <v>1406</v>
      </c>
      <c r="CE528" s="68" t="s">
        <v>464</v>
      </c>
      <c r="CF528" s="68" t="s">
        <v>1271</v>
      </c>
      <c r="CG528" s="68">
        <v>300</v>
      </c>
      <c r="CI528" s="68" t="s">
        <v>1310</v>
      </c>
      <c r="CK528" s="70">
        <v>104.1</v>
      </c>
    </row>
    <row r="529" spans="1:89" x14ac:dyDescent="0.3">
      <c r="A529" t="s">
        <v>20</v>
      </c>
      <c r="C529" t="s">
        <v>3944</v>
      </c>
      <c r="D529" s="12"/>
      <c r="E529">
        <v>3.42</v>
      </c>
      <c r="F529" t="s">
        <v>235</v>
      </c>
      <c r="G529" s="8">
        <v>-2</v>
      </c>
      <c r="H529" t="s">
        <v>1168</v>
      </c>
      <c r="M529" t="b">
        <v>0</v>
      </c>
      <c r="N529" t="b">
        <v>1</v>
      </c>
      <c r="O529" t="b">
        <v>0</v>
      </c>
      <c r="P529" t="b">
        <v>0</v>
      </c>
      <c r="Q529">
        <v>-2</v>
      </c>
      <c r="R529" t="s">
        <v>1168</v>
      </c>
      <c r="T529" s="1">
        <v>4</v>
      </c>
      <c r="U529" s="20">
        <v>0</v>
      </c>
      <c r="V529">
        <v>0</v>
      </c>
      <c r="W529">
        <v>4</v>
      </c>
      <c r="X529" s="1">
        <v>5.4729999999999999</v>
      </c>
      <c r="Y529" s="1">
        <v>5.5269999999999992</v>
      </c>
      <c r="Z529" s="1">
        <v>25.030999999999999</v>
      </c>
      <c r="AA529" t="s">
        <v>450</v>
      </c>
      <c r="AB529" s="1">
        <f>Z529/2</f>
        <v>12.515499999999999</v>
      </c>
      <c r="AC529" s="31">
        <v>0</v>
      </c>
      <c r="AD529" s="31"/>
      <c r="AE529" s="31"/>
      <c r="AF529">
        <v>0</v>
      </c>
      <c r="AI529">
        <v>24.556999999999999</v>
      </c>
      <c r="AJ529">
        <v>5.5289999999999999</v>
      </c>
      <c r="AK529">
        <v>5.5289999999999999</v>
      </c>
      <c r="AL529" s="4"/>
      <c r="AM529" s="4">
        <v>18</v>
      </c>
      <c r="AN529" s="44">
        <f t="shared" si="124"/>
        <v>757.16950240099993</v>
      </c>
      <c r="AO529" s="46">
        <v>0</v>
      </c>
      <c r="AP529" s="44">
        <v>0</v>
      </c>
      <c r="AQ529" s="44">
        <f t="shared" si="125"/>
        <v>750.7035854369999</v>
      </c>
      <c r="AR529" s="41"/>
      <c r="AS529" s="40"/>
      <c r="AT529" s="41"/>
      <c r="AU529" s="56">
        <f t="shared" si="126"/>
        <v>9.5910025470422294E-2</v>
      </c>
      <c r="AV529" s="4">
        <v>1.8666666666666669</v>
      </c>
      <c r="AW529" s="4">
        <v>2.8</v>
      </c>
      <c r="AX529" s="4">
        <v>1.8666666666666669</v>
      </c>
      <c r="AY529" s="4">
        <v>1.8666666666666669</v>
      </c>
      <c r="AZ529" s="4">
        <v>0.22222222222222221</v>
      </c>
      <c r="BA529" s="4">
        <v>0.33333333333333331</v>
      </c>
      <c r="BB529" s="4">
        <v>0.22222222222222221</v>
      </c>
      <c r="BC529" s="4">
        <v>0.22222222222222221</v>
      </c>
      <c r="BD529" s="31">
        <v>0.95</v>
      </c>
      <c r="BE529" s="31">
        <v>3.44</v>
      </c>
      <c r="BF529" s="31">
        <v>2.4900000000000002</v>
      </c>
      <c r="BG529" s="31">
        <v>2.6733333333333329</v>
      </c>
      <c r="BH529" s="4">
        <v>2.6733333333333329</v>
      </c>
      <c r="BI529" s="4">
        <v>5.9671526619999993</v>
      </c>
      <c r="BJ529" s="64"/>
      <c r="BK529" s="64"/>
      <c r="BL529" s="64"/>
      <c r="BP529">
        <v>4.7955012735211147E-2</v>
      </c>
      <c r="BQ529">
        <v>9.5910025470422294E-2</v>
      </c>
      <c r="BR529">
        <v>4.7955012735211147E-2</v>
      </c>
      <c r="BS529">
        <v>0</v>
      </c>
      <c r="BT529" s="68" t="s">
        <v>1393</v>
      </c>
      <c r="BU529" s="68">
        <f t="shared" si="123"/>
        <v>1123</v>
      </c>
      <c r="BV529" s="68">
        <v>4</v>
      </c>
      <c r="BX529" s="68" t="s">
        <v>1268</v>
      </c>
      <c r="BY529" s="68" t="s">
        <v>863</v>
      </c>
      <c r="BZ529" s="68">
        <v>0.5</v>
      </c>
      <c r="CB529" s="68">
        <v>1.5</v>
      </c>
      <c r="CC529" s="68">
        <v>0</v>
      </c>
      <c r="CD529" s="68" t="s">
        <v>1406</v>
      </c>
      <c r="CE529" s="68" t="s">
        <v>464</v>
      </c>
      <c r="CF529" s="68" t="s">
        <v>1271</v>
      </c>
      <c r="CG529" s="68">
        <v>300</v>
      </c>
      <c r="CI529" s="68" t="s">
        <v>1310</v>
      </c>
      <c r="CK529" s="70">
        <v>8.9</v>
      </c>
    </row>
    <row r="530" spans="1:89" x14ac:dyDescent="0.3">
      <c r="A530" t="s">
        <v>21</v>
      </c>
      <c r="C530" t="s">
        <v>3945</v>
      </c>
      <c r="D530" s="12"/>
      <c r="E530">
        <v>2.82</v>
      </c>
      <c r="F530" t="s">
        <v>235</v>
      </c>
      <c r="G530" s="8"/>
      <c r="I530" t="s">
        <v>1169</v>
      </c>
      <c r="M530" t="b">
        <v>0</v>
      </c>
      <c r="N530" t="b">
        <v>0</v>
      </c>
      <c r="O530" t="b">
        <v>1</v>
      </c>
      <c r="P530" t="b">
        <v>0</v>
      </c>
      <c r="S530" t="s">
        <v>1169</v>
      </c>
      <c r="U530" s="20">
        <v>0</v>
      </c>
      <c r="V530">
        <v>0</v>
      </c>
      <c r="W530">
        <v>4</v>
      </c>
      <c r="AA530" t="s">
        <v>440</v>
      </c>
      <c r="AB530" s="4"/>
      <c r="AC530" s="31">
        <v>0</v>
      </c>
      <c r="AD530" s="31"/>
      <c r="AE530" s="31"/>
      <c r="AF530">
        <v>0</v>
      </c>
      <c r="AI530">
        <v>25.574999999999999</v>
      </c>
      <c r="AJ530">
        <v>5.5629999999999997</v>
      </c>
      <c r="AK530">
        <v>5.5629999999999997</v>
      </c>
      <c r="AL530" s="4"/>
      <c r="AM530" s="4">
        <v>18</v>
      </c>
      <c r="AN530" s="44">
        <f t="shared" si="124"/>
        <v>0</v>
      </c>
      <c r="AO530" s="46">
        <v>0</v>
      </c>
      <c r="AP530" s="44">
        <v>0</v>
      </c>
      <c r="AQ530" s="44">
        <f t="shared" si="125"/>
        <v>791.4687321749999</v>
      </c>
      <c r="AR530" s="41"/>
      <c r="AS530" s="40"/>
      <c r="AT530" s="41"/>
      <c r="AU530" s="56">
        <f t="shared" si="126"/>
        <v>9.0970112997565952E-2</v>
      </c>
      <c r="AV530" s="4">
        <v>1.8666666666666669</v>
      </c>
      <c r="AW530" s="4">
        <v>2.8</v>
      </c>
      <c r="AX530" s="4">
        <v>1.8666666666666669</v>
      </c>
      <c r="AY530" s="4">
        <v>1.8666666666666669</v>
      </c>
      <c r="AZ530" s="4">
        <v>0.22222222222222221</v>
      </c>
      <c r="BA530" s="4">
        <v>0.33333333333333331</v>
      </c>
      <c r="BB530" s="4">
        <v>0.22222222222222221</v>
      </c>
      <c r="BC530" s="4">
        <v>0.22222222222222221</v>
      </c>
      <c r="BD530" s="31">
        <v>0.89</v>
      </c>
      <c r="BE530" s="31">
        <v>3.44</v>
      </c>
      <c r="BF530" s="31">
        <v>2.5499999999999998</v>
      </c>
      <c r="BG530" s="31">
        <v>2.6653333333333342</v>
      </c>
      <c r="BH530" s="4">
        <v>2.6653333333333329</v>
      </c>
      <c r="BI530" s="4">
        <v>5.9411098053333333</v>
      </c>
      <c r="BJ530" s="64"/>
      <c r="BK530" s="64"/>
      <c r="BL530" s="64"/>
      <c r="BP530">
        <v>4.5485056498782983E-2</v>
      </c>
      <c r="BQ530">
        <v>9.0970112997565952E-2</v>
      </c>
      <c r="BR530">
        <v>4.5485056498782983E-2</v>
      </c>
      <c r="BS530">
        <v>0</v>
      </c>
      <c r="BT530" s="68" t="s">
        <v>1393</v>
      </c>
      <c r="BU530" s="68">
        <f t="shared" si="123"/>
        <v>1123</v>
      </c>
      <c r="BV530" s="68">
        <v>4</v>
      </c>
      <c r="BX530" s="68" t="s">
        <v>1268</v>
      </c>
      <c r="BY530" s="68" t="s">
        <v>863</v>
      </c>
      <c r="BZ530" s="68">
        <v>0.5</v>
      </c>
      <c r="CB530" s="68">
        <v>1.5</v>
      </c>
      <c r="CC530" s="68">
        <v>0</v>
      </c>
      <c r="CD530" s="68" t="s">
        <v>1406</v>
      </c>
      <c r="CE530" s="68" t="s">
        <v>464</v>
      </c>
      <c r="CF530" s="68" t="s">
        <v>1271</v>
      </c>
      <c r="CG530" s="68">
        <v>300</v>
      </c>
      <c r="CI530" s="68" t="s">
        <v>1310</v>
      </c>
      <c r="CK530" s="70">
        <v>6.2</v>
      </c>
    </row>
    <row r="531" spans="1:89" x14ac:dyDescent="0.3">
      <c r="A531" t="s">
        <v>19</v>
      </c>
      <c r="C531" t="s">
        <v>3943</v>
      </c>
      <c r="D531" s="12"/>
      <c r="E531">
        <v>3.51</v>
      </c>
      <c r="F531" t="s">
        <v>235</v>
      </c>
      <c r="G531" s="8">
        <v>-1</v>
      </c>
      <c r="H531" t="s">
        <v>1167</v>
      </c>
      <c r="M531" t="b">
        <v>0</v>
      </c>
      <c r="N531" t="b">
        <v>1</v>
      </c>
      <c r="O531" t="b">
        <v>0</v>
      </c>
      <c r="P531" t="b">
        <v>0</v>
      </c>
      <c r="Q531">
        <v>-1</v>
      </c>
      <c r="R531" t="s">
        <v>1167</v>
      </c>
      <c r="U531" s="20">
        <v>0</v>
      </c>
      <c r="V531">
        <v>0</v>
      </c>
      <c r="W531">
        <v>4</v>
      </c>
      <c r="AA531" t="s">
        <v>450</v>
      </c>
      <c r="AC531" s="20">
        <v>0</v>
      </c>
      <c r="AD531" s="20"/>
      <c r="AE531" s="20"/>
      <c r="AF531">
        <v>0</v>
      </c>
      <c r="AI531">
        <v>24.8627</v>
      </c>
      <c r="AJ531">
        <v>5.4355000000000002</v>
      </c>
      <c r="AK531">
        <v>5.4478</v>
      </c>
      <c r="AM531">
        <v>18</v>
      </c>
      <c r="AN531" s="44">
        <f t="shared" si="65"/>
        <v>0</v>
      </c>
      <c r="AO531" s="46">
        <v>0</v>
      </c>
      <c r="AP531" s="44">
        <v>0</v>
      </c>
      <c r="AQ531" s="44">
        <f t="shared" si="121"/>
        <v>736.22226122963002</v>
      </c>
      <c r="AR531" s="41"/>
      <c r="AS531" s="40"/>
      <c r="AT531" s="41"/>
      <c r="AU531" s="56">
        <f t="shared" si="122"/>
        <v>9.7796553828386576E-2</v>
      </c>
      <c r="AV531" s="23">
        <v>1.8666666666666669</v>
      </c>
      <c r="AW531" s="23">
        <v>2.8</v>
      </c>
      <c r="AX531" s="23">
        <v>1.8666666666666669</v>
      </c>
      <c r="AY531" s="23">
        <v>1.8666666666666669</v>
      </c>
      <c r="AZ531" s="23">
        <v>0.22222222222222221</v>
      </c>
      <c r="BA531" s="23">
        <v>0.33333333333333331</v>
      </c>
      <c r="BB531" s="23">
        <v>0.22222222222222221</v>
      </c>
      <c r="BC531" s="23">
        <v>0.22222222222222221</v>
      </c>
      <c r="BD531" s="20">
        <v>1</v>
      </c>
      <c r="BE531" s="20">
        <v>3.44</v>
      </c>
      <c r="BF531" s="20">
        <v>2.44</v>
      </c>
      <c r="BG531" s="20">
        <v>2.68</v>
      </c>
      <c r="BH531">
        <v>2.68</v>
      </c>
      <c r="BI531">
        <v>5.9932041966666656</v>
      </c>
      <c r="BJ531" s="64"/>
      <c r="BK531" s="64"/>
      <c r="BL531" s="64"/>
      <c r="BP531">
        <v>4.8898276914193288E-2</v>
      </c>
      <c r="BQ531">
        <v>9.7796553828386576E-2</v>
      </c>
      <c r="BR531">
        <v>4.8898276914193288E-2</v>
      </c>
      <c r="BS531">
        <v>0</v>
      </c>
      <c r="BT531" s="68" t="s">
        <v>1264</v>
      </c>
      <c r="BU531" s="68">
        <f t="shared" si="123"/>
        <v>1123</v>
      </c>
      <c r="BV531" s="68">
        <v>4</v>
      </c>
      <c r="BX531" s="68" t="s">
        <v>1268</v>
      </c>
      <c r="BY531" s="68" t="s">
        <v>863</v>
      </c>
      <c r="BZ531" s="68">
        <v>0.5</v>
      </c>
      <c r="CB531" s="68">
        <v>1.5</v>
      </c>
      <c r="CC531" s="68">
        <v>0</v>
      </c>
      <c r="CD531" s="68" t="s">
        <v>1406</v>
      </c>
      <c r="CE531" s="68" t="s">
        <v>464</v>
      </c>
      <c r="CF531" s="68" t="s">
        <v>1271</v>
      </c>
      <c r="CG531" s="68">
        <v>300</v>
      </c>
      <c r="CI531" s="68" t="s">
        <v>1310</v>
      </c>
      <c r="CK531" s="70">
        <v>6.7</v>
      </c>
    </row>
    <row r="532" spans="1:89" x14ac:dyDescent="0.3">
      <c r="A532" t="s">
        <v>20</v>
      </c>
      <c r="C532" t="s">
        <v>3944</v>
      </c>
      <c r="D532" s="12"/>
      <c r="E532">
        <v>3.48</v>
      </c>
      <c r="F532" t="s">
        <v>235</v>
      </c>
      <c r="G532" s="8">
        <v>-1</v>
      </c>
      <c r="H532" t="s">
        <v>1168</v>
      </c>
      <c r="M532" t="b">
        <v>0</v>
      </c>
      <c r="N532" t="b">
        <v>1</v>
      </c>
      <c r="O532" t="b">
        <v>0</v>
      </c>
      <c r="P532" t="b">
        <v>0</v>
      </c>
      <c r="Q532">
        <v>-1</v>
      </c>
      <c r="R532" t="s">
        <v>1168</v>
      </c>
      <c r="T532" s="1">
        <v>4</v>
      </c>
      <c r="U532" s="20">
        <v>0</v>
      </c>
      <c r="V532">
        <v>0</v>
      </c>
      <c r="W532">
        <v>4</v>
      </c>
      <c r="X532" s="1">
        <v>5.4729999999999999</v>
      </c>
      <c r="Y532" s="1">
        <v>5.5269999999999992</v>
      </c>
      <c r="Z532" s="1">
        <v>25.030999999999999</v>
      </c>
      <c r="AA532" t="s">
        <v>450</v>
      </c>
      <c r="AB532" s="1">
        <v>12.515499999999999</v>
      </c>
      <c r="AC532" s="20">
        <v>0</v>
      </c>
      <c r="AD532" s="20"/>
      <c r="AE532" s="20"/>
      <c r="AF532">
        <v>0</v>
      </c>
      <c r="AI532">
        <v>24.556999999999999</v>
      </c>
      <c r="AJ532">
        <v>5.5289999999999999</v>
      </c>
      <c r="AK532">
        <v>5.5289999999999999</v>
      </c>
      <c r="AM532">
        <v>18</v>
      </c>
      <c r="AN532" s="44">
        <f t="shared" si="65"/>
        <v>757.16950240099993</v>
      </c>
      <c r="AO532" s="46">
        <v>0</v>
      </c>
      <c r="AP532" s="44">
        <v>0</v>
      </c>
      <c r="AQ532" s="44">
        <f t="shared" si="121"/>
        <v>750.7035854369999</v>
      </c>
      <c r="AR532" s="41"/>
      <c r="AS532" s="40"/>
      <c r="AT532" s="41"/>
      <c r="AU532" s="56">
        <f t="shared" si="122"/>
        <v>9.5910025470422294E-2</v>
      </c>
      <c r="AV532" s="23">
        <v>1.8666666666666669</v>
      </c>
      <c r="AW532" s="23">
        <v>2.8</v>
      </c>
      <c r="AX532" s="23">
        <v>1.8666666666666669</v>
      </c>
      <c r="AY532" s="23">
        <v>1.8666666666666669</v>
      </c>
      <c r="AZ532" s="23">
        <v>0.22222222222222221</v>
      </c>
      <c r="BA532" s="23">
        <v>0.33333333333333331</v>
      </c>
      <c r="BB532" s="23">
        <v>0.22222222222222221</v>
      </c>
      <c r="BC532" s="23">
        <v>0.22222222222222221</v>
      </c>
      <c r="BD532" s="20">
        <v>0.95</v>
      </c>
      <c r="BE532" s="20">
        <v>3.44</v>
      </c>
      <c r="BF532" s="20">
        <v>2.4900000000000002</v>
      </c>
      <c r="BG532" s="20">
        <v>2.6733333333333329</v>
      </c>
      <c r="BH532">
        <v>2.6733333333333329</v>
      </c>
      <c r="BI532">
        <v>5.9671526619999993</v>
      </c>
      <c r="BJ532" s="64"/>
      <c r="BK532" s="64"/>
      <c r="BL532" s="64"/>
      <c r="BP532">
        <v>4.7955012735211147E-2</v>
      </c>
      <c r="BQ532">
        <v>9.5910025470422294E-2</v>
      </c>
      <c r="BR532">
        <v>4.7955012735211147E-2</v>
      </c>
      <c r="BS532">
        <v>0</v>
      </c>
      <c r="BT532" s="68" t="s">
        <v>1264</v>
      </c>
      <c r="BU532" s="68">
        <f t="shared" si="123"/>
        <v>1123</v>
      </c>
      <c r="BV532" s="68">
        <v>4</v>
      </c>
      <c r="BX532" s="68" t="s">
        <v>1268</v>
      </c>
      <c r="BY532" s="68" t="s">
        <v>863</v>
      </c>
      <c r="BZ532" s="68">
        <v>0.5</v>
      </c>
      <c r="CB532" s="68">
        <v>1.5</v>
      </c>
      <c r="CC532" s="68">
        <v>0</v>
      </c>
      <c r="CD532" s="68" t="s">
        <v>1406</v>
      </c>
      <c r="CE532" s="68" t="s">
        <v>464</v>
      </c>
      <c r="CF532" s="68" t="s">
        <v>1271</v>
      </c>
      <c r="CG532" s="68">
        <v>300</v>
      </c>
      <c r="CI532" s="68" t="s">
        <v>1310</v>
      </c>
      <c r="CK532" s="70">
        <v>0.9</v>
      </c>
    </row>
    <row r="533" spans="1:89" x14ac:dyDescent="0.3">
      <c r="A533" t="s">
        <v>21</v>
      </c>
      <c r="C533" t="s">
        <v>3945</v>
      </c>
      <c r="D533" s="12"/>
      <c r="E533">
        <v>3.08</v>
      </c>
      <c r="F533" t="s">
        <v>235</v>
      </c>
      <c r="G533" s="8"/>
      <c r="I533" t="s">
        <v>1169</v>
      </c>
      <c r="M533" t="b">
        <v>0</v>
      </c>
      <c r="N533" t="b">
        <v>0</v>
      </c>
      <c r="O533" t="b">
        <v>1</v>
      </c>
      <c r="P533" t="b">
        <v>0</v>
      </c>
      <c r="S533" t="s">
        <v>1169</v>
      </c>
      <c r="U533" s="20">
        <v>0</v>
      </c>
      <c r="V533">
        <v>0</v>
      </c>
      <c r="W533">
        <v>4</v>
      </c>
      <c r="AA533" t="s">
        <v>440</v>
      </c>
      <c r="AC533" s="20">
        <v>0</v>
      </c>
      <c r="AD533" s="20"/>
      <c r="AE533" s="20"/>
      <c r="AF533">
        <v>0</v>
      </c>
      <c r="AI533">
        <v>25.574999999999999</v>
      </c>
      <c r="AJ533">
        <v>5.5629999999999997</v>
      </c>
      <c r="AK533">
        <v>5.5629999999999997</v>
      </c>
      <c r="AM533">
        <v>18</v>
      </c>
      <c r="AN533" s="44">
        <f t="shared" si="65"/>
        <v>0</v>
      </c>
      <c r="AO533" s="46">
        <v>0</v>
      </c>
      <c r="AP533" s="44">
        <v>0</v>
      </c>
      <c r="AQ533" s="44">
        <f t="shared" si="121"/>
        <v>791.4687321749999</v>
      </c>
      <c r="AR533" s="41"/>
      <c r="AS533" s="40"/>
      <c r="AT533" s="41"/>
      <c r="AU533" s="56">
        <f t="shared" si="122"/>
        <v>9.0970112997565952E-2</v>
      </c>
      <c r="AV533" s="23">
        <v>1.8666666666666669</v>
      </c>
      <c r="AW533" s="23">
        <v>2.8</v>
      </c>
      <c r="AX533" s="23">
        <v>1.8666666666666669</v>
      </c>
      <c r="AY533" s="23">
        <v>1.8666666666666669</v>
      </c>
      <c r="AZ533" s="23">
        <v>0.22222222222222221</v>
      </c>
      <c r="BA533" s="23">
        <v>0.33333333333333331</v>
      </c>
      <c r="BB533" s="23">
        <v>0.22222222222222221</v>
      </c>
      <c r="BC533" s="23">
        <v>0.22222222222222221</v>
      </c>
      <c r="BD533" s="20">
        <v>0.89</v>
      </c>
      <c r="BE533" s="20">
        <v>3.44</v>
      </c>
      <c r="BF533" s="20">
        <v>2.5499999999999998</v>
      </c>
      <c r="BG533" s="20">
        <v>2.6653333333333342</v>
      </c>
      <c r="BH533">
        <v>2.6653333333333329</v>
      </c>
      <c r="BI533">
        <v>5.9411098053333333</v>
      </c>
      <c r="BJ533" s="64"/>
      <c r="BK533" s="64"/>
      <c r="BL533" s="64"/>
      <c r="BP533">
        <v>4.5485056498782983E-2</v>
      </c>
      <c r="BQ533">
        <v>9.0970112997565952E-2</v>
      </c>
      <c r="BR533">
        <v>4.5485056498782983E-2</v>
      </c>
      <c r="BS533">
        <v>0</v>
      </c>
      <c r="BT533" s="68" t="s">
        <v>1264</v>
      </c>
      <c r="BU533" s="68">
        <f t="shared" si="123"/>
        <v>1123</v>
      </c>
      <c r="BV533" s="68">
        <v>4</v>
      </c>
      <c r="BX533" s="68" t="s">
        <v>1268</v>
      </c>
      <c r="BY533" s="68" t="s">
        <v>863</v>
      </c>
      <c r="BZ533" s="68">
        <v>0.5</v>
      </c>
      <c r="CB533" s="68">
        <v>1.5</v>
      </c>
      <c r="CC533" s="68">
        <v>0</v>
      </c>
      <c r="CD533" s="68" t="s">
        <v>1406</v>
      </c>
      <c r="CE533" s="68" t="s">
        <v>464</v>
      </c>
      <c r="CF533" s="68" t="s">
        <v>1271</v>
      </c>
      <c r="CG533" s="68">
        <v>300</v>
      </c>
      <c r="CI533" s="68" t="s">
        <v>1310</v>
      </c>
      <c r="CK533" s="70">
        <v>0.4</v>
      </c>
    </row>
    <row r="534" spans="1:89" x14ac:dyDescent="0.3">
      <c r="A534" t="s">
        <v>236</v>
      </c>
      <c r="C534" t="s">
        <v>4109</v>
      </c>
      <c r="D534" s="12"/>
      <c r="E534">
        <v>4.5999999999999996</v>
      </c>
      <c r="F534" t="s">
        <v>238</v>
      </c>
      <c r="G534" s="8" t="s">
        <v>586</v>
      </c>
      <c r="H534" t="s">
        <v>662</v>
      </c>
      <c r="M534" t="b">
        <v>1</v>
      </c>
      <c r="N534" t="b">
        <v>1</v>
      </c>
      <c r="O534" t="b">
        <v>0</v>
      </c>
      <c r="P534" t="b">
        <v>0</v>
      </c>
      <c r="Q534" t="s">
        <v>586</v>
      </c>
      <c r="R534" t="s">
        <v>662</v>
      </c>
      <c r="U534" s="20">
        <v>8</v>
      </c>
      <c r="V534">
        <v>1</v>
      </c>
      <c r="W534">
        <v>0</v>
      </c>
      <c r="AC534" s="20">
        <v>7.5714817599999993</v>
      </c>
      <c r="AD534" s="20">
        <v>7.4441355800000002</v>
      </c>
      <c r="AE534" s="20">
        <v>14.785262019999999</v>
      </c>
      <c r="AF534">
        <v>10.442</v>
      </c>
      <c r="AG534">
        <v>10.442</v>
      </c>
      <c r="AH534">
        <v>10.442</v>
      </c>
      <c r="AI534">
        <v>0</v>
      </c>
      <c r="AM534">
        <v>12</v>
      </c>
      <c r="AN534" s="44">
        <f t="shared" si="65"/>
        <v>0</v>
      </c>
      <c r="AO534" s="46">
        <v>583.54908217201648</v>
      </c>
      <c r="AP534" s="44">
        <v>1138.547270888</v>
      </c>
      <c r="AQ534" s="44">
        <v>0</v>
      </c>
      <c r="AR534" s="41"/>
      <c r="AS534" s="40">
        <v>0.1645105834845636</v>
      </c>
      <c r="AT534" s="41">
        <v>1.053974683953237E-2</v>
      </c>
      <c r="AU534" s="41"/>
      <c r="AV534" s="23">
        <v>1.8</v>
      </c>
      <c r="AW534" s="23">
        <v>2.4</v>
      </c>
      <c r="AX534" s="23">
        <v>0.6</v>
      </c>
      <c r="AY534" s="23">
        <v>2.8</v>
      </c>
      <c r="AZ534" s="23">
        <v>0.23684210526315791</v>
      </c>
      <c r="BA534" s="23">
        <v>0.31578947368421051</v>
      </c>
      <c r="BB534" s="23">
        <v>7.8947368421052627E-2</v>
      </c>
      <c r="BC534" s="23">
        <v>0.36842105263157893</v>
      </c>
      <c r="BD534" s="20">
        <v>0.93</v>
      </c>
      <c r="BE534" s="20">
        <v>3.44</v>
      </c>
      <c r="BF534" s="20">
        <v>2.5099999999999998</v>
      </c>
      <c r="BG534" s="20">
        <v>2.5499999999999998</v>
      </c>
      <c r="BH534">
        <v>2.5499999999999998</v>
      </c>
      <c r="BI534">
        <v>5.8797175109999991</v>
      </c>
      <c r="BJ534" s="64">
        <v>0.46150059156666667</v>
      </c>
      <c r="BK534" s="64"/>
      <c r="BL534" s="64"/>
      <c r="BN534">
        <v>8.2255291742281814E-2</v>
      </c>
      <c r="BO534">
        <v>5.2698734197661841E-3</v>
      </c>
      <c r="BQ534">
        <v>8.7525165162047988E-2</v>
      </c>
      <c r="BR534">
        <v>4.3762582581024001E-2</v>
      </c>
      <c r="BS534">
        <v>0.46150059156666667</v>
      </c>
      <c r="BT534" s="68" t="s">
        <v>1407</v>
      </c>
      <c r="BU534" s="68">
        <v>873</v>
      </c>
      <c r="BV534" s="68">
        <v>1</v>
      </c>
      <c r="BX534" s="68" t="s">
        <v>1275</v>
      </c>
      <c r="BY534" s="68" t="s">
        <v>56</v>
      </c>
      <c r="BZ534" s="68">
        <v>0.2</v>
      </c>
      <c r="CA534" s="68">
        <v>51</v>
      </c>
      <c r="CB534" s="68">
        <v>1.25</v>
      </c>
      <c r="CC534" s="68">
        <v>0</v>
      </c>
      <c r="CD534" s="68" t="s">
        <v>464</v>
      </c>
      <c r="CE534" s="68" t="s">
        <v>464</v>
      </c>
      <c r="CF534" s="68" t="s">
        <v>1266</v>
      </c>
      <c r="CG534" s="68">
        <v>450</v>
      </c>
      <c r="CH534" s="68">
        <v>200</v>
      </c>
      <c r="CJ534" s="68">
        <v>293</v>
      </c>
      <c r="CK534" s="70">
        <f>391*2</f>
        <v>782</v>
      </c>
    </row>
    <row r="535" spans="1:89" x14ac:dyDescent="0.3">
      <c r="A535" t="s">
        <v>237</v>
      </c>
      <c r="C535" t="s">
        <v>3977</v>
      </c>
      <c r="D535" s="12"/>
      <c r="E535">
        <v>4.5</v>
      </c>
      <c r="F535" t="s">
        <v>238</v>
      </c>
      <c r="G535" s="8" t="s">
        <v>563</v>
      </c>
      <c r="H535">
        <v>-1</v>
      </c>
      <c r="M535" t="b">
        <v>1</v>
      </c>
      <c r="N535" t="b">
        <v>0</v>
      </c>
      <c r="O535" t="b">
        <v>0</v>
      </c>
      <c r="P535" t="b">
        <v>0</v>
      </c>
      <c r="Q535" t="s">
        <v>563</v>
      </c>
      <c r="R535">
        <v>-1</v>
      </c>
      <c r="U535" s="20">
        <v>1</v>
      </c>
      <c r="V535">
        <v>0</v>
      </c>
      <c r="W535">
        <v>0</v>
      </c>
      <c r="AC535" s="20">
        <v>3.9948813699999999</v>
      </c>
      <c r="AD535" s="20">
        <v>3.9948813699999999</v>
      </c>
      <c r="AE535" s="20">
        <v>3.9948813699999999</v>
      </c>
      <c r="AF535">
        <v>0</v>
      </c>
      <c r="AI535">
        <v>0</v>
      </c>
      <c r="AM535">
        <v>12</v>
      </c>
      <c r="AN535" s="44">
        <f t="shared" si="65"/>
        <v>0</v>
      </c>
      <c r="AO535" s="46">
        <v>63.754620030366901</v>
      </c>
      <c r="AP535" s="44">
        <v>0</v>
      </c>
      <c r="AQ535" s="44">
        <v>0</v>
      </c>
      <c r="AR535" s="41"/>
      <c r="AS535" s="40">
        <v>0.18822165349404149</v>
      </c>
      <c r="AT535" s="41"/>
      <c r="AU535" s="41"/>
      <c r="AV535" s="23">
        <v>1.8</v>
      </c>
      <c r="AW535" s="23">
        <v>2.4</v>
      </c>
      <c r="AX535" s="23">
        <v>0.6</v>
      </c>
      <c r="AY535" s="23">
        <v>2.8</v>
      </c>
      <c r="AZ535" s="23">
        <v>0.23684210526315791</v>
      </c>
      <c r="BA535" s="23">
        <v>0.31578947368421051</v>
      </c>
      <c r="BB535" s="23">
        <v>7.8947368421052627E-2</v>
      </c>
      <c r="BC535" s="23">
        <v>0.36842105263157893</v>
      </c>
      <c r="BD535" s="20">
        <v>0.82</v>
      </c>
      <c r="BE535" s="20">
        <v>3.44</v>
      </c>
      <c r="BF535" s="20">
        <v>2.62</v>
      </c>
      <c r="BG535" s="20">
        <v>2.528</v>
      </c>
      <c r="BH535">
        <v>2.528</v>
      </c>
      <c r="BI535">
        <v>5.7952294759999994</v>
      </c>
      <c r="BJ535" s="64">
        <v>0.65619545508850963</v>
      </c>
      <c r="BK535" s="64"/>
      <c r="BL535" s="64"/>
      <c r="BN535">
        <v>9.4110826747020773E-2</v>
      </c>
      <c r="BQ535">
        <v>0.18822165349404149</v>
      </c>
      <c r="BR535">
        <v>9.4110826747020773E-2</v>
      </c>
      <c r="BS535">
        <v>0.65619545508850963</v>
      </c>
      <c r="BT535" s="68" t="s">
        <v>1407</v>
      </c>
      <c r="BU535" s="68">
        <v>873</v>
      </c>
      <c r="BV535" s="68">
        <v>1</v>
      </c>
      <c r="BX535" s="68" t="s">
        <v>1275</v>
      </c>
      <c r="BY535" s="68" t="s">
        <v>56</v>
      </c>
      <c r="BZ535" s="68">
        <v>0.2</v>
      </c>
      <c r="CA535" s="68">
        <v>48</v>
      </c>
      <c r="CB535" s="68">
        <v>1.25</v>
      </c>
      <c r="CC535" s="68">
        <v>0</v>
      </c>
      <c r="CD535" s="68" t="s">
        <v>464</v>
      </c>
      <c r="CE535" s="68" t="s">
        <v>464</v>
      </c>
      <c r="CF535" s="68" t="s">
        <v>1266</v>
      </c>
      <c r="CG535" s="68">
        <v>450</v>
      </c>
      <c r="CH535" s="68">
        <v>200</v>
      </c>
      <c r="CJ535" s="68">
        <v>293</v>
      </c>
      <c r="CK535" s="70">
        <f>437*2</f>
        <v>874</v>
      </c>
    </row>
    <row r="536" spans="1:89" x14ac:dyDescent="0.3">
      <c r="A536" t="s">
        <v>239</v>
      </c>
      <c r="B536" t="s">
        <v>153</v>
      </c>
      <c r="C536" t="s">
        <v>4161</v>
      </c>
      <c r="D536" s="12"/>
      <c r="E536">
        <v>4.4000000000000004</v>
      </c>
      <c r="F536" t="s">
        <v>238</v>
      </c>
      <c r="G536" s="8" t="s">
        <v>590</v>
      </c>
      <c r="H536" t="s">
        <v>663</v>
      </c>
      <c r="M536" t="b">
        <v>1</v>
      </c>
      <c r="N536" t="b">
        <v>1</v>
      </c>
      <c r="O536" t="b">
        <v>0</v>
      </c>
      <c r="P536" t="b">
        <v>0</v>
      </c>
      <c r="Q536" t="s">
        <v>590</v>
      </c>
      <c r="R536" t="s">
        <v>663</v>
      </c>
      <c r="U536" s="20">
        <v>16</v>
      </c>
      <c r="V536">
        <v>8</v>
      </c>
      <c r="W536">
        <v>0</v>
      </c>
      <c r="AC536" s="20">
        <v>7.4248940299999999</v>
      </c>
      <c r="AD536" s="20">
        <v>7.4248940300000008</v>
      </c>
      <c r="AE536" s="20">
        <v>48.809404000000001</v>
      </c>
      <c r="AF536">
        <v>10.37</v>
      </c>
      <c r="AG536">
        <v>10.37</v>
      </c>
      <c r="AH536">
        <v>10.37</v>
      </c>
      <c r="AI536">
        <v>0</v>
      </c>
      <c r="AM536">
        <v>14</v>
      </c>
      <c r="AN536" s="44">
        <f t="shared" si="65"/>
        <v>0</v>
      </c>
      <c r="AO536" s="46">
        <v>2333.5692942103669</v>
      </c>
      <c r="AP536" s="44">
        <v>1115.157653</v>
      </c>
      <c r="AQ536" s="44">
        <v>0</v>
      </c>
      <c r="AR536" s="41"/>
      <c r="AS536" s="40">
        <v>9.5990292876988306E-2</v>
      </c>
      <c r="AT536" s="41">
        <v>0.10043422981378219</v>
      </c>
      <c r="AU536" s="41"/>
      <c r="AV536" s="23">
        <v>2</v>
      </c>
      <c r="AW536" s="23">
        <v>2.545454545454545</v>
      </c>
      <c r="AX536" s="23">
        <v>0.54545454545454541</v>
      </c>
      <c r="AY536" s="23">
        <v>2.545454545454545</v>
      </c>
      <c r="AZ536" s="23">
        <v>0.26190476190476192</v>
      </c>
      <c r="BA536" s="23">
        <v>0.33333333333333331</v>
      </c>
      <c r="BB536" s="23">
        <v>7.1428571428571425E-2</v>
      </c>
      <c r="BC536" s="23">
        <v>0.33333333333333331</v>
      </c>
      <c r="BD536" s="20">
        <v>1</v>
      </c>
      <c r="BE536" s="20">
        <v>3.44</v>
      </c>
      <c r="BF536" s="20">
        <v>2.44</v>
      </c>
      <c r="BG536" s="20">
        <v>2.643636363636364</v>
      </c>
      <c r="BH536">
        <v>2.643636363636364</v>
      </c>
      <c r="BI536">
        <v>6.0715871381818181</v>
      </c>
      <c r="BJ536" s="64">
        <v>0.51451783825131059</v>
      </c>
      <c r="BK536" s="64">
        <v>0.53833779709834217</v>
      </c>
      <c r="BL536" s="64"/>
      <c r="BN536">
        <v>4.7995146438494153E-2</v>
      </c>
      <c r="BO536">
        <v>5.0217114906891097E-2</v>
      </c>
      <c r="BQ536">
        <v>9.8212261345385243E-2</v>
      </c>
      <c r="BR536">
        <v>4.9106130672692622E-2</v>
      </c>
      <c r="BS536">
        <v>0.52642781767482638</v>
      </c>
      <c r="BT536" s="68" t="s">
        <v>1407</v>
      </c>
      <c r="BU536" s="68">
        <v>873</v>
      </c>
      <c r="BV536" s="68">
        <v>0</v>
      </c>
      <c r="BX536" s="68" t="s">
        <v>1275</v>
      </c>
      <c r="BY536" s="68" t="s">
        <v>56</v>
      </c>
      <c r="BZ536" s="68">
        <v>0.2</v>
      </c>
      <c r="CA536" s="68">
        <v>145</v>
      </c>
      <c r="CB536" s="68">
        <v>1.25</v>
      </c>
      <c r="CC536" s="68">
        <v>0</v>
      </c>
      <c r="CD536" s="68" t="s">
        <v>464</v>
      </c>
      <c r="CE536" s="68" t="s">
        <v>464</v>
      </c>
      <c r="CF536" s="68" t="s">
        <v>1266</v>
      </c>
      <c r="CG536" s="68">
        <v>450</v>
      </c>
      <c r="CH536" s="68">
        <v>200</v>
      </c>
      <c r="CJ536" s="68">
        <v>293</v>
      </c>
      <c r="CK536" s="70">
        <f>90</f>
        <v>90</v>
      </c>
    </row>
    <row r="537" spans="1:89" x14ac:dyDescent="0.3">
      <c r="A537" t="s">
        <v>239</v>
      </c>
      <c r="B537" t="s">
        <v>153</v>
      </c>
      <c r="C537" t="s">
        <v>4161</v>
      </c>
      <c r="D537" s="12"/>
      <c r="E537">
        <v>4.4000000000000004</v>
      </c>
      <c r="F537" t="s">
        <v>238</v>
      </c>
      <c r="G537" s="8" t="s">
        <v>590</v>
      </c>
      <c r="H537" t="s">
        <v>663</v>
      </c>
      <c r="M537" t="b">
        <v>1</v>
      </c>
      <c r="N537" t="b">
        <v>1</v>
      </c>
      <c r="O537" t="b">
        <v>0</v>
      </c>
      <c r="P537" t="b">
        <v>0</v>
      </c>
      <c r="Q537" t="s">
        <v>590</v>
      </c>
      <c r="R537" t="s">
        <v>663</v>
      </c>
      <c r="U537" s="20">
        <v>16</v>
      </c>
      <c r="V537">
        <v>8</v>
      </c>
      <c r="W537">
        <v>0</v>
      </c>
      <c r="AC537" s="20">
        <v>7.4248940299999999</v>
      </c>
      <c r="AD537" s="20">
        <v>7.4248940300000008</v>
      </c>
      <c r="AE537" s="20">
        <v>48.809404000000001</v>
      </c>
      <c r="AF537">
        <v>10.37</v>
      </c>
      <c r="AG537">
        <v>10.37</v>
      </c>
      <c r="AH537">
        <v>10.37</v>
      </c>
      <c r="AI537">
        <v>0</v>
      </c>
      <c r="AM537">
        <v>14</v>
      </c>
      <c r="AN537" s="44">
        <f t="shared" si="65"/>
        <v>0</v>
      </c>
      <c r="AO537" s="46">
        <v>2333.5692942103669</v>
      </c>
      <c r="AP537" s="44">
        <v>1115.157653</v>
      </c>
      <c r="AQ537" s="44">
        <v>0</v>
      </c>
      <c r="AR537" s="41"/>
      <c r="AS537" s="40">
        <v>9.5990292876988306E-2</v>
      </c>
      <c r="AT537" s="41">
        <v>0.10043422981378219</v>
      </c>
      <c r="AU537" s="41"/>
      <c r="AV537" s="23">
        <v>2</v>
      </c>
      <c r="AW537" s="23">
        <v>2.545454545454545</v>
      </c>
      <c r="AX537" s="23">
        <v>0.54545454545454541</v>
      </c>
      <c r="AY537" s="23">
        <v>2.545454545454545</v>
      </c>
      <c r="AZ537" s="23">
        <v>0.26190476190476192</v>
      </c>
      <c r="BA537" s="23">
        <v>0.33333333333333331</v>
      </c>
      <c r="BB537" s="23">
        <v>7.1428571428571425E-2</v>
      </c>
      <c r="BC537" s="23">
        <v>0.33333333333333331</v>
      </c>
      <c r="BD537" s="20">
        <v>1</v>
      </c>
      <c r="BE537" s="20">
        <v>3.44</v>
      </c>
      <c r="BF537" s="20">
        <v>2.44</v>
      </c>
      <c r="BG537" s="20">
        <v>2.643636363636364</v>
      </c>
      <c r="BH537">
        <v>2.643636363636364</v>
      </c>
      <c r="BI537">
        <v>6.0715871381818181</v>
      </c>
      <c r="BJ537" s="64">
        <v>0.51451783825131059</v>
      </c>
      <c r="BK537" s="64">
        <v>0.53833779709834217</v>
      </c>
      <c r="BL537" s="64"/>
      <c r="BN537">
        <v>4.7995146438494153E-2</v>
      </c>
      <c r="BO537">
        <v>5.0217114906891097E-2</v>
      </c>
      <c r="BQ537">
        <v>9.8212261345385243E-2</v>
      </c>
      <c r="BR537">
        <v>4.9106130672692622E-2</v>
      </c>
      <c r="BS537">
        <v>0.52642781767482638</v>
      </c>
      <c r="BT537" s="68" t="s">
        <v>1407</v>
      </c>
      <c r="BU537" s="68">
        <v>750</v>
      </c>
      <c r="BV537" s="68">
        <v>1</v>
      </c>
      <c r="BX537" s="68" t="s">
        <v>1275</v>
      </c>
      <c r="BY537" s="68" t="s">
        <v>56</v>
      </c>
      <c r="BZ537" s="68">
        <v>0.2</v>
      </c>
      <c r="CA537" s="68">
        <v>110</v>
      </c>
      <c r="CB537" s="68">
        <v>1.25</v>
      </c>
      <c r="CC537" s="68">
        <v>0</v>
      </c>
      <c r="CD537" s="68" t="s">
        <v>464</v>
      </c>
      <c r="CE537" s="68" t="s">
        <v>464</v>
      </c>
      <c r="CF537" s="68" t="s">
        <v>1266</v>
      </c>
      <c r="CG537" s="68">
        <v>450</v>
      </c>
      <c r="CH537" s="68">
        <v>200</v>
      </c>
      <c r="CJ537" s="68">
        <v>293</v>
      </c>
      <c r="CK537" s="70">
        <v>180</v>
      </c>
    </row>
    <row r="538" spans="1:89" x14ac:dyDescent="0.3">
      <c r="A538" t="s">
        <v>239</v>
      </c>
      <c r="B538" t="s">
        <v>153</v>
      </c>
      <c r="C538" t="s">
        <v>4161</v>
      </c>
      <c r="D538" s="12"/>
      <c r="E538">
        <v>4.4000000000000004</v>
      </c>
      <c r="F538" t="s">
        <v>238</v>
      </c>
      <c r="G538" s="8" t="s">
        <v>590</v>
      </c>
      <c r="H538" t="s">
        <v>663</v>
      </c>
      <c r="M538" t="b">
        <v>1</v>
      </c>
      <c r="N538" t="b">
        <v>1</v>
      </c>
      <c r="O538" t="b">
        <v>0</v>
      </c>
      <c r="P538" t="b">
        <v>0</v>
      </c>
      <c r="Q538" t="s">
        <v>590</v>
      </c>
      <c r="R538" t="s">
        <v>663</v>
      </c>
      <c r="U538" s="20">
        <v>16</v>
      </c>
      <c r="V538">
        <v>8</v>
      </c>
      <c r="W538">
        <v>0</v>
      </c>
      <c r="AC538" s="20">
        <v>7.4248940299999999</v>
      </c>
      <c r="AD538" s="20">
        <v>7.4248940300000008</v>
      </c>
      <c r="AE538" s="20">
        <v>48.809404000000001</v>
      </c>
      <c r="AF538">
        <v>10.37</v>
      </c>
      <c r="AG538">
        <v>10.37</v>
      </c>
      <c r="AH538">
        <v>10.37</v>
      </c>
      <c r="AI538">
        <v>0</v>
      </c>
      <c r="AM538">
        <v>14</v>
      </c>
      <c r="AN538" s="44">
        <f t="shared" si="65"/>
        <v>0</v>
      </c>
      <c r="AO538" s="46">
        <v>2333.5692942103669</v>
      </c>
      <c r="AP538" s="44">
        <v>1115.157653</v>
      </c>
      <c r="AQ538" s="44">
        <v>0</v>
      </c>
      <c r="AR538" s="41"/>
      <c r="AS538" s="40">
        <v>9.5990292876988306E-2</v>
      </c>
      <c r="AT538" s="41">
        <v>0.10043422981378219</v>
      </c>
      <c r="AU538" s="41"/>
      <c r="AV538" s="23">
        <v>2</v>
      </c>
      <c r="AW538" s="23">
        <v>2.545454545454545</v>
      </c>
      <c r="AX538" s="23">
        <v>0.54545454545454541</v>
      </c>
      <c r="AY538" s="23">
        <v>2.545454545454545</v>
      </c>
      <c r="AZ538" s="23">
        <v>0.26190476190476192</v>
      </c>
      <c r="BA538" s="23">
        <v>0.33333333333333331</v>
      </c>
      <c r="BB538" s="23">
        <v>7.1428571428571425E-2</v>
      </c>
      <c r="BC538" s="23">
        <v>0.33333333333333331</v>
      </c>
      <c r="BD538" s="20">
        <v>1</v>
      </c>
      <c r="BE538" s="20">
        <v>3.44</v>
      </c>
      <c r="BF538" s="20">
        <v>2.44</v>
      </c>
      <c r="BG538" s="20">
        <v>2.643636363636364</v>
      </c>
      <c r="BH538">
        <v>2.643636363636364</v>
      </c>
      <c r="BI538">
        <v>6.0715871381818181</v>
      </c>
      <c r="BJ538" s="64">
        <v>0.51451783825131059</v>
      </c>
      <c r="BK538" s="64">
        <v>0.53833779709834217</v>
      </c>
      <c r="BL538" s="64"/>
      <c r="BN538">
        <v>4.7995146438494153E-2</v>
      </c>
      <c r="BO538">
        <v>5.0217114906891097E-2</v>
      </c>
      <c r="BQ538">
        <v>9.8212261345385243E-2</v>
      </c>
      <c r="BR538">
        <v>4.9106130672692622E-2</v>
      </c>
      <c r="BS538">
        <v>0.52642781767482638</v>
      </c>
      <c r="BT538" s="68" t="s">
        <v>1407</v>
      </c>
      <c r="BU538" s="68">
        <v>873</v>
      </c>
      <c r="BV538" s="68">
        <v>1</v>
      </c>
      <c r="BX538" s="68" t="s">
        <v>1275</v>
      </c>
      <c r="BY538" s="68" t="s">
        <v>56</v>
      </c>
      <c r="BZ538" s="68">
        <v>0.2</v>
      </c>
      <c r="CA538" s="68">
        <v>63</v>
      </c>
      <c r="CB538" s="68">
        <v>1.25</v>
      </c>
      <c r="CC538" s="68">
        <v>0</v>
      </c>
      <c r="CD538" s="68" t="s">
        <v>464</v>
      </c>
      <c r="CE538" s="68" t="s">
        <v>464</v>
      </c>
      <c r="CF538" s="68" t="s">
        <v>1266</v>
      </c>
      <c r="CG538" s="68">
        <v>450</v>
      </c>
      <c r="CH538" s="68">
        <v>200</v>
      </c>
      <c r="CJ538" s="68">
        <v>293</v>
      </c>
      <c r="CK538" s="70">
        <f>170*2</f>
        <v>340</v>
      </c>
    </row>
    <row r="539" spans="1:89" x14ac:dyDescent="0.3">
      <c r="A539" t="s">
        <v>239</v>
      </c>
      <c r="B539" t="s">
        <v>153</v>
      </c>
      <c r="C539" t="s">
        <v>4161</v>
      </c>
      <c r="D539" s="12"/>
      <c r="E539">
        <v>4.4000000000000004</v>
      </c>
      <c r="F539" t="s">
        <v>238</v>
      </c>
      <c r="G539" s="8" t="s">
        <v>590</v>
      </c>
      <c r="H539" t="s">
        <v>663</v>
      </c>
      <c r="M539" t="b">
        <v>1</v>
      </c>
      <c r="N539" t="b">
        <v>1</v>
      </c>
      <c r="O539" t="b">
        <v>0</v>
      </c>
      <c r="P539" t="b">
        <v>0</v>
      </c>
      <c r="Q539" t="s">
        <v>590</v>
      </c>
      <c r="R539" t="s">
        <v>663</v>
      </c>
      <c r="U539" s="20">
        <v>16</v>
      </c>
      <c r="V539">
        <v>8</v>
      </c>
      <c r="W539">
        <v>0</v>
      </c>
      <c r="AC539" s="20">
        <v>7.4248940299999999</v>
      </c>
      <c r="AD539" s="20">
        <v>7.4248940300000008</v>
      </c>
      <c r="AE539" s="20">
        <v>48.809404000000001</v>
      </c>
      <c r="AF539">
        <v>10.37</v>
      </c>
      <c r="AG539">
        <v>10.37</v>
      </c>
      <c r="AH539">
        <v>10.37</v>
      </c>
      <c r="AI539">
        <v>0</v>
      </c>
      <c r="AM539">
        <v>14</v>
      </c>
      <c r="AN539" s="44">
        <f t="shared" ref="AN539" si="127">X539*Y539*Z539</f>
        <v>0</v>
      </c>
      <c r="AO539" s="46">
        <v>2333.5692942103669</v>
      </c>
      <c r="AP539" s="44">
        <v>1115.157653</v>
      </c>
      <c r="AQ539" s="44">
        <v>0</v>
      </c>
      <c r="AR539" s="41"/>
      <c r="AS539" s="40">
        <v>9.5990292876988306E-2</v>
      </c>
      <c r="AT539" s="41">
        <v>0.10043422981378219</v>
      </c>
      <c r="AU539" s="41"/>
      <c r="AV539" s="23">
        <v>2</v>
      </c>
      <c r="AW539" s="23">
        <v>2.545454545454545</v>
      </c>
      <c r="AX539" s="23">
        <v>0.54545454545454541</v>
      </c>
      <c r="AY539" s="23">
        <v>2.545454545454545</v>
      </c>
      <c r="AZ539" s="23">
        <v>0.26190476190476192</v>
      </c>
      <c r="BA539" s="23">
        <v>0.33333333333333331</v>
      </c>
      <c r="BB539" s="23">
        <v>7.1428571428571425E-2</v>
      </c>
      <c r="BC539" s="23">
        <v>0.33333333333333331</v>
      </c>
      <c r="BD539" s="20">
        <v>1</v>
      </c>
      <c r="BE539" s="20">
        <v>3.44</v>
      </c>
      <c r="BF539" s="20">
        <v>2.44</v>
      </c>
      <c r="BG539" s="20">
        <v>2.643636363636364</v>
      </c>
      <c r="BH539">
        <v>2.643636363636364</v>
      </c>
      <c r="BI539">
        <v>6.0715871381818181</v>
      </c>
      <c r="BJ539" s="64">
        <v>0.51451783825131059</v>
      </c>
      <c r="BK539" s="64">
        <v>0.53833779709834217</v>
      </c>
      <c r="BL539" s="64"/>
      <c r="BN539">
        <v>4.7995146438494153E-2</v>
      </c>
      <c r="BO539">
        <v>5.0217114906891097E-2</v>
      </c>
      <c r="BQ539">
        <v>9.8212261345385243E-2</v>
      </c>
      <c r="BR539">
        <v>4.9106130672692622E-2</v>
      </c>
      <c r="BS539">
        <v>0.52642781767482638</v>
      </c>
      <c r="BT539" s="68" t="s">
        <v>1407</v>
      </c>
      <c r="BU539" s="68">
        <v>950</v>
      </c>
      <c r="BV539" s="68">
        <v>1</v>
      </c>
      <c r="BX539" s="68" t="s">
        <v>1275</v>
      </c>
      <c r="BY539" s="68" t="s">
        <v>56</v>
      </c>
      <c r="BZ539" s="68">
        <v>0.2</v>
      </c>
      <c r="CA539" s="68">
        <v>25</v>
      </c>
      <c r="CB539" s="68">
        <v>1.25</v>
      </c>
      <c r="CC539" s="68">
        <v>0</v>
      </c>
      <c r="CD539" s="68" t="s">
        <v>464</v>
      </c>
      <c r="CE539" s="68" t="s">
        <v>464</v>
      </c>
      <c r="CF539" s="68" t="s">
        <v>1266</v>
      </c>
      <c r="CG539" s="68">
        <v>450</v>
      </c>
      <c r="CH539" s="68">
        <v>200</v>
      </c>
      <c r="CJ539" s="68">
        <v>293</v>
      </c>
      <c r="CK539" s="70">
        <v>240</v>
      </c>
    </row>
    <row r="540" spans="1:89" x14ac:dyDescent="0.3">
      <c r="A540" t="s">
        <v>239</v>
      </c>
      <c r="B540" t="s">
        <v>153</v>
      </c>
      <c r="C540" t="s">
        <v>4161</v>
      </c>
      <c r="D540" s="12"/>
      <c r="E540">
        <v>4.4000000000000004</v>
      </c>
      <c r="F540" t="s">
        <v>238</v>
      </c>
      <c r="G540" s="8" t="s">
        <v>590</v>
      </c>
      <c r="H540" t="s">
        <v>663</v>
      </c>
      <c r="M540" t="b">
        <v>1</v>
      </c>
      <c r="N540" t="b">
        <v>1</v>
      </c>
      <c r="O540" t="b">
        <v>0</v>
      </c>
      <c r="P540" t="b">
        <v>0</v>
      </c>
      <c r="Q540" t="s">
        <v>590</v>
      </c>
      <c r="R540" t="s">
        <v>663</v>
      </c>
      <c r="U540" s="20">
        <v>16</v>
      </c>
      <c r="V540">
        <v>8</v>
      </c>
      <c r="W540">
        <v>0</v>
      </c>
      <c r="AC540" s="20">
        <v>7.4248940299999999</v>
      </c>
      <c r="AD540" s="20">
        <v>7.4248940300000008</v>
      </c>
      <c r="AE540" s="20">
        <v>48.809404000000001</v>
      </c>
      <c r="AF540">
        <v>10.37</v>
      </c>
      <c r="AG540">
        <v>10.37</v>
      </c>
      <c r="AH540">
        <v>10.37</v>
      </c>
      <c r="AI540">
        <v>0</v>
      </c>
      <c r="AM540">
        <v>14</v>
      </c>
      <c r="AN540" s="44">
        <f t="shared" ref="AN540" si="128">X540*Y540*Z540</f>
        <v>0</v>
      </c>
      <c r="AO540" s="46">
        <v>2333.5692942103669</v>
      </c>
      <c r="AP540" s="44">
        <v>1115.157653</v>
      </c>
      <c r="AQ540" s="44">
        <v>0</v>
      </c>
      <c r="AR540" s="41"/>
      <c r="AS540" s="40">
        <v>9.5990292876988306E-2</v>
      </c>
      <c r="AT540" s="41">
        <v>0.10043422981378219</v>
      </c>
      <c r="AU540" s="41"/>
      <c r="AV540" s="23">
        <v>2</v>
      </c>
      <c r="AW540" s="23">
        <v>2.545454545454545</v>
      </c>
      <c r="AX540" s="23">
        <v>0.54545454545454541</v>
      </c>
      <c r="AY540" s="23">
        <v>2.545454545454545</v>
      </c>
      <c r="AZ540" s="23">
        <v>0.26190476190476192</v>
      </c>
      <c r="BA540" s="23">
        <v>0.33333333333333331</v>
      </c>
      <c r="BB540" s="23">
        <v>7.1428571428571425E-2</v>
      </c>
      <c r="BC540" s="23">
        <v>0.33333333333333331</v>
      </c>
      <c r="BD540" s="20">
        <v>1</v>
      </c>
      <c r="BE540" s="20">
        <v>3.44</v>
      </c>
      <c r="BF540" s="20">
        <v>2.44</v>
      </c>
      <c r="BG540" s="20">
        <v>2.643636363636364</v>
      </c>
      <c r="BH540">
        <v>2.643636363636364</v>
      </c>
      <c r="BI540">
        <v>6.0715871381818181</v>
      </c>
      <c r="BJ540" s="64">
        <v>0.51451783825131059</v>
      </c>
      <c r="BK540" s="64">
        <v>0.53833779709834217</v>
      </c>
      <c r="BL540" s="64"/>
      <c r="BN540">
        <v>4.7995146438494153E-2</v>
      </c>
      <c r="BO540">
        <v>5.0217114906891097E-2</v>
      </c>
      <c r="BQ540">
        <v>9.8212261345385243E-2</v>
      </c>
      <c r="BR540">
        <v>4.9106130672692622E-2</v>
      </c>
      <c r="BS540">
        <v>0.52642781767482638</v>
      </c>
      <c r="BT540" s="68" t="s">
        <v>1407</v>
      </c>
      <c r="BU540" s="68">
        <v>1250</v>
      </c>
      <c r="BV540" s="68">
        <v>1</v>
      </c>
      <c r="BX540" s="68" t="s">
        <v>1275</v>
      </c>
      <c r="BY540" s="68" t="s">
        <v>56</v>
      </c>
      <c r="BZ540" s="68">
        <v>0.2</v>
      </c>
      <c r="CA540" s="68">
        <v>5</v>
      </c>
      <c r="CB540" s="68">
        <v>1.25</v>
      </c>
      <c r="CC540" s="68">
        <v>0</v>
      </c>
      <c r="CD540" s="68" t="s">
        <v>464</v>
      </c>
      <c r="CE540" s="68" t="s">
        <v>464</v>
      </c>
      <c r="CF540" s="68" t="s">
        <v>1266</v>
      </c>
      <c r="CG540" s="68">
        <v>450</v>
      </c>
      <c r="CH540" s="68">
        <v>200</v>
      </c>
      <c r="CJ540" s="68">
        <v>293</v>
      </c>
      <c r="CK540" s="70">
        <v>210</v>
      </c>
    </row>
    <row r="541" spans="1:89" x14ac:dyDescent="0.3">
      <c r="A541" t="s">
        <v>48</v>
      </c>
      <c r="B541" t="s">
        <v>153</v>
      </c>
      <c r="C541" t="s">
        <v>724</v>
      </c>
      <c r="D541" s="12"/>
      <c r="E541">
        <v>4.0999999999999996</v>
      </c>
      <c r="F541" t="s">
        <v>238</v>
      </c>
      <c r="G541" s="8" t="s">
        <v>552</v>
      </c>
      <c r="H541" t="s">
        <v>630</v>
      </c>
      <c r="M541" t="b">
        <v>1</v>
      </c>
      <c r="N541" t="b">
        <v>1</v>
      </c>
      <c r="O541" t="b">
        <v>0</v>
      </c>
      <c r="P541" t="b">
        <v>0</v>
      </c>
      <c r="Q541" t="s">
        <v>552</v>
      </c>
      <c r="R541" t="s">
        <v>630</v>
      </c>
      <c r="U541" s="20">
        <v>2</v>
      </c>
      <c r="V541">
        <v>8</v>
      </c>
      <c r="W541">
        <v>0</v>
      </c>
      <c r="AC541" s="20">
        <v>7.4836094600000003</v>
      </c>
      <c r="AD541" s="20">
        <v>7.4836094600000003</v>
      </c>
      <c r="AE541" s="20">
        <v>7.4836094600000003</v>
      </c>
      <c r="AF541">
        <v>10.34</v>
      </c>
      <c r="AG541">
        <v>10.34</v>
      </c>
      <c r="AH541">
        <v>10.34</v>
      </c>
      <c r="AI541">
        <v>0</v>
      </c>
      <c r="AM541">
        <v>14</v>
      </c>
      <c r="AN541" s="44">
        <f t="shared" si="65"/>
        <v>0</v>
      </c>
      <c r="AO541" s="46">
        <v>296.35915518228359</v>
      </c>
      <c r="AP541" s="44">
        <v>1105.507304</v>
      </c>
      <c r="AQ541" s="44">
        <v>0</v>
      </c>
      <c r="AR541" s="41"/>
      <c r="AS541" s="40">
        <v>9.4479956196318104E-2</v>
      </c>
      <c r="AT541" s="41">
        <v>0.1013109543417363</v>
      </c>
      <c r="AU541" s="41"/>
      <c r="AV541" s="23">
        <v>1.8181818181818179</v>
      </c>
      <c r="AW541" s="23">
        <v>2.545454545454545</v>
      </c>
      <c r="AX541" s="23">
        <v>0.72727272727272729</v>
      </c>
      <c r="AY541" s="23">
        <v>0</v>
      </c>
      <c r="AZ541" s="23">
        <v>0.35714285714285721</v>
      </c>
      <c r="BA541" s="23">
        <v>0.5</v>
      </c>
      <c r="BB541" s="23">
        <v>0.1428571428571429</v>
      </c>
      <c r="BC541" s="23">
        <v>0</v>
      </c>
      <c r="BD541" s="20">
        <v>1</v>
      </c>
      <c r="BE541" s="20">
        <v>3.44</v>
      </c>
      <c r="BF541" s="20">
        <v>2.44</v>
      </c>
      <c r="BG541" s="20">
        <v>2.6618181818181821</v>
      </c>
      <c r="BH541">
        <v>2.6618181818181821</v>
      </c>
      <c r="BI541">
        <v>6.0537295018181814</v>
      </c>
      <c r="BJ541" s="64">
        <v>0.50642227837041764</v>
      </c>
      <c r="BK541" s="64">
        <v>0.5430371307011983</v>
      </c>
      <c r="BL541" s="64"/>
      <c r="BN541">
        <v>4.7239978098159073E-2</v>
      </c>
      <c r="BO541">
        <v>5.0655477170868157E-2</v>
      </c>
      <c r="BQ541">
        <v>9.789545526902721E-2</v>
      </c>
      <c r="BR541">
        <v>4.8947727634513619E-2</v>
      </c>
      <c r="BS541">
        <v>0.52472970453580792</v>
      </c>
      <c r="BT541" s="68" t="s">
        <v>1407</v>
      </c>
      <c r="BU541" s="68">
        <v>873</v>
      </c>
      <c r="BV541" s="68">
        <v>1</v>
      </c>
      <c r="BX541" s="68" t="s">
        <v>1275</v>
      </c>
      <c r="BY541" s="68" t="s">
        <v>56</v>
      </c>
      <c r="BZ541" s="68">
        <v>0.2</v>
      </c>
      <c r="CA541" s="68">
        <v>60</v>
      </c>
      <c r="CB541" s="68">
        <v>1.25</v>
      </c>
      <c r="CC541" s="68">
        <v>0</v>
      </c>
      <c r="CD541" s="68" t="s">
        <v>464</v>
      </c>
      <c r="CE541" s="68" t="s">
        <v>464</v>
      </c>
      <c r="CF541" s="68" t="s">
        <v>1266</v>
      </c>
      <c r="CG541" s="68">
        <v>450</v>
      </c>
      <c r="CH541" s="68">
        <v>200</v>
      </c>
      <c r="CJ541" s="68">
        <v>293</v>
      </c>
      <c r="CK541" s="70">
        <f>0.6*2</f>
        <v>1.2</v>
      </c>
    </row>
    <row r="542" spans="1:89" x14ac:dyDescent="0.3">
      <c r="A542" t="s">
        <v>46</v>
      </c>
      <c r="B542" t="s">
        <v>46</v>
      </c>
      <c r="C542" t="s">
        <v>4087</v>
      </c>
      <c r="D542" s="12"/>
      <c r="E542">
        <v>3.31</v>
      </c>
      <c r="F542" t="s">
        <v>240</v>
      </c>
      <c r="G542" s="8" t="s">
        <v>551</v>
      </c>
      <c r="H542" t="s">
        <v>629</v>
      </c>
      <c r="M542" t="b">
        <v>1</v>
      </c>
      <c r="N542" t="b">
        <v>1</v>
      </c>
      <c r="O542" t="b">
        <v>0</v>
      </c>
      <c r="P542" t="b">
        <v>0</v>
      </c>
      <c r="Q542" t="s">
        <v>551</v>
      </c>
      <c r="R542" t="s">
        <v>629</v>
      </c>
      <c r="U542" s="20">
        <v>2</v>
      </c>
      <c r="V542">
        <v>4</v>
      </c>
      <c r="W542">
        <v>0</v>
      </c>
      <c r="AB542" s="1">
        <v>0</v>
      </c>
      <c r="AC542" s="20">
        <v>7.41544296</v>
      </c>
      <c r="AD542" s="20">
        <v>7.4154429599999991</v>
      </c>
      <c r="AE542" s="20">
        <v>7.41544296</v>
      </c>
      <c r="AF542">
        <v>7.8</v>
      </c>
      <c r="AG542">
        <v>13.010999999999999</v>
      </c>
      <c r="AH542">
        <v>5.5460000000000003</v>
      </c>
      <c r="AI542">
        <v>0</v>
      </c>
      <c r="AM542">
        <v>14</v>
      </c>
      <c r="AN542" s="44">
        <f t="shared" ref="AN542" si="129">X542*Y542*Z542</f>
        <v>0</v>
      </c>
      <c r="AO542" s="46">
        <v>288.33429290182369</v>
      </c>
      <c r="AP542" s="44">
        <v>556.51188553357167</v>
      </c>
      <c r="AQ542" s="44">
        <v>0</v>
      </c>
      <c r="AR542" s="41"/>
      <c r="AS542" s="40">
        <v>9.7109503410799117E-2</v>
      </c>
      <c r="AT542" s="41">
        <v>0.10062678166578309</v>
      </c>
      <c r="AU542" s="41"/>
      <c r="AV542" s="23">
        <v>2</v>
      </c>
      <c r="AW542" s="23">
        <v>2.545454545454545</v>
      </c>
      <c r="AX542" s="23">
        <v>0.54545454545454541</v>
      </c>
      <c r="AY542" s="23">
        <v>0</v>
      </c>
      <c r="AZ542" s="23">
        <v>0.39285714285714279</v>
      </c>
      <c r="BA542" s="23">
        <v>0.5</v>
      </c>
      <c r="BB542" s="23">
        <v>0.1071428571428571</v>
      </c>
      <c r="BC542" s="23">
        <v>0</v>
      </c>
      <c r="BD542" s="20">
        <v>1.1000000000000001</v>
      </c>
      <c r="BE542" s="20">
        <v>3.44</v>
      </c>
      <c r="BF542" s="20">
        <v>2.34</v>
      </c>
      <c r="BG542" s="20">
        <v>2.669090909090909</v>
      </c>
      <c r="BH542">
        <v>2.669090909090909</v>
      </c>
      <c r="BI542">
        <v>5.9831974772727277</v>
      </c>
      <c r="BJ542" s="64">
        <v>0.52442413903612473</v>
      </c>
      <c r="BK542" s="64">
        <v>0.54341863036636606</v>
      </c>
      <c r="BL542" s="64"/>
      <c r="BN542">
        <v>4.8554751705399558E-2</v>
      </c>
      <c r="BO542">
        <v>5.0313390832891547E-2</v>
      </c>
      <c r="BQ542">
        <v>9.8868142538291098E-2</v>
      </c>
      <c r="BR542">
        <v>4.9434071269145549E-2</v>
      </c>
      <c r="BS542">
        <v>0.53392138470124539</v>
      </c>
      <c r="BT542" s="68" t="s">
        <v>1407</v>
      </c>
      <c r="BU542" s="68">
        <f>200+273</f>
        <v>473</v>
      </c>
      <c r="BV542" s="68">
        <v>24</v>
      </c>
      <c r="BX542" s="68" t="s">
        <v>464</v>
      </c>
      <c r="BY542" s="68" t="s">
        <v>464</v>
      </c>
      <c r="BZ542" s="68">
        <v>0</v>
      </c>
      <c r="CA542" s="68">
        <v>69.8</v>
      </c>
      <c r="CB542" s="68">
        <v>2</v>
      </c>
      <c r="CC542" s="68">
        <v>16</v>
      </c>
      <c r="CD542" s="68" t="s">
        <v>464</v>
      </c>
      <c r="CE542" s="68" t="s">
        <v>464</v>
      </c>
      <c r="CF542" s="68" t="s">
        <v>1266</v>
      </c>
      <c r="CG542" s="68">
        <v>400</v>
      </c>
      <c r="CI542" s="68" t="s">
        <v>1287</v>
      </c>
      <c r="CK542" s="70">
        <v>750</v>
      </c>
    </row>
    <row r="543" spans="1:89" x14ac:dyDescent="0.3">
      <c r="A543" t="s">
        <v>46</v>
      </c>
      <c r="B543" t="s">
        <v>46</v>
      </c>
      <c r="C543" t="s">
        <v>4087</v>
      </c>
      <c r="D543" s="12"/>
      <c r="E543">
        <v>3.31</v>
      </c>
      <c r="F543" t="s">
        <v>240</v>
      </c>
      <c r="G543" s="8" t="s">
        <v>551</v>
      </c>
      <c r="H543" t="s">
        <v>629</v>
      </c>
      <c r="M543" t="b">
        <v>1</v>
      </c>
      <c r="N543" t="b">
        <v>1</v>
      </c>
      <c r="O543" t="b">
        <v>0</v>
      </c>
      <c r="P543" t="b">
        <v>0</v>
      </c>
      <c r="Q543" t="s">
        <v>551</v>
      </c>
      <c r="R543" t="s">
        <v>629</v>
      </c>
      <c r="U543" s="20">
        <v>2</v>
      </c>
      <c r="V543">
        <v>4</v>
      </c>
      <c r="W543">
        <v>0</v>
      </c>
      <c r="AB543" s="1">
        <v>0</v>
      </c>
      <c r="AC543" s="20">
        <v>7.41544296</v>
      </c>
      <c r="AD543" s="20">
        <v>7.4154429599999991</v>
      </c>
      <c r="AE543" s="20">
        <v>7.41544296</v>
      </c>
      <c r="AF543">
        <v>7.8</v>
      </c>
      <c r="AG543">
        <v>13.010999999999999</v>
      </c>
      <c r="AH543">
        <v>5.5460000000000003</v>
      </c>
      <c r="AI543">
        <v>0</v>
      </c>
      <c r="AM543">
        <v>14</v>
      </c>
      <c r="AN543" s="44">
        <f t="shared" si="65"/>
        <v>0</v>
      </c>
      <c r="AO543" s="46">
        <v>288.33429290182369</v>
      </c>
      <c r="AP543" s="44">
        <v>556.51188553357167</v>
      </c>
      <c r="AQ543" s="44">
        <v>0</v>
      </c>
      <c r="AR543" s="41"/>
      <c r="AS543" s="40">
        <v>9.7109503410799117E-2</v>
      </c>
      <c r="AT543" s="41">
        <v>0.10062678166578309</v>
      </c>
      <c r="AU543" s="41"/>
      <c r="AV543" s="23">
        <v>2</v>
      </c>
      <c r="AW543" s="23">
        <v>2.545454545454545</v>
      </c>
      <c r="AX543" s="23">
        <v>0.54545454545454541</v>
      </c>
      <c r="AY543" s="23">
        <v>0</v>
      </c>
      <c r="AZ543" s="23">
        <v>0.39285714285714279</v>
      </c>
      <c r="BA543" s="23">
        <v>0.5</v>
      </c>
      <c r="BB543" s="23">
        <v>0.1071428571428571</v>
      </c>
      <c r="BC543" s="23">
        <v>0</v>
      </c>
      <c r="BD543" s="20">
        <v>1.1000000000000001</v>
      </c>
      <c r="BE543" s="20">
        <v>3.44</v>
      </c>
      <c r="BF543" s="20">
        <v>2.34</v>
      </c>
      <c r="BG543" s="20">
        <v>2.669090909090909</v>
      </c>
      <c r="BH543">
        <v>2.669090909090909</v>
      </c>
      <c r="BI543">
        <v>5.9831974772727277</v>
      </c>
      <c r="BJ543" s="64">
        <v>0.52442413903612473</v>
      </c>
      <c r="BK543" s="64">
        <v>0.54341863036636606</v>
      </c>
      <c r="BL543" s="64"/>
      <c r="BN543">
        <v>4.8554751705399558E-2</v>
      </c>
      <c r="BO543">
        <v>5.0313390832891547E-2</v>
      </c>
      <c r="BQ543">
        <v>9.8868142538291098E-2</v>
      </c>
      <c r="BR543">
        <v>4.9434071269145549E-2</v>
      </c>
      <c r="BS543">
        <v>0.53392138470124539</v>
      </c>
      <c r="BT543" s="68" t="s">
        <v>1264</v>
      </c>
      <c r="BU543" s="68">
        <f>1050+273</f>
        <v>1323</v>
      </c>
      <c r="BX543" s="68" t="s">
        <v>464</v>
      </c>
      <c r="BY543" s="68" t="s">
        <v>464</v>
      </c>
      <c r="BZ543" s="68">
        <v>0</v>
      </c>
      <c r="CA543" s="68">
        <v>1.2</v>
      </c>
      <c r="CB543" s="68">
        <v>2</v>
      </c>
      <c r="CC543" s="68">
        <v>16</v>
      </c>
      <c r="CD543" s="68" t="s">
        <v>464</v>
      </c>
      <c r="CE543" s="68" t="s">
        <v>464</v>
      </c>
      <c r="CF543" s="68" t="s">
        <v>1266</v>
      </c>
      <c r="CG543" s="68">
        <v>400</v>
      </c>
      <c r="CI543" s="68" t="s">
        <v>1287</v>
      </c>
      <c r="CK543" s="70">
        <v>20</v>
      </c>
    </row>
    <row r="544" spans="1:89" x14ac:dyDescent="0.3">
      <c r="A544" t="s">
        <v>246</v>
      </c>
      <c r="C544" t="s">
        <v>4162</v>
      </c>
      <c r="D544" s="12"/>
      <c r="E544">
        <v>2.3199999999999998</v>
      </c>
      <c r="F544" t="s">
        <v>245</v>
      </c>
      <c r="G544" s="8" t="s">
        <v>592</v>
      </c>
      <c r="H544" t="s">
        <v>666</v>
      </c>
      <c r="I544" t="s">
        <v>1173</v>
      </c>
      <c r="M544" t="b">
        <v>1</v>
      </c>
      <c r="N544" t="b">
        <v>1</v>
      </c>
      <c r="O544" t="b">
        <v>1</v>
      </c>
      <c r="P544" t="b">
        <v>0</v>
      </c>
      <c r="Q544" t="s">
        <v>592</v>
      </c>
      <c r="R544" t="s">
        <v>666</v>
      </c>
      <c r="S544" t="s">
        <v>1173</v>
      </c>
      <c r="U544" s="20">
        <v>1</v>
      </c>
      <c r="V544">
        <v>2</v>
      </c>
      <c r="W544">
        <v>2</v>
      </c>
      <c r="AC544" s="20">
        <v>4.2561477500000002</v>
      </c>
      <c r="AD544" s="20">
        <v>4.2561477500000002</v>
      </c>
      <c r="AE544" s="20">
        <v>5.9211799999999997</v>
      </c>
      <c r="AF544">
        <v>4.1500000000000004</v>
      </c>
      <c r="AG544">
        <v>4.1500000000000004</v>
      </c>
      <c r="AH544">
        <v>6.7370000000000001</v>
      </c>
      <c r="AI544">
        <v>0</v>
      </c>
      <c r="AM544">
        <v>2</v>
      </c>
      <c r="AN544" s="44">
        <f t="shared" si="65"/>
        <v>0</v>
      </c>
      <c r="AO544" s="46">
        <v>92.890714642371009</v>
      </c>
      <c r="AP544" s="44">
        <v>100.4831803948563</v>
      </c>
      <c r="AQ544" s="44">
        <v>100.1</v>
      </c>
      <c r="AR544" s="41"/>
      <c r="AS544" s="40">
        <f>U544*AM544/AO544</f>
        <v>2.1530677287821442E-2</v>
      </c>
      <c r="AT544" s="41"/>
      <c r="AU544" s="56">
        <f>W544*AM544/AQ544</f>
        <v>3.996003996003996E-2</v>
      </c>
      <c r="AV544" s="23">
        <v>2</v>
      </c>
      <c r="AW544" s="23">
        <v>2</v>
      </c>
      <c r="AX544" s="23">
        <v>5</v>
      </c>
      <c r="AY544" s="23">
        <v>0</v>
      </c>
      <c r="AZ544" s="23">
        <v>0.22222222222222221</v>
      </c>
      <c r="BA544" s="23">
        <v>0.22222222222222221</v>
      </c>
      <c r="BB544" s="23">
        <v>0.55555555555555558</v>
      </c>
      <c r="BC544" s="23">
        <v>0</v>
      </c>
      <c r="BD544" s="20">
        <v>1.69</v>
      </c>
      <c r="BE544" s="20">
        <v>2.58</v>
      </c>
      <c r="BF544" s="20">
        <v>0.89000000000000012</v>
      </c>
      <c r="BG544" s="20">
        <v>2.1349999999999998</v>
      </c>
      <c r="BH544">
        <v>2.1349999999999998</v>
      </c>
      <c r="BI544">
        <v>5.1777336280000004</v>
      </c>
      <c r="BJ544" s="64">
        <v>0.2799432770686035</v>
      </c>
      <c r="BK544" s="64">
        <v>0.51758176769574038</v>
      </c>
      <c r="BL544" s="64">
        <v>0.51949166816826697</v>
      </c>
      <c r="BN544">
        <v>0</v>
      </c>
      <c r="BO544">
        <v>0</v>
      </c>
      <c r="BP544">
        <v>0</v>
      </c>
      <c r="BQ544">
        <v>3.0745358623930699E-2</v>
      </c>
      <c r="BR544">
        <v>0</v>
      </c>
      <c r="BS544">
        <v>0.43900557097753701</v>
      </c>
      <c r="BT544" s="68" t="s">
        <v>1407</v>
      </c>
      <c r="BU544" s="68">
        <f t="shared" ref="BU544:BU554" si="130">180+273</f>
        <v>453</v>
      </c>
      <c r="BV544" s="68">
        <v>24</v>
      </c>
      <c r="BX544" s="68" t="s">
        <v>464</v>
      </c>
      <c r="BY544" s="68" t="s">
        <v>464</v>
      </c>
      <c r="BZ544" s="68">
        <v>0</v>
      </c>
      <c r="CA544" s="68">
        <v>8.6829999999999998</v>
      </c>
      <c r="CD544" s="68" t="s">
        <v>1408</v>
      </c>
      <c r="CE544" s="68" t="s">
        <v>1409</v>
      </c>
      <c r="CF544" s="68" t="s">
        <v>1271</v>
      </c>
      <c r="CG544" s="68">
        <v>300</v>
      </c>
      <c r="CH544" s="68">
        <v>430</v>
      </c>
      <c r="CI544" s="68" t="s">
        <v>1310</v>
      </c>
      <c r="CK544" s="70">
        <v>200</v>
      </c>
    </row>
    <row r="545" spans="1:89" x14ac:dyDescent="0.3">
      <c r="A545" t="s">
        <v>247</v>
      </c>
      <c r="B545" t="s">
        <v>2777</v>
      </c>
      <c r="C545" t="s">
        <v>4163</v>
      </c>
      <c r="D545" s="12"/>
      <c r="E545">
        <v>2.41</v>
      </c>
      <c r="F545" t="s">
        <v>245</v>
      </c>
      <c r="G545" s="8" t="s">
        <v>592</v>
      </c>
      <c r="H545" t="s">
        <v>666</v>
      </c>
      <c r="I545" t="s">
        <v>1173</v>
      </c>
      <c r="J545" t="s">
        <v>1823</v>
      </c>
      <c r="K545" t="s">
        <v>1823</v>
      </c>
      <c r="L545" t="s">
        <v>1823</v>
      </c>
      <c r="M545" t="b">
        <v>1</v>
      </c>
      <c r="N545" t="b">
        <v>1</v>
      </c>
      <c r="O545" t="b">
        <v>1</v>
      </c>
      <c r="P545" t="b">
        <v>0</v>
      </c>
      <c r="Q545" t="s">
        <v>2119</v>
      </c>
      <c r="R545" t="s">
        <v>2120</v>
      </c>
      <c r="S545" t="s">
        <v>2198</v>
      </c>
      <c r="U545" s="20">
        <v>0</v>
      </c>
      <c r="V545">
        <v>0</v>
      </c>
      <c r="W545">
        <v>0</v>
      </c>
      <c r="X545">
        <v>-1</v>
      </c>
      <c r="AB545">
        <v>0</v>
      </c>
      <c r="AC545" s="20">
        <v>0</v>
      </c>
      <c r="AD545" s="20"/>
      <c r="AE545" s="20"/>
      <c r="AF545">
        <v>0</v>
      </c>
      <c r="AI545">
        <v>0</v>
      </c>
      <c r="AM545">
        <v>0</v>
      </c>
      <c r="AN545">
        <f t="shared" si="65"/>
        <v>0</v>
      </c>
      <c r="AO545" s="20">
        <v>0</v>
      </c>
      <c r="AP545">
        <v>0</v>
      </c>
      <c r="AQ545">
        <v>0</v>
      </c>
      <c r="AS545" s="20"/>
      <c r="AV545">
        <v>2</v>
      </c>
      <c r="AW545">
        <v>0</v>
      </c>
      <c r="AX545">
        <v>10</v>
      </c>
      <c r="AY545">
        <v>0</v>
      </c>
      <c r="AZ545">
        <v>0.16666666666666671</v>
      </c>
      <c r="BA545">
        <v>0</v>
      </c>
      <c r="BB545">
        <v>0.83333333333333337</v>
      </c>
      <c r="BC545">
        <v>0</v>
      </c>
      <c r="BD545" s="20">
        <v>1.65</v>
      </c>
      <c r="BE545" s="20">
        <v>1.69</v>
      </c>
      <c r="BF545" s="20">
        <v>4.0000000000000042E-2</v>
      </c>
      <c r="BG545" s="20">
        <v>1.6859999999999999</v>
      </c>
      <c r="BH545">
        <v>1.6859999999999999</v>
      </c>
      <c r="BI545">
        <v>4.1619288499999998</v>
      </c>
      <c r="BQ545">
        <v>0</v>
      </c>
      <c r="BR545">
        <v>0</v>
      </c>
      <c r="BS545">
        <v>0</v>
      </c>
      <c r="BT545" s="68" t="s">
        <v>1407</v>
      </c>
      <c r="BU545" s="68">
        <f t="shared" si="130"/>
        <v>453</v>
      </c>
      <c r="BV545" s="68">
        <v>24</v>
      </c>
      <c r="BX545" s="68" t="s">
        <v>464</v>
      </c>
      <c r="BY545" s="68" t="s">
        <v>464</v>
      </c>
      <c r="BZ545" s="68">
        <v>0</v>
      </c>
      <c r="CA545" s="68">
        <v>8.6829999999999998</v>
      </c>
      <c r="CD545" s="68" t="s">
        <v>1408</v>
      </c>
      <c r="CE545" s="68" t="s">
        <v>1409</v>
      </c>
      <c r="CF545" s="68" t="s">
        <v>1271</v>
      </c>
      <c r="CG545" s="68">
        <v>300</v>
      </c>
      <c r="CH545" s="68">
        <v>430</v>
      </c>
      <c r="CI545" s="68" t="s">
        <v>1310</v>
      </c>
      <c r="CK545" s="70">
        <v>200</v>
      </c>
    </row>
    <row r="546" spans="1:89" x14ac:dyDescent="0.3">
      <c r="A546" t="s">
        <v>1410</v>
      </c>
      <c r="B546" t="s">
        <v>2777</v>
      </c>
      <c r="C546" t="s">
        <v>4164</v>
      </c>
      <c r="D546" s="12"/>
      <c r="E546">
        <v>2.54</v>
      </c>
      <c r="F546" t="s">
        <v>245</v>
      </c>
      <c r="G546" s="8" t="s">
        <v>592</v>
      </c>
      <c r="H546" t="s">
        <v>666</v>
      </c>
      <c r="I546" t="s">
        <v>1173</v>
      </c>
      <c r="J546" t="s">
        <v>1824</v>
      </c>
      <c r="K546" t="s">
        <v>1824</v>
      </c>
      <c r="L546" t="s">
        <v>1824</v>
      </c>
      <c r="M546" t="b">
        <v>1</v>
      </c>
      <c r="N546" t="b">
        <v>1</v>
      </c>
      <c r="O546" t="b">
        <v>1</v>
      </c>
      <c r="P546" t="b">
        <v>0</v>
      </c>
      <c r="Q546" t="s">
        <v>2121</v>
      </c>
      <c r="R546" t="s">
        <v>2122</v>
      </c>
      <c r="S546" t="s">
        <v>2199</v>
      </c>
      <c r="U546" s="20">
        <v>0</v>
      </c>
      <c r="V546">
        <v>0</v>
      </c>
      <c r="W546">
        <v>0</v>
      </c>
      <c r="X546">
        <v>-1</v>
      </c>
      <c r="AB546">
        <v>0</v>
      </c>
      <c r="AC546" s="20">
        <v>0</v>
      </c>
      <c r="AD546" s="20"/>
      <c r="AE546" s="20"/>
      <c r="AF546">
        <v>0</v>
      </c>
      <c r="AI546">
        <v>0</v>
      </c>
      <c r="AM546">
        <v>0</v>
      </c>
      <c r="AN546">
        <f t="shared" ref="AN546" si="131">X546*Y546*Z546</f>
        <v>0</v>
      </c>
      <c r="AO546" s="20">
        <v>0</v>
      </c>
      <c r="AP546">
        <v>0</v>
      </c>
      <c r="AQ546">
        <v>0</v>
      </c>
      <c r="AS546" s="20"/>
      <c r="AV546">
        <v>2</v>
      </c>
      <c r="AW546">
        <v>0</v>
      </c>
      <c r="AX546">
        <v>10</v>
      </c>
      <c r="AY546">
        <v>0</v>
      </c>
      <c r="AZ546">
        <v>0.16666666666666671</v>
      </c>
      <c r="BA546">
        <v>0</v>
      </c>
      <c r="BB546">
        <v>0.83333333333333348</v>
      </c>
      <c r="BC546">
        <v>0</v>
      </c>
      <c r="BD546" s="20">
        <v>1.65</v>
      </c>
      <c r="BE546" s="20">
        <v>1.69</v>
      </c>
      <c r="BF546" s="20">
        <v>4.0000000000000042E-2</v>
      </c>
      <c r="BG546" s="20">
        <v>1.6779999999999999</v>
      </c>
      <c r="BH546">
        <v>1.6779999999999999</v>
      </c>
      <c r="BI546">
        <v>4.2119665499999996</v>
      </c>
      <c r="BQ546">
        <v>0</v>
      </c>
      <c r="BR546">
        <v>0</v>
      </c>
      <c r="BS546">
        <v>0</v>
      </c>
      <c r="BT546" s="68" t="s">
        <v>1407</v>
      </c>
      <c r="BU546" s="68">
        <f t="shared" si="130"/>
        <v>453</v>
      </c>
      <c r="BV546" s="68">
        <v>24</v>
      </c>
      <c r="BX546" s="68" t="s">
        <v>464</v>
      </c>
      <c r="BY546" s="68" t="s">
        <v>464</v>
      </c>
      <c r="BZ546" s="68">
        <v>0</v>
      </c>
      <c r="CA546" s="68">
        <v>8.6829999999999998</v>
      </c>
      <c r="CD546" s="68" t="s">
        <v>1408</v>
      </c>
      <c r="CE546" s="68" t="s">
        <v>1409</v>
      </c>
      <c r="CF546" s="68" t="s">
        <v>1271</v>
      </c>
      <c r="CG546" s="68">
        <v>300</v>
      </c>
      <c r="CH546" s="68">
        <v>430</v>
      </c>
      <c r="CI546" s="68" t="s">
        <v>1310</v>
      </c>
      <c r="CK546" s="70">
        <v>1000</v>
      </c>
    </row>
    <row r="547" spans="1:89" x14ac:dyDescent="0.3">
      <c r="A547" t="s">
        <v>252</v>
      </c>
      <c r="B547" t="s">
        <v>2777</v>
      </c>
      <c r="C547" t="s">
        <v>4165</v>
      </c>
      <c r="D547" s="12"/>
      <c r="E547">
        <v>2.54</v>
      </c>
      <c r="F547" t="s">
        <v>245</v>
      </c>
      <c r="G547" s="8" t="s">
        <v>592</v>
      </c>
      <c r="H547" t="s">
        <v>666</v>
      </c>
      <c r="I547" t="s">
        <v>1173</v>
      </c>
      <c r="J547" t="s">
        <v>1825</v>
      </c>
      <c r="K547" t="s">
        <v>1825</v>
      </c>
      <c r="L547" t="s">
        <v>1825</v>
      </c>
      <c r="M547" t="b">
        <v>1</v>
      </c>
      <c r="N547" t="b">
        <v>1</v>
      </c>
      <c r="O547" t="b">
        <v>1</v>
      </c>
      <c r="P547" t="b">
        <v>0</v>
      </c>
      <c r="Q547" t="s">
        <v>2123</v>
      </c>
      <c r="R547" t="s">
        <v>2124</v>
      </c>
      <c r="S547" t="s">
        <v>2200</v>
      </c>
      <c r="U547" s="20">
        <v>0</v>
      </c>
      <c r="V547">
        <v>0</v>
      </c>
      <c r="W547">
        <v>0</v>
      </c>
      <c r="X547">
        <v>-1</v>
      </c>
      <c r="AB547">
        <v>0</v>
      </c>
      <c r="AC547" s="20">
        <v>0</v>
      </c>
      <c r="AD547" s="20"/>
      <c r="AE547" s="20"/>
      <c r="AF547">
        <v>0</v>
      </c>
      <c r="AI547">
        <v>0</v>
      </c>
      <c r="AM547">
        <v>0</v>
      </c>
      <c r="AN547">
        <f t="shared" si="65"/>
        <v>0</v>
      </c>
      <c r="AO547" s="20">
        <v>0</v>
      </c>
      <c r="AP547">
        <v>0</v>
      </c>
      <c r="AQ547">
        <v>0</v>
      </c>
      <c r="AS547" s="20"/>
      <c r="AV547">
        <v>2</v>
      </c>
      <c r="AW547">
        <v>0</v>
      </c>
      <c r="AX547">
        <v>10</v>
      </c>
      <c r="AY547">
        <v>0</v>
      </c>
      <c r="AZ547">
        <v>0.16666666666666671</v>
      </c>
      <c r="BA547">
        <v>0</v>
      </c>
      <c r="BB547">
        <v>0.83333333333333348</v>
      </c>
      <c r="BC547">
        <v>0</v>
      </c>
      <c r="BD547" s="20">
        <v>1.65</v>
      </c>
      <c r="BE547" s="20">
        <v>1.69</v>
      </c>
      <c r="BF547" s="20">
        <v>4.0000000000000042E-2</v>
      </c>
      <c r="BG547" s="20">
        <v>1.6779999999999999</v>
      </c>
      <c r="BH547">
        <v>1.6779999999999999</v>
      </c>
      <c r="BI547">
        <v>4.2119665499999996</v>
      </c>
      <c r="BQ547">
        <v>0</v>
      </c>
      <c r="BR547">
        <v>0</v>
      </c>
      <c r="BS547">
        <v>0</v>
      </c>
      <c r="BT547" s="68" t="s">
        <v>1407</v>
      </c>
      <c r="BU547" s="68">
        <f t="shared" si="130"/>
        <v>453</v>
      </c>
      <c r="BV547" s="68">
        <v>24</v>
      </c>
      <c r="BX547" s="68" t="s">
        <v>464</v>
      </c>
      <c r="BY547" s="68" t="s">
        <v>464</v>
      </c>
      <c r="BZ547" s="68">
        <v>0</v>
      </c>
      <c r="CA547" s="68">
        <v>8.6829999999999998</v>
      </c>
      <c r="CD547" s="68" t="s">
        <v>1408</v>
      </c>
      <c r="CE547" s="68" t="s">
        <v>1409</v>
      </c>
      <c r="CF547" s="68" t="s">
        <v>1271</v>
      </c>
      <c r="CG547" s="68">
        <v>300</v>
      </c>
      <c r="CH547" s="68">
        <v>430</v>
      </c>
      <c r="CI547" s="68" t="s">
        <v>1310</v>
      </c>
      <c r="CK547" s="70">
        <v>6000</v>
      </c>
    </row>
    <row r="548" spans="1:89" x14ac:dyDescent="0.3">
      <c r="A548" t="s">
        <v>1411</v>
      </c>
      <c r="B548" t="s">
        <v>2777</v>
      </c>
      <c r="C548" t="s">
        <v>4166</v>
      </c>
      <c r="D548" s="12"/>
      <c r="E548">
        <v>2.68</v>
      </c>
      <c r="F548" t="s">
        <v>245</v>
      </c>
      <c r="G548" s="8" t="s">
        <v>592</v>
      </c>
      <c r="H548" t="s">
        <v>666</v>
      </c>
      <c r="I548" t="s">
        <v>1173</v>
      </c>
      <c r="J548" t="s">
        <v>1826</v>
      </c>
      <c r="K548" t="s">
        <v>1826</v>
      </c>
      <c r="L548" t="s">
        <v>1826</v>
      </c>
      <c r="M548" t="b">
        <v>1</v>
      </c>
      <c r="N548" t="b">
        <v>1</v>
      </c>
      <c r="O548" t="b">
        <v>1</v>
      </c>
      <c r="P548" t="b">
        <v>0</v>
      </c>
      <c r="Q548" t="s">
        <v>2125</v>
      </c>
      <c r="R548" t="s">
        <v>2126</v>
      </c>
      <c r="S548" t="s">
        <v>2201</v>
      </c>
      <c r="U548" s="20">
        <v>0</v>
      </c>
      <c r="V548">
        <v>0</v>
      </c>
      <c r="W548">
        <v>0</v>
      </c>
      <c r="X548">
        <v>-1</v>
      </c>
      <c r="AB548">
        <v>0</v>
      </c>
      <c r="AC548" s="20">
        <v>0</v>
      </c>
      <c r="AD548" s="20"/>
      <c r="AE548" s="20"/>
      <c r="AF548">
        <v>0</v>
      </c>
      <c r="AI548">
        <v>0</v>
      </c>
      <c r="AM548">
        <v>0</v>
      </c>
      <c r="AN548">
        <f t="shared" ref="AN548" si="132">X548*Y548*Z548</f>
        <v>0</v>
      </c>
      <c r="AO548" s="20">
        <v>0</v>
      </c>
      <c r="AP548">
        <v>0</v>
      </c>
      <c r="AQ548">
        <v>0</v>
      </c>
      <c r="AS548" s="20"/>
      <c r="AV548">
        <v>2</v>
      </c>
      <c r="AW548">
        <v>0</v>
      </c>
      <c r="AX548">
        <v>10</v>
      </c>
      <c r="AY548">
        <v>0</v>
      </c>
      <c r="AZ548">
        <v>0.16666666666666671</v>
      </c>
      <c r="BA548">
        <v>0</v>
      </c>
      <c r="BB548">
        <v>0.83333333333333337</v>
      </c>
      <c r="BC548">
        <v>0</v>
      </c>
      <c r="BD548" s="20">
        <v>1.65</v>
      </c>
      <c r="BE548" s="20">
        <v>1.69</v>
      </c>
      <c r="BF548" s="20">
        <v>4.0000000000000042E-2</v>
      </c>
      <c r="BG548" s="20">
        <v>1.67</v>
      </c>
      <c r="BH548">
        <v>1.67</v>
      </c>
      <c r="BI548">
        <v>4.2620042500000004</v>
      </c>
      <c r="BQ548">
        <v>0</v>
      </c>
      <c r="BR548">
        <v>0</v>
      </c>
      <c r="BS548">
        <v>0</v>
      </c>
      <c r="BT548" s="68" t="s">
        <v>1407</v>
      </c>
      <c r="BU548" s="68">
        <f t="shared" si="130"/>
        <v>453</v>
      </c>
      <c r="BV548" s="68">
        <v>24</v>
      </c>
      <c r="BX548" s="68" t="s">
        <v>464</v>
      </c>
      <c r="BY548" s="68" t="s">
        <v>464</v>
      </c>
      <c r="BZ548" s="68">
        <v>0</v>
      </c>
      <c r="CA548" s="68">
        <v>8.6829999999999998</v>
      </c>
      <c r="CD548" s="68" t="s">
        <v>1408</v>
      </c>
      <c r="CE548" s="68" t="s">
        <v>1409</v>
      </c>
      <c r="CF548" s="68" t="s">
        <v>1271</v>
      </c>
      <c r="CG548" s="68">
        <v>300</v>
      </c>
      <c r="CH548" s="68">
        <v>430</v>
      </c>
      <c r="CI548" s="68" t="s">
        <v>1310</v>
      </c>
      <c r="CK548" s="70">
        <v>16000</v>
      </c>
    </row>
    <row r="549" spans="1:89" x14ac:dyDescent="0.3">
      <c r="A549" t="s">
        <v>251</v>
      </c>
      <c r="B549" t="s">
        <v>2777</v>
      </c>
      <c r="C549" t="s">
        <v>4167</v>
      </c>
      <c r="D549" s="12"/>
      <c r="E549">
        <v>2.68</v>
      </c>
      <c r="F549" t="s">
        <v>245</v>
      </c>
      <c r="G549" s="8" t="s">
        <v>592</v>
      </c>
      <c r="H549" t="s">
        <v>666</v>
      </c>
      <c r="I549" t="s">
        <v>1173</v>
      </c>
      <c r="J549" t="s">
        <v>1827</v>
      </c>
      <c r="K549" t="s">
        <v>1827</v>
      </c>
      <c r="L549" t="s">
        <v>1827</v>
      </c>
      <c r="M549" t="b">
        <v>1</v>
      </c>
      <c r="N549" t="b">
        <v>1</v>
      </c>
      <c r="O549" t="b">
        <v>1</v>
      </c>
      <c r="P549" t="b">
        <v>0</v>
      </c>
      <c r="Q549" t="s">
        <v>2127</v>
      </c>
      <c r="R549" t="s">
        <v>2128</v>
      </c>
      <c r="S549" t="s">
        <v>2202</v>
      </c>
      <c r="U549" s="20">
        <v>0</v>
      </c>
      <c r="V549">
        <v>0</v>
      </c>
      <c r="W549">
        <v>0</v>
      </c>
      <c r="X549">
        <v>-1</v>
      </c>
      <c r="AB549">
        <v>0</v>
      </c>
      <c r="AC549" s="20">
        <v>0</v>
      </c>
      <c r="AD549" s="20"/>
      <c r="AE549" s="20"/>
      <c r="AF549">
        <v>0</v>
      </c>
      <c r="AI549">
        <v>0</v>
      </c>
      <c r="AM549">
        <v>0</v>
      </c>
      <c r="AN549">
        <f t="shared" si="65"/>
        <v>0</v>
      </c>
      <c r="AO549" s="20">
        <v>0</v>
      </c>
      <c r="AP549">
        <v>0</v>
      </c>
      <c r="AQ549">
        <v>0</v>
      </c>
      <c r="AS549" s="20"/>
      <c r="AV549">
        <v>2</v>
      </c>
      <c r="AW549">
        <v>0</v>
      </c>
      <c r="AX549">
        <v>10</v>
      </c>
      <c r="AY549">
        <v>0</v>
      </c>
      <c r="AZ549">
        <v>0.16666666666666671</v>
      </c>
      <c r="BA549">
        <v>0</v>
      </c>
      <c r="BB549">
        <v>0.83333333333333337</v>
      </c>
      <c r="BC549">
        <v>0</v>
      </c>
      <c r="BD549" s="20">
        <v>1.65</v>
      </c>
      <c r="BE549" s="20">
        <v>1.69</v>
      </c>
      <c r="BF549" s="20">
        <v>4.0000000000000042E-2</v>
      </c>
      <c r="BG549" s="20">
        <v>1.67</v>
      </c>
      <c r="BH549">
        <v>1.67</v>
      </c>
      <c r="BI549">
        <v>4.2620042500000004</v>
      </c>
      <c r="BQ549">
        <v>0</v>
      </c>
      <c r="BR549">
        <v>0</v>
      </c>
      <c r="BS549">
        <v>0</v>
      </c>
      <c r="BT549" s="68" t="s">
        <v>1407</v>
      </c>
      <c r="BU549" s="68">
        <f t="shared" si="130"/>
        <v>453</v>
      </c>
      <c r="BV549" s="68">
        <v>24</v>
      </c>
      <c r="BX549" s="68" t="s">
        <v>464</v>
      </c>
      <c r="BY549" s="68" t="s">
        <v>464</v>
      </c>
      <c r="BZ549" s="68">
        <v>0</v>
      </c>
      <c r="CA549" s="68">
        <v>8.6829999999999998</v>
      </c>
      <c r="CD549" s="68" t="s">
        <v>1408</v>
      </c>
      <c r="CE549" s="68" t="s">
        <v>1409</v>
      </c>
      <c r="CF549" s="68" t="s">
        <v>1271</v>
      </c>
      <c r="CG549" s="68">
        <v>300</v>
      </c>
      <c r="CH549" s="68">
        <v>430</v>
      </c>
      <c r="CI549" s="68" t="s">
        <v>1310</v>
      </c>
      <c r="CK549" s="70">
        <v>18000</v>
      </c>
    </row>
    <row r="550" spans="1:89" x14ac:dyDescent="0.3">
      <c r="A550" t="s">
        <v>1412</v>
      </c>
      <c r="B550" t="s">
        <v>2777</v>
      </c>
      <c r="C550" t="s">
        <v>4168</v>
      </c>
      <c r="D550" s="12"/>
      <c r="E550">
        <v>2.91</v>
      </c>
      <c r="F550" t="s">
        <v>245</v>
      </c>
      <c r="G550" s="8" t="s">
        <v>592</v>
      </c>
      <c r="H550" t="s">
        <v>666</v>
      </c>
      <c r="I550" t="s">
        <v>1173</v>
      </c>
      <c r="J550" t="s">
        <v>1828</v>
      </c>
      <c r="K550" t="s">
        <v>1828</v>
      </c>
      <c r="L550" t="s">
        <v>1828</v>
      </c>
      <c r="M550" t="b">
        <v>1</v>
      </c>
      <c r="N550" t="b">
        <v>1</v>
      </c>
      <c r="O550" t="b">
        <v>1</v>
      </c>
      <c r="P550" t="b">
        <v>0</v>
      </c>
      <c r="Q550" t="s">
        <v>2129</v>
      </c>
      <c r="R550" t="s">
        <v>2131</v>
      </c>
      <c r="S550" t="s">
        <v>2203</v>
      </c>
      <c r="U550" s="20">
        <v>0</v>
      </c>
      <c r="V550">
        <v>0</v>
      </c>
      <c r="W550">
        <v>0</v>
      </c>
      <c r="X550">
        <v>-1</v>
      </c>
      <c r="AB550">
        <v>0</v>
      </c>
      <c r="AC550" s="20">
        <v>0</v>
      </c>
      <c r="AD550" s="20"/>
      <c r="AE550" s="20"/>
      <c r="AF550">
        <v>0</v>
      </c>
      <c r="AI550">
        <v>0</v>
      </c>
      <c r="AM550">
        <v>0</v>
      </c>
      <c r="AN550">
        <f t="shared" ref="AN550" si="133">X550*Y550*Z550</f>
        <v>0</v>
      </c>
      <c r="AO550" s="20">
        <v>0</v>
      </c>
      <c r="AP550">
        <v>0</v>
      </c>
      <c r="AQ550">
        <v>0</v>
      </c>
      <c r="AS550" s="20"/>
      <c r="AV550">
        <v>2</v>
      </c>
      <c r="AW550">
        <v>0</v>
      </c>
      <c r="AX550">
        <v>10</v>
      </c>
      <c r="AY550">
        <v>0</v>
      </c>
      <c r="AZ550">
        <v>0.16666666666666671</v>
      </c>
      <c r="BA550">
        <v>0</v>
      </c>
      <c r="BB550">
        <v>0.83333333333333348</v>
      </c>
      <c r="BC550">
        <v>0</v>
      </c>
      <c r="BD550" s="20">
        <v>1.65</v>
      </c>
      <c r="BE550" s="20">
        <v>1.69</v>
      </c>
      <c r="BF550" s="20">
        <v>4.0000000000000042E-2</v>
      </c>
      <c r="BG550" s="20">
        <v>1.6619999999999999</v>
      </c>
      <c r="BH550">
        <v>1.6619999999999999</v>
      </c>
      <c r="BI550">
        <v>4.3120419500000002</v>
      </c>
      <c r="BQ550">
        <v>0</v>
      </c>
      <c r="BR550">
        <v>0</v>
      </c>
      <c r="BS550">
        <v>0</v>
      </c>
      <c r="BT550" s="68" t="s">
        <v>1407</v>
      </c>
      <c r="BU550" s="68">
        <f t="shared" si="130"/>
        <v>453</v>
      </c>
      <c r="BV550" s="68">
        <v>24</v>
      </c>
      <c r="BX550" s="68" t="s">
        <v>464</v>
      </c>
      <c r="BY550" s="68" t="s">
        <v>464</v>
      </c>
      <c r="BZ550" s="68">
        <v>0</v>
      </c>
      <c r="CA550" s="68">
        <v>8.6829999999999998</v>
      </c>
      <c r="CD550" s="68" t="s">
        <v>1408</v>
      </c>
      <c r="CE550" s="68" t="s">
        <v>1409</v>
      </c>
      <c r="CF550" s="68" t="s">
        <v>1271</v>
      </c>
      <c r="CG550" s="68">
        <v>300</v>
      </c>
      <c r="CH550" s="68">
        <v>430</v>
      </c>
      <c r="CI550" s="68" t="s">
        <v>1310</v>
      </c>
      <c r="CK550" s="70">
        <v>16000</v>
      </c>
    </row>
    <row r="551" spans="1:89" x14ac:dyDescent="0.3">
      <c r="A551" t="s">
        <v>1413</v>
      </c>
      <c r="B551" t="s">
        <v>2777</v>
      </c>
      <c r="C551" t="s">
        <v>4169</v>
      </c>
      <c r="D551" s="12"/>
      <c r="E551">
        <v>2.91</v>
      </c>
      <c r="F551" t="s">
        <v>245</v>
      </c>
      <c r="G551" s="8" t="s">
        <v>592</v>
      </c>
      <c r="H551" t="s">
        <v>666</v>
      </c>
      <c r="I551" t="s">
        <v>1173</v>
      </c>
      <c r="J551" t="s">
        <v>1829</v>
      </c>
      <c r="K551" t="s">
        <v>1829</v>
      </c>
      <c r="L551" t="s">
        <v>1829</v>
      </c>
      <c r="M551" t="b">
        <v>1</v>
      </c>
      <c r="N551" t="b">
        <v>1</v>
      </c>
      <c r="O551" t="b">
        <v>1</v>
      </c>
      <c r="P551" t="b">
        <v>0</v>
      </c>
      <c r="Q551" t="s">
        <v>2130</v>
      </c>
      <c r="R551" t="s">
        <v>2136</v>
      </c>
      <c r="S551" t="s">
        <v>2204</v>
      </c>
      <c r="U551" s="20">
        <v>0</v>
      </c>
      <c r="V551">
        <v>0</v>
      </c>
      <c r="W551">
        <v>0</v>
      </c>
      <c r="X551">
        <v>-1</v>
      </c>
      <c r="AB551">
        <v>0</v>
      </c>
      <c r="AC551" s="20">
        <v>0</v>
      </c>
      <c r="AD551" s="20"/>
      <c r="AE551" s="20"/>
      <c r="AF551">
        <v>0</v>
      </c>
      <c r="AI551">
        <v>0</v>
      </c>
      <c r="AM551">
        <v>0</v>
      </c>
      <c r="AN551">
        <f t="shared" si="65"/>
        <v>0</v>
      </c>
      <c r="AO551" s="20">
        <v>0</v>
      </c>
      <c r="AP551">
        <v>0</v>
      </c>
      <c r="AQ551">
        <v>0</v>
      </c>
      <c r="AS551" s="20"/>
      <c r="AV551">
        <v>2</v>
      </c>
      <c r="AW551">
        <v>0</v>
      </c>
      <c r="AX551">
        <v>10</v>
      </c>
      <c r="AY551">
        <v>0</v>
      </c>
      <c r="AZ551">
        <v>0.16666666666666671</v>
      </c>
      <c r="BA551">
        <v>0</v>
      </c>
      <c r="BB551">
        <v>0.83333333333333348</v>
      </c>
      <c r="BC551">
        <v>0</v>
      </c>
      <c r="BD551" s="20">
        <v>1.65</v>
      </c>
      <c r="BE551" s="20">
        <v>1.69</v>
      </c>
      <c r="BF551" s="20">
        <v>4.0000000000000042E-2</v>
      </c>
      <c r="BG551" s="20">
        <v>1.6619999999999999</v>
      </c>
      <c r="BH551">
        <v>1.6619999999999999</v>
      </c>
      <c r="BI551">
        <v>4.3120419500000002</v>
      </c>
      <c r="BQ551">
        <v>0</v>
      </c>
      <c r="BR551">
        <v>0</v>
      </c>
      <c r="BS551">
        <v>0</v>
      </c>
      <c r="BT551" s="68" t="s">
        <v>1407</v>
      </c>
      <c r="BU551" s="68">
        <f t="shared" si="130"/>
        <v>453</v>
      </c>
      <c r="BV551" s="68">
        <v>24</v>
      </c>
      <c r="BX551" s="68" t="s">
        <v>464</v>
      </c>
      <c r="BY551" s="68" t="s">
        <v>464</v>
      </c>
      <c r="BZ551" s="68">
        <v>0</v>
      </c>
      <c r="CA551" s="68">
        <v>8.6829999999999998</v>
      </c>
      <c r="CD551" s="68" t="s">
        <v>1408</v>
      </c>
      <c r="CE551" s="68" t="s">
        <v>1409</v>
      </c>
      <c r="CF551" s="68" t="s">
        <v>1271</v>
      </c>
      <c r="CG551" s="68">
        <v>300</v>
      </c>
      <c r="CH551" s="68">
        <v>430</v>
      </c>
      <c r="CI551" s="68" t="s">
        <v>1310</v>
      </c>
      <c r="CK551" s="70">
        <v>8000</v>
      </c>
    </row>
    <row r="552" spans="1:89" x14ac:dyDescent="0.3">
      <c r="A552" t="s">
        <v>1414</v>
      </c>
      <c r="B552" t="s">
        <v>2777</v>
      </c>
      <c r="C552" t="s">
        <v>4170</v>
      </c>
      <c r="D552" s="12"/>
      <c r="E552">
        <v>3.36</v>
      </c>
      <c r="F552" t="s">
        <v>245</v>
      </c>
      <c r="G552" s="8" t="s">
        <v>592</v>
      </c>
      <c r="H552" t="s">
        <v>666</v>
      </c>
      <c r="I552" t="s">
        <v>1173</v>
      </c>
      <c r="J552" t="s">
        <v>1830</v>
      </c>
      <c r="K552" t="s">
        <v>1830</v>
      </c>
      <c r="L552" t="s">
        <v>1830</v>
      </c>
      <c r="M552" t="b">
        <v>1</v>
      </c>
      <c r="N552" t="b">
        <v>1</v>
      </c>
      <c r="O552" t="b">
        <v>1</v>
      </c>
      <c r="P552" t="b">
        <v>0</v>
      </c>
      <c r="Q552" t="s">
        <v>2132</v>
      </c>
      <c r="R552" t="s">
        <v>2139</v>
      </c>
      <c r="S552" t="s">
        <v>2233</v>
      </c>
      <c r="U552" s="20">
        <v>0</v>
      </c>
      <c r="V552">
        <v>0</v>
      </c>
      <c r="W552">
        <v>0</v>
      </c>
      <c r="X552">
        <v>-1</v>
      </c>
      <c r="AB552">
        <v>0</v>
      </c>
      <c r="AC552" s="20">
        <v>0</v>
      </c>
      <c r="AD552" s="20"/>
      <c r="AE552" s="20"/>
      <c r="AF552">
        <v>0</v>
      </c>
      <c r="AI552">
        <v>0</v>
      </c>
      <c r="AM552">
        <v>0</v>
      </c>
      <c r="AN552">
        <f t="shared" ref="AN552" si="134">X552*Y552*Z552</f>
        <v>0</v>
      </c>
      <c r="AO552" s="20">
        <v>0</v>
      </c>
      <c r="AP552">
        <v>0</v>
      </c>
      <c r="AQ552">
        <v>0</v>
      </c>
      <c r="AS552" s="20"/>
      <c r="AV552">
        <v>2</v>
      </c>
      <c r="AW552">
        <v>0</v>
      </c>
      <c r="AX552">
        <v>10</v>
      </c>
      <c r="AY552">
        <v>0</v>
      </c>
      <c r="AZ552">
        <v>0.16666666666666671</v>
      </c>
      <c r="BA552">
        <v>0</v>
      </c>
      <c r="BB552">
        <v>0.83333333333333337</v>
      </c>
      <c r="BC552">
        <v>0</v>
      </c>
      <c r="BD552" s="20">
        <v>1.65</v>
      </c>
      <c r="BE552" s="20">
        <v>1.69</v>
      </c>
      <c r="BF552" s="20">
        <v>4.0000000000000042E-2</v>
      </c>
      <c r="BG552" s="20">
        <v>1.6539999999999999</v>
      </c>
      <c r="BH552">
        <v>1.6539999999999999</v>
      </c>
      <c r="BI552">
        <v>4.3620796500000001</v>
      </c>
      <c r="BQ552">
        <v>0</v>
      </c>
      <c r="BR552">
        <v>0</v>
      </c>
      <c r="BS552">
        <v>0</v>
      </c>
      <c r="BT552" s="68" t="s">
        <v>1407</v>
      </c>
      <c r="BU552" s="68">
        <f t="shared" si="130"/>
        <v>453</v>
      </c>
      <c r="BV552" s="68">
        <v>24</v>
      </c>
      <c r="BX552" s="68" t="s">
        <v>464</v>
      </c>
      <c r="BY552" s="68" t="s">
        <v>464</v>
      </c>
      <c r="BZ552" s="68">
        <v>0</v>
      </c>
      <c r="CA552" s="68">
        <v>8.6829999999999998</v>
      </c>
      <c r="CD552" s="68" t="s">
        <v>1408</v>
      </c>
      <c r="CE552" s="68" t="s">
        <v>1409</v>
      </c>
      <c r="CF552" s="68" t="s">
        <v>1271</v>
      </c>
      <c r="CG552" s="68">
        <v>300</v>
      </c>
      <c r="CH552" s="68">
        <v>430</v>
      </c>
      <c r="CI552" s="68" t="s">
        <v>1310</v>
      </c>
      <c r="CK552" s="70">
        <v>3500</v>
      </c>
    </row>
    <row r="553" spans="1:89" x14ac:dyDescent="0.3">
      <c r="A553" t="s">
        <v>249</v>
      </c>
      <c r="B553" t="s">
        <v>2777</v>
      </c>
      <c r="C553" t="s">
        <v>4171</v>
      </c>
      <c r="D553" s="12"/>
      <c r="E553">
        <v>3.36</v>
      </c>
      <c r="F553" t="s">
        <v>245</v>
      </c>
      <c r="G553" s="8" t="s">
        <v>592</v>
      </c>
      <c r="H553" t="s">
        <v>666</v>
      </c>
      <c r="I553" t="s">
        <v>1173</v>
      </c>
      <c r="J553" t="s">
        <v>1831</v>
      </c>
      <c r="K553" t="s">
        <v>1831</v>
      </c>
      <c r="L553" t="s">
        <v>1831</v>
      </c>
      <c r="M553" t="b">
        <v>1</v>
      </c>
      <c r="N553" t="b">
        <v>1</v>
      </c>
      <c r="O553" t="b">
        <v>1</v>
      </c>
      <c r="P553" t="b">
        <v>0</v>
      </c>
      <c r="Q553" t="s">
        <v>2133</v>
      </c>
      <c r="R553" t="s">
        <v>2146</v>
      </c>
      <c r="S553" t="s">
        <v>2336</v>
      </c>
      <c r="U553" s="20">
        <v>0</v>
      </c>
      <c r="V553">
        <v>0</v>
      </c>
      <c r="W553">
        <v>0</v>
      </c>
      <c r="X553">
        <v>-1</v>
      </c>
      <c r="AB553">
        <v>0</v>
      </c>
      <c r="AC553" s="20">
        <v>0</v>
      </c>
      <c r="AD553" s="20"/>
      <c r="AE553" s="20"/>
      <c r="AF553">
        <v>0</v>
      </c>
      <c r="AI553">
        <v>0</v>
      </c>
      <c r="AM553">
        <v>0</v>
      </c>
      <c r="AN553">
        <f t="shared" si="65"/>
        <v>0</v>
      </c>
      <c r="AO553" s="20">
        <v>0</v>
      </c>
      <c r="AP553">
        <v>0</v>
      </c>
      <c r="AQ553">
        <v>0</v>
      </c>
      <c r="AS553" s="20"/>
      <c r="AV553">
        <v>2</v>
      </c>
      <c r="AW553">
        <v>0</v>
      </c>
      <c r="AX553">
        <v>10</v>
      </c>
      <c r="AY553">
        <v>0</v>
      </c>
      <c r="AZ553">
        <v>0.16666666666666671</v>
      </c>
      <c r="BA553">
        <v>0</v>
      </c>
      <c r="BB553">
        <v>0.83333333333333337</v>
      </c>
      <c r="BC553">
        <v>0</v>
      </c>
      <c r="BD553" s="20">
        <v>1.65</v>
      </c>
      <c r="BE553" s="20">
        <v>1.69</v>
      </c>
      <c r="BF553" s="20">
        <v>4.0000000000000042E-2</v>
      </c>
      <c r="BG553" s="20">
        <v>1.6539999999999999</v>
      </c>
      <c r="BH553">
        <v>1.6539999999999999</v>
      </c>
      <c r="BI553">
        <v>4.3620796500000001</v>
      </c>
      <c r="BQ553">
        <v>0</v>
      </c>
      <c r="BR553">
        <v>0</v>
      </c>
      <c r="BS553">
        <v>0</v>
      </c>
      <c r="BT553" s="68" t="s">
        <v>1407</v>
      </c>
      <c r="BU553" s="68">
        <f t="shared" si="130"/>
        <v>453</v>
      </c>
      <c r="BV553" s="68">
        <v>24</v>
      </c>
      <c r="BX553" s="68" t="s">
        <v>464</v>
      </c>
      <c r="BY553" s="68" t="s">
        <v>464</v>
      </c>
      <c r="BZ553" s="68">
        <v>0</v>
      </c>
      <c r="CA553" s="68">
        <v>8.6829999999999998</v>
      </c>
      <c r="CD553" s="68" t="s">
        <v>1408</v>
      </c>
      <c r="CE553" s="68" t="s">
        <v>1409</v>
      </c>
      <c r="CF553" s="68" t="s">
        <v>1271</v>
      </c>
      <c r="CG553" s="68">
        <v>300</v>
      </c>
      <c r="CH553" s="68">
        <v>430</v>
      </c>
      <c r="CI553" s="68" t="s">
        <v>1310</v>
      </c>
      <c r="CK553" s="70">
        <v>800</v>
      </c>
    </row>
    <row r="554" spans="1:89" x14ac:dyDescent="0.3">
      <c r="A554" t="s">
        <v>248</v>
      </c>
      <c r="B554" t="s">
        <v>2777</v>
      </c>
      <c r="C554" t="s">
        <v>4172</v>
      </c>
      <c r="D554" s="12"/>
      <c r="E554">
        <v>3.6</v>
      </c>
      <c r="F554" t="s">
        <v>245</v>
      </c>
      <c r="G554" s="8" t="s">
        <v>593</v>
      </c>
      <c r="H554" t="s">
        <v>667</v>
      </c>
      <c r="I554" t="s">
        <v>1172</v>
      </c>
      <c r="M554" t="b">
        <v>1</v>
      </c>
      <c r="N554" t="b">
        <v>1</v>
      </c>
      <c r="O554" t="b">
        <v>0</v>
      </c>
      <c r="P554" t="b">
        <v>0</v>
      </c>
      <c r="Q554" t="s">
        <v>593</v>
      </c>
      <c r="R554" t="s">
        <v>667</v>
      </c>
      <c r="S554" t="s">
        <v>1172</v>
      </c>
      <c r="U554" s="20">
        <v>50</v>
      </c>
      <c r="V554">
        <v>2</v>
      </c>
      <c r="W554">
        <v>0</v>
      </c>
      <c r="AB554">
        <v>0</v>
      </c>
      <c r="AC554" s="20">
        <v>12.345150759999999</v>
      </c>
      <c r="AD554" s="20">
        <v>15.34169717</v>
      </c>
      <c r="AE554" s="20">
        <v>13.410947439999999</v>
      </c>
      <c r="AF554">
        <v>3.8</v>
      </c>
      <c r="AG554">
        <v>3.8</v>
      </c>
      <c r="AH554">
        <v>6.23</v>
      </c>
      <c r="AI554">
        <v>0</v>
      </c>
      <c r="AM554">
        <v>0</v>
      </c>
      <c r="AN554" s="44">
        <f t="shared" si="65"/>
        <v>0</v>
      </c>
      <c r="AO554" s="46">
        <v>2502.9167389596269</v>
      </c>
      <c r="AP554" s="44">
        <v>77.908684554932648</v>
      </c>
      <c r="AQ554" s="44">
        <v>0</v>
      </c>
      <c r="AR554" s="41"/>
      <c r="AS554" s="40">
        <v>0</v>
      </c>
      <c r="AT554" s="41">
        <v>0</v>
      </c>
      <c r="AU554" s="41"/>
      <c r="AV554" s="23">
        <v>2</v>
      </c>
      <c r="AW554" s="23">
        <v>2</v>
      </c>
      <c r="AX554" s="23">
        <v>5</v>
      </c>
      <c r="AY554" s="23">
        <v>0</v>
      </c>
      <c r="AZ554" s="23">
        <v>0.22222222222222221</v>
      </c>
      <c r="BA554" s="23">
        <v>0.22222222222222221</v>
      </c>
      <c r="BB554" s="23">
        <v>0.55555555555555558</v>
      </c>
      <c r="BC554" s="23">
        <v>0</v>
      </c>
      <c r="BD554" s="20">
        <v>1.65</v>
      </c>
      <c r="BE554" s="20">
        <v>2.58</v>
      </c>
      <c r="BF554" s="20">
        <v>0.93000000000000016</v>
      </c>
      <c r="BG554" s="20">
        <v>2.1150000000000002</v>
      </c>
      <c r="BH554">
        <v>2.1150000000000002</v>
      </c>
      <c r="BI554">
        <v>5.3028278780000004</v>
      </c>
      <c r="BJ554" s="64">
        <v>0.46813521899838401</v>
      </c>
      <c r="BK554" s="64">
        <v>0.6015778510039812</v>
      </c>
      <c r="BL554" s="64"/>
      <c r="BN554">
        <v>0</v>
      </c>
      <c r="BO554">
        <v>0</v>
      </c>
      <c r="BQ554">
        <v>0</v>
      </c>
      <c r="BR554">
        <v>0</v>
      </c>
      <c r="BS554">
        <v>0.53485653500118258</v>
      </c>
      <c r="BT554" s="68" t="s">
        <v>1407</v>
      </c>
      <c r="BU554" s="68">
        <f t="shared" si="130"/>
        <v>453</v>
      </c>
      <c r="BV554" s="68">
        <v>24</v>
      </c>
      <c r="BX554" s="68" t="s">
        <v>464</v>
      </c>
      <c r="BY554" s="68" t="s">
        <v>464</v>
      </c>
      <c r="BZ554" s="68">
        <v>0</v>
      </c>
      <c r="CA554" s="68">
        <v>8.6829999999999998</v>
      </c>
      <c r="CD554" s="68" t="s">
        <v>1408</v>
      </c>
      <c r="CE554" s="68" t="s">
        <v>1409</v>
      </c>
      <c r="CF554" s="68" t="s">
        <v>1271</v>
      </c>
      <c r="CG554" s="68">
        <v>300</v>
      </c>
      <c r="CH554" s="68">
        <v>430</v>
      </c>
      <c r="CI554" s="68" t="s">
        <v>1310</v>
      </c>
      <c r="CK554" s="70">
        <v>200</v>
      </c>
    </row>
    <row r="555" spans="1:89" x14ac:dyDescent="0.3">
      <c r="A555" t="s">
        <v>15</v>
      </c>
      <c r="C555" t="s">
        <v>3938</v>
      </c>
      <c r="D555" s="12"/>
      <c r="E555">
        <v>4.49</v>
      </c>
      <c r="F555" t="s">
        <v>253</v>
      </c>
      <c r="G555" s="8" t="s">
        <v>533</v>
      </c>
      <c r="H555" t="s">
        <v>614</v>
      </c>
      <c r="M555" t="b">
        <v>1</v>
      </c>
      <c r="N555" t="b">
        <v>1</v>
      </c>
      <c r="O555" t="b">
        <v>0</v>
      </c>
      <c r="P555" t="b">
        <v>0</v>
      </c>
      <c r="Q555" t="s">
        <v>533</v>
      </c>
      <c r="R555" t="s">
        <v>614</v>
      </c>
      <c r="U555" s="20">
        <v>4</v>
      </c>
      <c r="V555">
        <v>4</v>
      </c>
      <c r="W555">
        <v>0</v>
      </c>
      <c r="AB555">
        <v>0</v>
      </c>
      <c r="AC555" s="20">
        <v>5.63450966</v>
      </c>
      <c r="AD555" s="20">
        <v>7.6422105</v>
      </c>
      <c r="AE555" s="20">
        <v>11.066420430000001</v>
      </c>
      <c r="AF555">
        <v>11.013</v>
      </c>
      <c r="AG555">
        <v>7.6319999999999997</v>
      </c>
      <c r="AH555">
        <v>5.6210000000000004</v>
      </c>
      <c r="AI555">
        <v>0</v>
      </c>
      <c r="AM555">
        <v>12</v>
      </c>
      <c r="AN555" s="44">
        <f t="shared" si="65"/>
        <v>0</v>
      </c>
      <c r="AO555" s="46">
        <v>476.5212686940929</v>
      </c>
      <c r="AP555" s="44">
        <v>472.45188513599999</v>
      </c>
      <c r="AQ555" s="44">
        <v>0</v>
      </c>
      <c r="AR555" s="41"/>
      <c r="AS555" s="40">
        <v>0.1007300264509579</v>
      </c>
      <c r="AT555" s="41">
        <v>0.1015976473163669</v>
      </c>
      <c r="AU555" s="41"/>
      <c r="AV555" s="23">
        <v>2</v>
      </c>
      <c r="AW555" s="23">
        <v>2.666666666666667</v>
      </c>
      <c r="AX555" s="23">
        <v>0.66666666666666663</v>
      </c>
      <c r="AY555" s="23">
        <v>3.1111111111111112</v>
      </c>
      <c r="AZ555" s="23">
        <v>0.23684210526315791</v>
      </c>
      <c r="BA555" s="23">
        <v>0.31578947368421051</v>
      </c>
      <c r="BB555" s="23">
        <v>7.8947368421052627E-2</v>
      </c>
      <c r="BC555" s="23">
        <v>0.36842105263157893</v>
      </c>
      <c r="BD555" s="20">
        <v>0.95</v>
      </c>
      <c r="BE555" s="20">
        <v>3.44</v>
      </c>
      <c r="BF555" s="20">
        <v>2.4900000000000002</v>
      </c>
      <c r="BG555" s="20">
        <v>2.7322222222222221</v>
      </c>
      <c r="BH555">
        <v>2.7322222222222221</v>
      </c>
      <c r="BI555">
        <v>6.2204042916666662</v>
      </c>
      <c r="BJ555" s="64">
        <v>0.5362582325986015</v>
      </c>
      <c r="BK555" s="64">
        <v>0.54087720122437066</v>
      </c>
      <c r="BL555" s="64"/>
      <c r="BN555">
        <v>5.0365013225478962E-2</v>
      </c>
      <c r="BO555">
        <v>5.0798823658183438E-2</v>
      </c>
      <c r="BQ555">
        <v>0.1011638368836624</v>
      </c>
      <c r="BR555">
        <v>5.05819184418312E-2</v>
      </c>
      <c r="BS555">
        <v>0.53856771691148608</v>
      </c>
      <c r="BT555" s="68" t="s">
        <v>1305</v>
      </c>
      <c r="BU555" s="68">
        <v>1273</v>
      </c>
      <c r="BV555" s="68">
        <v>12</v>
      </c>
      <c r="BX555" s="68" t="s">
        <v>1275</v>
      </c>
      <c r="BY555" s="68" t="s">
        <v>56</v>
      </c>
      <c r="BZ555" s="68">
        <v>0.15</v>
      </c>
      <c r="CA555" s="68">
        <v>3.94</v>
      </c>
      <c r="CB555" s="68">
        <v>1.28</v>
      </c>
      <c r="CC555" s="68">
        <v>0</v>
      </c>
      <c r="CD555" s="68" t="s">
        <v>464</v>
      </c>
      <c r="CE555" s="68" t="s">
        <v>464</v>
      </c>
      <c r="CF555" s="68" t="s">
        <v>1266</v>
      </c>
      <c r="CG555" s="68">
        <v>400</v>
      </c>
      <c r="CI555" s="68" t="s">
        <v>1287</v>
      </c>
      <c r="CK555" s="70">
        <v>394</v>
      </c>
    </row>
    <row r="556" spans="1:89" x14ac:dyDescent="0.3">
      <c r="A556" t="s">
        <v>185</v>
      </c>
      <c r="C556" t="s">
        <v>3966</v>
      </c>
      <c r="D556" s="12"/>
      <c r="E556" s="58">
        <v>4.18</v>
      </c>
      <c r="F556" t="s">
        <v>253</v>
      </c>
      <c r="G556" s="8" t="s">
        <v>556</v>
      </c>
      <c r="H556" t="s">
        <v>633</v>
      </c>
      <c r="M556" t="b">
        <v>1</v>
      </c>
      <c r="N556" t="b">
        <v>1</v>
      </c>
      <c r="O556" t="b">
        <v>0</v>
      </c>
      <c r="P556" t="b">
        <v>0</v>
      </c>
      <c r="Q556" t="s">
        <v>556</v>
      </c>
      <c r="R556" t="s">
        <v>633</v>
      </c>
      <c r="U556" s="20"/>
      <c r="AB556" s="1">
        <v>0</v>
      </c>
      <c r="AC556" s="20"/>
      <c r="AD556" s="20"/>
      <c r="AE556" s="20"/>
      <c r="AN556" s="44"/>
      <c r="AO556" s="46"/>
      <c r="AP556" s="44"/>
      <c r="AQ556" s="44"/>
      <c r="AR556" s="41"/>
      <c r="AS556" s="40"/>
      <c r="AT556" s="41"/>
      <c r="AU556" s="41"/>
      <c r="AV556" s="23"/>
      <c r="AW556" s="23"/>
      <c r="AX556" s="23"/>
      <c r="AY556" s="23"/>
      <c r="AZ556" s="23"/>
      <c r="BA556" s="23"/>
      <c r="BB556" s="23"/>
      <c r="BC556" s="23"/>
      <c r="BD556" s="20"/>
      <c r="BE556" s="20"/>
      <c r="BF556" s="20"/>
      <c r="BG556" s="20"/>
      <c r="BJ556" s="64"/>
      <c r="BK556" s="64"/>
      <c r="BL556" s="64"/>
      <c r="BT556" s="68" t="s">
        <v>1305</v>
      </c>
      <c r="BU556" s="68">
        <v>1273</v>
      </c>
      <c r="BV556" s="68">
        <v>5</v>
      </c>
      <c r="BX556" s="68" t="s">
        <v>1275</v>
      </c>
      <c r="BY556" s="68" t="s">
        <v>56</v>
      </c>
      <c r="BZ556" s="68">
        <v>0.15</v>
      </c>
      <c r="CA556" s="68">
        <v>4.5</v>
      </c>
      <c r="CB556" s="68">
        <v>1.28</v>
      </c>
      <c r="CC556" s="68">
        <v>0</v>
      </c>
      <c r="CD556" s="68" t="s">
        <v>464</v>
      </c>
      <c r="CE556" s="68" t="s">
        <v>464</v>
      </c>
      <c r="CF556" s="68" t="s">
        <v>1266</v>
      </c>
      <c r="CG556" s="68">
        <v>400</v>
      </c>
      <c r="CI556" s="68" t="s">
        <v>1287</v>
      </c>
      <c r="CK556" s="70">
        <v>2141</v>
      </c>
    </row>
    <row r="557" spans="1:89" x14ac:dyDescent="0.3">
      <c r="A557" t="s">
        <v>254</v>
      </c>
      <c r="C557" t="s">
        <v>4173</v>
      </c>
      <c r="D557" s="12"/>
      <c r="E557">
        <v>4.8099999999999996</v>
      </c>
      <c r="F557" t="s">
        <v>253</v>
      </c>
      <c r="G557" s="8" t="s">
        <v>594</v>
      </c>
      <c r="H557">
        <v>-1</v>
      </c>
      <c r="M557" t="b">
        <v>1</v>
      </c>
      <c r="N557" t="b">
        <v>0</v>
      </c>
      <c r="O557" t="b">
        <v>0</v>
      </c>
      <c r="P557" t="b">
        <v>0</v>
      </c>
      <c r="Q557" t="s">
        <v>594</v>
      </c>
      <c r="R557">
        <v>-1</v>
      </c>
      <c r="U557" s="20">
        <v>4</v>
      </c>
      <c r="V557">
        <v>0</v>
      </c>
      <c r="W557">
        <v>0</v>
      </c>
      <c r="AC557" s="20">
        <v>5.8119930000000002</v>
      </c>
      <c r="AD557" s="20">
        <v>10.228956</v>
      </c>
      <c r="AE557" s="20">
        <v>17.904929589999998</v>
      </c>
      <c r="AF557">
        <v>0</v>
      </c>
      <c r="AI557">
        <v>0</v>
      </c>
      <c r="AM557">
        <v>18</v>
      </c>
      <c r="AN557" s="44">
        <f t="shared" ref="AN557:AN676" si="135">X557*Y557*Z557</f>
        <v>0</v>
      </c>
      <c r="AO557" s="46">
        <v>882.26177591634428</v>
      </c>
      <c r="AP557" s="44">
        <v>0</v>
      </c>
      <c r="AQ557" s="44">
        <v>0</v>
      </c>
      <c r="AR557" s="41"/>
      <c r="AS557" s="40">
        <v>8.1608431834438916E-2</v>
      </c>
      <c r="AT557" s="41"/>
      <c r="AU557" s="41"/>
      <c r="AV557" s="23">
        <v>2</v>
      </c>
      <c r="AW557" s="23">
        <v>2.4</v>
      </c>
      <c r="AX557" s="23">
        <v>0.4</v>
      </c>
      <c r="AY557" s="23">
        <v>1.8666666666666669</v>
      </c>
      <c r="AZ557" s="23">
        <v>0.3</v>
      </c>
      <c r="BA557" s="23">
        <v>0.36</v>
      </c>
      <c r="BB557" s="23">
        <v>0.06</v>
      </c>
      <c r="BC557" s="23">
        <v>0.28000000000000003</v>
      </c>
      <c r="BD557" s="20">
        <v>0.95</v>
      </c>
      <c r="BE557" s="20">
        <v>3.44</v>
      </c>
      <c r="BF557" s="20">
        <v>2.4900000000000002</v>
      </c>
      <c r="BG557" s="20">
        <v>2.5173333333333332</v>
      </c>
      <c r="BH557">
        <v>2.5173333333333341</v>
      </c>
      <c r="BI557">
        <v>5.8148519500000004</v>
      </c>
      <c r="BJ557" s="64">
        <v>0.53464553504946077</v>
      </c>
      <c r="BK557" s="64"/>
      <c r="BL557" s="64"/>
      <c r="BN557">
        <v>4.0804215917219458E-2</v>
      </c>
      <c r="BQ557">
        <v>8.1608431834438916E-2</v>
      </c>
      <c r="BR557">
        <v>4.0804215917219458E-2</v>
      </c>
      <c r="BS557">
        <v>0.53464553504946077</v>
      </c>
      <c r="BT557" s="68" t="s">
        <v>1305</v>
      </c>
      <c r="BU557" s="68">
        <v>1273</v>
      </c>
      <c r="BV557" s="68">
        <v>12</v>
      </c>
      <c r="BX557" s="68" t="s">
        <v>1275</v>
      </c>
      <c r="BY557" s="68" t="s">
        <v>56</v>
      </c>
      <c r="BZ557" s="68">
        <v>0.15</v>
      </c>
      <c r="CA557" s="68">
        <v>2.61</v>
      </c>
      <c r="CB557" s="68">
        <v>1.28</v>
      </c>
      <c r="CC557" s="68">
        <v>0</v>
      </c>
      <c r="CD557" s="68" t="s">
        <v>464</v>
      </c>
      <c r="CE557" s="68" t="s">
        <v>464</v>
      </c>
      <c r="CF557" s="68" t="s">
        <v>1266</v>
      </c>
      <c r="CG557" s="68">
        <v>400</v>
      </c>
      <c r="CI557" s="68" t="s">
        <v>1287</v>
      </c>
      <c r="CK557" s="70">
        <v>32</v>
      </c>
    </row>
    <row r="558" spans="1:89" x14ac:dyDescent="0.3">
      <c r="A558" t="s">
        <v>221</v>
      </c>
      <c r="C558" t="s">
        <v>4137</v>
      </c>
      <c r="D558" s="12"/>
      <c r="E558">
        <v>4.75</v>
      </c>
      <c r="F558" t="s">
        <v>253</v>
      </c>
      <c r="G558" s="8" t="s">
        <v>589</v>
      </c>
      <c r="H558">
        <v>-1</v>
      </c>
      <c r="M558" t="b">
        <v>1</v>
      </c>
      <c r="N558" t="b">
        <v>0</v>
      </c>
      <c r="O558" t="b">
        <v>0</v>
      </c>
      <c r="P558" t="b">
        <v>0</v>
      </c>
      <c r="Q558" t="s">
        <v>589</v>
      </c>
      <c r="R558">
        <v>-1</v>
      </c>
      <c r="U558" s="20">
        <v>1</v>
      </c>
      <c r="V558">
        <v>0</v>
      </c>
      <c r="W558">
        <v>0</v>
      </c>
      <c r="AB558" s="1">
        <v>0</v>
      </c>
      <c r="AC558" s="20">
        <v>5.6694849300000003</v>
      </c>
      <c r="AD558" s="20">
        <v>5.6694842000000003</v>
      </c>
      <c r="AE558" s="20">
        <v>11.54266629</v>
      </c>
      <c r="AF558">
        <v>0</v>
      </c>
      <c r="AI558">
        <v>0</v>
      </c>
      <c r="AM558">
        <v>30</v>
      </c>
      <c r="AN558" s="44">
        <f t="shared" si="135"/>
        <v>0</v>
      </c>
      <c r="AO558" s="46">
        <v>321.30962315738361</v>
      </c>
      <c r="AP558" s="44">
        <v>0</v>
      </c>
      <c r="AQ558" s="44">
        <v>0</v>
      </c>
      <c r="AR558" s="41"/>
      <c r="AS558" s="40">
        <v>9.3367885173191417E-2</v>
      </c>
      <c r="AT558" s="41"/>
      <c r="AU558" s="41"/>
      <c r="AV558" s="23">
        <v>2</v>
      </c>
      <c r="AW558" s="23">
        <v>2.5</v>
      </c>
      <c r="AX558" s="23">
        <v>0.5</v>
      </c>
      <c r="AY558" s="23">
        <v>2.333333333333333</v>
      </c>
      <c r="AZ558" s="23">
        <v>0.27272727272727282</v>
      </c>
      <c r="BA558" s="23">
        <v>0.34090909090909088</v>
      </c>
      <c r="BB558" s="23">
        <v>6.8181818181818191E-2</v>
      </c>
      <c r="BC558" s="23">
        <v>0.31818181818181818</v>
      </c>
      <c r="BD558" s="20">
        <v>0.95</v>
      </c>
      <c r="BE558" s="20">
        <v>3.44</v>
      </c>
      <c r="BF558" s="20">
        <v>2.4900000000000002</v>
      </c>
      <c r="BG558" s="20">
        <v>2.5979166666666669</v>
      </c>
      <c r="BH558">
        <v>2.597916666666666</v>
      </c>
      <c r="BI558">
        <v>5.966934078125</v>
      </c>
      <c r="BJ558" s="64">
        <v>0.56583721757051464</v>
      </c>
      <c r="BK558" s="64"/>
      <c r="BL558" s="64"/>
      <c r="BN558">
        <v>4.6683942586595709E-2</v>
      </c>
      <c r="BQ558">
        <v>9.3367885173191417E-2</v>
      </c>
      <c r="BR558">
        <v>4.6683942586595709E-2</v>
      </c>
      <c r="BS558">
        <v>0.56583721757051464</v>
      </c>
      <c r="BT558" s="68" t="s">
        <v>1305</v>
      </c>
      <c r="BU558" s="68">
        <v>1273</v>
      </c>
      <c r="BV558" s="68">
        <v>60</v>
      </c>
      <c r="BX558" s="68" t="s">
        <v>1275</v>
      </c>
      <c r="BY558" s="68" t="s">
        <v>56</v>
      </c>
      <c r="BZ558" s="68">
        <v>0.15</v>
      </c>
      <c r="CA558" s="68">
        <v>2.99</v>
      </c>
      <c r="CB558" s="68">
        <v>1.28</v>
      </c>
      <c r="CC558" s="68">
        <v>0</v>
      </c>
      <c r="CD558" s="68" t="s">
        <v>464</v>
      </c>
      <c r="CE558" s="68" t="s">
        <v>464</v>
      </c>
      <c r="CF558" s="68" t="s">
        <v>1266</v>
      </c>
      <c r="CG558" s="68">
        <v>400</v>
      </c>
      <c r="CI558" s="68" t="s">
        <v>1287</v>
      </c>
      <c r="CK558" s="70">
        <v>1194</v>
      </c>
    </row>
    <row r="559" spans="1:89" x14ac:dyDescent="0.3">
      <c r="A559" t="s">
        <v>0</v>
      </c>
      <c r="B559" t="s">
        <v>0</v>
      </c>
      <c r="C559" t="s">
        <v>685</v>
      </c>
      <c r="D559" s="12"/>
      <c r="E559">
        <v>3.3</v>
      </c>
      <c r="F559" t="s">
        <v>257</v>
      </c>
      <c r="G559" s="8" t="s">
        <v>523</v>
      </c>
      <c r="H559" t="s">
        <v>606</v>
      </c>
      <c r="M559" t="b">
        <v>1</v>
      </c>
      <c r="N559" t="b">
        <v>1</v>
      </c>
      <c r="O559" t="b">
        <v>0</v>
      </c>
      <c r="P559" t="b">
        <v>0</v>
      </c>
      <c r="Q559" t="s">
        <v>523</v>
      </c>
      <c r="R559" t="s">
        <v>606</v>
      </c>
      <c r="T559" s="81">
        <v>4</v>
      </c>
      <c r="U559" s="20">
        <v>4</v>
      </c>
      <c r="V559">
        <v>4</v>
      </c>
      <c r="W559">
        <v>0</v>
      </c>
      <c r="X559" s="1">
        <v>6.6</v>
      </c>
      <c r="Y559" s="1">
        <v>7.94</v>
      </c>
      <c r="Z559" s="1">
        <v>33.700000000000003</v>
      </c>
      <c r="AB559" s="1">
        <v>16.850000000000001</v>
      </c>
      <c r="AC559" s="20">
        <v>6.6040679999999998</v>
      </c>
      <c r="AD559" s="20">
        <v>7.9389519999999996</v>
      </c>
      <c r="AE559" s="20">
        <v>33.703336</v>
      </c>
      <c r="AF559">
        <v>7.83</v>
      </c>
      <c r="AG559">
        <v>33.209989999999998</v>
      </c>
      <c r="AH559">
        <v>6.46</v>
      </c>
      <c r="AI559">
        <v>0</v>
      </c>
      <c r="AM559">
        <v>34</v>
      </c>
      <c r="AN559" s="44">
        <f t="shared" ref="AN559" si="136">X559*Y559*Z559</f>
        <v>1766.0147999999999</v>
      </c>
      <c r="AO559" s="46">
        <v>1767.0449718798691</v>
      </c>
      <c r="AP559" s="44">
        <v>1679.8210721820001</v>
      </c>
      <c r="AQ559" s="44">
        <v>0</v>
      </c>
      <c r="AR559" s="41"/>
      <c r="AS559" s="40">
        <v>7.6964651247849417E-2</v>
      </c>
      <c r="AT559" s="41">
        <v>8.0961003676030277E-2</v>
      </c>
      <c r="AU559" s="41"/>
      <c r="AV559" s="23">
        <v>1.62962962962963</v>
      </c>
      <c r="AW559" s="23">
        <v>2.518518518518519</v>
      </c>
      <c r="AX559" s="23">
        <v>0.88888888888888884</v>
      </c>
      <c r="AY559" s="23">
        <v>0</v>
      </c>
      <c r="AZ559" s="23">
        <v>0.32352941176470579</v>
      </c>
      <c r="BA559" s="23">
        <v>0.5</v>
      </c>
      <c r="BB559" s="23">
        <v>0.1764705882352941</v>
      </c>
      <c r="BC559" s="23">
        <v>0</v>
      </c>
      <c r="BD559" s="20">
        <v>0.82</v>
      </c>
      <c r="BE559" s="20">
        <v>3.44</v>
      </c>
      <c r="BF559" s="20">
        <v>2.62</v>
      </c>
      <c r="BG559" s="20">
        <v>2.642962962962963</v>
      </c>
      <c r="BH559">
        <v>2.642962962962963</v>
      </c>
      <c r="BI559">
        <v>5.9587362692592576</v>
      </c>
      <c r="BJ559" s="64">
        <v>0.48264383878002159</v>
      </c>
      <c r="BK559" s="64">
        <v>0.50770488753139842</v>
      </c>
      <c r="BL559" s="64"/>
      <c r="BN559">
        <v>3.8482325623924708E-2</v>
      </c>
      <c r="BO559">
        <v>4.0480501838015132E-2</v>
      </c>
      <c r="BQ559">
        <v>7.8962827461939847E-2</v>
      </c>
      <c r="BR559">
        <v>3.9481413730969923E-2</v>
      </c>
      <c r="BS559">
        <v>0.49517436315571001</v>
      </c>
      <c r="BT559" s="68" t="s">
        <v>1264</v>
      </c>
      <c r="BU559" s="68">
        <v>1473</v>
      </c>
      <c r="BX559" s="68" t="s">
        <v>1275</v>
      </c>
      <c r="BY559" s="68" t="s">
        <v>56</v>
      </c>
      <c r="BZ559" s="68">
        <v>0.1</v>
      </c>
      <c r="CA559" s="68">
        <v>1</v>
      </c>
      <c r="CB559" s="68">
        <v>1.51</v>
      </c>
      <c r="CC559" s="68">
        <v>0</v>
      </c>
      <c r="CD559" s="68" t="s">
        <v>464</v>
      </c>
      <c r="CE559" s="68" t="s">
        <v>464</v>
      </c>
      <c r="CF559" s="68" t="s">
        <v>1266</v>
      </c>
      <c r="CG559" s="68">
        <v>450</v>
      </c>
      <c r="CI559" s="68" t="s">
        <v>1287</v>
      </c>
      <c r="CK559" s="70">
        <v>1548</v>
      </c>
    </row>
    <row r="560" spans="1:89" x14ac:dyDescent="0.3">
      <c r="A560" t="s">
        <v>0</v>
      </c>
      <c r="B560" t="s">
        <v>0</v>
      </c>
      <c r="C560" t="s">
        <v>685</v>
      </c>
      <c r="D560" s="12"/>
      <c r="E560">
        <v>3.3</v>
      </c>
      <c r="F560" t="s">
        <v>257</v>
      </c>
      <c r="G560" s="8" t="s">
        <v>523</v>
      </c>
      <c r="H560" t="s">
        <v>606</v>
      </c>
      <c r="M560" t="b">
        <v>1</v>
      </c>
      <c r="N560" t="b">
        <v>1</v>
      </c>
      <c r="O560" t="b">
        <v>0</v>
      </c>
      <c r="P560" t="b">
        <v>0</v>
      </c>
      <c r="Q560" t="s">
        <v>523</v>
      </c>
      <c r="R560" t="s">
        <v>606</v>
      </c>
      <c r="T560" s="81">
        <v>4</v>
      </c>
      <c r="U560" s="20">
        <v>4</v>
      </c>
      <c r="V560">
        <v>4</v>
      </c>
      <c r="W560">
        <v>0</v>
      </c>
      <c r="X560" s="1">
        <v>6.6</v>
      </c>
      <c r="Y560" s="1">
        <v>7.94</v>
      </c>
      <c r="Z560" s="1">
        <v>33.700000000000003</v>
      </c>
      <c r="AB560" s="1">
        <v>16.850000000000001</v>
      </c>
      <c r="AC560" s="20">
        <v>6.6040679999999998</v>
      </c>
      <c r="AD560" s="20">
        <v>7.9389519999999996</v>
      </c>
      <c r="AE560" s="20">
        <v>33.703336</v>
      </c>
      <c r="AF560">
        <v>7.83</v>
      </c>
      <c r="AG560">
        <v>33.209989999999998</v>
      </c>
      <c r="AH560">
        <v>6.46</v>
      </c>
      <c r="AI560">
        <v>0</v>
      </c>
      <c r="AM560">
        <v>34</v>
      </c>
      <c r="AN560" s="44">
        <f t="shared" si="135"/>
        <v>1766.0147999999999</v>
      </c>
      <c r="AO560" s="46">
        <v>1767.0449718798691</v>
      </c>
      <c r="AP560" s="44">
        <v>1679.8210721820001</v>
      </c>
      <c r="AQ560" s="44">
        <v>0</v>
      </c>
      <c r="AR560" s="41"/>
      <c r="AS560" s="40">
        <v>7.6964651247849417E-2</v>
      </c>
      <c r="AT560" s="41">
        <v>8.0961003676030277E-2</v>
      </c>
      <c r="AU560" s="41"/>
      <c r="AV560" s="23">
        <v>1.62962962962963</v>
      </c>
      <c r="AW560" s="23">
        <v>2.518518518518519</v>
      </c>
      <c r="AX560" s="23">
        <v>0.88888888888888884</v>
      </c>
      <c r="AY560" s="23">
        <v>0</v>
      </c>
      <c r="AZ560" s="23">
        <v>0.32352941176470579</v>
      </c>
      <c r="BA560" s="23">
        <v>0.5</v>
      </c>
      <c r="BB560" s="23">
        <v>0.1764705882352941</v>
      </c>
      <c r="BC560" s="23">
        <v>0</v>
      </c>
      <c r="BD560" s="20">
        <v>0.82</v>
      </c>
      <c r="BE560" s="20">
        <v>3.44</v>
      </c>
      <c r="BF560" s="20">
        <v>2.62</v>
      </c>
      <c r="BG560" s="20">
        <v>2.642962962962963</v>
      </c>
      <c r="BH560">
        <v>2.642962962962963</v>
      </c>
      <c r="BI560">
        <v>5.9587362692592576</v>
      </c>
      <c r="BJ560" s="64">
        <v>0.48264383878002159</v>
      </c>
      <c r="BK560" s="64">
        <v>0.50770488753139842</v>
      </c>
      <c r="BL560" s="64"/>
      <c r="BN560">
        <v>3.8482325623924708E-2</v>
      </c>
      <c r="BO560">
        <v>4.0480501838015132E-2</v>
      </c>
      <c r="BQ560">
        <v>7.8962827461939847E-2</v>
      </c>
      <c r="BR560">
        <v>3.9481413730969923E-2</v>
      </c>
      <c r="BS560">
        <v>0.49517436315571001</v>
      </c>
      <c r="BT560" s="68" t="s">
        <v>1264</v>
      </c>
      <c r="BU560" s="68">
        <v>1473</v>
      </c>
      <c r="BX560" s="68" t="s">
        <v>1275</v>
      </c>
      <c r="BY560" s="68" t="s">
        <v>56</v>
      </c>
      <c r="BZ560" s="68">
        <v>0.1</v>
      </c>
      <c r="CA560" s="68">
        <v>17.3</v>
      </c>
      <c r="CB560" s="68">
        <v>1.51</v>
      </c>
      <c r="CC560" s="68">
        <v>0</v>
      </c>
      <c r="CD560" s="68" t="s">
        <v>464</v>
      </c>
      <c r="CE560" s="68" t="s">
        <v>464</v>
      </c>
      <c r="CF560" s="68" t="s">
        <v>1266</v>
      </c>
      <c r="CG560" s="68">
        <v>450</v>
      </c>
      <c r="CI560" s="68" t="s">
        <v>1287</v>
      </c>
      <c r="CK560" s="70">
        <v>1156</v>
      </c>
    </row>
    <row r="561" spans="1:89" x14ac:dyDescent="0.3">
      <c r="A561" t="s">
        <v>0</v>
      </c>
      <c r="B561" t="s">
        <v>0</v>
      </c>
      <c r="C561" t="s">
        <v>685</v>
      </c>
      <c r="D561" s="12"/>
      <c r="E561">
        <v>3.3</v>
      </c>
      <c r="F561" t="s">
        <v>257</v>
      </c>
      <c r="G561" s="8" t="s">
        <v>523</v>
      </c>
      <c r="H561" t="s">
        <v>606</v>
      </c>
      <c r="M561" t="b">
        <v>1</v>
      </c>
      <c r="N561" t="b">
        <v>1</v>
      </c>
      <c r="O561" t="b">
        <v>0</v>
      </c>
      <c r="P561" t="b">
        <v>0</v>
      </c>
      <c r="Q561" t="s">
        <v>523</v>
      </c>
      <c r="R561" t="s">
        <v>606</v>
      </c>
      <c r="T561" s="81">
        <v>4</v>
      </c>
      <c r="U561" s="20">
        <v>4</v>
      </c>
      <c r="V561">
        <v>4</v>
      </c>
      <c r="W561">
        <v>0</v>
      </c>
      <c r="X561" s="1">
        <v>6.6</v>
      </c>
      <c r="Y561" s="1">
        <v>7.94</v>
      </c>
      <c r="Z561" s="1">
        <v>33.700000000000003</v>
      </c>
      <c r="AB561" s="1">
        <v>16.850000000000001</v>
      </c>
      <c r="AC561" s="20">
        <v>6.6040679999999998</v>
      </c>
      <c r="AD561" s="20">
        <v>7.9389519999999996</v>
      </c>
      <c r="AE561" s="20">
        <v>33.703336</v>
      </c>
      <c r="AF561">
        <v>7.83</v>
      </c>
      <c r="AG561">
        <v>33.209989999999998</v>
      </c>
      <c r="AH561">
        <v>6.46</v>
      </c>
      <c r="AI561">
        <v>0</v>
      </c>
      <c r="AM561">
        <v>34</v>
      </c>
      <c r="AN561" s="44">
        <f t="shared" si="135"/>
        <v>1766.0147999999999</v>
      </c>
      <c r="AO561" s="46">
        <v>1767.0449718798691</v>
      </c>
      <c r="AP561" s="44">
        <v>1679.8210721820001</v>
      </c>
      <c r="AQ561" s="44">
        <v>0</v>
      </c>
      <c r="AR561" s="41"/>
      <c r="AS561" s="40">
        <v>7.6964651247849417E-2</v>
      </c>
      <c r="AT561" s="41">
        <v>8.0961003676030277E-2</v>
      </c>
      <c r="AU561" s="41"/>
      <c r="AV561" s="23">
        <v>1.62962962962963</v>
      </c>
      <c r="AW561" s="23">
        <v>2.518518518518519</v>
      </c>
      <c r="AX561" s="23">
        <v>0.88888888888888884</v>
      </c>
      <c r="AY561" s="23">
        <v>0</v>
      </c>
      <c r="AZ561" s="23">
        <v>0.32352941176470579</v>
      </c>
      <c r="BA561" s="23">
        <v>0.5</v>
      </c>
      <c r="BB561" s="23">
        <v>0.1764705882352941</v>
      </c>
      <c r="BC561" s="23">
        <v>0</v>
      </c>
      <c r="BD561" s="20">
        <v>0.82</v>
      </c>
      <c r="BE561" s="20">
        <v>3.44</v>
      </c>
      <c r="BF561" s="20">
        <v>2.62</v>
      </c>
      <c r="BG561" s="20">
        <v>2.642962962962963</v>
      </c>
      <c r="BH561">
        <v>2.642962962962963</v>
      </c>
      <c r="BI561">
        <v>5.9587362692592576</v>
      </c>
      <c r="BJ561" s="64">
        <v>0.48264383878002159</v>
      </c>
      <c r="BK561" s="64">
        <v>0.50770488753139842</v>
      </c>
      <c r="BL561" s="64"/>
      <c r="BN561">
        <v>3.8482325623924708E-2</v>
      </c>
      <c r="BO561">
        <v>4.0480501838015132E-2</v>
      </c>
      <c r="BQ561">
        <v>7.8962827461939847E-2</v>
      </c>
      <c r="BR561">
        <v>3.9481413730969923E-2</v>
      </c>
      <c r="BS561">
        <v>0.49517436315571001</v>
      </c>
      <c r="BT561" s="68" t="s">
        <v>1264</v>
      </c>
      <c r="BU561" s="68">
        <v>1473</v>
      </c>
      <c r="BX561" s="68" t="s">
        <v>1275</v>
      </c>
      <c r="BY561" s="68" t="s">
        <v>56</v>
      </c>
      <c r="BZ561" s="68">
        <v>0.1</v>
      </c>
      <c r="CA561" s="68">
        <v>14.6</v>
      </c>
      <c r="CB561" s="68">
        <v>1.51</v>
      </c>
      <c r="CC561" s="68">
        <v>0</v>
      </c>
      <c r="CD561" s="68" t="s">
        <v>464</v>
      </c>
      <c r="CE561" s="68" t="s">
        <v>464</v>
      </c>
      <c r="CF561" s="68" t="s">
        <v>1266</v>
      </c>
      <c r="CG561" s="68">
        <v>450</v>
      </c>
      <c r="CI561" s="68" t="s">
        <v>1287</v>
      </c>
      <c r="CK561" s="70">
        <v>1212</v>
      </c>
    </row>
    <row r="562" spans="1:89" x14ac:dyDescent="0.3">
      <c r="A562" t="s">
        <v>0</v>
      </c>
      <c r="B562" t="s">
        <v>0</v>
      </c>
      <c r="C562" t="s">
        <v>685</v>
      </c>
      <c r="D562" s="12"/>
      <c r="E562">
        <v>3.3</v>
      </c>
      <c r="F562" t="s">
        <v>257</v>
      </c>
      <c r="G562" s="8" t="s">
        <v>523</v>
      </c>
      <c r="H562" t="s">
        <v>606</v>
      </c>
      <c r="M562" t="b">
        <v>1</v>
      </c>
      <c r="N562" t="b">
        <v>1</v>
      </c>
      <c r="O562" t="b">
        <v>0</v>
      </c>
      <c r="P562" t="b">
        <v>0</v>
      </c>
      <c r="Q562" t="s">
        <v>523</v>
      </c>
      <c r="R562" t="s">
        <v>606</v>
      </c>
      <c r="T562" s="81">
        <v>4</v>
      </c>
      <c r="U562" s="20">
        <v>4</v>
      </c>
      <c r="V562">
        <v>4</v>
      </c>
      <c r="W562">
        <v>0</v>
      </c>
      <c r="X562" s="1">
        <v>6.6</v>
      </c>
      <c r="Y562" s="1">
        <v>7.94</v>
      </c>
      <c r="Z562" s="1">
        <v>33.700000000000003</v>
      </c>
      <c r="AB562" s="1">
        <v>16.850000000000001</v>
      </c>
      <c r="AC562" s="20">
        <v>6.6040679999999998</v>
      </c>
      <c r="AD562" s="20">
        <v>7.9389519999999996</v>
      </c>
      <c r="AE562" s="20">
        <v>33.703336</v>
      </c>
      <c r="AF562">
        <v>7.83</v>
      </c>
      <c r="AG562">
        <v>33.209989999999998</v>
      </c>
      <c r="AH562">
        <v>6.46</v>
      </c>
      <c r="AI562">
        <v>0</v>
      </c>
      <c r="AM562">
        <v>34</v>
      </c>
      <c r="AN562" s="44">
        <f t="shared" ref="AN562:AN565" si="137">X562*Y562*Z562</f>
        <v>1766.0147999999999</v>
      </c>
      <c r="AO562" s="46">
        <v>1767.0449718798691</v>
      </c>
      <c r="AP562" s="44">
        <v>1679.8210721820001</v>
      </c>
      <c r="AQ562" s="44">
        <v>0</v>
      </c>
      <c r="AR562" s="41"/>
      <c r="AS562" s="40">
        <v>7.6964651247849417E-2</v>
      </c>
      <c r="AT562" s="41">
        <v>8.0961003676030277E-2</v>
      </c>
      <c r="AU562" s="41"/>
      <c r="AV562" s="23">
        <v>1.62962962962963</v>
      </c>
      <c r="AW562" s="23">
        <v>2.518518518518519</v>
      </c>
      <c r="AX562" s="23">
        <v>0.88888888888888884</v>
      </c>
      <c r="AY562" s="23">
        <v>0</v>
      </c>
      <c r="AZ562" s="23">
        <v>0.32352941176470579</v>
      </c>
      <c r="BA562" s="23">
        <v>0.5</v>
      </c>
      <c r="BB562" s="23">
        <v>0.1764705882352941</v>
      </c>
      <c r="BC562" s="23">
        <v>0</v>
      </c>
      <c r="BD562" s="20">
        <v>0.82</v>
      </c>
      <c r="BE562" s="20">
        <v>3.44</v>
      </c>
      <c r="BF562" s="20">
        <v>2.62</v>
      </c>
      <c r="BG562" s="20">
        <v>2.642962962962963</v>
      </c>
      <c r="BH562">
        <v>2.642962962962963</v>
      </c>
      <c r="BI562">
        <v>5.9587362692592576</v>
      </c>
      <c r="BJ562" s="64">
        <v>0.48264383878002159</v>
      </c>
      <c r="BK562" s="64">
        <v>0.50770488753139842</v>
      </c>
      <c r="BL562" s="64"/>
      <c r="BN562">
        <v>3.8482325623924708E-2</v>
      </c>
      <c r="BO562">
        <v>4.0480501838015132E-2</v>
      </c>
      <c r="BQ562">
        <v>7.8962827461939847E-2</v>
      </c>
      <c r="BR562">
        <v>3.9481413730969923E-2</v>
      </c>
      <c r="BS562">
        <v>0.49517436315571001</v>
      </c>
      <c r="BT562" s="68" t="s">
        <v>1264</v>
      </c>
      <c r="BU562" s="68">
        <v>1473</v>
      </c>
      <c r="BX562" s="68" t="s">
        <v>1275</v>
      </c>
      <c r="BY562" s="68" t="s">
        <v>56</v>
      </c>
      <c r="BZ562" s="68">
        <v>0.1</v>
      </c>
      <c r="CA562" s="68">
        <v>13.9</v>
      </c>
      <c r="CB562" s="68">
        <v>1.51</v>
      </c>
      <c r="CC562" s="68">
        <v>0</v>
      </c>
      <c r="CD562" s="68" t="s">
        <v>464</v>
      </c>
      <c r="CE562" s="68" t="s">
        <v>464</v>
      </c>
      <c r="CF562" s="68" t="s">
        <v>1266</v>
      </c>
      <c r="CG562" s="68">
        <v>450</v>
      </c>
      <c r="CI562" s="68" t="s">
        <v>1287</v>
      </c>
      <c r="CK562" s="70">
        <v>1812</v>
      </c>
    </row>
    <row r="563" spans="1:89" x14ac:dyDescent="0.3">
      <c r="A563" t="s">
        <v>0</v>
      </c>
      <c r="B563" t="s">
        <v>0</v>
      </c>
      <c r="C563" t="s">
        <v>685</v>
      </c>
      <c r="D563" s="12"/>
      <c r="E563">
        <v>3.3</v>
      </c>
      <c r="F563" t="s">
        <v>257</v>
      </c>
      <c r="G563" s="8" t="s">
        <v>523</v>
      </c>
      <c r="H563" t="s">
        <v>606</v>
      </c>
      <c r="M563" t="b">
        <v>1</v>
      </c>
      <c r="N563" t="b">
        <v>1</v>
      </c>
      <c r="O563" t="b">
        <v>0</v>
      </c>
      <c r="P563" t="b">
        <v>0</v>
      </c>
      <c r="Q563" t="s">
        <v>523</v>
      </c>
      <c r="R563" t="s">
        <v>606</v>
      </c>
      <c r="T563" s="81">
        <v>4</v>
      </c>
      <c r="U563" s="20">
        <v>4</v>
      </c>
      <c r="V563">
        <v>4</v>
      </c>
      <c r="W563">
        <v>0</v>
      </c>
      <c r="X563" s="1">
        <v>6.6</v>
      </c>
      <c r="Y563" s="1">
        <v>7.94</v>
      </c>
      <c r="Z563" s="1">
        <v>33.700000000000003</v>
      </c>
      <c r="AB563" s="1">
        <v>16.850000000000001</v>
      </c>
      <c r="AC563" s="20">
        <v>6.6040679999999998</v>
      </c>
      <c r="AD563" s="20">
        <v>7.9389519999999996</v>
      </c>
      <c r="AE563" s="20">
        <v>33.703336</v>
      </c>
      <c r="AF563">
        <v>7.83</v>
      </c>
      <c r="AG563">
        <v>33.209989999999998</v>
      </c>
      <c r="AH563">
        <v>6.46</v>
      </c>
      <c r="AI563">
        <v>0</v>
      </c>
      <c r="AM563">
        <v>34</v>
      </c>
      <c r="AN563" s="44">
        <f t="shared" si="137"/>
        <v>1766.0147999999999</v>
      </c>
      <c r="AO563" s="46">
        <v>1767.0449718798691</v>
      </c>
      <c r="AP563" s="44">
        <v>1679.8210721820001</v>
      </c>
      <c r="AQ563" s="44">
        <v>0</v>
      </c>
      <c r="AR563" s="41"/>
      <c r="AS563" s="40">
        <v>7.6964651247849417E-2</v>
      </c>
      <c r="AT563" s="41">
        <v>8.0961003676030277E-2</v>
      </c>
      <c r="AU563" s="41"/>
      <c r="AV563" s="23">
        <v>1.62962962962963</v>
      </c>
      <c r="AW563" s="23">
        <v>2.518518518518519</v>
      </c>
      <c r="AX563" s="23">
        <v>0.88888888888888884</v>
      </c>
      <c r="AY563" s="23">
        <v>0</v>
      </c>
      <c r="AZ563" s="23">
        <v>0.32352941176470579</v>
      </c>
      <c r="BA563" s="23">
        <v>0.5</v>
      </c>
      <c r="BB563" s="23">
        <v>0.1764705882352941</v>
      </c>
      <c r="BC563" s="23">
        <v>0</v>
      </c>
      <c r="BD563" s="20">
        <v>0.82</v>
      </c>
      <c r="BE563" s="20">
        <v>3.44</v>
      </c>
      <c r="BF563" s="20">
        <v>2.62</v>
      </c>
      <c r="BG563" s="20">
        <v>2.642962962962963</v>
      </c>
      <c r="BH563">
        <v>2.642962962962963</v>
      </c>
      <c r="BI563">
        <v>5.9587362692592576</v>
      </c>
      <c r="BJ563" s="64">
        <v>0.48264383878002159</v>
      </c>
      <c r="BK563" s="64">
        <v>0.50770488753139842</v>
      </c>
      <c r="BL563" s="64"/>
      <c r="BN563">
        <v>3.8482325623924708E-2</v>
      </c>
      <c r="BO563">
        <v>4.0480501838015132E-2</v>
      </c>
      <c r="BQ563">
        <v>7.8962827461939847E-2</v>
      </c>
      <c r="BR563">
        <v>3.9481413730969923E-2</v>
      </c>
      <c r="BS563">
        <v>0.49517436315571001</v>
      </c>
      <c r="BT563" s="68" t="s">
        <v>1264</v>
      </c>
      <c r="BU563" s="68">
        <v>1473</v>
      </c>
      <c r="BX563" s="68" t="s">
        <v>1275</v>
      </c>
      <c r="BY563" s="68" t="s">
        <v>56</v>
      </c>
      <c r="BZ563" s="68">
        <v>0.1</v>
      </c>
      <c r="CA563" s="68">
        <v>11.3</v>
      </c>
      <c r="CB563" s="68">
        <v>1.51</v>
      </c>
      <c r="CC563" s="68">
        <v>0</v>
      </c>
      <c r="CD563" s="68" t="s">
        <v>464</v>
      </c>
      <c r="CE563" s="68" t="s">
        <v>464</v>
      </c>
      <c r="CF563" s="68" t="s">
        <v>1266</v>
      </c>
      <c r="CG563" s="68">
        <v>450</v>
      </c>
      <c r="CI563" s="68" t="s">
        <v>1287</v>
      </c>
      <c r="CK563" s="70">
        <v>1472</v>
      </c>
    </row>
    <row r="564" spans="1:89" x14ac:dyDescent="0.3">
      <c r="A564" t="s">
        <v>0</v>
      </c>
      <c r="B564" t="s">
        <v>0</v>
      </c>
      <c r="C564" t="s">
        <v>685</v>
      </c>
      <c r="D564" s="12"/>
      <c r="E564">
        <v>3.3</v>
      </c>
      <c r="F564" t="s">
        <v>257</v>
      </c>
      <c r="G564" s="8" t="s">
        <v>523</v>
      </c>
      <c r="H564" t="s">
        <v>606</v>
      </c>
      <c r="M564" t="b">
        <v>1</v>
      </c>
      <c r="N564" t="b">
        <v>1</v>
      </c>
      <c r="O564" t="b">
        <v>0</v>
      </c>
      <c r="P564" t="b">
        <v>0</v>
      </c>
      <c r="Q564" t="s">
        <v>523</v>
      </c>
      <c r="R564" t="s">
        <v>606</v>
      </c>
      <c r="T564" s="81">
        <v>4</v>
      </c>
      <c r="U564" s="20">
        <v>4</v>
      </c>
      <c r="V564">
        <v>4</v>
      </c>
      <c r="W564">
        <v>0</v>
      </c>
      <c r="X564" s="1">
        <v>6.6</v>
      </c>
      <c r="Y564" s="1">
        <v>7.94</v>
      </c>
      <c r="Z564" s="1">
        <v>33.700000000000003</v>
      </c>
      <c r="AB564" s="1">
        <v>16.850000000000001</v>
      </c>
      <c r="AC564" s="20">
        <v>6.6040679999999998</v>
      </c>
      <c r="AD564" s="20">
        <v>7.9389519999999996</v>
      </c>
      <c r="AE564" s="20">
        <v>33.703336</v>
      </c>
      <c r="AF564">
        <v>7.83</v>
      </c>
      <c r="AG564">
        <v>33.209989999999998</v>
      </c>
      <c r="AH564">
        <v>6.46</v>
      </c>
      <c r="AI564">
        <v>0</v>
      </c>
      <c r="AM564">
        <v>34</v>
      </c>
      <c r="AN564" s="44">
        <f t="shared" si="137"/>
        <v>1766.0147999999999</v>
      </c>
      <c r="AO564" s="46">
        <v>1767.0449718798691</v>
      </c>
      <c r="AP564" s="44">
        <v>1679.8210721820001</v>
      </c>
      <c r="AQ564" s="44">
        <v>0</v>
      </c>
      <c r="AR564" s="41"/>
      <c r="AS564" s="40">
        <v>7.6964651247849417E-2</v>
      </c>
      <c r="AT564" s="41">
        <v>8.0961003676030277E-2</v>
      </c>
      <c r="AU564" s="41"/>
      <c r="AV564" s="23">
        <v>1.62962962962963</v>
      </c>
      <c r="AW564" s="23">
        <v>2.518518518518519</v>
      </c>
      <c r="AX564" s="23">
        <v>0.88888888888888884</v>
      </c>
      <c r="AY564" s="23">
        <v>0</v>
      </c>
      <c r="AZ564" s="23">
        <v>0.32352941176470579</v>
      </c>
      <c r="BA564" s="23">
        <v>0.5</v>
      </c>
      <c r="BB564" s="23">
        <v>0.1764705882352941</v>
      </c>
      <c r="BC564" s="23">
        <v>0</v>
      </c>
      <c r="BD564" s="20">
        <v>0.82</v>
      </c>
      <c r="BE564" s="20">
        <v>3.44</v>
      </c>
      <c r="BF564" s="20">
        <v>2.62</v>
      </c>
      <c r="BG564" s="20">
        <v>2.642962962962963</v>
      </c>
      <c r="BH564">
        <v>2.642962962962963</v>
      </c>
      <c r="BI564">
        <v>5.9587362692592576</v>
      </c>
      <c r="BJ564" s="64">
        <v>0.48264383878002159</v>
      </c>
      <c r="BK564" s="64">
        <v>0.50770488753139842</v>
      </c>
      <c r="BL564" s="64"/>
      <c r="BN564">
        <v>3.8482325623924708E-2</v>
      </c>
      <c r="BO564">
        <v>4.0480501838015132E-2</v>
      </c>
      <c r="BQ564">
        <v>7.8962827461939847E-2</v>
      </c>
      <c r="BR564">
        <v>3.9481413730969923E-2</v>
      </c>
      <c r="BS564">
        <v>0.49517436315571001</v>
      </c>
      <c r="BT564" s="68" t="s">
        <v>1264</v>
      </c>
      <c r="BU564" s="68">
        <v>1473</v>
      </c>
      <c r="BX564" s="68" t="s">
        <v>1275</v>
      </c>
      <c r="BY564" s="68" t="s">
        <v>56</v>
      </c>
      <c r="BZ564" s="68">
        <v>0.1</v>
      </c>
      <c r="CA564" s="68">
        <v>11.2</v>
      </c>
      <c r="CB564" s="68">
        <v>1.51</v>
      </c>
      <c r="CC564" s="68">
        <v>0</v>
      </c>
      <c r="CD564" s="68" t="s">
        <v>464</v>
      </c>
      <c r="CE564" s="68" t="s">
        <v>464</v>
      </c>
      <c r="CF564" s="68" t="s">
        <v>1266</v>
      </c>
      <c r="CG564" s="68">
        <v>450</v>
      </c>
      <c r="CI564" s="68" t="s">
        <v>1287</v>
      </c>
      <c r="CK564" s="70">
        <v>1304</v>
      </c>
    </row>
    <row r="565" spans="1:89" x14ac:dyDescent="0.3">
      <c r="A565" t="s">
        <v>0</v>
      </c>
      <c r="B565" t="s">
        <v>0</v>
      </c>
      <c r="C565" t="s">
        <v>685</v>
      </c>
      <c r="D565" s="12"/>
      <c r="E565">
        <v>3.3</v>
      </c>
      <c r="F565" t="s">
        <v>257</v>
      </c>
      <c r="G565" s="8" t="s">
        <v>523</v>
      </c>
      <c r="H565" t="s">
        <v>606</v>
      </c>
      <c r="M565" t="b">
        <v>1</v>
      </c>
      <c r="N565" t="b">
        <v>1</v>
      </c>
      <c r="O565" t="b">
        <v>0</v>
      </c>
      <c r="P565" t="b">
        <v>0</v>
      </c>
      <c r="Q565" t="s">
        <v>523</v>
      </c>
      <c r="R565" t="s">
        <v>606</v>
      </c>
      <c r="T565" s="81">
        <v>4</v>
      </c>
      <c r="U565" s="20">
        <v>4</v>
      </c>
      <c r="V565">
        <v>4</v>
      </c>
      <c r="W565">
        <v>0</v>
      </c>
      <c r="X565" s="1">
        <v>6.6</v>
      </c>
      <c r="Y565" s="1">
        <v>7.94</v>
      </c>
      <c r="Z565" s="1">
        <v>33.700000000000003</v>
      </c>
      <c r="AB565" s="1">
        <v>16.850000000000001</v>
      </c>
      <c r="AC565" s="20">
        <v>6.6040679999999998</v>
      </c>
      <c r="AD565" s="20">
        <v>7.9389519999999996</v>
      </c>
      <c r="AE565" s="20">
        <v>33.703336</v>
      </c>
      <c r="AF565">
        <v>7.83</v>
      </c>
      <c r="AG565">
        <v>33.209989999999998</v>
      </c>
      <c r="AH565">
        <v>6.46</v>
      </c>
      <c r="AI565">
        <v>0</v>
      </c>
      <c r="AM565">
        <v>34</v>
      </c>
      <c r="AN565" s="44">
        <f t="shared" si="137"/>
        <v>1766.0147999999999</v>
      </c>
      <c r="AO565" s="46">
        <v>1767.0449718798691</v>
      </c>
      <c r="AP565" s="44">
        <v>1679.8210721820001</v>
      </c>
      <c r="AQ565" s="44">
        <v>0</v>
      </c>
      <c r="AR565" s="41"/>
      <c r="AS565" s="40">
        <v>7.6964651247849417E-2</v>
      </c>
      <c r="AT565" s="41">
        <v>8.0961003676030277E-2</v>
      </c>
      <c r="AU565" s="41"/>
      <c r="AV565" s="23">
        <v>1.62962962962963</v>
      </c>
      <c r="AW565" s="23">
        <v>2.518518518518519</v>
      </c>
      <c r="AX565" s="23">
        <v>0.88888888888888884</v>
      </c>
      <c r="AY565" s="23">
        <v>0</v>
      </c>
      <c r="AZ565" s="23">
        <v>0.32352941176470579</v>
      </c>
      <c r="BA565" s="23">
        <v>0.5</v>
      </c>
      <c r="BB565" s="23">
        <v>0.1764705882352941</v>
      </c>
      <c r="BC565" s="23">
        <v>0</v>
      </c>
      <c r="BD565" s="20">
        <v>0.82</v>
      </c>
      <c r="BE565" s="20">
        <v>3.44</v>
      </c>
      <c r="BF565" s="20">
        <v>2.62</v>
      </c>
      <c r="BG565" s="20">
        <v>2.642962962962963</v>
      </c>
      <c r="BH565">
        <v>2.642962962962963</v>
      </c>
      <c r="BI565">
        <v>5.9587362692592576</v>
      </c>
      <c r="BJ565" s="64">
        <v>0.48264383878002159</v>
      </c>
      <c r="BK565" s="64">
        <v>0.50770488753139842</v>
      </c>
      <c r="BL565" s="64"/>
      <c r="BN565">
        <v>3.8482325623924708E-2</v>
      </c>
      <c r="BO565">
        <v>4.0480501838015132E-2</v>
      </c>
      <c r="BQ565">
        <v>7.8962827461939847E-2</v>
      </c>
      <c r="BR565">
        <v>3.9481413730969923E-2</v>
      </c>
      <c r="BS565">
        <v>0.49517436315571001</v>
      </c>
      <c r="BT565" s="68" t="s">
        <v>1264</v>
      </c>
      <c r="BU565" s="68">
        <v>1473</v>
      </c>
      <c r="BX565" s="68" t="s">
        <v>1275</v>
      </c>
      <c r="BY565" s="68" t="s">
        <v>56</v>
      </c>
      <c r="BZ565" s="68">
        <v>0.1</v>
      </c>
      <c r="CA565" s="68">
        <v>8.5</v>
      </c>
      <c r="CB565" s="68">
        <v>1.51</v>
      </c>
      <c r="CC565" s="68">
        <v>0</v>
      </c>
      <c r="CD565" s="68" t="s">
        <v>464</v>
      </c>
      <c r="CE565" s="68" t="s">
        <v>464</v>
      </c>
      <c r="CF565" s="68" t="s">
        <v>1266</v>
      </c>
      <c r="CG565" s="68">
        <v>450</v>
      </c>
      <c r="CI565" s="68" t="s">
        <v>1287</v>
      </c>
      <c r="CK565" s="70">
        <v>1398</v>
      </c>
    </row>
    <row r="566" spans="1:89" x14ac:dyDescent="0.3">
      <c r="A566" t="s">
        <v>0</v>
      </c>
      <c r="B566" t="s">
        <v>0</v>
      </c>
      <c r="C566" t="s">
        <v>685</v>
      </c>
      <c r="D566" s="12"/>
      <c r="E566">
        <v>3.3</v>
      </c>
      <c r="F566" t="s">
        <v>257</v>
      </c>
      <c r="G566" s="8" t="s">
        <v>523</v>
      </c>
      <c r="H566" t="s">
        <v>606</v>
      </c>
      <c r="M566" t="b">
        <v>1</v>
      </c>
      <c r="N566" t="b">
        <v>1</v>
      </c>
      <c r="O566" t="b">
        <v>0</v>
      </c>
      <c r="P566" t="b">
        <v>0</v>
      </c>
      <c r="Q566" t="s">
        <v>523</v>
      </c>
      <c r="R566" t="s">
        <v>606</v>
      </c>
      <c r="T566" s="81">
        <v>4</v>
      </c>
      <c r="U566" s="20">
        <v>4</v>
      </c>
      <c r="V566">
        <v>4</v>
      </c>
      <c r="W566">
        <v>0</v>
      </c>
      <c r="X566" s="1">
        <v>6.6</v>
      </c>
      <c r="Y566" s="1">
        <v>7.94</v>
      </c>
      <c r="Z566" s="1">
        <v>33.700000000000003</v>
      </c>
      <c r="AB566" s="1">
        <v>16.850000000000001</v>
      </c>
      <c r="AC566" s="20">
        <v>6.6040679999999998</v>
      </c>
      <c r="AD566" s="20">
        <v>7.9389519999999996</v>
      </c>
      <c r="AE566" s="20">
        <v>33.703336</v>
      </c>
      <c r="AF566">
        <v>7.83</v>
      </c>
      <c r="AG566">
        <v>33.209989999999998</v>
      </c>
      <c r="AH566">
        <v>6.46</v>
      </c>
      <c r="AI566">
        <v>0</v>
      </c>
      <c r="AM566">
        <v>34</v>
      </c>
      <c r="AN566" s="44">
        <f t="shared" ref="AN566:AN573" si="138">X566*Y566*Z566</f>
        <v>1766.0147999999999</v>
      </c>
      <c r="AO566" s="46">
        <v>1767.0449718798691</v>
      </c>
      <c r="AP566" s="44">
        <v>1679.8210721820001</v>
      </c>
      <c r="AQ566" s="44">
        <v>0</v>
      </c>
      <c r="AR566" s="41"/>
      <c r="AS566" s="40">
        <v>7.6964651247849417E-2</v>
      </c>
      <c r="AT566" s="41">
        <v>8.0961003676030277E-2</v>
      </c>
      <c r="AU566" s="41"/>
      <c r="AV566" s="23">
        <v>1.62962962962963</v>
      </c>
      <c r="AW566" s="23">
        <v>2.518518518518519</v>
      </c>
      <c r="AX566" s="23">
        <v>0.88888888888888884</v>
      </c>
      <c r="AY566" s="23">
        <v>0</v>
      </c>
      <c r="AZ566" s="23">
        <v>0.32352941176470579</v>
      </c>
      <c r="BA566" s="23">
        <v>0.5</v>
      </c>
      <c r="BB566" s="23">
        <v>0.1764705882352941</v>
      </c>
      <c r="BC566" s="23">
        <v>0</v>
      </c>
      <c r="BD566" s="20">
        <v>0.82</v>
      </c>
      <c r="BE566" s="20">
        <v>3.44</v>
      </c>
      <c r="BF566" s="20">
        <v>2.62</v>
      </c>
      <c r="BG566" s="20">
        <v>2.642962962962963</v>
      </c>
      <c r="BH566">
        <v>2.642962962962963</v>
      </c>
      <c r="BI566">
        <v>5.9587362692592576</v>
      </c>
      <c r="BJ566" s="64">
        <v>0.48264383878002159</v>
      </c>
      <c r="BK566" s="64">
        <v>0.50770488753139842</v>
      </c>
      <c r="BL566" s="64"/>
      <c r="BN566">
        <v>3.8482325623924708E-2</v>
      </c>
      <c r="BO566">
        <v>4.0480501838015132E-2</v>
      </c>
      <c r="BQ566">
        <v>7.8962827461939847E-2</v>
      </c>
      <c r="BR566">
        <v>3.9481413730969923E-2</v>
      </c>
      <c r="BS566">
        <v>0.49517436315571001</v>
      </c>
      <c r="BT566" s="68" t="s">
        <v>1264</v>
      </c>
      <c r="BU566" s="68">
        <v>1473</v>
      </c>
      <c r="BX566" s="68" t="s">
        <v>1275</v>
      </c>
      <c r="BY566" s="68" t="s">
        <v>56</v>
      </c>
      <c r="BZ566" s="68">
        <v>0.1</v>
      </c>
      <c r="CA566" s="68">
        <v>7.8</v>
      </c>
      <c r="CB566" s="68">
        <v>1.51</v>
      </c>
      <c r="CC566" s="68">
        <v>0</v>
      </c>
      <c r="CD566" s="68" t="s">
        <v>464</v>
      </c>
      <c r="CE566" s="68" t="s">
        <v>464</v>
      </c>
      <c r="CF566" s="68" t="s">
        <v>1266</v>
      </c>
      <c r="CG566" s="68">
        <v>450</v>
      </c>
      <c r="CI566" s="68" t="s">
        <v>1287</v>
      </c>
      <c r="CK566" s="70">
        <v>1742</v>
      </c>
    </row>
    <row r="567" spans="1:89" x14ac:dyDescent="0.3">
      <c r="A567" t="s">
        <v>0</v>
      </c>
      <c r="B567" t="s">
        <v>0</v>
      </c>
      <c r="C567" t="s">
        <v>685</v>
      </c>
      <c r="D567" s="12"/>
      <c r="E567">
        <v>3.3</v>
      </c>
      <c r="F567" t="s">
        <v>257</v>
      </c>
      <c r="G567" s="8" t="s">
        <v>523</v>
      </c>
      <c r="H567" t="s">
        <v>606</v>
      </c>
      <c r="M567" t="b">
        <v>1</v>
      </c>
      <c r="N567" t="b">
        <v>1</v>
      </c>
      <c r="O567" t="b">
        <v>0</v>
      </c>
      <c r="P567" t="b">
        <v>0</v>
      </c>
      <c r="Q567" t="s">
        <v>523</v>
      </c>
      <c r="R567" t="s">
        <v>606</v>
      </c>
      <c r="T567" s="81">
        <v>4</v>
      </c>
      <c r="U567" s="20">
        <v>4</v>
      </c>
      <c r="V567">
        <v>4</v>
      </c>
      <c r="W567">
        <v>0</v>
      </c>
      <c r="X567" s="1">
        <v>6.6</v>
      </c>
      <c r="Y567" s="1">
        <v>7.94</v>
      </c>
      <c r="Z567" s="1">
        <v>33.700000000000003</v>
      </c>
      <c r="AB567" s="1">
        <v>16.850000000000001</v>
      </c>
      <c r="AC567" s="20">
        <v>6.6040679999999998</v>
      </c>
      <c r="AD567" s="20">
        <v>7.9389519999999996</v>
      </c>
      <c r="AE567" s="20">
        <v>33.703336</v>
      </c>
      <c r="AF567">
        <v>7.83</v>
      </c>
      <c r="AG567">
        <v>33.209989999999998</v>
      </c>
      <c r="AH567">
        <v>6.46</v>
      </c>
      <c r="AI567">
        <v>0</v>
      </c>
      <c r="AM567">
        <v>34</v>
      </c>
      <c r="AN567" s="44">
        <f t="shared" si="138"/>
        <v>1766.0147999999999</v>
      </c>
      <c r="AO567" s="46">
        <v>1767.0449718798691</v>
      </c>
      <c r="AP567" s="44">
        <v>1679.8210721820001</v>
      </c>
      <c r="AQ567" s="44">
        <v>0</v>
      </c>
      <c r="AR567" s="41"/>
      <c r="AS567" s="40">
        <v>7.6964651247849417E-2</v>
      </c>
      <c r="AT567" s="41">
        <v>8.0961003676030277E-2</v>
      </c>
      <c r="AU567" s="41"/>
      <c r="AV567" s="23">
        <v>1.62962962962963</v>
      </c>
      <c r="AW567" s="23">
        <v>2.518518518518519</v>
      </c>
      <c r="AX567" s="23">
        <v>0.88888888888888884</v>
      </c>
      <c r="AY567" s="23">
        <v>0</v>
      </c>
      <c r="AZ567" s="23">
        <v>0.32352941176470579</v>
      </c>
      <c r="BA567" s="23">
        <v>0.5</v>
      </c>
      <c r="BB567" s="23">
        <v>0.1764705882352941</v>
      </c>
      <c r="BC567" s="23">
        <v>0</v>
      </c>
      <c r="BD567" s="20">
        <v>0.82</v>
      </c>
      <c r="BE567" s="20">
        <v>3.44</v>
      </c>
      <c r="BF567" s="20">
        <v>2.62</v>
      </c>
      <c r="BG567" s="20">
        <v>2.642962962962963</v>
      </c>
      <c r="BH567">
        <v>2.642962962962963</v>
      </c>
      <c r="BI567">
        <v>5.9587362692592576</v>
      </c>
      <c r="BJ567" s="64">
        <v>0.48264383878002159</v>
      </c>
      <c r="BK567" s="64">
        <v>0.50770488753139842</v>
      </c>
      <c r="BL567" s="64"/>
      <c r="BN567">
        <v>3.8482325623924708E-2</v>
      </c>
      <c r="BO567">
        <v>4.0480501838015132E-2</v>
      </c>
      <c r="BQ567">
        <v>7.8962827461939847E-2</v>
      </c>
      <c r="BR567">
        <v>3.9481413730969923E-2</v>
      </c>
      <c r="BS567">
        <v>0.49517436315571001</v>
      </c>
      <c r="BT567" s="68" t="s">
        <v>1264</v>
      </c>
      <c r="BU567" s="68">
        <v>1473</v>
      </c>
      <c r="BX567" s="68" t="s">
        <v>1275</v>
      </c>
      <c r="BY567" s="68" t="s">
        <v>56</v>
      </c>
      <c r="BZ567" s="68">
        <v>0.1</v>
      </c>
      <c r="CA567" s="68">
        <v>6.2</v>
      </c>
      <c r="CB567" s="68">
        <v>1.51</v>
      </c>
      <c r="CC567" s="68">
        <v>0</v>
      </c>
      <c r="CD567" s="68" t="s">
        <v>464</v>
      </c>
      <c r="CE567" s="68" t="s">
        <v>464</v>
      </c>
      <c r="CF567" s="68" t="s">
        <v>1266</v>
      </c>
      <c r="CG567" s="68">
        <v>450</v>
      </c>
      <c r="CI567" s="68" t="s">
        <v>1287</v>
      </c>
      <c r="CK567" s="70">
        <v>1644</v>
      </c>
    </row>
    <row r="568" spans="1:89" x14ac:dyDescent="0.3">
      <c r="A568" t="s">
        <v>0</v>
      </c>
      <c r="B568" t="s">
        <v>0</v>
      </c>
      <c r="C568" t="s">
        <v>685</v>
      </c>
      <c r="D568" s="12"/>
      <c r="E568">
        <v>3.3</v>
      </c>
      <c r="F568" t="s">
        <v>257</v>
      </c>
      <c r="G568" s="8" t="s">
        <v>523</v>
      </c>
      <c r="H568" t="s">
        <v>606</v>
      </c>
      <c r="M568" t="b">
        <v>1</v>
      </c>
      <c r="N568" t="b">
        <v>1</v>
      </c>
      <c r="O568" t="b">
        <v>0</v>
      </c>
      <c r="P568" t="b">
        <v>0</v>
      </c>
      <c r="Q568" t="s">
        <v>523</v>
      </c>
      <c r="R568" t="s">
        <v>606</v>
      </c>
      <c r="T568" s="81">
        <v>4</v>
      </c>
      <c r="U568" s="20">
        <v>4</v>
      </c>
      <c r="V568">
        <v>4</v>
      </c>
      <c r="W568">
        <v>0</v>
      </c>
      <c r="X568" s="1">
        <v>6.6</v>
      </c>
      <c r="Y568" s="1">
        <v>7.94</v>
      </c>
      <c r="Z568" s="1">
        <v>33.700000000000003</v>
      </c>
      <c r="AB568" s="1">
        <v>16.850000000000001</v>
      </c>
      <c r="AC568" s="20">
        <v>6.6040679999999998</v>
      </c>
      <c r="AD568" s="20">
        <v>7.9389519999999996</v>
      </c>
      <c r="AE568" s="20">
        <v>33.703336</v>
      </c>
      <c r="AF568">
        <v>7.83</v>
      </c>
      <c r="AG568">
        <v>33.209989999999998</v>
      </c>
      <c r="AH568">
        <v>6.46</v>
      </c>
      <c r="AI568">
        <v>0</v>
      </c>
      <c r="AM568">
        <v>34</v>
      </c>
      <c r="AN568" s="44">
        <f t="shared" si="138"/>
        <v>1766.0147999999999</v>
      </c>
      <c r="AO568" s="46">
        <v>1767.0449718798691</v>
      </c>
      <c r="AP568" s="44">
        <v>1679.8210721820001</v>
      </c>
      <c r="AQ568" s="44">
        <v>0</v>
      </c>
      <c r="AR568" s="41"/>
      <c r="AS568" s="40">
        <v>7.6964651247849417E-2</v>
      </c>
      <c r="AT568" s="41">
        <v>8.0961003676030277E-2</v>
      </c>
      <c r="AU568" s="41"/>
      <c r="AV568" s="23">
        <v>1.62962962962963</v>
      </c>
      <c r="AW568" s="23">
        <v>2.518518518518519</v>
      </c>
      <c r="AX568" s="23">
        <v>0.88888888888888884</v>
      </c>
      <c r="AY568" s="23">
        <v>0</v>
      </c>
      <c r="AZ568" s="23">
        <v>0.32352941176470579</v>
      </c>
      <c r="BA568" s="23">
        <v>0.5</v>
      </c>
      <c r="BB568" s="23">
        <v>0.1764705882352941</v>
      </c>
      <c r="BC568" s="23">
        <v>0</v>
      </c>
      <c r="BD568" s="20">
        <v>0.82</v>
      </c>
      <c r="BE568" s="20">
        <v>3.44</v>
      </c>
      <c r="BF568" s="20">
        <v>2.62</v>
      </c>
      <c r="BG568" s="20">
        <v>2.642962962962963</v>
      </c>
      <c r="BH568">
        <v>2.642962962962963</v>
      </c>
      <c r="BI568">
        <v>5.9587362692592576</v>
      </c>
      <c r="BJ568" s="64">
        <v>0.48264383878002159</v>
      </c>
      <c r="BK568" s="64">
        <v>0.50770488753139842</v>
      </c>
      <c r="BL568" s="64"/>
      <c r="BN568">
        <v>3.8482325623924708E-2</v>
      </c>
      <c r="BO568">
        <v>4.0480501838015132E-2</v>
      </c>
      <c r="BQ568">
        <v>7.8962827461939847E-2</v>
      </c>
      <c r="BR568">
        <v>3.9481413730969923E-2</v>
      </c>
      <c r="BS568">
        <v>0.49517436315571001</v>
      </c>
      <c r="BT568" s="68" t="s">
        <v>1264</v>
      </c>
      <c r="BU568" s="68">
        <v>1473</v>
      </c>
      <c r="BX568" s="68" t="s">
        <v>1275</v>
      </c>
      <c r="BY568" s="68" t="s">
        <v>56</v>
      </c>
      <c r="BZ568" s="68">
        <v>1</v>
      </c>
      <c r="CA568" s="68">
        <v>1</v>
      </c>
      <c r="CB568" s="68">
        <v>1.51</v>
      </c>
      <c r="CC568" s="68">
        <v>0</v>
      </c>
      <c r="CD568" s="68" t="s">
        <v>464</v>
      </c>
      <c r="CE568" s="68" t="s">
        <v>464</v>
      </c>
      <c r="CF568" s="68" t="s">
        <v>1266</v>
      </c>
      <c r="CG568" s="68">
        <v>450</v>
      </c>
      <c r="CI568" s="68" t="s">
        <v>1287</v>
      </c>
      <c r="CK568" s="70">
        <v>1568</v>
      </c>
    </row>
    <row r="569" spans="1:89" x14ac:dyDescent="0.3">
      <c r="A569" t="s">
        <v>0</v>
      </c>
      <c r="B569" t="s">
        <v>0</v>
      </c>
      <c r="C569" t="s">
        <v>685</v>
      </c>
      <c r="D569" s="12"/>
      <c r="E569">
        <v>3.3</v>
      </c>
      <c r="F569" t="s">
        <v>257</v>
      </c>
      <c r="G569" s="8" t="s">
        <v>523</v>
      </c>
      <c r="H569" t="s">
        <v>606</v>
      </c>
      <c r="M569" t="b">
        <v>1</v>
      </c>
      <c r="N569" t="b">
        <v>1</v>
      </c>
      <c r="O569" t="b">
        <v>0</v>
      </c>
      <c r="P569" t="b">
        <v>0</v>
      </c>
      <c r="Q569" t="s">
        <v>523</v>
      </c>
      <c r="R569" t="s">
        <v>606</v>
      </c>
      <c r="T569" s="81">
        <v>4</v>
      </c>
      <c r="U569" s="20">
        <v>4</v>
      </c>
      <c r="V569">
        <v>4</v>
      </c>
      <c r="W569">
        <v>0</v>
      </c>
      <c r="X569" s="1">
        <v>6.6</v>
      </c>
      <c r="Y569" s="1">
        <v>7.94</v>
      </c>
      <c r="Z569" s="1">
        <v>33.700000000000003</v>
      </c>
      <c r="AB569" s="1">
        <v>16.850000000000001</v>
      </c>
      <c r="AC569" s="20">
        <v>6.6040679999999998</v>
      </c>
      <c r="AD569" s="20">
        <v>7.9389519999999996</v>
      </c>
      <c r="AE569" s="20">
        <v>33.703336</v>
      </c>
      <c r="AF569">
        <v>7.83</v>
      </c>
      <c r="AG569">
        <v>33.209989999999998</v>
      </c>
      <c r="AH569">
        <v>6.46</v>
      </c>
      <c r="AI569">
        <v>0</v>
      </c>
      <c r="AM569">
        <v>34</v>
      </c>
      <c r="AN569" s="44">
        <f t="shared" si="138"/>
        <v>1766.0147999999999</v>
      </c>
      <c r="AO569" s="46">
        <v>1767.0449718798691</v>
      </c>
      <c r="AP569" s="44">
        <v>1679.8210721820001</v>
      </c>
      <c r="AQ569" s="44">
        <v>0</v>
      </c>
      <c r="AR569" s="41"/>
      <c r="AS569" s="40">
        <v>7.6964651247849417E-2</v>
      </c>
      <c r="AT569" s="41">
        <v>8.0961003676030277E-2</v>
      </c>
      <c r="AU569" s="41"/>
      <c r="AV569" s="23">
        <v>1.62962962962963</v>
      </c>
      <c r="AW569" s="23">
        <v>2.518518518518519</v>
      </c>
      <c r="AX569" s="23">
        <v>0.88888888888888884</v>
      </c>
      <c r="AY569" s="23">
        <v>0</v>
      </c>
      <c r="AZ569" s="23">
        <v>0.32352941176470579</v>
      </c>
      <c r="BA569" s="23">
        <v>0.5</v>
      </c>
      <c r="BB569" s="23">
        <v>0.1764705882352941</v>
      </c>
      <c r="BC569" s="23">
        <v>0</v>
      </c>
      <c r="BD569" s="20">
        <v>0.82</v>
      </c>
      <c r="BE569" s="20">
        <v>3.44</v>
      </c>
      <c r="BF569" s="20">
        <v>2.62</v>
      </c>
      <c r="BG569" s="20">
        <v>2.642962962962963</v>
      </c>
      <c r="BH569">
        <v>2.642962962962963</v>
      </c>
      <c r="BI569">
        <v>5.9587362692592576</v>
      </c>
      <c r="BJ569" s="64">
        <v>0.48264383878002159</v>
      </c>
      <c r="BK569" s="64">
        <v>0.50770488753139842</v>
      </c>
      <c r="BL569" s="64"/>
      <c r="BN569">
        <v>3.8482325623924708E-2</v>
      </c>
      <c r="BO569">
        <v>4.0480501838015132E-2</v>
      </c>
      <c r="BQ569">
        <v>7.8962827461939847E-2</v>
      </c>
      <c r="BR569">
        <v>3.9481413730969923E-2</v>
      </c>
      <c r="BS569">
        <v>0.49517436315571001</v>
      </c>
      <c r="BT569" s="68" t="s">
        <v>1264</v>
      </c>
      <c r="BU569" s="68">
        <v>1473</v>
      </c>
      <c r="BX569" s="68" t="s">
        <v>1275</v>
      </c>
      <c r="BY569" s="68" t="s">
        <v>56</v>
      </c>
      <c r="BZ569" s="68">
        <v>1</v>
      </c>
      <c r="CA569" s="68">
        <v>17.3</v>
      </c>
      <c r="CB569" s="68">
        <v>1.51</v>
      </c>
      <c r="CC569" s="68">
        <v>0</v>
      </c>
      <c r="CD569" s="68" t="s">
        <v>464</v>
      </c>
      <c r="CE569" s="68" t="s">
        <v>464</v>
      </c>
      <c r="CF569" s="68" t="s">
        <v>1266</v>
      </c>
      <c r="CG569" s="68">
        <v>450</v>
      </c>
      <c r="CI569" s="68" t="s">
        <v>1287</v>
      </c>
      <c r="CK569" s="70">
        <v>2406</v>
      </c>
    </row>
    <row r="570" spans="1:89" x14ac:dyDescent="0.3">
      <c r="A570" t="s">
        <v>0</v>
      </c>
      <c r="B570" t="s">
        <v>0</v>
      </c>
      <c r="C570" t="s">
        <v>685</v>
      </c>
      <c r="D570" s="12"/>
      <c r="E570">
        <v>3.3</v>
      </c>
      <c r="F570" t="s">
        <v>257</v>
      </c>
      <c r="G570" s="8" t="s">
        <v>523</v>
      </c>
      <c r="H570" t="s">
        <v>606</v>
      </c>
      <c r="M570" t="b">
        <v>1</v>
      </c>
      <c r="N570" t="b">
        <v>1</v>
      </c>
      <c r="O570" t="b">
        <v>0</v>
      </c>
      <c r="P570" t="b">
        <v>0</v>
      </c>
      <c r="Q570" t="s">
        <v>523</v>
      </c>
      <c r="R570" t="s">
        <v>606</v>
      </c>
      <c r="T570" s="81">
        <v>4</v>
      </c>
      <c r="U570" s="20">
        <v>4</v>
      </c>
      <c r="V570">
        <v>4</v>
      </c>
      <c r="W570">
        <v>0</v>
      </c>
      <c r="X570" s="1">
        <v>6.6</v>
      </c>
      <c r="Y570" s="1">
        <v>7.94</v>
      </c>
      <c r="Z570" s="1">
        <v>33.700000000000003</v>
      </c>
      <c r="AB570" s="1">
        <v>16.850000000000001</v>
      </c>
      <c r="AC570" s="20">
        <v>6.6040679999999998</v>
      </c>
      <c r="AD570" s="20">
        <v>7.9389519999999996</v>
      </c>
      <c r="AE570" s="20">
        <v>33.703336</v>
      </c>
      <c r="AF570">
        <v>7.83</v>
      </c>
      <c r="AG570">
        <v>33.209989999999998</v>
      </c>
      <c r="AH570">
        <v>6.46</v>
      </c>
      <c r="AI570">
        <v>0</v>
      </c>
      <c r="AM570">
        <v>34</v>
      </c>
      <c r="AN570" s="44">
        <f t="shared" si="138"/>
        <v>1766.0147999999999</v>
      </c>
      <c r="AO570" s="46">
        <v>1767.0449718798691</v>
      </c>
      <c r="AP570" s="44">
        <v>1679.8210721820001</v>
      </c>
      <c r="AQ570" s="44">
        <v>0</v>
      </c>
      <c r="AR570" s="41"/>
      <c r="AS570" s="40">
        <v>7.6964651247849417E-2</v>
      </c>
      <c r="AT570" s="41">
        <v>8.0961003676030277E-2</v>
      </c>
      <c r="AU570" s="41"/>
      <c r="AV570" s="23">
        <v>1.62962962962963</v>
      </c>
      <c r="AW570" s="23">
        <v>2.518518518518519</v>
      </c>
      <c r="AX570" s="23">
        <v>0.88888888888888884</v>
      </c>
      <c r="AY570" s="23">
        <v>0</v>
      </c>
      <c r="AZ570" s="23">
        <v>0.32352941176470579</v>
      </c>
      <c r="BA570" s="23">
        <v>0.5</v>
      </c>
      <c r="BB570" s="23">
        <v>0.1764705882352941</v>
      </c>
      <c r="BC570" s="23">
        <v>0</v>
      </c>
      <c r="BD570" s="20">
        <v>0.82</v>
      </c>
      <c r="BE570" s="20">
        <v>3.44</v>
      </c>
      <c r="BF570" s="20">
        <v>2.62</v>
      </c>
      <c r="BG570" s="20">
        <v>2.642962962962963</v>
      </c>
      <c r="BH570">
        <v>2.642962962962963</v>
      </c>
      <c r="BI570">
        <v>5.9587362692592576</v>
      </c>
      <c r="BJ570" s="64">
        <v>0.48264383878002159</v>
      </c>
      <c r="BK570" s="64">
        <v>0.50770488753139842</v>
      </c>
      <c r="BL570" s="64"/>
      <c r="BN570">
        <v>3.8482325623924708E-2</v>
      </c>
      <c r="BO570">
        <v>4.0480501838015132E-2</v>
      </c>
      <c r="BQ570">
        <v>7.8962827461939847E-2</v>
      </c>
      <c r="BR570">
        <v>3.9481413730969923E-2</v>
      </c>
      <c r="BS570">
        <v>0.49517436315571001</v>
      </c>
      <c r="BT570" s="68" t="s">
        <v>1264</v>
      </c>
      <c r="BU570" s="68">
        <v>1473</v>
      </c>
      <c r="BX570" s="68" t="s">
        <v>1275</v>
      </c>
      <c r="BY570" s="68" t="s">
        <v>56</v>
      </c>
      <c r="BZ570" s="68">
        <v>1</v>
      </c>
      <c r="CA570" s="68">
        <v>14.6</v>
      </c>
      <c r="CB570" s="68">
        <v>1.51</v>
      </c>
      <c r="CC570" s="68">
        <v>0</v>
      </c>
      <c r="CD570" s="68" t="s">
        <v>464</v>
      </c>
      <c r="CE570" s="68" t="s">
        <v>464</v>
      </c>
      <c r="CF570" s="68" t="s">
        <v>1266</v>
      </c>
      <c r="CG570" s="68">
        <v>450</v>
      </c>
      <c r="CI570" s="68" t="s">
        <v>1287</v>
      </c>
      <c r="CK570" s="70">
        <v>2632</v>
      </c>
    </row>
    <row r="571" spans="1:89" x14ac:dyDescent="0.3">
      <c r="A571" t="s">
        <v>0</v>
      </c>
      <c r="B571" t="s">
        <v>0</v>
      </c>
      <c r="C571" t="s">
        <v>685</v>
      </c>
      <c r="D571" s="12"/>
      <c r="E571">
        <v>3.3</v>
      </c>
      <c r="F571" t="s">
        <v>257</v>
      </c>
      <c r="G571" s="8" t="s">
        <v>523</v>
      </c>
      <c r="H571" t="s">
        <v>606</v>
      </c>
      <c r="M571" t="b">
        <v>1</v>
      </c>
      <c r="N571" t="b">
        <v>1</v>
      </c>
      <c r="O571" t="b">
        <v>0</v>
      </c>
      <c r="P571" t="b">
        <v>0</v>
      </c>
      <c r="Q571" t="s">
        <v>523</v>
      </c>
      <c r="R571" t="s">
        <v>606</v>
      </c>
      <c r="T571" s="81">
        <v>4</v>
      </c>
      <c r="U571" s="20">
        <v>4</v>
      </c>
      <c r="V571">
        <v>4</v>
      </c>
      <c r="W571">
        <v>0</v>
      </c>
      <c r="X571" s="1">
        <v>6.6</v>
      </c>
      <c r="Y571" s="1">
        <v>7.94</v>
      </c>
      <c r="Z571" s="1">
        <v>33.700000000000003</v>
      </c>
      <c r="AB571" s="1">
        <v>16.850000000000001</v>
      </c>
      <c r="AC571" s="20">
        <v>6.6040679999999998</v>
      </c>
      <c r="AD571" s="20">
        <v>7.9389519999999996</v>
      </c>
      <c r="AE571" s="20">
        <v>33.703336</v>
      </c>
      <c r="AF571">
        <v>7.83</v>
      </c>
      <c r="AG571">
        <v>33.209989999999998</v>
      </c>
      <c r="AH571">
        <v>6.46</v>
      </c>
      <c r="AI571">
        <v>0</v>
      </c>
      <c r="AM571">
        <v>34</v>
      </c>
      <c r="AN571" s="44">
        <f t="shared" si="138"/>
        <v>1766.0147999999999</v>
      </c>
      <c r="AO571" s="46">
        <v>1767.0449718798691</v>
      </c>
      <c r="AP571" s="44">
        <v>1679.8210721820001</v>
      </c>
      <c r="AQ571" s="44">
        <v>0</v>
      </c>
      <c r="AR571" s="41"/>
      <c r="AS571" s="40">
        <v>7.6964651247849417E-2</v>
      </c>
      <c r="AT571" s="41">
        <v>8.0961003676030277E-2</v>
      </c>
      <c r="AU571" s="41"/>
      <c r="AV571" s="23">
        <v>1.62962962962963</v>
      </c>
      <c r="AW571" s="23">
        <v>2.518518518518519</v>
      </c>
      <c r="AX571" s="23">
        <v>0.88888888888888884</v>
      </c>
      <c r="AY571" s="23">
        <v>0</v>
      </c>
      <c r="AZ571" s="23">
        <v>0.32352941176470579</v>
      </c>
      <c r="BA571" s="23">
        <v>0.5</v>
      </c>
      <c r="BB571" s="23">
        <v>0.1764705882352941</v>
      </c>
      <c r="BC571" s="23">
        <v>0</v>
      </c>
      <c r="BD571" s="20">
        <v>0.82</v>
      </c>
      <c r="BE571" s="20">
        <v>3.44</v>
      </c>
      <c r="BF571" s="20">
        <v>2.62</v>
      </c>
      <c r="BG571" s="20">
        <v>2.642962962962963</v>
      </c>
      <c r="BH571">
        <v>2.642962962962963</v>
      </c>
      <c r="BI571">
        <v>5.9587362692592576</v>
      </c>
      <c r="BJ571" s="64">
        <v>0.48264383878002159</v>
      </c>
      <c r="BK571" s="64">
        <v>0.50770488753139842</v>
      </c>
      <c r="BL571" s="64"/>
      <c r="BN571">
        <v>3.8482325623924708E-2</v>
      </c>
      <c r="BO571">
        <v>4.0480501838015132E-2</v>
      </c>
      <c r="BQ571">
        <v>7.8962827461939847E-2</v>
      </c>
      <c r="BR571">
        <v>3.9481413730969923E-2</v>
      </c>
      <c r="BS571">
        <v>0.49517436315571001</v>
      </c>
      <c r="BT571" s="68" t="s">
        <v>1264</v>
      </c>
      <c r="BU571" s="68">
        <v>1473</v>
      </c>
      <c r="BX571" s="68" t="s">
        <v>1275</v>
      </c>
      <c r="BY571" s="68" t="s">
        <v>56</v>
      </c>
      <c r="BZ571" s="68">
        <v>1</v>
      </c>
      <c r="CA571" s="68">
        <v>13.9</v>
      </c>
      <c r="CB571" s="68">
        <v>1.51</v>
      </c>
      <c r="CC571" s="68">
        <v>0</v>
      </c>
      <c r="CD571" s="68" t="s">
        <v>464</v>
      </c>
      <c r="CE571" s="68" t="s">
        <v>464</v>
      </c>
      <c r="CF571" s="68" t="s">
        <v>1266</v>
      </c>
      <c r="CG571" s="68">
        <v>450</v>
      </c>
      <c r="CI571" s="68" t="s">
        <v>1287</v>
      </c>
      <c r="CK571" s="70">
        <v>3216</v>
      </c>
    </row>
    <row r="572" spans="1:89" x14ac:dyDescent="0.3">
      <c r="A572" t="s">
        <v>0</v>
      </c>
      <c r="B572" t="s">
        <v>0</v>
      </c>
      <c r="C572" t="s">
        <v>685</v>
      </c>
      <c r="D572" s="12"/>
      <c r="E572">
        <v>3.3</v>
      </c>
      <c r="F572" t="s">
        <v>257</v>
      </c>
      <c r="G572" s="8" t="s">
        <v>523</v>
      </c>
      <c r="H572" t="s">
        <v>606</v>
      </c>
      <c r="M572" t="b">
        <v>1</v>
      </c>
      <c r="N572" t="b">
        <v>1</v>
      </c>
      <c r="O572" t="b">
        <v>0</v>
      </c>
      <c r="P572" t="b">
        <v>0</v>
      </c>
      <c r="Q572" t="s">
        <v>523</v>
      </c>
      <c r="R572" t="s">
        <v>606</v>
      </c>
      <c r="T572" s="81">
        <v>4</v>
      </c>
      <c r="U572" s="20">
        <v>4</v>
      </c>
      <c r="V572">
        <v>4</v>
      </c>
      <c r="W572">
        <v>0</v>
      </c>
      <c r="X572" s="1">
        <v>6.6</v>
      </c>
      <c r="Y572" s="1">
        <v>7.94</v>
      </c>
      <c r="Z572" s="1">
        <v>33.700000000000003</v>
      </c>
      <c r="AB572" s="1">
        <v>16.850000000000001</v>
      </c>
      <c r="AC572" s="20">
        <v>6.6040679999999998</v>
      </c>
      <c r="AD572" s="20">
        <v>7.9389519999999996</v>
      </c>
      <c r="AE572" s="20">
        <v>33.703336</v>
      </c>
      <c r="AF572">
        <v>7.83</v>
      </c>
      <c r="AG572">
        <v>33.209989999999998</v>
      </c>
      <c r="AH572">
        <v>6.46</v>
      </c>
      <c r="AI572">
        <v>0</v>
      </c>
      <c r="AM572">
        <v>34</v>
      </c>
      <c r="AN572" s="44">
        <f t="shared" si="138"/>
        <v>1766.0147999999999</v>
      </c>
      <c r="AO572" s="46">
        <v>1767.0449718798691</v>
      </c>
      <c r="AP572" s="44">
        <v>1679.8210721820001</v>
      </c>
      <c r="AQ572" s="44">
        <v>0</v>
      </c>
      <c r="AR572" s="41"/>
      <c r="AS572" s="40">
        <v>7.6964651247849417E-2</v>
      </c>
      <c r="AT572" s="41">
        <v>8.0961003676030277E-2</v>
      </c>
      <c r="AU572" s="41"/>
      <c r="AV572" s="23">
        <v>1.62962962962963</v>
      </c>
      <c r="AW572" s="23">
        <v>2.518518518518519</v>
      </c>
      <c r="AX572" s="23">
        <v>0.88888888888888884</v>
      </c>
      <c r="AY572" s="23">
        <v>0</v>
      </c>
      <c r="AZ572" s="23">
        <v>0.32352941176470579</v>
      </c>
      <c r="BA572" s="23">
        <v>0.5</v>
      </c>
      <c r="BB572" s="23">
        <v>0.1764705882352941</v>
      </c>
      <c r="BC572" s="23">
        <v>0</v>
      </c>
      <c r="BD572" s="20">
        <v>0.82</v>
      </c>
      <c r="BE572" s="20">
        <v>3.44</v>
      </c>
      <c r="BF572" s="20">
        <v>2.62</v>
      </c>
      <c r="BG572" s="20">
        <v>2.642962962962963</v>
      </c>
      <c r="BH572">
        <v>2.642962962962963</v>
      </c>
      <c r="BI572">
        <v>5.9587362692592576</v>
      </c>
      <c r="BJ572" s="64">
        <v>0.48264383878002159</v>
      </c>
      <c r="BK572" s="64">
        <v>0.50770488753139842</v>
      </c>
      <c r="BL572" s="64"/>
      <c r="BN572">
        <v>3.8482325623924708E-2</v>
      </c>
      <c r="BO572">
        <v>4.0480501838015132E-2</v>
      </c>
      <c r="BQ572">
        <v>7.8962827461939847E-2</v>
      </c>
      <c r="BR572">
        <v>3.9481413730969923E-2</v>
      </c>
      <c r="BS572">
        <v>0.49517436315571001</v>
      </c>
      <c r="BT572" s="68" t="s">
        <v>1264</v>
      </c>
      <c r="BU572" s="68">
        <v>1473</v>
      </c>
      <c r="BX572" s="68" t="s">
        <v>1275</v>
      </c>
      <c r="BY572" s="68" t="s">
        <v>56</v>
      </c>
      <c r="BZ572" s="68">
        <v>1</v>
      </c>
      <c r="CA572" s="68">
        <v>11.3</v>
      </c>
      <c r="CB572" s="68">
        <v>1.51</v>
      </c>
      <c r="CC572" s="68">
        <v>0</v>
      </c>
      <c r="CD572" s="68" t="s">
        <v>464</v>
      </c>
      <c r="CE572" s="68" t="s">
        <v>464</v>
      </c>
      <c r="CF572" s="68" t="s">
        <v>1266</v>
      </c>
      <c r="CG572" s="68">
        <v>450</v>
      </c>
      <c r="CI572" s="68" t="s">
        <v>1287</v>
      </c>
      <c r="CK572" s="70">
        <v>2932</v>
      </c>
    </row>
    <row r="573" spans="1:89" x14ac:dyDescent="0.3">
      <c r="A573" t="s">
        <v>0</v>
      </c>
      <c r="B573" t="s">
        <v>0</v>
      </c>
      <c r="C573" t="s">
        <v>685</v>
      </c>
      <c r="D573" s="12"/>
      <c r="E573">
        <v>3.3</v>
      </c>
      <c r="F573" t="s">
        <v>257</v>
      </c>
      <c r="G573" s="8" t="s">
        <v>523</v>
      </c>
      <c r="H573" t="s">
        <v>606</v>
      </c>
      <c r="M573" t="b">
        <v>1</v>
      </c>
      <c r="N573" t="b">
        <v>1</v>
      </c>
      <c r="O573" t="b">
        <v>0</v>
      </c>
      <c r="P573" t="b">
        <v>0</v>
      </c>
      <c r="Q573" t="s">
        <v>523</v>
      </c>
      <c r="R573" t="s">
        <v>606</v>
      </c>
      <c r="T573" s="81">
        <v>4</v>
      </c>
      <c r="U573" s="20">
        <v>4</v>
      </c>
      <c r="V573">
        <v>4</v>
      </c>
      <c r="W573">
        <v>0</v>
      </c>
      <c r="X573" s="1">
        <v>6.6</v>
      </c>
      <c r="Y573" s="1">
        <v>7.94</v>
      </c>
      <c r="Z573" s="1">
        <v>33.700000000000003</v>
      </c>
      <c r="AB573" s="1">
        <v>16.850000000000001</v>
      </c>
      <c r="AC573" s="20">
        <v>6.6040679999999998</v>
      </c>
      <c r="AD573" s="20">
        <v>7.9389519999999996</v>
      </c>
      <c r="AE573" s="20">
        <v>33.703336</v>
      </c>
      <c r="AF573">
        <v>7.83</v>
      </c>
      <c r="AG573">
        <v>33.209989999999998</v>
      </c>
      <c r="AH573">
        <v>6.46</v>
      </c>
      <c r="AI573">
        <v>0</v>
      </c>
      <c r="AM573">
        <v>34</v>
      </c>
      <c r="AN573" s="44">
        <f t="shared" si="138"/>
        <v>1766.0147999999999</v>
      </c>
      <c r="AO573" s="46">
        <v>1767.0449718798691</v>
      </c>
      <c r="AP573" s="44">
        <v>1679.8210721820001</v>
      </c>
      <c r="AQ573" s="44">
        <v>0</v>
      </c>
      <c r="AR573" s="41"/>
      <c r="AS573" s="40">
        <v>7.6964651247849417E-2</v>
      </c>
      <c r="AT573" s="41">
        <v>8.0961003676030277E-2</v>
      </c>
      <c r="AU573" s="41"/>
      <c r="AV573" s="23">
        <v>1.62962962962963</v>
      </c>
      <c r="AW573" s="23">
        <v>2.518518518518519</v>
      </c>
      <c r="AX573" s="23">
        <v>0.88888888888888884</v>
      </c>
      <c r="AY573" s="23">
        <v>0</v>
      </c>
      <c r="AZ573" s="23">
        <v>0.32352941176470579</v>
      </c>
      <c r="BA573" s="23">
        <v>0.5</v>
      </c>
      <c r="BB573" s="23">
        <v>0.1764705882352941</v>
      </c>
      <c r="BC573" s="23">
        <v>0</v>
      </c>
      <c r="BD573" s="20">
        <v>0.82</v>
      </c>
      <c r="BE573" s="20">
        <v>3.44</v>
      </c>
      <c r="BF573" s="20">
        <v>2.62</v>
      </c>
      <c r="BG573" s="20">
        <v>2.642962962962963</v>
      </c>
      <c r="BH573">
        <v>2.642962962962963</v>
      </c>
      <c r="BI573">
        <v>5.9587362692592576</v>
      </c>
      <c r="BJ573" s="64">
        <v>0.48264383878002159</v>
      </c>
      <c r="BK573" s="64">
        <v>0.50770488753139842</v>
      </c>
      <c r="BL573" s="64"/>
      <c r="BN573">
        <v>3.8482325623924708E-2</v>
      </c>
      <c r="BO573">
        <v>4.0480501838015132E-2</v>
      </c>
      <c r="BQ573">
        <v>7.8962827461939847E-2</v>
      </c>
      <c r="BR573">
        <v>3.9481413730969923E-2</v>
      </c>
      <c r="BS573">
        <v>0.49517436315571001</v>
      </c>
      <c r="BT573" s="68" t="s">
        <v>1264</v>
      </c>
      <c r="BU573" s="68">
        <v>1473</v>
      </c>
      <c r="BX573" s="68" t="s">
        <v>1275</v>
      </c>
      <c r="BY573" s="68" t="s">
        <v>56</v>
      </c>
      <c r="BZ573" s="68">
        <v>1</v>
      </c>
      <c r="CA573" s="68">
        <v>11.2</v>
      </c>
      <c r="CB573" s="68">
        <v>1.51</v>
      </c>
      <c r="CC573" s="68">
        <v>0</v>
      </c>
      <c r="CD573" s="68" t="s">
        <v>464</v>
      </c>
      <c r="CE573" s="68" t="s">
        <v>464</v>
      </c>
      <c r="CF573" s="68" t="s">
        <v>1266</v>
      </c>
      <c r="CG573" s="68">
        <v>450</v>
      </c>
      <c r="CI573" s="68" t="s">
        <v>1287</v>
      </c>
      <c r="CK573" s="70">
        <v>2794</v>
      </c>
    </row>
    <row r="574" spans="1:89" x14ac:dyDescent="0.3">
      <c r="A574" t="s">
        <v>0</v>
      </c>
      <c r="B574" t="s">
        <v>0</v>
      </c>
      <c r="C574" t="s">
        <v>685</v>
      </c>
      <c r="D574" s="12"/>
      <c r="E574">
        <v>3.3</v>
      </c>
      <c r="F574" t="s">
        <v>257</v>
      </c>
      <c r="G574" s="8" t="s">
        <v>523</v>
      </c>
      <c r="H574" t="s">
        <v>606</v>
      </c>
      <c r="M574" t="b">
        <v>1</v>
      </c>
      <c r="N574" t="b">
        <v>1</v>
      </c>
      <c r="O574" t="b">
        <v>0</v>
      </c>
      <c r="P574" t="b">
        <v>0</v>
      </c>
      <c r="Q574" t="s">
        <v>523</v>
      </c>
      <c r="R574" t="s">
        <v>606</v>
      </c>
      <c r="T574" s="81">
        <v>4</v>
      </c>
      <c r="U574" s="20">
        <v>4</v>
      </c>
      <c r="V574">
        <v>4</v>
      </c>
      <c r="W574">
        <v>0</v>
      </c>
      <c r="X574" s="1">
        <v>6.6</v>
      </c>
      <c r="Y574" s="1">
        <v>7.94</v>
      </c>
      <c r="Z574" s="1">
        <v>33.700000000000003</v>
      </c>
      <c r="AB574" s="1">
        <v>16.850000000000001</v>
      </c>
      <c r="AC574" s="20">
        <v>6.6040679999999998</v>
      </c>
      <c r="AD574" s="20">
        <v>7.9389519999999996</v>
      </c>
      <c r="AE574" s="20">
        <v>33.703336</v>
      </c>
      <c r="AF574">
        <v>7.83</v>
      </c>
      <c r="AG574">
        <v>33.209989999999998</v>
      </c>
      <c r="AH574">
        <v>6.46</v>
      </c>
      <c r="AI574">
        <v>0</v>
      </c>
      <c r="AM574">
        <v>34</v>
      </c>
      <c r="AN574" s="44">
        <f t="shared" ref="AN574:AN575" si="139">X574*Y574*Z574</f>
        <v>1766.0147999999999</v>
      </c>
      <c r="AO574" s="46">
        <v>1767.0449718798691</v>
      </c>
      <c r="AP574" s="44">
        <v>1679.8210721820001</v>
      </c>
      <c r="AQ574" s="44">
        <v>0</v>
      </c>
      <c r="AR574" s="41"/>
      <c r="AS574" s="40">
        <v>7.6964651247849417E-2</v>
      </c>
      <c r="AT574" s="41">
        <v>8.0961003676030277E-2</v>
      </c>
      <c r="AU574" s="41"/>
      <c r="AV574" s="23">
        <v>1.62962962962963</v>
      </c>
      <c r="AW574" s="23">
        <v>2.518518518518519</v>
      </c>
      <c r="AX574" s="23">
        <v>0.88888888888888884</v>
      </c>
      <c r="AY574" s="23">
        <v>0</v>
      </c>
      <c r="AZ574" s="23">
        <v>0.32352941176470579</v>
      </c>
      <c r="BA574" s="23">
        <v>0.5</v>
      </c>
      <c r="BB574" s="23">
        <v>0.1764705882352941</v>
      </c>
      <c r="BC574" s="23">
        <v>0</v>
      </c>
      <c r="BD574" s="20">
        <v>0.82</v>
      </c>
      <c r="BE574" s="20">
        <v>3.44</v>
      </c>
      <c r="BF574" s="20">
        <v>2.62</v>
      </c>
      <c r="BG574" s="20">
        <v>2.642962962962963</v>
      </c>
      <c r="BH574">
        <v>2.642962962962963</v>
      </c>
      <c r="BI574">
        <v>5.9587362692592576</v>
      </c>
      <c r="BJ574" s="64">
        <v>0.48264383878002159</v>
      </c>
      <c r="BK574" s="64">
        <v>0.50770488753139842</v>
      </c>
      <c r="BL574" s="64"/>
      <c r="BN574">
        <v>3.8482325623924708E-2</v>
      </c>
      <c r="BO574">
        <v>4.0480501838015132E-2</v>
      </c>
      <c r="BQ574">
        <v>7.8962827461939847E-2</v>
      </c>
      <c r="BR574">
        <v>3.9481413730969923E-2</v>
      </c>
      <c r="BS574">
        <v>0.49517436315571001</v>
      </c>
      <c r="BT574" s="68" t="s">
        <v>1264</v>
      </c>
      <c r="BU574" s="68">
        <v>1473</v>
      </c>
      <c r="BX574" s="68" t="s">
        <v>1275</v>
      </c>
      <c r="BY574" s="68" t="s">
        <v>56</v>
      </c>
      <c r="BZ574" s="68">
        <v>1</v>
      </c>
      <c r="CA574" s="68">
        <v>8.5</v>
      </c>
      <c r="CB574" s="68">
        <v>1.51</v>
      </c>
      <c r="CC574" s="68">
        <v>0</v>
      </c>
      <c r="CD574" s="68" t="s">
        <v>464</v>
      </c>
      <c r="CE574" s="68" t="s">
        <v>464</v>
      </c>
      <c r="CF574" s="68" t="s">
        <v>1266</v>
      </c>
      <c r="CG574" s="68">
        <v>450</v>
      </c>
      <c r="CI574" s="68" t="s">
        <v>1287</v>
      </c>
      <c r="CK574" s="70">
        <v>3110</v>
      </c>
    </row>
    <row r="575" spans="1:89" x14ac:dyDescent="0.3">
      <c r="A575" t="s">
        <v>0</v>
      </c>
      <c r="B575" t="s">
        <v>0</v>
      </c>
      <c r="C575" t="s">
        <v>685</v>
      </c>
      <c r="D575" s="12"/>
      <c r="E575">
        <v>3.3</v>
      </c>
      <c r="F575" t="s">
        <v>257</v>
      </c>
      <c r="G575" s="8" t="s">
        <v>523</v>
      </c>
      <c r="H575" t="s">
        <v>606</v>
      </c>
      <c r="M575" t="b">
        <v>1</v>
      </c>
      <c r="N575" t="b">
        <v>1</v>
      </c>
      <c r="O575" t="b">
        <v>0</v>
      </c>
      <c r="P575" t="b">
        <v>0</v>
      </c>
      <c r="Q575" t="s">
        <v>523</v>
      </c>
      <c r="R575" t="s">
        <v>606</v>
      </c>
      <c r="T575" s="81">
        <v>4</v>
      </c>
      <c r="U575" s="20">
        <v>4</v>
      </c>
      <c r="V575">
        <v>4</v>
      </c>
      <c r="W575">
        <v>0</v>
      </c>
      <c r="X575" s="1">
        <v>6.6</v>
      </c>
      <c r="Y575" s="1">
        <v>7.94</v>
      </c>
      <c r="Z575" s="1">
        <v>33.700000000000003</v>
      </c>
      <c r="AB575" s="1">
        <v>16.850000000000001</v>
      </c>
      <c r="AC575" s="20">
        <v>6.6040679999999998</v>
      </c>
      <c r="AD575" s="20">
        <v>7.9389519999999996</v>
      </c>
      <c r="AE575" s="20">
        <v>33.703336</v>
      </c>
      <c r="AF575">
        <v>7.83</v>
      </c>
      <c r="AG575">
        <v>33.209989999999998</v>
      </c>
      <c r="AH575">
        <v>6.46</v>
      </c>
      <c r="AI575">
        <v>0</v>
      </c>
      <c r="AM575">
        <v>34</v>
      </c>
      <c r="AN575" s="44">
        <f t="shared" si="139"/>
        <v>1766.0147999999999</v>
      </c>
      <c r="AO575" s="46">
        <v>1767.0449718798691</v>
      </c>
      <c r="AP575" s="44">
        <v>1679.8210721820001</v>
      </c>
      <c r="AQ575" s="44">
        <v>0</v>
      </c>
      <c r="AR575" s="41"/>
      <c r="AS575" s="40">
        <v>7.6964651247849417E-2</v>
      </c>
      <c r="AT575" s="41">
        <v>8.0961003676030277E-2</v>
      </c>
      <c r="AU575" s="41"/>
      <c r="AV575" s="23">
        <v>1.62962962962963</v>
      </c>
      <c r="AW575" s="23">
        <v>2.518518518518519</v>
      </c>
      <c r="AX575" s="23">
        <v>0.88888888888888884</v>
      </c>
      <c r="AY575" s="23">
        <v>0</v>
      </c>
      <c r="AZ575" s="23">
        <v>0.32352941176470579</v>
      </c>
      <c r="BA575" s="23">
        <v>0.5</v>
      </c>
      <c r="BB575" s="23">
        <v>0.1764705882352941</v>
      </c>
      <c r="BC575" s="23">
        <v>0</v>
      </c>
      <c r="BD575" s="20">
        <v>0.82</v>
      </c>
      <c r="BE575" s="20">
        <v>3.44</v>
      </c>
      <c r="BF575" s="20">
        <v>2.62</v>
      </c>
      <c r="BG575" s="20">
        <v>2.642962962962963</v>
      </c>
      <c r="BH575">
        <v>2.642962962962963</v>
      </c>
      <c r="BI575">
        <v>5.9587362692592576</v>
      </c>
      <c r="BJ575" s="64">
        <v>0.48264383878002159</v>
      </c>
      <c r="BK575" s="64">
        <v>0.50770488753139842</v>
      </c>
      <c r="BL575" s="64"/>
      <c r="BN575">
        <v>3.8482325623924708E-2</v>
      </c>
      <c r="BO575">
        <v>4.0480501838015132E-2</v>
      </c>
      <c r="BQ575">
        <v>7.8962827461939847E-2</v>
      </c>
      <c r="BR575">
        <v>3.9481413730969923E-2</v>
      </c>
      <c r="BS575">
        <v>0.49517436315571001</v>
      </c>
      <c r="BT575" s="68" t="s">
        <v>1264</v>
      </c>
      <c r="BU575" s="68">
        <v>1473</v>
      </c>
      <c r="BX575" s="68" t="s">
        <v>1275</v>
      </c>
      <c r="BY575" s="68" t="s">
        <v>56</v>
      </c>
      <c r="BZ575" s="68">
        <v>1</v>
      </c>
      <c r="CA575" s="68">
        <v>7.8</v>
      </c>
      <c r="CB575" s="68">
        <v>1.51</v>
      </c>
      <c r="CC575" s="68">
        <v>0</v>
      </c>
      <c r="CD575" s="68" t="s">
        <v>464</v>
      </c>
      <c r="CE575" s="68" t="s">
        <v>464</v>
      </c>
      <c r="CF575" s="68" t="s">
        <v>1266</v>
      </c>
      <c r="CG575" s="68">
        <v>450</v>
      </c>
      <c r="CI575" s="68" t="s">
        <v>1287</v>
      </c>
      <c r="CK575" s="70">
        <v>3520</v>
      </c>
    </row>
    <row r="576" spans="1:89" x14ac:dyDescent="0.3">
      <c r="A576" t="s">
        <v>0</v>
      </c>
      <c r="B576" t="s">
        <v>0</v>
      </c>
      <c r="C576" t="s">
        <v>685</v>
      </c>
      <c r="D576" s="12"/>
      <c r="E576">
        <v>3.3</v>
      </c>
      <c r="F576" t="s">
        <v>257</v>
      </c>
      <c r="G576" s="8" t="s">
        <v>523</v>
      </c>
      <c r="H576" t="s">
        <v>606</v>
      </c>
      <c r="M576" t="b">
        <v>1</v>
      </c>
      <c r="N576" t="b">
        <v>1</v>
      </c>
      <c r="O576" t="b">
        <v>0</v>
      </c>
      <c r="P576" t="b">
        <v>0</v>
      </c>
      <c r="Q576" t="s">
        <v>523</v>
      </c>
      <c r="R576" t="s">
        <v>606</v>
      </c>
      <c r="T576" s="81">
        <v>4</v>
      </c>
      <c r="U576" s="20">
        <v>4</v>
      </c>
      <c r="V576">
        <v>4</v>
      </c>
      <c r="W576">
        <v>0</v>
      </c>
      <c r="X576" s="1">
        <v>6.6</v>
      </c>
      <c r="Y576" s="1">
        <v>7.94</v>
      </c>
      <c r="Z576" s="1">
        <v>33.700000000000003</v>
      </c>
      <c r="AB576" s="1">
        <v>16.850000000000001</v>
      </c>
      <c r="AC576" s="20">
        <v>6.6040679999999998</v>
      </c>
      <c r="AD576" s="20">
        <v>7.9389519999999996</v>
      </c>
      <c r="AE576" s="20">
        <v>33.703336</v>
      </c>
      <c r="AF576">
        <v>7.83</v>
      </c>
      <c r="AG576">
        <v>33.209989999999998</v>
      </c>
      <c r="AH576">
        <v>6.46</v>
      </c>
      <c r="AI576">
        <v>0</v>
      </c>
      <c r="AM576">
        <v>34</v>
      </c>
      <c r="AN576" s="44">
        <f t="shared" ref="AN576" si="140">X576*Y576*Z576</f>
        <v>1766.0147999999999</v>
      </c>
      <c r="AO576" s="46">
        <v>1767.0449718798691</v>
      </c>
      <c r="AP576" s="44">
        <v>1679.8210721820001</v>
      </c>
      <c r="AQ576" s="44">
        <v>0</v>
      </c>
      <c r="AR576" s="41"/>
      <c r="AS576" s="40">
        <v>7.6964651247849417E-2</v>
      </c>
      <c r="AT576" s="41">
        <v>8.0961003676030277E-2</v>
      </c>
      <c r="AU576" s="41"/>
      <c r="AV576" s="23">
        <v>1.62962962962963</v>
      </c>
      <c r="AW576" s="23">
        <v>2.518518518518519</v>
      </c>
      <c r="AX576" s="23">
        <v>0.88888888888888884</v>
      </c>
      <c r="AY576" s="23">
        <v>0</v>
      </c>
      <c r="AZ576" s="23">
        <v>0.32352941176470579</v>
      </c>
      <c r="BA576" s="23">
        <v>0.5</v>
      </c>
      <c r="BB576" s="23">
        <v>0.1764705882352941</v>
      </c>
      <c r="BC576" s="23">
        <v>0</v>
      </c>
      <c r="BD576" s="20">
        <v>0.82</v>
      </c>
      <c r="BE576" s="20">
        <v>3.44</v>
      </c>
      <c r="BF576" s="20">
        <v>2.62</v>
      </c>
      <c r="BG576" s="20">
        <v>2.642962962962963</v>
      </c>
      <c r="BH576">
        <v>2.642962962962963</v>
      </c>
      <c r="BI576">
        <v>5.9587362692592576</v>
      </c>
      <c r="BJ576" s="64">
        <v>0.48264383878002159</v>
      </c>
      <c r="BK576" s="64">
        <v>0.50770488753139842</v>
      </c>
      <c r="BL576" s="64"/>
      <c r="BN576">
        <v>3.8482325623924708E-2</v>
      </c>
      <c r="BO576">
        <v>4.0480501838015132E-2</v>
      </c>
      <c r="BQ576">
        <v>7.8962827461939847E-2</v>
      </c>
      <c r="BR576">
        <v>3.9481413730969923E-2</v>
      </c>
      <c r="BS576">
        <v>0.49517436315571001</v>
      </c>
      <c r="BT576" s="68" t="s">
        <v>1264</v>
      </c>
      <c r="BU576" s="68">
        <v>1473</v>
      </c>
      <c r="BX576" s="68" t="s">
        <v>1275</v>
      </c>
      <c r="BY576" s="68" t="s">
        <v>56</v>
      </c>
      <c r="BZ576" s="68">
        <v>1</v>
      </c>
      <c r="CA576" s="68">
        <v>6.2</v>
      </c>
      <c r="CB576" s="68">
        <v>1.51</v>
      </c>
      <c r="CC576" s="68">
        <v>0</v>
      </c>
      <c r="CD576" s="68" t="s">
        <v>464</v>
      </c>
      <c r="CE576" s="68" t="s">
        <v>464</v>
      </c>
      <c r="CF576" s="68" t="s">
        <v>1266</v>
      </c>
      <c r="CG576" s="68">
        <v>450</v>
      </c>
      <c r="CI576" s="68" t="s">
        <v>1287</v>
      </c>
      <c r="CK576" s="70">
        <v>3674</v>
      </c>
    </row>
    <row r="577" spans="1:89" x14ac:dyDescent="0.3">
      <c r="A577" t="s">
        <v>1416</v>
      </c>
      <c r="B577" t="s">
        <v>4</v>
      </c>
      <c r="C577" t="s">
        <v>4174</v>
      </c>
      <c r="D577" s="12"/>
      <c r="E577">
        <v>2.17</v>
      </c>
      <c r="F577" t="s">
        <v>258</v>
      </c>
      <c r="G577" s="101" t="s">
        <v>587</v>
      </c>
      <c r="H577" s="1" t="s">
        <v>636</v>
      </c>
      <c r="J577" t="s">
        <v>1832</v>
      </c>
      <c r="K577" t="s">
        <v>1832</v>
      </c>
      <c r="M577" t="b">
        <v>1</v>
      </c>
      <c r="N577" t="b">
        <v>1</v>
      </c>
      <c r="O577" t="b">
        <v>0</v>
      </c>
      <c r="P577" t="b">
        <v>0</v>
      </c>
      <c r="Q577" t="s">
        <v>2134</v>
      </c>
      <c r="R577" t="s">
        <v>2148</v>
      </c>
      <c r="U577" s="20">
        <v>1</v>
      </c>
      <c r="V577">
        <v>1</v>
      </c>
      <c r="W577">
        <v>0</v>
      </c>
      <c r="AC577" s="20">
        <v>3.950634</v>
      </c>
      <c r="AD577" s="20">
        <v>3.950634</v>
      </c>
      <c r="AE577" s="20">
        <v>15.513552000000001</v>
      </c>
      <c r="AF577">
        <v>3.8658999999999999</v>
      </c>
      <c r="AG577">
        <v>3.8658999999999999</v>
      </c>
      <c r="AH577">
        <v>15.2538</v>
      </c>
      <c r="AI577">
        <v>0</v>
      </c>
      <c r="AM577">
        <v>20</v>
      </c>
      <c r="AN577" s="44">
        <f t="shared" si="135"/>
        <v>0</v>
      </c>
      <c r="AO577" s="46">
        <v>242.1279024923125</v>
      </c>
      <c r="AP577" s="44">
        <v>227.970829547178</v>
      </c>
      <c r="AQ577" s="44">
        <v>0</v>
      </c>
      <c r="AR577" s="41"/>
      <c r="AS577" s="40">
        <v>8.2600971611006269E-2</v>
      </c>
      <c r="AT577" s="41">
        <v>8.7730522539775438E-2</v>
      </c>
      <c r="AU577" s="41"/>
      <c r="AV577" s="23">
        <v>1.9375</v>
      </c>
      <c r="AW577" s="23">
        <v>2.5</v>
      </c>
      <c r="AX577" s="23">
        <v>0.5625</v>
      </c>
      <c r="AY577" s="23">
        <v>2.625</v>
      </c>
      <c r="AZ577" s="23">
        <v>0.25409836065573771</v>
      </c>
      <c r="BA577" s="23">
        <v>0.32786885245901642</v>
      </c>
      <c r="BB577" s="23">
        <v>7.3770491803278687E-2</v>
      </c>
      <c r="BC577" s="23">
        <v>0.34426229508196721</v>
      </c>
      <c r="BD577" s="20">
        <v>0.79</v>
      </c>
      <c r="BE577" s="20">
        <v>3.44</v>
      </c>
      <c r="BF577" s="20">
        <v>2.65</v>
      </c>
      <c r="BG577" s="20">
        <v>2.6056249999999999</v>
      </c>
      <c r="BH577">
        <v>2.6056249999999999</v>
      </c>
      <c r="BI577">
        <v>5.9703320286696879</v>
      </c>
      <c r="BJ577" s="64">
        <v>0.52453741991489755</v>
      </c>
      <c r="BK577" s="64">
        <v>0.55711138795694093</v>
      </c>
      <c r="BL577" s="64"/>
      <c r="BN577">
        <v>4.1300485805503127E-2</v>
      </c>
      <c r="BO577">
        <v>4.3865261269887712E-2</v>
      </c>
      <c r="BQ577">
        <v>8.5165747075390846E-2</v>
      </c>
      <c r="BR577">
        <v>4.2582873537695423E-2</v>
      </c>
      <c r="BS577">
        <v>0.54082440393591924</v>
      </c>
      <c r="BT577" s="68" t="s">
        <v>1264</v>
      </c>
      <c r="BU577" s="68">
        <f>1273</f>
        <v>1273</v>
      </c>
      <c r="BV577" s="68">
        <v>10</v>
      </c>
      <c r="BW577" s="68" t="s">
        <v>1307</v>
      </c>
      <c r="BX577" s="68" t="s">
        <v>1268</v>
      </c>
      <c r="BY577" s="68" t="s">
        <v>890</v>
      </c>
      <c r="BZ577" s="68">
        <v>0.15</v>
      </c>
      <c r="CA577" s="70">
        <v>112</v>
      </c>
      <c r="CB577" s="68">
        <v>1</v>
      </c>
      <c r="CC577" s="68">
        <v>20</v>
      </c>
      <c r="CD577" s="68" t="s">
        <v>464</v>
      </c>
      <c r="CE577" s="68" t="s">
        <v>464</v>
      </c>
      <c r="CF577" s="68" t="s">
        <v>1271</v>
      </c>
      <c r="CG577" s="68">
        <v>500</v>
      </c>
      <c r="CI577" s="68" t="s">
        <v>1287</v>
      </c>
      <c r="CK577" s="70">
        <f>332*5</f>
        <v>1660</v>
      </c>
    </row>
    <row r="578" spans="1:89" x14ac:dyDescent="0.3">
      <c r="A578" t="s">
        <v>1416</v>
      </c>
      <c r="B578" t="s">
        <v>4</v>
      </c>
      <c r="C578" t="s">
        <v>4174</v>
      </c>
      <c r="D578" s="12"/>
      <c r="E578">
        <v>2.17</v>
      </c>
      <c r="F578" t="s">
        <v>258</v>
      </c>
      <c r="G578" s="25" t="s">
        <v>587</v>
      </c>
      <c r="H578" s="1" t="s">
        <v>636</v>
      </c>
      <c r="J578" t="s">
        <v>1832</v>
      </c>
      <c r="K578" t="s">
        <v>1832</v>
      </c>
      <c r="M578" t="b">
        <v>1</v>
      </c>
      <c r="N578" t="b">
        <v>1</v>
      </c>
      <c r="O578" t="b">
        <v>0</v>
      </c>
      <c r="P578" t="b">
        <v>0</v>
      </c>
      <c r="Q578" t="s">
        <v>2135</v>
      </c>
      <c r="R578" t="s">
        <v>2150</v>
      </c>
      <c r="U578" s="20">
        <v>1</v>
      </c>
      <c r="V578">
        <v>1</v>
      </c>
      <c r="W578">
        <v>0</v>
      </c>
      <c r="AC578" s="20">
        <v>3.950634</v>
      </c>
      <c r="AD578" s="20">
        <v>3.950634</v>
      </c>
      <c r="AE578" s="20">
        <v>15.513552000000001</v>
      </c>
      <c r="AF578">
        <v>3.8658999999999999</v>
      </c>
      <c r="AG578">
        <v>3.8658999999999999</v>
      </c>
      <c r="AH578">
        <v>15.2538</v>
      </c>
      <c r="AI578">
        <v>0</v>
      </c>
      <c r="AM578">
        <v>20</v>
      </c>
      <c r="AN578" s="44">
        <f t="shared" ref="AN578" si="141">X578*Y578*Z578</f>
        <v>0</v>
      </c>
      <c r="AO578" s="46">
        <v>242.1279024923125</v>
      </c>
      <c r="AP578" s="44">
        <v>227.970829547178</v>
      </c>
      <c r="AQ578" s="44">
        <v>0</v>
      </c>
      <c r="AR578" s="41"/>
      <c r="AS578" s="40">
        <v>8.2600971611006269E-2</v>
      </c>
      <c r="AT578" s="41">
        <v>8.7730522539775438E-2</v>
      </c>
      <c r="AU578" s="41"/>
      <c r="AV578" s="23">
        <v>1.9375</v>
      </c>
      <c r="AW578" s="23">
        <v>2.5</v>
      </c>
      <c r="AX578" s="23">
        <v>0.5625</v>
      </c>
      <c r="AY578" s="23">
        <v>2.625</v>
      </c>
      <c r="AZ578" s="23">
        <v>0.25409836065573771</v>
      </c>
      <c r="BA578" s="23">
        <v>0.32786885245901642</v>
      </c>
      <c r="BB578" s="23">
        <v>7.3770491803278687E-2</v>
      </c>
      <c r="BC578" s="23">
        <v>0.34426229508196721</v>
      </c>
      <c r="BD578" s="20">
        <v>0.79</v>
      </c>
      <c r="BE578" s="20">
        <v>3.44</v>
      </c>
      <c r="BF578" s="20">
        <v>2.65</v>
      </c>
      <c r="BG578" s="20">
        <v>2.6056249999999999</v>
      </c>
      <c r="BH578">
        <v>2.6056249999999999</v>
      </c>
      <c r="BI578">
        <v>5.9703320286696879</v>
      </c>
      <c r="BJ578" s="64">
        <v>0.52453741991489755</v>
      </c>
      <c r="BK578" s="64">
        <v>0.55711138795694093</v>
      </c>
      <c r="BL578" s="64"/>
      <c r="BN578">
        <v>4.1300485805503127E-2</v>
      </c>
      <c r="BO578">
        <v>4.3865261269887712E-2</v>
      </c>
      <c r="BQ578">
        <v>8.5165747075390846E-2</v>
      </c>
      <c r="BR578">
        <v>4.2582873537695423E-2</v>
      </c>
      <c r="BS578">
        <v>0.54082440393591924</v>
      </c>
      <c r="BT578" s="68" t="s">
        <v>1264</v>
      </c>
      <c r="BU578" s="68">
        <f>1273</f>
        <v>1273</v>
      </c>
      <c r="BV578" s="68">
        <v>10</v>
      </c>
      <c r="BW578" s="68" t="s">
        <v>1307</v>
      </c>
      <c r="BX578" s="68" t="s">
        <v>1268</v>
      </c>
      <c r="BY578" s="68" t="s">
        <v>1415</v>
      </c>
      <c r="BZ578" s="68">
        <v>0.15</v>
      </c>
      <c r="CA578" s="70">
        <v>112</v>
      </c>
      <c r="CB578" s="68">
        <v>1</v>
      </c>
      <c r="CC578" s="68">
        <v>20</v>
      </c>
      <c r="CD578" s="68" t="s">
        <v>464</v>
      </c>
      <c r="CE578" s="68" t="s">
        <v>464</v>
      </c>
      <c r="CF578" s="68" t="s">
        <v>1271</v>
      </c>
      <c r="CG578" s="68">
        <v>500</v>
      </c>
      <c r="CI578" s="68" t="s">
        <v>1287</v>
      </c>
      <c r="CK578" s="70">
        <f>143*5</f>
        <v>715</v>
      </c>
    </row>
    <row r="579" spans="1:89" x14ac:dyDescent="0.3">
      <c r="A579" t="s">
        <v>1416</v>
      </c>
      <c r="B579" t="s">
        <v>4</v>
      </c>
      <c r="C579" t="s">
        <v>4174</v>
      </c>
      <c r="D579" s="12"/>
      <c r="E579">
        <v>2.17</v>
      </c>
      <c r="F579" t="s">
        <v>258</v>
      </c>
      <c r="G579" s="25" t="s">
        <v>587</v>
      </c>
      <c r="H579" s="1" t="s">
        <v>636</v>
      </c>
      <c r="J579" t="s">
        <v>1832</v>
      </c>
      <c r="K579" t="s">
        <v>1832</v>
      </c>
      <c r="M579" t="b">
        <v>1</v>
      </c>
      <c r="N579" t="b">
        <v>1</v>
      </c>
      <c r="O579" t="b">
        <v>0</v>
      </c>
      <c r="P579" t="b">
        <v>0</v>
      </c>
      <c r="Q579" t="s">
        <v>2137</v>
      </c>
      <c r="R579" t="s">
        <v>2152</v>
      </c>
      <c r="U579" s="20">
        <v>1</v>
      </c>
      <c r="V579">
        <v>1</v>
      </c>
      <c r="W579">
        <v>0</v>
      </c>
      <c r="AC579" s="20">
        <v>3.950634</v>
      </c>
      <c r="AD579" s="20">
        <v>3.950634</v>
      </c>
      <c r="AE579" s="20">
        <v>15.513552000000001</v>
      </c>
      <c r="AF579">
        <v>3.8658999999999999</v>
      </c>
      <c r="AG579">
        <v>3.8658999999999999</v>
      </c>
      <c r="AH579">
        <v>15.2538</v>
      </c>
      <c r="AI579">
        <v>0</v>
      </c>
      <c r="AM579">
        <v>20</v>
      </c>
      <c r="AN579" s="44">
        <f t="shared" ref="AN579:AN580" si="142">X579*Y579*Z579</f>
        <v>0</v>
      </c>
      <c r="AO579" s="46">
        <v>242.1279024923125</v>
      </c>
      <c r="AP579" s="44">
        <v>227.970829547178</v>
      </c>
      <c r="AQ579" s="44">
        <v>0</v>
      </c>
      <c r="AR579" s="41"/>
      <c r="AS579" s="40">
        <v>8.2600971611006269E-2</v>
      </c>
      <c r="AT579" s="41">
        <v>8.7730522539775438E-2</v>
      </c>
      <c r="AU579" s="41"/>
      <c r="AV579" s="23">
        <v>1.9375</v>
      </c>
      <c r="AW579" s="23">
        <v>2.5</v>
      </c>
      <c r="AX579" s="23">
        <v>0.5625</v>
      </c>
      <c r="AY579" s="23">
        <v>2.625</v>
      </c>
      <c r="AZ579" s="23">
        <v>0.25409836065573771</v>
      </c>
      <c r="BA579" s="23">
        <v>0.32786885245901642</v>
      </c>
      <c r="BB579" s="23">
        <v>7.3770491803278687E-2</v>
      </c>
      <c r="BC579" s="23">
        <v>0.34426229508196721</v>
      </c>
      <c r="BD579" s="20">
        <v>0.79</v>
      </c>
      <c r="BE579" s="20">
        <v>3.44</v>
      </c>
      <c r="BF579" s="20">
        <v>2.65</v>
      </c>
      <c r="BG579" s="20">
        <v>2.6056249999999999</v>
      </c>
      <c r="BH579">
        <v>2.6056249999999999</v>
      </c>
      <c r="BI579">
        <v>5.9703320286696879</v>
      </c>
      <c r="BJ579" s="64">
        <v>0.52453741991489755</v>
      </c>
      <c r="BK579" s="64">
        <v>0.55711138795694093</v>
      </c>
      <c r="BL579" s="64"/>
      <c r="BN579">
        <v>4.1300485805503127E-2</v>
      </c>
      <c r="BO579">
        <v>4.3865261269887712E-2</v>
      </c>
      <c r="BQ579">
        <v>8.5165747075390846E-2</v>
      </c>
      <c r="BR579">
        <v>4.2582873537695423E-2</v>
      </c>
      <c r="BS579">
        <v>0.54082440393591924</v>
      </c>
      <c r="BT579" s="68" t="s">
        <v>1264</v>
      </c>
      <c r="BU579" s="68">
        <f>1273</f>
        <v>1273</v>
      </c>
      <c r="BV579" s="68">
        <v>10</v>
      </c>
      <c r="BW579" s="68" t="s">
        <v>1307</v>
      </c>
      <c r="BX579" s="68" t="s">
        <v>1268</v>
      </c>
      <c r="BY579" s="68" t="s">
        <v>863</v>
      </c>
      <c r="BZ579" s="68">
        <v>0.15</v>
      </c>
      <c r="CA579" s="70">
        <v>112</v>
      </c>
      <c r="CB579" s="68">
        <v>1</v>
      </c>
      <c r="CC579" s="68">
        <v>20</v>
      </c>
      <c r="CD579" s="68" t="s">
        <v>464</v>
      </c>
      <c r="CE579" s="68" t="s">
        <v>464</v>
      </c>
      <c r="CF579" s="68" t="s">
        <v>1271</v>
      </c>
      <c r="CG579" s="68">
        <v>500</v>
      </c>
      <c r="CI579" s="68" t="s">
        <v>1287</v>
      </c>
      <c r="CK579" s="70">
        <f>140*5</f>
        <v>700</v>
      </c>
    </row>
    <row r="580" spans="1:89" x14ac:dyDescent="0.3">
      <c r="A580" t="s">
        <v>1416</v>
      </c>
      <c r="B580" t="s">
        <v>4</v>
      </c>
      <c r="C580" t="s">
        <v>4174</v>
      </c>
      <c r="D580" s="12"/>
      <c r="E580">
        <v>2.17</v>
      </c>
      <c r="F580" t="s">
        <v>258</v>
      </c>
      <c r="G580" s="25" t="s">
        <v>587</v>
      </c>
      <c r="H580" s="1" t="s">
        <v>636</v>
      </c>
      <c r="J580" t="s">
        <v>1832</v>
      </c>
      <c r="K580" t="s">
        <v>1832</v>
      </c>
      <c r="M580" t="b">
        <v>1</v>
      </c>
      <c r="N580" t="b">
        <v>1</v>
      </c>
      <c r="O580" t="b">
        <v>0</v>
      </c>
      <c r="P580" t="b">
        <v>0</v>
      </c>
      <c r="Q580" t="s">
        <v>2138</v>
      </c>
      <c r="R580" t="s">
        <v>2154</v>
      </c>
      <c r="U580" s="20">
        <v>1</v>
      </c>
      <c r="V580">
        <v>1</v>
      </c>
      <c r="W580">
        <v>0</v>
      </c>
      <c r="AC580" s="20">
        <v>3.950634</v>
      </c>
      <c r="AD580" s="20">
        <v>3.950634</v>
      </c>
      <c r="AE580" s="20">
        <v>15.513552000000001</v>
      </c>
      <c r="AF580">
        <v>3.8658999999999999</v>
      </c>
      <c r="AG580">
        <v>3.8658999999999999</v>
      </c>
      <c r="AH580">
        <v>15.2538</v>
      </c>
      <c r="AI580">
        <v>0</v>
      </c>
      <c r="AM580">
        <v>20</v>
      </c>
      <c r="AN580" s="44">
        <f t="shared" si="142"/>
        <v>0</v>
      </c>
      <c r="AO580" s="46">
        <v>242.1279024923125</v>
      </c>
      <c r="AP580" s="44">
        <v>227.970829547178</v>
      </c>
      <c r="AQ580" s="44">
        <v>0</v>
      </c>
      <c r="AR580" s="41"/>
      <c r="AS580" s="40">
        <v>8.2600971611006269E-2</v>
      </c>
      <c r="AT580" s="41">
        <v>8.7730522539775438E-2</v>
      </c>
      <c r="AU580" s="41"/>
      <c r="AV580" s="23">
        <v>1.9375</v>
      </c>
      <c r="AW580" s="23">
        <v>2.5</v>
      </c>
      <c r="AX580" s="23">
        <v>0.5625</v>
      </c>
      <c r="AY580" s="23">
        <v>2.625</v>
      </c>
      <c r="AZ580" s="23">
        <v>0.25409836065573771</v>
      </c>
      <c r="BA580" s="23">
        <v>0.32786885245901642</v>
      </c>
      <c r="BB580" s="23">
        <v>7.3770491803278687E-2</v>
      </c>
      <c r="BC580" s="23">
        <v>0.34426229508196721</v>
      </c>
      <c r="BD580" s="20">
        <v>0.79</v>
      </c>
      <c r="BE580" s="20">
        <v>3.44</v>
      </c>
      <c r="BF580" s="20">
        <v>2.65</v>
      </c>
      <c r="BG580" s="20">
        <v>2.6056249999999999</v>
      </c>
      <c r="BH580">
        <v>2.6056249999999999</v>
      </c>
      <c r="BI580">
        <v>5.9703320286696879</v>
      </c>
      <c r="BJ580" s="64">
        <v>0.52453741991489755</v>
      </c>
      <c r="BK580" s="64">
        <v>0.55711138795694093</v>
      </c>
      <c r="BL580" s="64"/>
      <c r="BN580">
        <v>4.1300485805503127E-2</v>
      </c>
      <c r="BO580">
        <v>4.3865261269887712E-2</v>
      </c>
      <c r="BQ580">
        <v>8.5165747075390846E-2</v>
      </c>
      <c r="BR580">
        <v>4.2582873537695423E-2</v>
      </c>
      <c r="BS580">
        <v>0.54082440393591924</v>
      </c>
      <c r="BT580" s="68" t="s">
        <v>1264</v>
      </c>
      <c r="BU580" s="68">
        <f>1273</f>
        <v>1273</v>
      </c>
      <c r="BV580" s="68">
        <v>10</v>
      </c>
      <c r="BW580" s="68" t="s">
        <v>1307</v>
      </c>
      <c r="BX580" s="68" t="s">
        <v>1268</v>
      </c>
      <c r="BY580" s="68" t="s">
        <v>890</v>
      </c>
      <c r="BZ580" s="68">
        <v>0</v>
      </c>
      <c r="CA580" s="70">
        <v>112</v>
      </c>
      <c r="CB580" s="68">
        <v>1</v>
      </c>
      <c r="CC580" s="68">
        <v>20</v>
      </c>
      <c r="CD580" s="68" t="s">
        <v>464</v>
      </c>
      <c r="CE580" s="68" t="s">
        <v>464</v>
      </c>
      <c r="CF580" s="68" t="s">
        <v>1271</v>
      </c>
      <c r="CG580" s="68">
        <v>500</v>
      </c>
      <c r="CI580" s="68" t="s">
        <v>1287</v>
      </c>
      <c r="CK580" s="70">
        <f>120*5</f>
        <v>600</v>
      </c>
    </row>
    <row r="581" spans="1:89" x14ac:dyDescent="0.3">
      <c r="A581" t="s">
        <v>1416</v>
      </c>
      <c r="B581" t="s">
        <v>4</v>
      </c>
      <c r="C581" t="s">
        <v>4174</v>
      </c>
      <c r="D581" s="12"/>
      <c r="E581">
        <v>2.17</v>
      </c>
      <c r="F581" t="s">
        <v>258</v>
      </c>
      <c r="G581" s="25" t="s">
        <v>587</v>
      </c>
      <c r="H581" s="1" t="s">
        <v>636</v>
      </c>
      <c r="J581" t="s">
        <v>1832</v>
      </c>
      <c r="K581" t="s">
        <v>1832</v>
      </c>
      <c r="M581" t="b">
        <v>1</v>
      </c>
      <c r="N581" t="b">
        <v>1</v>
      </c>
      <c r="O581" t="b">
        <v>0</v>
      </c>
      <c r="P581" t="b">
        <v>0</v>
      </c>
      <c r="Q581" t="s">
        <v>2140</v>
      </c>
      <c r="R581" t="s">
        <v>2156</v>
      </c>
      <c r="U581" s="20">
        <v>1</v>
      </c>
      <c r="V581">
        <v>1</v>
      </c>
      <c r="W581">
        <v>0</v>
      </c>
      <c r="AC581" s="20">
        <v>3.950634</v>
      </c>
      <c r="AD581" s="20">
        <v>3.950634</v>
      </c>
      <c r="AE581" s="20">
        <v>15.513552000000001</v>
      </c>
      <c r="AF581">
        <v>3.8658999999999999</v>
      </c>
      <c r="AG581">
        <v>3.8658999999999999</v>
      </c>
      <c r="AH581">
        <v>15.2538</v>
      </c>
      <c r="AI581">
        <v>0</v>
      </c>
      <c r="AM581">
        <v>20</v>
      </c>
      <c r="AN581" s="44">
        <f t="shared" ref="AN581:AN582" si="143">X581*Y581*Z581</f>
        <v>0</v>
      </c>
      <c r="AO581" s="46">
        <v>242.1279024923125</v>
      </c>
      <c r="AP581" s="44">
        <v>227.970829547178</v>
      </c>
      <c r="AQ581" s="44">
        <v>0</v>
      </c>
      <c r="AR581" s="41"/>
      <c r="AS581" s="40">
        <v>8.2600971611006269E-2</v>
      </c>
      <c r="AT581" s="41">
        <v>8.7730522539775438E-2</v>
      </c>
      <c r="AU581" s="41"/>
      <c r="AV581" s="23">
        <v>1.9375</v>
      </c>
      <c r="AW581" s="23">
        <v>2.5</v>
      </c>
      <c r="AX581" s="23">
        <v>0.5625</v>
      </c>
      <c r="AY581" s="23">
        <v>2.625</v>
      </c>
      <c r="AZ581" s="23">
        <v>0.25409836065573771</v>
      </c>
      <c r="BA581" s="23">
        <v>0.32786885245901642</v>
      </c>
      <c r="BB581" s="23">
        <v>7.3770491803278687E-2</v>
      </c>
      <c r="BC581" s="23">
        <v>0.34426229508196721</v>
      </c>
      <c r="BD581" s="20">
        <v>0.79</v>
      </c>
      <c r="BE581" s="20">
        <v>3.44</v>
      </c>
      <c r="BF581" s="20">
        <v>2.65</v>
      </c>
      <c r="BG581" s="20">
        <v>2.6056249999999999</v>
      </c>
      <c r="BH581">
        <v>2.6056249999999999</v>
      </c>
      <c r="BI581">
        <v>5.9703320286696879</v>
      </c>
      <c r="BJ581" s="64">
        <v>0.52453741991489755</v>
      </c>
      <c r="BK581" s="64">
        <v>0.55711138795694093</v>
      </c>
      <c r="BL581" s="64"/>
      <c r="BN581">
        <v>4.1300485805503127E-2</v>
      </c>
      <c r="BO581">
        <v>4.3865261269887712E-2</v>
      </c>
      <c r="BQ581">
        <v>8.5165747075390846E-2</v>
      </c>
      <c r="BR581">
        <v>4.2582873537695423E-2</v>
      </c>
      <c r="BS581">
        <v>0.54082440393591924</v>
      </c>
      <c r="BT581" s="68" t="s">
        <v>1264</v>
      </c>
      <c r="BU581" s="68">
        <f>1273</f>
        <v>1273</v>
      </c>
      <c r="BV581" s="68">
        <v>10</v>
      </c>
      <c r="BW581" s="68" t="s">
        <v>1307</v>
      </c>
      <c r="BX581" s="68" t="s">
        <v>1268</v>
      </c>
      <c r="BY581" s="68" t="s">
        <v>890</v>
      </c>
      <c r="BZ581" s="68">
        <v>7.0000000000000007E-2</v>
      </c>
      <c r="CA581" s="70">
        <v>112</v>
      </c>
      <c r="CB581" s="68">
        <v>1</v>
      </c>
      <c r="CC581" s="68">
        <v>20</v>
      </c>
      <c r="CD581" s="68" t="s">
        <v>464</v>
      </c>
      <c r="CE581" s="68" t="s">
        <v>464</v>
      </c>
      <c r="CF581" s="68" t="s">
        <v>1271</v>
      </c>
      <c r="CG581" s="68">
        <v>500</v>
      </c>
      <c r="CI581" s="68" t="s">
        <v>1287</v>
      </c>
      <c r="CK581" s="70">
        <f>250*5</f>
        <v>1250</v>
      </c>
    </row>
    <row r="582" spans="1:89" x14ac:dyDescent="0.3">
      <c r="A582" t="s">
        <v>1416</v>
      </c>
      <c r="B582" t="s">
        <v>4</v>
      </c>
      <c r="C582" t="s">
        <v>4174</v>
      </c>
      <c r="D582" s="12"/>
      <c r="E582">
        <v>2.17</v>
      </c>
      <c r="F582" t="s">
        <v>258</v>
      </c>
      <c r="G582" s="25" t="s">
        <v>587</v>
      </c>
      <c r="H582" s="1" t="s">
        <v>636</v>
      </c>
      <c r="J582" t="s">
        <v>1832</v>
      </c>
      <c r="K582" t="s">
        <v>1832</v>
      </c>
      <c r="M582" t="b">
        <v>1</v>
      </c>
      <c r="N582" t="b">
        <v>1</v>
      </c>
      <c r="O582" t="b">
        <v>0</v>
      </c>
      <c r="P582" t="b">
        <v>0</v>
      </c>
      <c r="Q582" t="s">
        <v>2141</v>
      </c>
      <c r="R582" t="s">
        <v>2158</v>
      </c>
      <c r="U582" s="20">
        <v>1</v>
      </c>
      <c r="V582">
        <v>1</v>
      </c>
      <c r="W582">
        <v>0</v>
      </c>
      <c r="AC582" s="20">
        <v>3.950634</v>
      </c>
      <c r="AD582" s="20">
        <v>3.950634</v>
      </c>
      <c r="AE582" s="20">
        <v>15.513552000000001</v>
      </c>
      <c r="AF582">
        <v>3.8658999999999999</v>
      </c>
      <c r="AG582">
        <v>3.8658999999999999</v>
      </c>
      <c r="AH582">
        <v>15.2538</v>
      </c>
      <c r="AI582">
        <v>0</v>
      </c>
      <c r="AM582">
        <v>20</v>
      </c>
      <c r="AN582" s="44">
        <f t="shared" si="143"/>
        <v>0</v>
      </c>
      <c r="AO582" s="46">
        <v>242.1279024923125</v>
      </c>
      <c r="AP582" s="44">
        <v>227.970829547178</v>
      </c>
      <c r="AQ582" s="44">
        <v>0</v>
      </c>
      <c r="AR582" s="41"/>
      <c r="AS582" s="40">
        <v>8.2600971611006269E-2</v>
      </c>
      <c r="AT582" s="41">
        <v>8.7730522539775438E-2</v>
      </c>
      <c r="AU582" s="41"/>
      <c r="AV582" s="23">
        <v>1.9375</v>
      </c>
      <c r="AW582" s="23">
        <v>2.5</v>
      </c>
      <c r="AX582" s="23">
        <v>0.5625</v>
      </c>
      <c r="AY582" s="23">
        <v>2.625</v>
      </c>
      <c r="AZ582" s="23">
        <v>0.25409836065573771</v>
      </c>
      <c r="BA582" s="23">
        <v>0.32786885245901642</v>
      </c>
      <c r="BB582" s="23">
        <v>7.3770491803278687E-2</v>
      </c>
      <c r="BC582" s="23">
        <v>0.34426229508196721</v>
      </c>
      <c r="BD582" s="20">
        <v>0.79</v>
      </c>
      <c r="BE582" s="20">
        <v>3.44</v>
      </c>
      <c r="BF582" s="20">
        <v>2.65</v>
      </c>
      <c r="BG582" s="20">
        <v>2.6056249999999999</v>
      </c>
      <c r="BH582">
        <v>2.6056249999999999</v>
      </c>
      <c r="BI582">
        <v>5.9703320286696879</v>
      </c>
      <c r="BJ582" s="64">
        <v>0.52453741991489755</v>
      </c>
      <c r="BK582" s="64">
        <v>0.55711138795694093</v>
      </c>
      <c r="BL582" s="64"/>
      <c r="BN582">
        <v>4.1300485805503127E-2</v>
      </c>
      <c r="BO582">
        <v>4.3865261269887712E-2</v>
      </c>
      <c r="BQ582">
        <v>8.5165747075390846E-2</v>
      </c>
      <c r="BR582">
        <v>4.2582873537695423E-2</v>
      </c>
      <c r="BS582">
        <v>0.54082440393591924</v>
      </c>
      <c r="BT582" s="68" t="s">
        <v>1264</v>
      </c>
      <c r="BU582" s="68">
        <f>1273</f>
        <v>1273</v>
      </c>
      <c r="BV582" s="68">
        <v>10</v>
      </c>
      <c r="BW582" s="68" t="s">
        <v>1307</v>
      </c>
      <c r="BX582" s="68" t="s">
        <v>1268</v>
      </c>
      <c r="BY582" s="68" t="s">
        <v>890</v>
      </c>
      <c r="BZ582" s="68">
        <v>0.3</v>
      </c>
      <c r="CA582" s="70">
        <v>112</v>
      </c>
      <c r="CB582" s="68">
        <v>1</v>
      </c>
      <c r="CC582" s="68">
        <v>20</v>
      </c>
      <c r="CD582" s="68" t="s">
        <v>464</v>
      </c>
      <c r="CE582" s="68" t="s">
        <v>464</v>
      </c>
      <c r="CF582" s="68" t="s">
        <v>1271</v>
      </c>
      <c r="CG582" s="68">
        <v>500</v>
      </c>
      <c r="CI582" s="68" t="s">
        <v>1287</v>
      </c>
      <c r="CK582" s="70">
        <f>240*5</f>
        <v>1200</v>
      </c>
    </row>
    <row r="583" spans="1:89" x14ac:dyDescent="0.3">
      <c r="A583" t="s">
        <v>1416</v>
      </c>
      <c r="B583" t="s">
        <v>4</v>
      </c>
      <c r="C583" t="s">
        <v>4174</v>
      </c>
      <c r="D583" s="12"/>
      <c r="E583">
        <v>2.17</v>
      </c>
      <c r="F583" t="s">
        <v>258</v>
      </c>
      <c r="G583" s="25" t="s">
        <v>587</v>
      </c>
      <c r="H583" s="1" t="s">
        <v>636</v>
      </c>
      <c r="J583" t="s">
        <v>1832</v>
      </c>
      <c r="K583" t="s">
        <v>1832</v>
      </c>
      <c r="M583" t="b">
        <v>1</v>
      </c>
      <c r="N583" t="b">
        <v>1</v>
      </c>
      <c r="O583" t="b">
        <v>0</v>
      </c>
      <c r="P583" t="b">
        <v>0</v>
      </c>
      <c r="Q583" t="s">
        <v>2142</v>
      </c>
      <c r="R583" t="s">
        <v>2160</v>
      </c>
      <c r="U583" s="20">
        <v>1</v>
      </c>
      <c r="V583">
        <v>1</v>
      </c>
      <c r="W583">
        <v>0</v>
      </c>
      <c r="AC583" s="20">
        <v>3.950634</v>
      </c>
      <c r="AD583" s="20">
        <v>3.950634</v>
      </c>
      <c r="AE583" s="20">
        <v>15.513552000000001</v>
      </c>
      <c r="AF583">
        <v>3.8658999999999999</v>
      </c>
      <c r="AG583">
        <v>3.8658999999999999</v>
      </c>
      <c r="AH583">
        <v>15.2538</v>
      </c>
      <c r="AI583">
        <v>0</v>
      </c>
      <c r="AM583">
        <v>20</v>
      </c>
      <c r="AN583" s="44">
        <f t="shared" ref="AN583:AN586" si="144">X583*Y583*Z583</f>
        <v>0</v>
      </c>
      <c r="AO583" s="46">
        <v>242.1279024923125</v>
      </c>
      <c r="AP583" s="44">
        <v>227.970829547178</v>
      </c>
      <c r="AQ583" s="44">
        <v>0</v>
      </c>
      <c r="AR583" s="41"/>
      <c r="AS583" s="40">
        <v>8.2600971611006269E-2</v>
      </c>
      <c r="AT583" s="41">
        <v>8.7730522539775438E-2</v>
      </c>
      <c r="AU583" s="41"/>
      <c r="AV583" s="23">
        <v>1.9375</v>
      </c>
      <c r="AW583" s="23">
        <v>2.5</v>
      </c>
      <c r="AX583" s="23">
        <v>0.5625</v>
      </c>
      <c r="AY583" s="23">
        <v>2.625</v>
      </c>
      <c r="AZ583" s="23">
        <v>0.25409836065573771</v>
      </c>
      <c r="BA583" s="23">
        <v>0.32786885245901642</v>
      </c>
      <c r="BB583" s="23">
        <v>7.3770491803278687E-2</v>
      </c>
      <c r="BC583" s="23">
        <v>0.34426229508196721</v>
      </c>
      <c r="BD583" s="20">
        <v>0.79</v>
      </c>
      <c r="BE583" s="20">
        <v>3.44</v>
      </c>
      <c r="BF583" s="20">
        <v>2.65</v>
      </c>
      <c r="BG583" s="20">
        <v>2.6056249999999999</v>
      </c>
      <c r="BH583">
        <v>2.6056249999999999</v>
      </c>
      <c r="BI583">
        <v>5.9703320286696879</v>
      </c>
      <c r="BJ583" s="64">
        <v>0.52453741991489755</v>
      </c>
      <c r="BK583" s="64">
        <v>0.55711138795694093</v>
      </c>
      <c r="BL583" s="64"/>
      <c r="BN583">
        <v>4.1300485805503127E-2</v>
      </c>
      <c r="BO583">
        <v>4.3865261269887712E-2</v>
      </c>
      <c r="BQ583">
        <v>8.5165747075390846E-2</v>
      </c>
      <c r="BR583">
        <v>4.2582873537695423E-2</v>
      </c>
      <c r="BS583">
        <v>0.54082440393591924</v>
      </c>
      <c r="BT583" s="68" t="s">
        <v>1264</v>
      </c>
      <c r="BU583" s="68">
        <f>1273</f>
        <v>1273</v>
      </c>
      <c r="BV583" s="68">
        <v>10</v>
      </c>
      <c r="BW583" s="68" t="s">
        <v>1307</v>
      </c>
      <c r="BX583" s="68" t="s">
        <v>1268</v>
      </c>
      <c r="BY583" s="68" t="s">
        <v>890</v>
      </c>
      <c r="BZ583" s="68">
        <v>0.45</v>
      </c>
      <c r="CA583" s="70">
        <v>112</v>
      </c>
      <c r="CB583" s="68">
        <v>1</v>
      </c>
      <c r="CC583" s="68">
        <v>20</v>
      </c>
      <c r="CD583" s="68" t="s">
        <v>464</v>
      </c>
      <c r="CE583" s="68" t="s">
        <v>464</v>
      </c>
      <c r="CF583" s="68" t="s">
        <v>1271</v>
      </c>
      <c r="CG583" s="68">
        <v>500</v>
      </c>
      <c r="CI583" s="68" t="s">
        <v>1287</v>
      </c>
      <c r="CK583" s="70">
        <f>165*5</f>
        <v>825</v>
      </c>
    </row>
    <row r="584" spans="1:89" x14ac:dyDescent="0.3">
      <c r="A584" t="s">
        <v>1416</v>
      </c>
      <c r="B584" t="s">
        <v>4</v>
      </c>
      <c r="C584" t="s">
        <v>4174</v>
      </c>
      <c r="D584" s="12"/>
      <c r="E584">
        <v>2.17</v>
      </c>
      <c r="F584" t="s">
        <v>258</v>
      </c>
      <c r="G584" s="25" t="s">
        <v>587</v>
      </c>
      <c r="H584" s="1" t="s">
        <v>636</v>
      </c>
      <c r="J584" t="s">
        <v>1832</v>
      </c>
      <c r="K584" t="s">
        <v>1832</v>
      </c>
      <c r="M584" t="b">
        <v>1</v>
      </c>
      <c r="N584" t="b">
        <v>1</v>
      </c>
      <c r="O584" t="b">
        <v>0</v>
      </c>
      <c r="P584" t="b">
        <v>0</v>
      </c>
      <c r="Q584" t="s">
        <v>2143</v>
      </c>
      <c r="R584" t="s">
        <v>2162</v>
      </c>
      <c r="U584" s="20">
        <v>1</v>
      </c>
      <c r="V584">
        <v>1</v>
      </c>
      <c r="W584">
        <v>0</v>
      </c>
      <c r="AC584" s="20">
        <v>3.950634</v>
      </c>
      <c r="AD584" s="20">
        <v>3.950634</v>
      </c>
      <c r="AE584" s="20">
        <v>15.513552000000001</v>
      </c>
      <c r="AF584">
        <v>3.8658999999999999</v>
      </c>
      <c r="AG584">
        <v>3.8658999999999999</v>
      </c>
      <c r="AH584">
        <v>15.2538</v>
      </c>
      <c r="AI584">
        <v>0</v>
      </c>
      <c r="AM584">
        <v>20</v>
      </c>
      <c r="AN584" s="44">
        <f t="shared" si="144"/>
        <v>0</v>
      </c>
      <c r="AO584" s="46">
        <v>242.1279024923125</v>
      </c>
      <c r="AP584" s="44">
        <v>227.970829547178</v>
      </c>
      <c r="AQ584" s="44">
        <v>0</v>
      </c>
      <c r="AR584" s="41"/>
      <c r="AS584" s="40">
        <v>8.2600971611006269E-2</v>
      </c>
      <c r="AT584" s="41">
        <v>8.7730522539775438E-2</v>
      </c>
      <c r="AU584" s="41"/>
      <c r="AV584" s="23">
        <v>1.9375</v>
      </c>
      <c r="AW584" s="23">
        <v>2.5</v>
      </c>
      <c r="AX584" s="23">
        <v>0.5625</v>
      </c>
      <c r="AY584" s="23">
        <v>2.625</v>
      </c>
      <c r="AZ584" s="23">
        <v>0.25409836065573771</v>
      </c>
      <c r="BA584" s="23">
        <v>0.32786885245901642</v>
      </c>
      <c r="BB584" s="23">
        <v>7.3770491803278687E-2</v>
      </c>
      <c r="BC584" s="23">
        <v>0.34426229508196721</v>
      </c>
      <c r="BD584" s="20">
        <v>0.79</v>
      </c>
      <c r="BE584" s="20">
        <v>3.44</v>
      </c>
      <c r="BF584" s="20">
        <v>2.65</v>
      </c>
      <c r="BG584" s="20">
        <v>2.6056249999999999</v>
      </c>
      <c r="BH584">
        <v>2.6056249999999999</v>
      </c>
      <c r="BI584">
        <v>5.9703320286696879</v>
      </c>
      <c r="BJ584" s="64">
        <v>0.52453741991489755</v>
      </c>
      <c r="BK584" s="64">
        <v>0.55711138795694093</v>
      </c>
      <c r="BL584" s="64"/>
      <c r="BN584">
        <v>4.1300485805503127E-2</v>
      </c>
      <c r="BO584">
        <v>4.3865261269887712E-2</v>
      </c>
      <c r="BQ584">
        <v>8.5165747075390846E-2</v>
      </c>
      <c r="BR584">
        <v>4.2582873537695423E-2</v>
      </c>
      <c r="BS584">
        <v>0.54082440393591924</v>
      </c>
      <c r="BT584" s="68" t="s">
        <v>1264</v>
      </c>
      <c r="BU584" s="68">
        <f>1273</f>
        <v>1273</v>
      </c>
      <c r="BV584" s="68">
        <v>10</v>
      </c>
      <c r="BW584" s="68" t="s">
        <v>1307</v>
      </c>
      <c r="BX584" s="68" t="s">
        <v>1268</v>
      </c>
      <c r="BY584" s="68" t="s">
        <v>890</v>
      </c>
      <c r="BZ584" s="68">
        <v>0.15</v>
      </c>
      <c r="CA584" s="70">
        <v>112</v>
      </c>
      <c r="CB584" s="68">
        <v>1</v>
      </c>
      <c r="CC584" s="68">
        <v>20</v>
      </c>
      <c r="CD584" s="68" t="s">
        <v>464</v>
      </c>
      <c r="CE584" s="68" t="s">
        <v>464</v>
      </c>
      <c r="CF584" s="68" t="s">
        <v>1271</v>
      </c>
      <c r="CG584" s="68">
        <v>500</v>
      </c>
      <c r="CH584" s="68">
        <v>420</v>
      </c>
      <c r="CI584" s="68" t="s">
        <v>1287</v>
      </c>
      <c r="CK584" s="70">
        <f>0.47*5</f>
        <v>2.3499999999999996</v>
      </c>
    </row>
    <row r="585" spans="1:89" x14ac:dyDescent="0.3">
      <c r="A585" t="s">
        <v>259</v>
      </c>
      <c r="B585" t="s">
        <v>4</v>
      </c>
      <c r="C585" t="s">
        <v>4175</v>
      </c>
      <c r="D585" s="12"/>
      <c r="E585">
        <v>2.17</v>
      </c>
      <c r="F585" t="s">
        <v>258</v>
      </c>
      <c r="G585" s="25" t="s">
        <v>587</v>
      </c>
      <c r="H585" s="1" t="s">
        <v>636</v>
      </c>
      <c r="J585" t="s">
        <v>1833</v>
      </c>
      <c r="K585" t="s">
        <v>1833</v>
      </c>
      <c r="M585" t="b">
        <v>1</v>
      </c>
      <c r="N585" t="b">
        <v>1</v>
      </c>
      <c r="O585" t="b">
        <v>0</v>
      </c>
      <c r="P585" t="b">
        <v>0</v>
      </c>
      <c r="Q585" t="s">
        <v>2144</v>
      </c>
      <c r="R585" t="s">
        <v>2164</v>
      </c>
      <c r="U585" s="20">
        <v>1</v>
      </c>
      <c r="V585">
        <v>1</v>
      </c>
      <c r="W585">
        <v>0</v>
      </c>
      <c r="AC585" s="20">
        <v>3.950634</v>
      </c>
      <c r="AD585" s="20">
        <v>3.950634</v>
      </c>
      <c r="AE585" s="20">
        <v>15.513552000000001</v>
      </c>
      <c r="AF585">
        <v>3.8658999999999999</v>
      </c>
      <c r="AG585">
        <v>3.8658999999999999</v>
      </c>
      <c r="AH585">
        <v>15.2538</v>
      </c>
      <c r="AI585">
        <v>0</v>
      </c>
      <c r="AM585">
        <v>20</v>
      </c>
      <c r="AN585" s="44">
        <f t="shared" si="144"/>
        <v>0</v>
      </c>
      <c r="AO585" s="46">
        <v>242.1279024923125</v>
      </c>
      <c r="AP585" s="44">
        <v>227.970829547178</v>
      </c>
      <c r="AQ585" s="44">
        <v>0</v>
      </c>
      <c r="AR585" s="41"/>
      <c r="AS585" s="40">
        <v>8.2600971611006269E-2</v>
      </c>
      <c r="AT585" s="41">
        <v>8.7730522539775438E-2</v>
      </c>
      <c r="AU585" s="41"/>
      <c r="AV585" s="23">
        <v>1.9375</v>
      </c>
      <c r="AW585" s="23">
        <v>2.5</v>
      </c>
      <c r="AX585" s="23">
        <v>0.5625</v>
      </c>
      <c r="AY585" s="23">
        <v>2.625</v>
      </c>
      <c r="AZ585" s="23">
        <v>0.25409836065573771</v>
      </c>
      <c r="BA585" s="23">
        <v>0.32786885245901642</v>
      </c>
      <c r="BB585" s="23">
        <v>7.3770491803278687E-2</v>
      </c>
      <c r="BC585" s="23">
        <v>0.34426229508196721</v>
      </c>
      <c r="BD585" s="20">
        <v>0.79</v>
      </c>
      <c r="BE585" s="20">
        <v>3.44</v>
      </c>
      <c r="BF585" s="20">
        <v>2.65</v>
      </c>
      <c r="BG585" s="20">
        <v>2.6056249999999999</v>
      </c>
      <c r="BH585">
        <v>2.6056249999999999</v>
      </c>
      <c r="BI585">
        <v>5.9703320286696879</v>
      </c>
      <c r="BJ585" s="64">
        <v>0.52453741991489755</v>
      </c>
      <c r="BK585" s="64">
        <v>0.55711138795694093</v>
      </c>
      <c r="BL585" s="64"/>
      <c r="BN585">
        <v>4.1300485805503127E-2</v>
      </c>
      <c r="BO585">
        <v>4.3865261269887712E-2</v>
      </c>
      <c r="BQ585">
        <v>8.5165747075390846E-2</v>
      </c>
      <c r="BR585">
        <v>4.2582873537695423E-2</v>
      </c>
      <c r="BS585">
        <v>0.54082440393591924</v>
      </c>
      <c r="BT585" s="68" t="s">
        <v>1264</v>
      </c>
      <c r="BU585" s="68">
        <f>1273</f>
        <v>1273</v>
      </c>
      <c r="BV585" s="68">
        <v>10</v>
      </c>
      <c r="BW585" s="68" t="s">
        <v>1307</v>
      </c>
      <c r="BX585" s="68" t="s">
        <v>1268</v>
      </c>
      <c r="BY585" s="68" t="s">
        <v>890</v>
      </c>
      <c r="BZ585" s="68">
        <v>0.15</v>
      </c>
      <c r="CA585" s="70"/>
      <c r="CB585" s="68">
        <v>1</v>
      </c>
      <c r="CC585" s="68">
        <v>20</v>
      </c>
      <c r="CD585" s="68" t="s">
        <v>464</v>
      </c>
      <c r="CE585" s="68" t="s">
        <v>464</v>
      </c>
      <c r="CF585" s="68" t="s">
        <v>1271</v>
      </c>
      <c r="CG585" s="68">
        <v>500</v>
      </c>
      <c r="CI585" s="68" t="s">
        <v>1287</v>
      </c>
      <c r="CK585" s="70">
        <v>210</v>
      </c>
    </row>
    <row r="586" spans="1:89" x14ac:dyDescent="0.3">
      <c r="A586" t="s">
        <v>1416</v>
      </c>
      <c r="B586" t="s">
        <v>4</v>
      </c>
      <c r="C586" t="s">
        <v>4174</v>
      </c>
      <c r="D586" s="12"/>
      <c r="E586">
        <v>2.17</v>
      </c>
      <c r="F586" t="s">
        <v>258</v>
      </c>
      <c r="G586" s="25" t="s">
        <v>587</v>
      </c>
      <c r="H586" s="1" t="s">
        <v>636</v>
      </c>
      <c r="J586" t="s">
        <v>1832</v>
      </c>
      <c r="K586" t="s">
        <v>1832</v>
      </c>
      <c r="M586" t="b">
        <v>1</v>
      </c>
      <c r="N586" t="b">
        <v>1</v>
      </c>
      <c r="O586" t="b">
        <v>0</v>
      </c>
      <c r="P586" t="b">
        <v>0</v>
      </c>
      <c r="Q586" t="s">
        <v>2145</v>
      </c>
      <c r="R586" t="s">
        <v>2166</v>
      </c>
      <c r="U586" s="20">
        <v>1</v>
      </c>
      <c r="V586">
        <v>1</v>
      </c>
      <c r="W586">
        <v>0</v>
      </c>
      <c r="AC586" s="20">
        <v>3.950634</v>
      </c>
      <c r="AD586" s="20">
        <v>3.950634</v>
      </c>
      <c r="AE586" s="20">
        <v>15.513552000000001</v>
      </c>
      <c r="AF586">
        <v>3.8658999999999999</v>
      </c>
      <c r="AG586">
        <v>3.8658999999999999</v>
      </c>
      <c r="AH586">
        <v>15.2538</v>
      </c>
      <c r="AI586">
        <v>0</v>
      </c>
      <c r="AM586">
        <v>20</v>
      </c>
      <c r="AN586" s="44">
        <f t="shared" si="144"/>
        <v>0</v>
      </c>
      <c r="AO586" s="46">
        <v>242.1279024923125</v>
      </c>
      <c r="AP586" s="44">
        <v>227.970829547178</v>
      </c>
      <c r="AQ586" s="44">
        <v>0</v>
      </c>
      <c r="AR586" s="41"/>
      <c r="AS586" s="40">
        <v>8.2600971611006269E-2</v>
      </c>
      <c r="AT586" s="41">
        <v>8.7730522539775438E-2</v>
      </c>
      <c r="AU586" s="41"/>
      <c r="AV586" s="23">
        <v>1.9375</v>
      </c>
      <c r="AW586" s="23">
        <v>2.5</v>
      </c>
      <c r="AX586" s="23">
        <v>0.5625</v>
      </c>
      <c r="AY586" s="23">
        <v>2.625</v>
      </c>
      <c r="AZ586" s="23">
        <v>0.25409836065573771</v>
      </c>
      <c r="BA586" s="23">
        <v>0.32786885245901642</v>
      </c>
      <c r="BB586" s="23">
        <v>7.3770491803278687E-2</v>
      </c>
      <c r="BC586" s="23">
        <v>0.34426229508196721</v>
      </c>
      <c r="BD586" s="20">
        <v>0.79</v>
      </c>
      <c r="BE586" s="20">
        <v>3.44</v>
      </c>
      <c r="BF586" s="20">
        <v>2.65</v>
      </c>
      <c r="BG586" s="20">
        <v>2.6056249999999999</v>
      </c>
      <c r="BH586">
        <v>2.6056249999999999</v>
      </c>
      <c r="BI586">
        <v>5.9703320286696879</v>
      </c>
      <c r="BJ586" s="64">
        <v>0.52453741991489755</v>
      </c>
      <c r="BK586" s="64">
        <v>0.55711138795694093</v>
      </c>
      <c r="BL586" s="64"/>
      <c r="BN586">
        <v>4.1300485805503127E-2</v>
      </c>
      <c r="BO586">
        <v>4.3865261269887712E-2</v>
      </c>
      <c r="BQ586">
        <v>8.5165747075390846E-2</v>
      </c>
      <c r="BR586">
        <v>4.2582873537695423E-2</v>
      </c>
      <c r="BS586">
        <v>0.54082440393591924</v>
      </c>
      <c r="BT586" s="68" t="s">
        <v>1264</v>
      </c>
      <c r="BU586" s="68">
        <f>1273</f>
        <v>1273</v>
      </c>
      <c r="BV586" s="68">
        <v>10</v>
      </c>
      <c r="BW586" s="68" t="s">
        <v>1307</v>
      </c>
      <c r="BX586" s="68" t="s">
        <v>1268</v>
      </c>
      <c r="BY586" s="68" t="s">
        <v>890</v>
      </c>
      <c r="BZ586" s="68">
        <v>0.15</v>
      </c>
      <c r="CA586" s="70"/>
      <c r="CB586" s="68">
        <v>1</v>
      </c>
      <c r="CC586" s="68">
        <v>20</v>
      </c>
      <c r="CD586" s="68" t="s">
        <v>464</v>
      </c>
      <c r="CE586" s="68" t="s">
        <v>464</v>
      </c>
      <c r="CF586" s="68" t="s">
        <v>1271</v>
      </c>
      <c r="CG586" s="68">
        <v>500</v>
      </c>
      <c r="CI586" s="68" t="s">
        <v>1287</v>
      </c>
      <c r="CK586" s="70">
        <v>1880</v>
      </c>
    </row>
    <row r="587" spans="1:89" x14ac:dyDescent="0.3">
      <c r="A587" t="s">
        <v>1416</v>
      </c>
      <c r="B587" t="s">
        <v>4</v>
      </c>
      <c r="C587" t="s">
        <v>4174</v>
      </c>
      <c r="D587" s="12"/>
      <c r="E587">
        <v>2.17</v>
      </c>
      <c r="F587" t="s">
        <v>258</v>
      </c>
      <c r="G587" s="25" t="s">
        <v>587</v>
      </c>
      <c r="H587" s="1" t="s">
        <v>636</v>
      </c>
      <c r="J587" t="s">
        <v>1832</v>
      </c>
      <c r="K587" t="s">
        <v>1832</v>
      </c>
      <c r="M587" t="b">
        <v>1</v>
      </c>
      <c r="N587" t="b">
        <v>1</v>
      </c>
      <c r="O587" t="b">
        <v>0</v>
      </c>
      <c r="P587" t="b">
        <v>0</v>
      </c>
      <c r="Q587" t="s">
        <v>2147</v>
      </c>
      <c r="R587" t="s">
        <v>2168</v>
      </c>
      <c r="U587" s="20">
        <v>1</v>
      </c>
      <c r="V587">
        <v>1</v>
      </c>
      <c r="W587">
        <v>0</v>
      </c>
      <c r="AC587" s="20">
        <v>3.950634</v>
      </c>
      <c r="AD587" s="20">
        <v>3.950634</v>
      </c>
      <c r="AE587" s="20">
        <v>15.513552000000001</v>
      </c>
      <c r="AF587">
        <v>3.8658999999999999</v>
      </c>
      <c r="AG587">
        <v>3.8658999999999999</v>
      </c>
      <c r="AH587">
        <v>15.2538</v>
      </c>
      <c r="AI587">
        <v>0</v>
      </c>
      <c r="AM587">
        <v>20</v>
      </c>
      <c r="AN587" s="44">
        <f t="shared" ref="AN587:AN589" si="145">X587*Y587*Z587</f>
        <v>0</v>
      </c>
      <c r="AO587" s="46">
        <v>242.1279024923125</v>
      </c>
      <c r="AP587" s="44">
        <v>227.970829547178</v>
      </c>
      <c r="AQ587" s="44">
        <v>0</v>
      </c>
      <c r="AR587" s="41"/>
      <c r="AS587" s="40">
        <v>8.2600971611006269E-2</v>
      </c>
      <c r="AT587" s="41">
        <v>8.7730522539775438E-2</v>
      </c>
      <c r="AU587" s="41"/>
      <c r="AV587" s="23">
        <v>1.9375</v>
      </c>
      <c r="AW587" s="23">
        <v>2.5</v>
      </c>
      <c r="AX587" s="23">
        <v>0.5625</v>
      </c>
      <c r="AY587" s="23">
        <v>2.625</v>
      </c>
      <c r="AZ587" s="23">
        <v>0.25409836065573771</v>
      </c>
      <c r="BA587" s="23">
        <v>0.32786885245901642</v>
      </c>
      <c r="BB587" s="23">
        <v>7.3770491803278687E-2</v>
      </c>
      <c r="BC587" s="23">
        <v>0.34426229508196721</v>
      </c>
      <c r="BD587" s="20">
        <v>0.79</v>
      </c>
      <c r="BE587" s="20">
        <v>3.44</v>
      </c>
      <c r="BF587" s="20">
        <v>2.65</v>
      </c>
      <c r="BG587" s="20">
        <v>2.6056249999999999</v>
      </c>
      <c r="BH587">
        <v>2.6056249999999999</v>
      </c>
      <c r="BI587">
        <v>5.9703320286696879</v>
      </c>
      <c r="BJ587" s="64">
        <v>0.52453741991489755</v>
      </c>
      <c r="BK587" s="64">
        <v>0.55711138795694093</v>
      </c>
      <c r="BL587" s="64"/>
      <c r="BN587">
        <v>4.1300485805503127E-2</v>
      </c>
      <c r="BO587">
        <v>4.3865261269887712E-2</v>
      </c>
      <c r="BQ587">
        <v>8.5165747075390846E-2</v>
      </c>
      <c r="BR587">
        <v>4.2582873537695423E-2</v>
      </c>
      <c r="BS587">
        <v>0.54082440393591924</v>
      </c>
      <c r="BT587" s="68" t="s">
        <v>1264</v>
      </c>
      <c r="BU587" s="68">
        <f>1273</f>
        <v>1273</v>
      </c>
      <c r="BV587" s="68">
        <v>10</v>
      </c>
      <c r="BW587" s="68" t="s">
        <v>1307</v>
      </c>
      <c r="BX587" s="68" t="s">
        <v>1268</v>
      </c>
      <c r="BY587" s="68" t="s">
        <v>890</v>
      </c>
      <c r="BZ587" s="68">
        <v>0.15</v>
      </c>
      <c r="CA587" s="70">
        <v>112</v>
      </c>
      <c r="CB587" s="68">
        <v>1</v>
      </c>
      <c r="CC587" s="68">
        <v>20</v>
      </c>
      <c r="CD587" s="68" t="s">
        <v>464</v>
      </c>
      <c r="CE587" s="68" t="s">
        <v>464</v>
      </c>
      <c r="CF587" s="68" t="s">
        <v>1271</v>
      </c>
      <c r="CG587" s="68">
        <v>500</v>
      </c>
      <c r="CI587" s="68" t="s">
        <v>1287</v>
      </c>
      <c r="CK587" s="70">
        <v>15610</v>
      </c>
    </row>
    <row r="588" spans="1:89" x14ac:dyDescent="0.3">
      <c r="A588" t="s">
        <v>259</v>
      </c>
      <c r="B588" t="s">
        <v>4</v>
      </c>
      <c r="C588" t="s">
        <v>4175</v>
      </c>
      <c r="D588" s="12"/>
      <c r="E588">
        <v>2.17</v>
      </c>
      <c r="F588" t="s">
        <v>258</v>
      </c>
      <c r="G588" s="25" t="s">
        <v>587</v>
      </c>
      <c r="H588" s="1" t="s">
        <v>636</v>
      </c>
      <c r="J588" t="s">
        <v>1833</v>
      </c>
      <c r="K588" t="s">
        <v>1833</v>
      </c>
      <c r="M588" t="b">
        <v>1</v>
      </c>
      <c r="N588" t="b">
        <v>1</v>
      </c>
      <c r="O588" t="b">
        <v>0</v>
      </c>
      <c r="P588" t="b">
        <v>0</v>
      </c>
      <c r="Q588" t="s">
        <v>2149</v>
      </c>
      <c r="R588" t="s">
        <v>2170</v>
      </c>
      <c r="U588" s="20">
        <v>1</v>
      </c>
      <c r="V588">
        <v>1</v>
      </c>
      <c r="W588">
        <v>0</v>
      </c>
      <c r="AC588" s="20">
        <v>3.950634</v>
      </c>
      <c r="AD588" s="20">
        <v>3.950634</v>
      </c>
      <c r="AE588" s="20">
        <v>15.513552000000001</v>
      </c>
      <c r="AF588">
        <v>3.8658999999999999</v>
      </c>
      <c r="AG588">
        <v>3.8658999999999999</v>
      </c>
      <c r="AH588">
        <v>15.2538</v>
      </c>
      <c r="AI588">
        <v>0</v>
      </c>
      <c r="AM588">
        <v>20</v>
      </c>
      <c r="AN588" s="44">
        <f t="shared" si="145"/>
        <v>0</v>
      </c>
      <c r="AO588" s="46">
        <v>242.1279024923125</v>
      </c>
      <c r="AP588" s="44">
        <v>227.970829547178</v>
      </c>
      <c r="AQ588" s="44">
        <v>0</v>
      </c>
      <c r="AR588" s="41"/>
      <c r="AS588" s="40">
        <v>8.2600971611006269E-2</v>
      </c>
      <c r="AT588" s="41">
        <v>8.7730522539775438E-2</v>
      </c>
      <c r="AU588" s="41"/>
      <c r="AV588" s="23">
        <v>1.9375</v>
      </c>
      <c r="AW588" s="23">
        <v>2.5</v>
      </c>
      <c r="AX588" s="23">
        <v>0.5625</v>
      </c>
      <c r="AY588" s="23">
        <v>2.625</v>
      </c>
      <c r="AZ588" s="23">
        <v>0.25409836065573771</v>
      </c>
      <c r="BA588" s="23">
        <v>0.32786885245901642</v>
      </c>
      <c r="BB588" s="23">
        <v>7.3770491803278687E-2</v>
      </c>
      <c r="BC588" s="23">
        <v>0.34426229508196721</v>
      </c>
      <c r="BD588" s="20">
        <v>0.79</v>
      </c>
      <c r="BE588" s="20">
        <v>3.44</v>
      </c>
      <c r="BF588" s="20">
        <v>2.65</v>
      </c>
      <c r="BG588" s="20">
        <v>2.6056249999999999</v>
      </c>
      <c r="BH588">
        <v>2.6056249999999999</v>
      </c>
      <c r="BI588">
        <v>5.9703320286696879</v>
      </c>
      <c r="BJ588" s="64">
        <v>0.52453741991489755</v>
      </c>
      <c r="BK588" s="64">
        <v>0.55711138795694093</v>
      </c>
      <c r="BL588" s="64"/>
      <c r="BN588">
        <v>4.1300485805503127E-2</v>
      </c>
      <c r="BO588">
        <v>4.3865261269887712E-2</v>
      </c>
      <c r="BQ588">
        <v>8.5165747075390846E-2</v>
      </c>
      <c r="BR588">
        <v>4.2582873537695423E-2</v>
      </c>
      <c r="BS588">
        <v>0.54082440393591924</v>
      </c>
      <c r="BT588" s="68" t="s">
        <v>1264</v>
      </c>
      <c r="BU588" s="68">
        <f>1273</f>
        <v>1273</v>
      </c>
      <c r="BV588" s="68">
        <v>10</v>
      </c>
      <c r="BW588" s="68" t="s">
        <v>1307</v>
      </c>
      <c r="BX588" s="68" t="s">
        <v>1268</v>
      </c>
      <c r="BY588" s="68" t="s">
        <v>890</v>
      </c>
      <c r="BZ588" s="68">
        <v>0.15</v>
      </c>
      <c r="CA588" s="70"/>
      <c r="CB588" s="68">
        <v>1</v>
      </c>
      <c r="CC588" s="68">
        <v>20</v>
      </c>
      <c r="CD588" s="68" t="s">
        <v>464</v>
      </c>
      <c r="CE588" s="68" t="s">
        <v>464</v>
      </c>
      <c r="CF588" s="68" t="s">
        <v>1271</v>
      </c>
      <c r="CG588" s="68">
        <v>500</v>
      </c>
      <c r="CH588" s="68">
        <v>400</v>
      </c>
      <c r="CI588" s="68" t="s">
        <v>1287</v>
      </c>
      <c r="CK588" s="70">
        <v>0.3</v>
      </c>
    </row>
    <row r="589" spans="1:89" x14ac:dyDescent="0.3">
      <c r="A589" t="s">
        <v>1416</v>
      </c>
      <c r="B589" t="s">
        <v>4</v>
      </c>
      <c r="C589" t="s">
        <v>4174</v>
      </c>
      <c r="D589" s="12"/>
      <c r="E589">
        <v>2.17</v>
      </c>
      <c r="F589" t="s">
        <v>258</v>
      </c>
      <c r="G589" s="25" t="s">
        <v>587</v>
      </c>
      <c r="H589" s="1" t="s">
        <v>636</v>
      </c>
      <c r="J589" t="s">
        <v>1832</v>
      </c>
      <c r="K589" t="s">
        <v>1832</v>
      </c>
      <c r="M589" t="b">
        <v>1</v>
      </c>
      <c r="N589" t="b">
        <v>1</v>
      </c>
      <c r="O589" t="b">
        <v>0</v>
      </c>
      <c r="P589" t="b">
        <v>0</v>
      </c>
      <c r="Q589" t="s">
        <v>2151</v>
      </c>
      <c r="R589" t="s">
        <v>2172</v>
      </c>
      <c r="U589" s="20">
        <v>1</v>
      </c>
      <c r="V589">
        <v>1</v>
      </c>
      <c r="W589">
        <v>0</v>
      </c>
      <c r="AC589" s="20">
        <v>3.950634</v>
      </c>
      <c r="AD589" s="20">
        <v>3.950634</v>
      </c>
      <c r="AE589" s="20">
        <v>15.513552000000001</v>
      </c>
      <c r="AF589">
        <v>3.8658999999999999</v>
      </c>
      <c r="AG589">
        <v>3.8658999999999999</v>
      </c>
      <c r="AH589">
        <v>15.2538</v>
      </c>
      <c r="AI589">
        <v>0</v>
      </c>
      <c r="AM589">
        <v>20</v>
      </c>
      <c r="AN589" s="44">
        <f t="shared" si="145"/>
        <v>0</v>
      </c>
      <c r="AO589" s="46">
        <v>242.1279024923125</v>
      </c>
      <c r="AP589" s="44">
        <v>227.970829547178</v>
      </c>
      <c r="AQ589" s="44">
        <v>0</v>
      </c>
      <c r="AR589" s="41"/>
      <c r="AS589" s="40">
        <v>8.2600971611006269E-2</v>
      </c>
      <c r="AT589" s="41">
        <v>8.7730522539775438E-2</v>
      </c>
      <c r="AU589" s="41"/>
      <c r="AV589" s="23">
        <v>1.9375</v>
      </c>
      <c r="AW589" s="23">
        <v>2.5</v>
      </c>
      <c r="AX589" s="23">
        <v>0.5625</v>
      </c>
      <c r="AY589" s="23">
        <v>2.625</v>
      </c>
      <c r="AZ589" s="23">
        <v>0.25409836065573771</v>
      </c>
      <c r="BA589" s="23">
        <v>0.32786885245901642</v>
      </c>
      <c r="BB589" s="23">
        <v>7.3770491803278687E-2</v>
      </c>
      <c r="BC589" s="23">
        <v>0.34426229508196721</v>
      </c>
      <c r="BD589" s="20">
        <v>0.79</v>
      </c>
      <c r="BE589" s="20">
        <v>3.44</v>
      </c>
      <c r="BF589" s="20">
        <v>2.65</v>
      </c>
      <c r="BG589" s="20">
        <v>2.6056249999999999</v>
      </c>
      <c r="BH589">
        <v>2.6056249999999999</v>
      </c>
      <c r="BI589">
        <v>5.9703320286696879</v>
      </c>
      <c r="BJ589" s="64">
        <v>0.52453741991489755</v>
      </c>
      <c r="BK589" s="64">
        <v>0.55711138795694093</v>
      </c>
      <c r="BL589" s="64"/>
      <c r="BN589">
        <v>4.1300485805503127E-2</v>
      </c>
      <c r="BO589">
        <v>4.3865261269887712E-2</v>
      </c>
      <c r="BQ589">
        <v>8.5165747075390846E-2</v>
      </c>
      <c r="BR589">
        <v>4.2582873537695423E-2</v>
      </c>
      <c r="BS589">
        <v>0.54082440393591924</v>
      </c>
      <c r="BT589" s="68" t="s">
        <v>1264</v>
      </c>
      <c r="BU589" s="68">
        <f>1273</f>
        <v>1273</v>
      </c>
      <c r="BV589" s="68">
        <v>10</v>
      </c>
      <c r="BW589" s="68" t="s">
        <v>1307</v>
      </c>
      <c r="BX589" s="68" t="s">
        <v>1268</v>
      </c>
      <c r="BY589" s="68" t="s">
        <v>890</v>
      </c>
      <c r="BZ589" s="68">
        <v>0.15</v>
      </c>
      <c r="CA589" s="70"/>
      <c r="CB589" s="68">
        <v>1</v>
      </c>
      <c r="CC589" s="68">
        <v>20</v>
      </c>
      <c r="CD589" s="68" t="s">
        <v>464</v>
      </c>
      <c r="CE589" s="68" t="s">
        <v>464</v>
      </c>
      <c r="CF589" s="68" t="s">
        <v>1271</v>
      </c>
      <c r="CG589" s="68">
        <v>500</v>
      </c>
      <c r="CH589" s="68">
        <v>400</v>
      </c>
      <c r="CI589" s="68" t="s">
        <v>1287</v>
      </c>
      <c r="CK589" s="70">
        <v>2</v>
      </c>
    </row>
    <row r="590" spans="1:89" x14ac:dyDescent="0.3">
      <c r="A590" t="s">
        <v>1416</v>
      </c>
      <c r="B590" t="s">
        <v>4</v>
      </c>
      <c r="C590" t="s">
        <v>4174</v>
      </c>
      <c r="D590" s="12"/>
      <c r="E590">
        <v>2.17</v>
      </c>
      <c r="F590" t="s">
        <v>258</v>
      </c>
      <c r="G590" s="25" t="s">
        <v>587</v>
      </c>
      <c r="H590" s="1" t="s">
        <v>636</v>
      </c>
      <c r="J590" t="s">
        <v>1832</v>
      </c>
      <c r="K590" t="s">
        <v>1832</v>
      </c>
      <c r="M590" t="b">
        <v>1</v>
      </c>
      <c r="N590" t="b">
        <v>1</v>
      </c>
      <c r="O590" t="b">
        <v>0</v>
      </c>
      <c r="P590" t="b">
        <v>0</v>
      </c>
      <c r="Q590" t="s">
        <v>2153</v>
      </c>
      <c r="R590" t="s">
        <v>2174</v>
      </c>
      <c r="U590" s="20">
        <v>1</v>
      </c>
      <c r="V590">
        <v>1</v>
      </c>
      <c r="W590">
        <v>0</v>
      </c>
      <c r="AC590" s="20">
        <v>3.950634</v>
      </c>
      <c r="AD590" s="20">
        <v>3.950634</v>
      </c>
      <c r="AE590" s="20">
        <v>15.513552000000001</v>
      </c>
      <c r="AF590">
        <v>3.8658999999999999</v>
      </c>
      <c r="AG590">
        <v>3.8658999999999999</v>
      </c>
      <c r="AH590">
        <v>15.2538</v>
      </c>
      <c r="AI590">
        <v>0</v>
      </c>
      <c r="AM590">
        <v>20</v>
      </c>
      <c r="AN590" s="44">
        <f t="shared" ref="AN590" si="146">X590*Y590*Z590</f>
        <v>0</v>
      </c>
      <c r="AO590" s="46">
        <v>242.1279024923125</v>
      </c>
      <c r="AP590" s="44">
        <v>227.970829547178</v>
      </c>
      <c r="AQ590" s="44">
        <v>0</v>
      </c>
      <c r="AR590" s="41"/>
      <c r="AS590" s="40">
        <v>8.2600971611006269E-2</v>
      </c>
      <c r="AT590" s="41">
        <v>8.7730522539775438E-2</v>
      </c>
      <c r="AU590" s="41"/>
      <c r="AV590" s="23">
        <v>1.9375</v>
      </c>
      <c r="AW590" s="23">
        <v>2.5</v>
      </c>
      <c r="AX590" s="23">
        <v>0.5625</v>
      </c>
      <c r="AY590" s="23">
        <v>2.625</v>
      </c>
      <c r="AZ590" s="23">
        <v>0.25409836065573771</v>
      </c>
      <c r="BA590" s="23">
        <v>0.32786885245901642</v>
      </c>
      <c r="BB590" s="23">
        <v>7.3770491803278687E-2</v>
      </c>
      <c r="BC590" s="23">
        <v>0.34426229508196721</v>
      </c>
      <c r="BD590" s="20">
        <v>0.79</v>
      </c>
      <c r="BE590" s="20">
        <v>3.44</v>
      </c>
      <c r="BF590" s="20">
        <v>2.65</v>
      </c>
      <c r="BG590" s="20">
        <v>2.6056249999999999</v>
      </c>
      <c r="BH590">
        <v>2.6056249999999999</v>
      </c>
      <c r="BI590">
        <v>5.9703320286696879</v>
      </c>
      <c r="BJ590" s="64">
        <v>0.52453741991489755</v>
      </c>
      <c r="BK590" s="64">
        <v>0.55711138795694093</v>
      </c>
      <c r="BL590" s="64"/>
      <c r="BN590">
        <v>4.1300485805503127E-2</v>
      </c>
      <c r="BO590">
        <v>4.3865261269887712E-2</v>
      </c>
      <c r="BQ590">
        <v>8.5165747075390846E-2</v>
      </c>
      <c r="BR590">
        <v>4.2582873537695423E-2</v>
      </c>
      <c r="BS590">
        <v>0.54082440393591924</v>
      </c>
      <c r="BT590" s="68" t="s">
        <v>1264</v>
      </c>
      <c r="BU590" s="68">
        <f>1273</f>
        <v>1273</v>
      </c>
      <c r="BV590" s="68">
        <v>10</v>
      </c>
      <c r="BW590" s="68" t="s">
        <v>1307</v>
      </c>
      <c r="BX590" s="68" t="s">
        <v>1268</v>
      </c>
      <c r="BY590" s="68" t="s">
        <v>890</v>
      </c>
      <c r="BZ590" s="68">
        <v>0.15</v>
      </c>
      <c r="CA590" s="70">
        <v>112</v>
      </c>
      <c r="CB590" s="68">
        <v>1</v>
      </c>
      <c r="CC590" s="68">
        <v>20</v>
      </c>
      <c r="CD590" s="68" t="s">
        <v>464</v>
      </c>
      <c r="CE590" s="68" t="s">
        <v>464</v>
      </c>
      <c r="CF590" s="68" t="s">
        <v>1271</v>
      </c>
      <c r="CG590" s="68">
        <v>500</v>
      </c>
      <c r="CH590" s="68">
        <v>400</v>
      </c>
      <c r="CI590" s="68" t="s">
        <v>1287</v>
      </c>
      <c r="CK590" s="70">
        <v>10</v>
      </c>
    </row>
    <row r="591" spans="1:89" x14ac:dyDescent="0.3">
      <c r="A591" t="s">
        <v>4</v>
      </c>
      <c r="B591" t="s">
        <v>4</v>
      </c>
      <c r="C591" t="s">
        <v>3921</v>
      </c>
      <c r="D591" s="12"/>
      <c r="E591">
        <v>3.35</v>
      </c>
      <c r="F591" t="s">
        <v>260</v>
      </c>
      <c r="G591" s="8" t="s">
        <v>527</v>
      </c>
      <c r="H591" t="s">
        <v>609</v>
      </c>
      <c r="M591" t="b">
        <v>1</v>
      </c>
      <c r="N591" t="b">
        <v>1</v>
      </c>
      <c r="O591" t="b">
        <v>0</v>
      </c>
      <c r="P591" t="b">
        <v>0</v>
      </c>
      <c r="Q591" t="s">
        <v>527</v>
      </c>
      <c r="R591" t="s">
        <v>609</v>
      </c>
      <c r="U591" s="20">
        <v>4</v>
      </c>
      <c r="V591">
        <v>4</v>
      </c>
      <c r="W591">
        <v>0</v>
      </c>
      <c r="AC591" s="20">
        <v>7.8084429999999996</v>
      </c>
      <c r="AD591" s="20">
        <v>7.8548809999999998</v>
      </c>
      <c r="AE591" s="20">
        <v>15.19056011</v>
      </c>
      <c r="AF591">
        <v>3.8801999999999999</v>
      </c>
      <c r="AG591">
        <v>29.507999999999999</v>
      </c>
      <c r="AH591">
        <v>7.7140000000000004</v>
      </c>
      <c r="AI591">
        <v>0</v>
      </c>
      <c r="AM591">
        <v>20</v>
      </c>
      <c r="AN591" s="44">
        <f t="shared" si="135"/>
        <v>0</v>
      </c>
      <c r="AO591" s="46">
        <v>924.74694800021894</v>
      </c>
      <c r="AP591" s="44">
        <v>883.22940750240002</v>
      </c>
      <c r="AQ591" s="44">
        <v>0</v>
      </c>
      <c r="AR591" s="41"/>
      <c r="AS591" s="40">
        <v>8.6510153045653584E-2</v>
      </c>
      <c r="AT591" s="41">
        <v>9.0576694254581439E-2</v>
      </c>
      <c r="AU591" s="41"/>
      <c r="AV591" s="23">
        <v>1.75</v>
      </c>
      <c r="AW591" s="23">
        <v>2.5</v>
      </c>
      <c r="AX591" s="23">
        <v>0.75</v>
      </c>
      <c r="AY591" s="23">
        <v>0</v>
      </c>
      <c r="AZ591" s="23">
        <v>0.35</v>
      </c>
      <c r="BA591" s="23">
        <v>0.5</v>
      </c>
      <c r="BB591" s="23">
        <v>0.15</v>
      </c>
      <c r="BC591" s="23">
        <v>0</v>
      </c>
      <c r="BD591" s="20">
        <v>0.82</v>
      </c>
      <c r="BE591" s="20">
        <v>3.44</v>
      </c>
      <c r="BF591" s="20">
        <v>2.62</v>
      </c>
      <c r="BG591" s="20">
        <v>2.6262500000000002</v>
      </c>
      <c r="BH591">
        <v>2.6262500000000002</v>
      </c>
      <c r="BI591">
        <v>5.96680968125</v>
      </c>
      <c r="BJ591" s="64">
        <v>0.50555206026575039</v>
      </c>
      <c r="BK591" s="64">
        <v>0</v>
      </c>
      <c r="BL591" s="64"/>
      <c r="BN591">
        <v>4.3255076522826792E-2</v>
      </c>
      <c r="BO591">
        <v>4.5288347127290719E-2</v>
      </c>
      <c r="BQ591">
        <v>8.8543423650117511E-2</v>
      </c>
      <c r="BR591">
        <v>4.4271711825058763E-2</v>
      </c>
      <c r="BS591">
        <v>0.2527760301328752</v>
      </c>
      <c r="BT591" s="68" t="s">
        <v>1264</v>
      </c>
      <c r="BU591" s="68">
        <f>1250+273</f>
        <v>1523</v>
      </c>
      <c r="BV591" s="68">
        <v>120</v>
      </c>
      <c r="BX591" s="68" t="s">
        <v>1268</v>
      </c>
      <c r="BY591" s="68" t="s">
        <v>863</v>
      </c>
      <c r="BZ591" s="68">
        <v>3</v>
      </c>
      <c r="CA591" s="70">
        <v>208</v>
      </c>
      <c r="CB591" s="68">
        <v>2</v>
      </c>
      <c r="CC591" s="68">
        <v>0</v>
      </c>
      <c r="CD591" s="68" t="s">
        <v>464</v>
      </c>
      <c r="CE591" s="68" t="s">
        <v>464</v>
      </c>
      <c r="CF591" s="68" t="s">
        <v>1266</v>
      </c>
      <c r="CG591" s="68">
        <v>175</v>
      </c>
      <c r="CI591" s="68" t="s">
        <v>1287</v>
      </c>
      <c r="CK591" s="70">
        <v>22.8</v>
      </c>
    </row>
    <row r="592" spans="1:89" x14ac:dyDescent="0.3">
      <c r="A592" t="s">
        <v>4</v>
      </c>
      <c r="B592" t="s">
        <v>4</v>
      </c>
      <c r="C592" t="s">
        <v>3921</v>
      </c>
      <c r="D592" s="12"/>
      <c r="E592">
        <v>3.35</v>
      </c>
      <c r="F592" t="s">
        <v>260</v>
      </c>
      <c r="G592" s="8" t="s">
        <v>527</v>
      </c>
      <c r="H592" t="s">
        <v>609</v>
      </c>
      <c r="M592" t="b">
        <v>1</v>
      </c>
      <c r="N592" t="b">
        <v>1</v>
      </c>
      <c r="O592" t="b">
        <v>0</v>
      </c>
      <c r="P592" t="b">
        <v>0</v>
      </c>
      <c r="Q592" t="s">
        <v>527</v>
      </c>
      <c r="R592" t="s">
        <v>609</v>
      </c>
      <c r="U592" s="20">
        <v>4</v>
      </c>
      <c r="V592">
        <v>4</v>
      </c>
      <c r="W592">
        <v>0</v>
      </c>
      <c r="AC592" s="20">
        <v>7.8084429999999996</v>
      </c>
      <c r="AD592" s="20">
        <v>7.8548809999999998</v>
      </c>
      <c r="AE592" s="20">
        <v>15.19056011</v>
      </c>
      <c r="AF592">
        <v>3.8801999999999999</v>
      </c>
      <c r="AG592">
        <v>29.507999999999999</v>
      </c>
      <c r="AH592">
        <v>7.7140000000000004</v>
      </c>
      <c r="AI592">
        <v>0</v>
      </c>
      <c r="AM592">
        <v>20</v>
      </c>
      <c r="AN592" s="44">
        <f t="shared" ref="AN592" si="147">X592*Y592*Z592</f>
        <v>0</v>
      </c>
      <c r="AO592" s="46">
        <v>924.74694800021894</v>
      </c>
      <c r="AP592" s="44">
        <v>883.22940750240002</v>
      </c>
      <c r="AQ592" s="44">
        <v>0</v>
      </c>
      <c r="AR592" s="41"/>
      <c r="AS592" s="40">
        <v>8.6510153045653584E-2</v>
      </c>
      <c r="AT592" s="41">
        <v>9.0576694254581439E-2</v>
      </c>
      <c r="AU592" s="41"/>
      <c r="AV592" s="23">
        <v>1.75</v>
      </c>
      <c r="AW592" s="23">
        <v>2.5</v>
      </c>
      <c r="AX592" s="23">
        <v>0.75</v>
      </c>
      <c r="AY592" s="23">
        <v>0</v>
      </c>
      <c r="AZ592" s="23">
        <v>0.35</v>
      </c>
      <c r="BA592" s="23">
        <v>0.5</v>
      </c>
      <c r="BB592" s="23">
        <v>0.15</v>
      </c>
      <c r="BC592" s="23">
        <v>0</v>
      </c>
      <c r="BD592" s="20">
        <v>0.82</v>
      </c>
      <c r="BE592" s="20">
        <v>3.44</v>
      </c>
      <c r="BF592" s="20">
        <v>2.62</v>
      </c>
      <c r="BG592" s="20">
        <v>2.6262500000000002</v>
      </c>
      <c r="BH592">
        <v>2.6262500000000002</v>
      </c>
      <c r="BI592">
        <v>5.96680968125</v>
      </c>
      <c r="BJ592" s="64">
        <v>0.50555206026575039</v>
      </c>
      <c r="BK592" s="64">
        <v>0</v>
      </c>
      <c r="BL592" s="64"/>
      <c r="BN592">
        <v>4.3255076522826792E-2</v>
      </c>
      <c r="BO592">
        <v>4.5288347127290719E-2</v>
      </c>
      <c r="BQ592">
        <v>8.8543423650117511E-2</v>
      </c>
      <c r="BR592">
        <v>4.4271711825058763E-2</v>
      </c>
      <c r="BS592">
        <v>0.2527760301328752</v>
      </c>
      <c r="BT592" s="68" t="s">
        <v>1264</v>
      </c>
      <c r="BU592" s="68">
        <f>1250+273</f>
        <v>1523</v>
      </c>
      <c r="BV592" s="68">
        <v>120</v>
      </c>
      <c r="BX592" s="68" t="s">
        <v>1268</v>
      </c>
      <c r="BY592" s="68" t="s">
        <v>863</v>
      </c>
      <c r="BZ592" s="68">
        <v>3</v>
      </c>
      <c r="CA592" s="70">
        <v>208</v>
      </c>
      <c r="CB592" s="68">
        <v>2</v>
      </c>
      <c r="CC592" s="68">
        <v>0</v>
      </c>
      <c r="CD592" s="68" t="s">
        <v>464</v>
      </c>
      <c r="CE592" s="68" t="s">
        <v>464</v>
      </c>
      <c r="CF592" s="68" t="s">
        <v>1266</v>
      </c>
      <c r="CG592" s="68">
        <v>175</v>
      </c>
      <c r="CI592" s="68" t="s">
        <v>1287</v>
      </c>
      <c r="CK592" s="70">
        <v>784</v>
      </c>
    </row>
    <row r="593" spans="1:90" x14ac:dyDescent="0.3">
      <c r="A593" t="s">
        <v>38</v>
      </c>
      <c r="C593" t="s">
        <v>714</v>
      </c>
      <c r="E593">
        <v>3.92</v>
      </c>
      <c r="F593" t="s">
        <v>261</v>
      </c>
      <c r="G593" s="8" t="s">
        <v>545</v>
      </c>
      <c r="H593" t="s">
        <v>626</v>
      </c>
      <c r="M593" t="b">
        <v>1</v>
      </c>
      <c r="N593" t="b">
        <v>1</v>
      </c>
      <c r="O593" t="b">
        <v>0</v>
      </c>
      <c r="P593" t="b">
        <v>0</v>
      </c>
      <c r="Q593" t="s">
        <v>545</v>
      </c>
      <c r="R593" t="s">
        <v>626</v>
      </c>
      <c r="U593" s="20">
        <v>1</v>
      </c>
      <c r="V593">
        <v>1</v>
      </c>
      <c r="W593">
        <v>0</v>
      </c>
      <c r="AC593" s="20">
        <v>5.8532381300000003</v>
      </c>
      <c r="AD593" s="20">
        <v>5.8532371599999999</v>
      </c>
      <c r="AE593" s="20">
        <v>11.912811489999999</v>
      </c>
      <c r="AF593">
        <v>5.7946</v>
      </c>
      <c r="AG593">
        <v>5.7946</v>
      </c>
      <c r="AH593">
        <v>11.787599999999999</v>
      </c>
      <c r="AI593">
        <v>0</v>
      </c>
      <c r="AM593">
        <v>30</v>
      </c>
      <c r="AN593" s="44">
        <f t="shared" si="135"/>
        <v>0</v>
      </c>
      <c r="AO593" s="46">
        <v>353.45760058531442</v>
      </c>
      <c r="AP593" s="44">
        <v>342.77011164986573</v>
      </c>
      <c r="AQ593" s="44">
        <v>0</v>
      </c>
      <c r="AR593" s="41"/>
      <c r="AS593" s="40">
        <v>8.487580957467307E-2</v>
      </c>
      <c r="AT593" s="41">
        <v>8.752221672887435E-2</v>
      </c>
      <c r="AU593" s="41"/>
      <c r="AV593" s="23">
        <v>1.833333333333333</v>
      </c>
      <c r="AW593" s="23">
        <v>2.5</v>
      </c>
      <c r="AX593" s="23">
        <v>0.66666666666666663</v>
      </c>
      <c r="AY593" s="23">
        <v>0</v>
      </c>
      <c r="AZ593" s="23">
        <v>0.36666666666666659</v>
      </c>
      <c r="BA593" s="23">
        <v>0.5</v>
      </c>
      <c r="BB593" s="23">
        <v>0.1333333333333333</v>
      </c>
      <c r="BC593" s="23">
        <v>0</v>
      </c>
      <c r="BD593" s="20">
        <v>0.89</v>
      </c>
      <c r="BE593" s="20">
        <v>3.44</v>
      </c>
      <c r="BF593" s="20">
        <v>2.5499999999999998</v>
      </c>
      <c r="BG593" s="20">
        <v>2.6020833333333329</v>
      </c>
      <c r="BH593">
        <v>2.6020833333333329</v>
      </c>
      <c r="BI593">
        <v>5.9098726145833336</v>
      </c>
      <c r="BJ593" s="64">
        <v>0.57410011132036598</v>
      </c>
      <c r="BK593" s="64">
        <v>0.59200041353179045</v>
      </c>
      <c r="BL593" s="64"/>
      <c r="BN593">
        <v>4.2437904787336528E-2</v>
      </c>
      <c r="BO593">
        <v>4.3761108364437168E-2</v>
      </c>
      <c r="BQ593">
        <v>8.619901315177371E-2</v>
      </c>
      <c r="BR593">
        <v>4.3099506575886848E-2</v>
      </c>
      <c r="BS593">
        <v>0.58305026242607827</v>
      </c>
      <c r="BT593" s="68" t="s">
        <v>1407</v>
      </c>
      <c r="BU593" s="68">
        <v>473</v>
      </c>
      <c r="BV593" s="68">
        <v>12</v>
      </c>
      <c r="BX593" s="68" t="s">
        <v>464</v>
      </c>
      <c r="BY593" s="68" t="s">
        <v>464</v>
      </c>
      <c r="BZ593" s="68">
        <v>0</v>
      </c>
      <c r="CA593" s="68">
        <v>1.6</v>
      </c>
      <c r="CB593" s="68">
        <v>0.83</v>
      </c>
      <c r="CC593" s="68">
        <v>0</v>
      </c>
      <c r="CD593" s="68" t="s">
        <v>464</v>
      </c>
      <c r="CE593" s="68" t="s">
        <v>464</v>
      </c>
      <c r="CF593" s="68" t="s">
        <v>1266</v>
      </c>
      <c r="CG593" s="68">
        <v>450</v>
      </c>
      <c r="CI593" s="68" t="s">
        <v>1287</v>
      </c>
      <c r="CJ593" s="68">
        <v>298</v>
      </c>
      <c r="CK593" s="70">
        <v>15</v>
      </c>
    </row>
    <row r="594" spans="1:90" x14ac:dyDescent="0.3">
      <c r="A594" t="s">
        <v>38</v>
      </c>
      <c r="C594" t="s">
        <v>714</v>
      </c>
      <c r="E594">
        <v>3.84</v>
      </c>
      <c r="F594" t="s">
        <v>261</v>
      </c>
      <c r="G594" s="8" t="s">
        <v>545</v>
      </c>
      <c r="H594" t="s">
        <v>626</v>
      </c>
      <c r="M594" t="b">
        <v>1</v>
      </c>
      <c r="N594" t="b">
        <v>1</v>
      </c>
      <c r="O594" t="b">
        <v>0</v>
      </c>
      <c r="P594" t="b">
        <v>0</v>
      </c>
      <c r="Q594" t="s">
        <v>545</v>
      </c>
      <c r="R594" t="s">
        <v>626</v>
      </c>
      <c r="U594" s="20">
        <v>1</v>
      </c>
      <c r="V594">
        <v>1</v>
      </c>
      <c r="W594">
        <v>0</v>
      </c>
      <c r="AC594" s="20">
        <v>5.8532381300000003</v>
      </c>
      <c r="AD594" s="20">
        <v>5.8532371599999999</v>
      </c>
      <c r="AE594" s="20">
        <v>11.912811489999999</v>
      </c>
      <c r="AF594">
        <v>5.7946</v>
      </c>
      <c r="AG594">
        <v>5.7946</v>
      </c>
      <c r="AH594">
        <v>11.787599999999999</v>
      </c>
      <c r="AI594">
        <v>0</v>
      </c>
      <c r="AM594">
        <v>30</v>
      </c>
      <c r="AN594" s="44">
        <f t="shared" ref="AN594:AN595" si="148">X594*Y594*Z594</f>
        <v>0</v>
      </c>
      <c r="AO594" s="46">
        <v>353.45760058531442</v>
      </c>
      <c r="AP594" s="44">
        <v>342.77011164986573</v>
      </c>
      <c r="AQ594" s="44">
        <v>0</v>
      </c>
      <c r="AR594" s="41"/>
      <c r="AS594" s="40">
        <v>8.487580957467307E-2</v>
      </c>
      <c r="AT594" s="41">
        <v>8.752221672887435E-2</v>
      </c>
      <c r="AU594" s="41"/>
      <c r="AV594" s="23">
        <v>1.833333333333333</v>
      </c>
      <c r="AW594" s="23">
        <v>2.5</v>
      </c>
      <c r="AX594" s="23">
        <v>0.66666666666666663</v>
      </c>
      <c r="AY594" s="23">
        <v>0</v>
      </c>
      <c r="AZ594" s="23">
        <v>0.36666666666666659</v>
      </c>
      <c r="BA594" s="23">
        <v>0.5</v>
      </c>
      <c r="BB594" s="23">
        <v>0.1333333333333333</v>
      </c>
      <c r="BC594" s="23">
        <v>0</v>
      </c>
      <c r="BD594" s="20">
        <v>0.89</v>
      </c>
      <c r="BE594" s="20">
        <v>3.44</v>
      </c>
      <c r="BF594" s="20">
        <v>2.5499999999999998</v>
      </c>
      <c r="BG594" s="20">
        <v>2.6020833333333329</v>
      </c>
      <c r="BH594">
        <v>2.6020833333333329</v>
      </c>
      <c r="BI594">
        <v>5.9098726145833336</v>
      </c>
      <c r="BJ594" s="64">
        <v>0.57410011132036598</v>
      </c>
      <c r="BK594" s="64">
        <v>0.59200041353179045</v>
      </c>
      <c r="BL594" s="64"/>
      <c r="BN594">
        <v>4.2437904787336528E-2</v>
      </c>
      <c r="BO594">
        <v>4.3761108364437168E-2</v>
      </c>
      <c r="BQ594">
        <v>8.619901315177371E-2</v>
      </c>
      <c r="BR594">
        <v>4.3099506575886848E-2</v>
      </c>
      <c r="BS594">
        <v>0.58305026242607827</v>
      </c>
      <c r="BT594" s="68" t="s">
        <v>1407</v>
      </c>
      <c r="BU594" s="68">
        <v>473</v>
      </c>
      <c r="BV594" s="68">
        <v>12</v>
      </c>
      <c r="BX594" s="68" t="s">
        <v>464</v>
      </c>
      <c r="BY594" s="68" t="s">
        <v>464</v>
      </c>
      <c r="BZ594" s="68">
        <v>0</v>
      </c>
      <c r="CA594" s="68">
        <v>10.9</v>
      </c>
      <c r="CB594" s="68">
        <v>0.83</v>
      </c>
      <c r="CC594" s="68">
        <v>0</v>
      </c>
      <c r="CD594" s="68" t="s">
        <v>464</v>
      </c>
      <c r="CE594" s="68" t="s">
        <v>464</v>
      </c>
      <c r="CF594" s="68" t="s">
        <v>1266</v>
      </c>
      <c r="CG594" s="68">
        <v>450</v>
      </c>
      <c r="CI594" s="68" t="s">
        <v>1287</v>
      </c>
      <c r="CJ594" s="68">
        <v>298</v>
      </c>
      <c r="CK594" s="70">
        <v>35.200000000000003</v>
      </c>
    </row>
    <row r="595" spans="1:90" x14ac:dyDescent="0.3">
      <c r="A595" t="s">
        <v>38</v>
      </c>
      <c r="C595" t="s">
        <v>714</v>
      </c>
      <c r="E595">
        <v>3.92</v>
      </c>
      <c r="F595" t="s">
        <v>261</v>
      </c>
      <c r="G595" s="8" t="s">
        <v>545</v>
      </c>
      <c r="H595" t="s">
        <v>626</v>
      </c>
      <c r="M595" t="b">
        <v>1</v>
      </c>
      <c r="N595" t="b">
        <v>1</v>
      </c>
      <c r="O595" t="b">
        <v>0</v>
      </c>
      <c r="P595" t="b">
        <v>0</v>
      </c>
      <c r="Q595" t="s">
        <v>545</v>
      </c>
      <c r="R595" t="s">
        <v>626</v>
      </c>
      <c r="U595" s="20">
        <v>1</v>
      </c>
      <c r="V595">
        <v>1</v>
      </c>
      <c r="W595">
        <v>0</v>
      </c>
      <c r="AC595" s="20">
        <v>5.8532381300000003</v>
      </c>
      <c r="AD595" s="20">
        <v>5.8532371599999999</v>
      </c>
      <c r="AE595" s="20">
        <v>11.912811489999999</v>
      </c>
      <c r="AF595">
        <v>5.7946</v>
      </c>
      <c r="AG595">
        <v>5.7946</v>
      </c>
      <c r="AH595">
        <v>11.787599999999999</v>
      </c>
      <c r="AI595">
        <v>0</v>
      </c>
      <c r="AM595">
        <v>30</v>
      </c>
      <c r="AN595" s="44">
        <f t="shared" si="148"/>
        <v>0</v>
      </c>
      <c r="AO595" s="46">
        <v>353.45760058531442</v>
      </c>
      <c r="AP595" s="44">
        <v>342.77011164986573</v>
      </c>
      <c r="AQ595" s="44">
        <v>0</v>
      </c>
      <c r="AR595" s="41"/>
      <c r="AS595" s="40">
        <v>8.487580957467307E-2</v>
      </c>
      <c r="AT595" s="41">
        <v>8.752221672887435E-2</v>
      </c>
      <c r="AU595" s="41"/>
      <c r="AV595" s="23">
        <v>1.833333333333333</v>
      </c>
      <c r="AW595" s="23">
        <v>2.5</v>
      </c>
      <c r="AX595" s="23">
        <v>0.66666666666666663</v>
      </c>
      <c r="AY595" s="23">
        <v>0</v>
      </c>
      <c r="AZ595" s="23">
        <v>0.36666666666666659</v>
      </c>
      <c r="BA595" s="23">
        <v>0.5</v>
      </c>
      <c r="BB595" s="23">
        <v>0.1333333333333333</v>
      </c>
      <c r="BC595" s="23">
        <v>0</v>
      </c>
      <c r="BD595" s="20">
        <v>0.89</v>
      </c>
      <c r="BE595" s="20">
        <v>3.44</v>
      </c>
      <c r="BF595" s="20">
        <v>2.5499999999999998</v>
      </c>
      <c r="BG595" s="20">
        <v>2.6020833333333329</v>
      </c>
      <c r="BH595">
        <v>2.6020833333333329</v>
      </c>
      <c r="BI595">
        <v>5.9098726145833336</v>
      </c>
      <c r="BJ595" s="64">
        <v>0.57410011132036598</v>
      </c>
      <c r="BK595" s="64">
        <v>0.59200041353179045</v>
      </c>
      <c r="BL595" s="64"/>
      <c r="BN595">
        <v>4.2437904787336528E-2</v>
      </c>
      <c r="BO595">
        <v>4.3761108364437168E-2</v>
      </c>
      <c r="BQ595">
        <v>8.619901315177371E-2</v>
      </c>
      <c r="BR595">
        <v>4.3099506575886848E-2</v>
      </c>
      <c r="BS595">
        <v>0.58305026242607827</v>
      </c>
      <c r="BT595" s="68" t="s">
        <v>1407</v>
      </c>
      <c r="BU595" s="68">
        <v>473</v>
      </c>
      <c r="BV595" s="68">
        <v>12</v>
      </c>
      <c r="BX595" s="68" t="s">
        <v>1275</v>
      </c>
      <c r="BY595" s="68" t="s">
        <v>56</v>
      </c>
      <c r="CA595" s="68">
        <v>1.6</v>
      </c>
      <c r="CB595" s="68">
        <v>0.83</v>
      </c>
      <c r="CC595" s="68">
        <v>0</v>
      </c>
      <c r="CD595" s="68" t="s">
        <v>464</v>
      </c>
      <c r="CE595" s="68" t="s">
        <v>464</v>
      </c>
      <c r="CF595" s="68" t="s">
        <v>1266</v>
      </c>
      <c r="CG595" s="68">
        <v>450</v>
      </c>
      <c r="CI595" s="68" t="s">
        <v>1287</v>
      </c>
      <c r="CJ595" s="68">
        <v>298</v>
      </c>
      <c r="CK595" s="70">
        <v>94.5</v>
      </c>
    </row>
    <row r="596" spans="1:90" x14ac:dyDescent="0.3">
      <c r="A596" t="s">
        <v>38</v>
      </c>
      <c r="C596" t="s">
        <v>714</v>
      </c>
      <c r="E596">
        <v>3.84</v>
      </c>
      <c r="F596" t="s">
        <v>261</v>
      </c>
      <c r="G596" s="8" t="s">
        <v>545</v>
      </c>
      <c r="H596" t="s">
        <v>626</v>
      </c>
      <c r="M596" t="b">
        <v>1</v>
      </c>
      <c r="N596" t="b">
        <v>1</v>
      </c>
      <c r="O596" t="b">
        <v>0</v>
      </c>
      <c r="P596" t="b">
        <v>0</v>
      </c>
      <c r="Q596" t="s">
        <v>545</v>
      </c>
      <c r="R596" t="s">
        <v>626</v>
      </c>
      <c r="U596" s="20">
        <v>1</v>
      </c>
      <c r="V596">
        <v>1</v>
      </c>
      <c r="W596">
        <v>0</v>
      </c>
      <c r="AC596" s="20">
        <v>5.8532381300000003</v>
      </c>
      <c r="AD596" s="20">
        <v>5.8532371599999999</v>
      </c>
      <c r="AE596" s="20">
        <v>11.912811489999999</v>
      </c>
      <c r="AF596">
        <v>5.7946</v>
      </c>
      <c r="AG596">
        <v>5.7946</v>
      </c>
      <c r="AH596">
        <v>11.787599999999999</v>
      </c>
      <c r="AI596">
        <v>0</v>
      </c>
      <c r="AM596">
        <v>30</v>
      </c>
      <c r="AN596" s="44">
        <f t="shared" ref="AN596:AN597" si="149">X596*Y596*Z596</f>
        <v>0</v>
      </c>
      <c r="AO596" s="46">
        <v>353.45760058531442</v>
      </c>
      <c r="AP596" s="44">
        <v>342.77011164986573</v>
      </c>
      <c r="AQ596" s="44">
        <v>0</v>
      </c>
      <c r="AR596" s="41"/>
      <c r="AS596" s="40">
        <v>8.487580957467307E-2</v>
      </c>
      <c r="AT596" s="41">
        <v>8.752221672887435E-2</v>
      </c>
      <c r="AU596" s="41"/>
      <c r="AV596" s="23">
        <v>1.833333333333333</v>
      </c>
      <c r="AW596" s="23">
        <v>2.5</v>
      </c>
      <c r="AX596" s="23">
        <v>0.66666666666666663</v>
      </c>
      <c r="AY596" s="23">
        <v>0</v>
      </c>
      <c r="AZ596" s="23">
        <v>0.36666666666666659</v>
      </c>
      <c r="BA596" s="23">
        <v>0.5</v>
      </c>
      <c r="BB596" s="23">
        <v>0.1333333333333333</v>
      </c>
      <c r="BC596" s="23">
        <v>0</v>
      </c>
      <c r="BD596" s="20">
        <v>0.89</v>
      </c>
      <c r="BE596" s="20">
        <v>3.44</v>
      </c>
      <c r="BF596" s="20">
        <v>2.5499999999999998</v>
      </c>
      <c r="BG596" s="20">
        <v>2.6020833333333329</v>
      </c>
      <c r="BH596">
        <v>2.6020833333333329</v>
      </c>
      <c r="BI596">
        <v>5.9098726145833336</v>
      </c>
      <c r="BJ596" s="64">
        <v>0.57410011132036598</v>
      </c>
      <c r="BK596" s="64">
        <v>0.59200041353179045</v>
      </c>
      <c r="BL596" s="64"/>
      <c r="BN596">
        <v>4.2437904787336528E-2</v>
      </c>
      <c r="BO596">
        <v>4.3761108364437168E-2</v>
      </c>
      <c r="BQ596">
        <v>8.619901315177371E-2</v>
      </c>
      <c r="BR596">
        <v>4.3099506575886848E-2</v>
      </c>
      <c r="BS596">
        <v>0.58305026242607827</v>
      </c>
      <c r="BT596" s="68" t="s">
        <v>1407</v>
      </c>
      <c r="BU596" s="68">
        <v>473</v>
      </c>
      <c r="BV596" s="68">
        <v>12</v>
      </c>
      <c r="BX596" s="68" t="s">
        <v>1275</v>
      </c>
      <c r="BY596" s="68" t="s">
        <v>56</v>
      </c>
      <c r="CA596" s="68">
        <v>10.9</v>
      </c>
      <c r="CB596" s="68">
        <v>0.83</v>
      </c>
      <c r="CC596" s="68">
        <v>0</v>
      </c>
      <c r="CD596" s="68" t="s">
        <v>464</v>
      </c>
      <c r="CE596" s="68" t="s">
        <v>464</v>
      </c>
      <c r="CF596" s="68" t="s">
        <v>1266</v>
      </c>
      <c r="CG596" s="68">
        <v>450</v>
      </c>
      <c r="CI596" s="68" t="s">
        <v>1287</v>
      </c>
      <c r="CJ596" s="68">
        <v>298</v>
      </c>
      <c r="CK596" s="70">
        <v>321.60000000000002</v>
      </c>
    </row>
    <row r="597" spans="1:90" x14ac:dyDescent="0.3">
      <c r="A597" t="s">
        <v>38</v>
      </c>
      <c r="C597" t="s">
        <v>714</v>
      </c>
      <c r="E597">
        <v>3.84</v>
      </c>
      <c r="F597" t="s">
        <v>261</v>
      </c>
      <c r="G597" s="8" t="s">
        <v>545</v>
      </c>
      <c r="H597" t="s">
        <v>626</v>
      </c>
      <c r="M597" t="b">
        <v>1</v>
      </c>
      <c r="N597" t="b">
        <v>1</v>
      </c>
      <c r="O597" t="b">
        <v>0</v>
      </c>
      <c r="P597" t="b">
        <v>0</v>
      </c>
      <c r="Q597" t="s">
        <v>545</v>
      </c>
      <c r="R597" t="s">
        <v>626</v>
      </c>
      <c r="U597" s="20">
        <v>1</v>
      </c>
      <c r="V597">
        <v>1</v>
      </c>
      <c r="W597">
        <v>0</v>
      </c>
      <c r="AC597" s="20">
        <v>5.8532381300000003</v>
      </c>
      <c r="AD597" s="20">
        <v>5.8532371599999999</v>
      </c>
      <c r="AE597" s="20">
        <v>11.912811489999999</v>
      </c>
      <c r="AF597">
        <v>5.7946</v>
      </c>
      <c r="AG597">
        <v>5.7946</v>
      </c>
      <c r="AH597">
        <v>11.787599999999999</v>
      </c>
      <c r="AI597">
        <v>0</v>
      </c>
      <c r="AM597">
        <v>30</v>
      </c>
      <c r="AN597" s="44">
        <f t="shared" si="149"/>
        <v>0</v>
      </c>
      <c r="AO597" s="46">
        <v>353.45760058531442</v>
      </c>
      <c r="AP597" s="44">
        <v>342.77011164986573</v>
      </c>
      <c r="AQ597" s="44">
        <v>0</v>
      </c>
      <c r="AR597" s="41"/>
      <c r="AS597" s="40">
        <v>8.487580957467307E-2</v>
      </c>
      <c r="AT597" s="41">
        <v>8.752221672887435E-2</v>
      </c>
      <c r="AU597" s="41"/>
      <c r="AV597" s="23">
        <v>1.833333333333333</v>
      </c>
      <c r="AW597" s="23">
        <v>2.5</v>
      </c>
      <c r="AX597" s="23">
        <v>0.66666666666666663</v>
      </c>
      <c r="AY597" s="23">
        <v>0</v>
      </c>
      <c r="AZ597" s="23">
        <v>0.36666666666666659</v>
      </c>
      <c r="BA597" s="23">
        <v>0.5</v>
      </c>
      <c r="BB597" s="23">
        <v>0.1333333333333333</v>
      </c>
      <c r="BC597" s="23">
        <v>0</v>
      </c>
      <c r="BD597" s="20">
        <v>0.89</v>
      </c>
      <c r="BE597" s="20">
        <v>3.44</v>
      </c>
      <c r="BF597" s="20">
        <v>2.5499999999999998</v>
      </c>
      <c r="BG597" s="20">
        <v>2.6020833333333329</v>
      </c>
      <c r="BH597">
        <v>2.6020833333333329</v>
      </c>
      <c r="BI597">
        <v>5.9098726145833336</v>
      </c>
      <c r="BJ597" s="64">
        <v>0.57410011132036598</v>
      </c>
      <c r="BK597" s="64">
        <v>0.59200041353179045</v>
      </c>
      <c r="BL597" s="64"/>
      <c r="BN597">
        <v>4.2437904787336528E-2</v>
      </c>
      <c r="BO597">
        <v>4.3761108364437168E-2</v>
      </c>
      <c r="BQ597">
        <v>8.619901315177371E-2</v>
      </c>
      <c r="BR597">
        <v>4.3099506575886848E-2</v>
      </c>
      <c r="BS597">
        <v>0.58305026242607827</v>
      </c>
      <c r="BT597" s="68" t="s">
        <v>1407</v>
      </c>
      <c r="BU597" s="68">
        <v>473</v>
      </c>
      <c r="BV597" s="68">
        <v>12</v>
      </c>
      <c r="BX597" s="68" t="s">
        <v>464</v>
      </c>
      <c r="BY597" s="68" t="s">
        <v>464</v>
      </c>
      <c r="BZ597" s="68">
        <v>0</v>
      </c>
      <c r="CA597" s="68">
        <v>10.9</v>
      </c>
      <c r="CB597" s="68">
        <v>0.83</v>
      </c>
      <c r="CC597" s="68">
        <v>0</v>
      </c>
      <c r="CD597" s="68" t="s">
        <v>464</v>
      </c>
      <c r="CE597" s="68" t="s">
        <v>464</v>
      </c>
      <c r="CF597" s="68" t="s">
        <v>1266</v>
      </c>
      <c r="CG597" s="68">
        <v>450</v>
      </c>
      <c r="CH597" s="68">
        <v>420</v>
      </c>
      <c r="CI597" s="68" t="s">
        <v>1287</v>
      </c>
      <c r="CJ597" s="68">
        <v>298</v>
      </c>
      <c r="CK597" s="70">
        <v>0</v>
      </c>
    </row>
    <row r="598" spans="1:90" x14ac:dyDescent="0.3">
      <c r="A598" t="s">
        <v>4</v>
      </c>
      <c r="B598" t="s">
        <v>4</v>
      </c>
      <c r="C598" t="s">
        <v>3921</v>
      </c>
      <c r="D598" s="12"/>
      <c r="E598" s="58">
        <v>3.46</v>
      </c>
      <c r="F598" t="s">
        <v>263</v>
      </c>
      <c r="G598" s="8" t="s">
        <v>527</v>
      </c>
      <c r="H598" t="s">
        <v>609</v>
      </c>
      <c r="M598" t="b">
        <v>1</v>
      </c>
      <c r="N598" t="b">
        <v>1</v>
      </c>
      <c r="O598" t="b">
        <v>0</v>
      </c>
      <c r="P598" t="b">
        <v>0</v>
      </c>
      <c r="Q598" t="s">
        <v>527</v>
      </c>
      <c r="R598" t="s">
        <v>609</v>
      </c>
      <c r="T598">
        <v>4</v>
      </c>
      <c r="U598" s="20">
        <v>0</v>
      </c>
      <c r="V598">
        <v>0</v>
      </c>
      <c r="W598">
        <v>0</v>
      </c>
      <c r="X598">
        <v>3.8490000000000002</v>
      </c>
      <c r="Y598">
        <v>7.6680000000000001</v>
      </c>
      <c r="Z598">
        <v>29.42</v>
      </c>
      <c r="AA598" t="s">
        <v>472</v>
      </c>
      <c r="AB598">
        <v>14.71</v>
      </c>
      <c r="AC598" s="20">
        <v>0</v>
      </c>
      <c r="AD598" s="20"/>
      <c r="AE598" s="20"/>
      <c r="AF598">
        <v>0</v>
      </c>
      <c r="AI598">
        <v>0</v>
      </c>
      <c r="AM598">
        <v>20</v>
      </c>
      <c r="AN598" s="44">
        <f t="shared" si="135"/>
        <v>868.30576344000019</v>
      </c>
      <c r="AO598" s="46">
        <v>0</v>
      </c>
      <c r="AP598" s="44">
        <v>0</v>
      </c>
      <c r="AQ598" s="44">
        <v>0</v>
      </c>
      <c r="AR598" s="41">
        <f t="shared" ref="AR598:AR599" si="150">T598*AM598/AN598</f>
        <v>9.2133443503888468E-2</v>
      </c>
      <c r="AS598" s="40"/>
      <c r="AT598" s="41"/>
      <c r="AU598" s="41"/>
      <c r="AV598" s="23">
        <v>1.75</v>
      </c>
      <c r="AW598" s="23">
        <v>2.5</v>
      </c>
      <c r="AX598" s="23">
        <v>0.75</v>
      </c>
      <c r="AY598" s="23">
        <v>0</v>
      </c>
      <c r="AZ598" s="23">
        <v>0.35</v>
      </c>
      <c r="BA598" s="23">
        <v>0.5</v>
      </c>
      <c r="BB598" s="23">
        <v>0.15</v>
      </c>
      <c r="BC598" s="23">
        <v>0</v>
      </c>
      <c r="BD598" s="20">
        <v>0.82</v>
      </c>
      <c r="BE598" s="20">
        <v>3.44</v>
      </c>
      <c r="BF598" s="20">
        <v>2.62</v>
      </c>
      <c r="BG598" s="20">
        <v>2.6262500000000002</v>
      </c>
      <c r="BH598">
        <v>2.7466666666666661</v>
      </c>
      <c r="BI598">
        <v>6.2031928980000002</v>
      </c>
      <c r="BJ598" s="64"/>
      <c r="BK598" s="64"/>
      <c r="BL598" s="64"/>
      <c r="BM598">
        <v>4.6066721751944241E-2</v>
      </c>
      <c r="BQ598">
        <v>9.2133443503888482E-2</v>
      </c>
      <c r="BR598">
        <v>4.6066721751944241E-2</v>
      </c>
      <c r="BS598">
        <v>0</v>
      </c>
      <c r="BT598" s="68" t="s">
        <v>1428</v>
      </c>
      <c r="BU598" s="68">
        <v>1473</v>
      </c>
      <c r="BV598" s="68">
        <v>10</v>
      </c>
      <c r="BX598" s="68" t="s">
        <v>1268</v>
      </c>
      <c r="BY598" s="68" t="s">
        <v>890</v>
      </c>
      <c r="BZ598" s="68">
        <v>1</v>
      </c>
      <c r="CB598" s="68">
        <v>0.5</v>
      </c>
      <c r="CC598" s="68">
        <v>20</v>
      </c>
      <c r="CD598" s="68" t="s">
        <v>464</v>
      </c>
      <c r="CE598" s="68" t="s">
        <v>464</v>
      </c>
      <c r="CF598" s="68" t="s">
        <v>1271</v>
      </c>
      <c r="CG598" s="68">
        <v>500</v>
      </c>
      <c r="CH598" s="68">
        <v>400</v>
      </c>
      <c r="CI598" s="68" t="s">
        <v>1287</v>
      </c>
      <c r="CK598" s="70">
        <v>6.7000000000000004E-2</v>
      </c>
    </row>
    <row r="599" spans="1:90" x14ac:dyDescent="0.3">
      <c r="A599" t="s">
        <v>63</v>
      </c>
      <c r="B599" t="s">
        <v>4</v>
      </c>
      <c r="C599" t="s">
        <v>3928</v>
      </c>
      <c r="D599" s="12"/>
      <c r="E599" s="58">
        <v>3.512</v>
      </c>
      <c r="F599" t="s">
        <v>263</v>
      </c>
      <c r="G599" s="8" t="s">
        <v>527</v>
      </c>
      <c r="H599" t="s">
        <v>609</v>
      </c>
      <c r="J599" t="s">
        <v>1726</v>
      </c>
      <c r="K599" t="s">
        <v>1726</v>
      </c>
      <c r="M599" t="b">
        <v>1</v>
      </c>
      <c r="N599" t="b">
        <v>1</v>
      </c>
      <c r="O599" t="b">
        <v>0</v>
      </c>
      <c r="P599" t="b">
        <v>0</v>
      </c>
      <c r="Q599" t="s">
        <v>2155</v>
      </c>
      <c r="R599" t="s">
        <v>2176</v>
      </c>
      <c r="T599">
        <v>4</v>
      </c>
      <c r="U599" s="20">
        <v>0</v>
      </c>
      <c r="V599">
        <v>0</v>
      </c>
      <c r="W599">
        <v>0</v>
      </c>
      <c r="X599">
        <v>3.8490000000000002</v>
      </c>
      <c r="Y599">
        <v>7.6680000000000001</v>
      </c>
      <c r="Z599">
        <v>29.42</v>
      </c>
      <c r="AA599" t="s">
        <v>472</v>
      </c>
      <c r="AB599">
        <v>14.71</v>
      </c>
      <c r="AC599" s="20">
        <v>0</v>
      </c>
      <c r="AD599" s="20"/>
      <c r="AE599" s="20"/>
      <c r="AF599">
        <v>0</v>
      </c>
      <c r="AI599">
        <v>0</v>
      </c>
      <c r="AM599">
        <v>20</v>
      </c>
      <c r="AN599" s="44">
        <f t="shared" si="135"/>
        <v>868.30576344000019</v>
      </c>
      <c r="AO599" s="46">
        <v>0</v>
      </c>
      <c r="AP599" s="44">
        <v>0</v>
      </c>
      <c r="AQ599" s="44">
        <v>0</v>
      </c>
      <c r="AR599" s="41">
        <f t="shared" si="150"/>
        <v>9.2133443503888468E-2</v>
      </c>
      <c r="AS599" s="40"/>
      <c r="AT599" s="41"/>
      <c r="AU599" s="41"/>
      <c r="AV599" s="23">
        <v>1.75</v>
      </c>
      <c r="AW599" s="23">
        <v>2.5</v>
      </c>
      <c r="AX599" s="23">
        <v>0.75</v>
      </c>
      <c r="AY599" s="23">
        <v>0</v>
      </c>
      <c r="AZ599" s="23">
        <v>0.35</v>
      </c>
      <c r="BA599" s="23">
        <v>0.5</v>
      </c>
      <c r="BB599" s="23">
        <v>0.15</v>
      </c>
      <c r="BC599" s="23">
        <v>0</v>
      </c>
      <c r="BD599" s="20">
        <v>0.82</v>
      </c>
      <c r="BE599" s="20">
        <v>3.44</v>
      </c>
      <c r="BF599" s="20">
        <v>2.62</v>
      </c>
      <c r="BG599" s="20">
        <v>2.6262500000000002</v>
      </c>
      <c r="BH599">
        <v>2.7466666666666661</v>
      </c>
      <c r="BI599">
        <v>6.2031928980000002</v>
      </c>
      <c r="BJ599" s="64"/>
      <c r="BK599" s="64"/>
      <c r="BL599" s="64"/>
      <c r="BM599">
        <v>4.6066721751944241E-2</v>
      </c>
      <c r="BQ599">
        <v>9.2133443503888482E-2</v>
      </c>
      <c r="BR599">
        <v>4.6066721751944241E-2</v>
      </c>
      <c r="BS599">
        <v>0</v>
      </c>
      <c r="BT599" s="68" t="s">
        <v>1428</v>
      </c>
      <c r="BU599" s="68">
        <v>1473</v>
      </c>
      <c r="BV599" s="68">
        <v>10</v>
      </c>
      <c r="BX599" s="68" t="s">
        <v>1268</v>
      </c>
      <c r="BY599" s="68" t="s">
        <v>890</v>
      </c>
      <c r="BZ599" s="68">
        <v>1</v>
      </c>
      <c r="CB599" s="68">
        <v>0.5</v>
      </c>
      <c r="CC599" s="68">
        <v>20</v>
      </c>
      <c r="CD599" s="68" t="s">
        <v>464</v>
      </c>
      <c r="CE599" s="68" t="s">
        <v>464</v>
      </c>
      <c r="CF599" s="68" t="s">
        <v>1271</v>
      </c>
      <c r="CG599" s="68">
        <v>500</v>
      </c>
      <c r="CH599" s="68">
        <v>400</v>
      </c>
      <c r="CI599" s="68" t="s">
        <v>1287</v>
      </c>
      <c r="CK599" s="70">
        <v>0.183</v>
      </c>
    </row>
    <row r="600" spans="1:90" x14ac:dyDescent="0.3">
      <c r="A600" t="s">
        <v>63</v>
      </c>
      <c r="B600" t="s">
        <v>4</v>
      </c>
      <c r="C600" t="s">
        <v>3928</v>
      </c>
      <c r="D600" s="12"/>
      <c r="E600" s="58">
        <v>3.512</v>
      </c>
      <c r="F600" t="s">
        <v>263</v>
      </c>
      <c r="G600" s="8" t="s">
        <v>527</v>
      </c>
      <c r="H600" t="s">
        <v>609</v>
      </c>
      <c r="J600" t="s">
        <v>1726</v>
      </c>
      <c r="K600" t="s">
        <v>1726</v>
      </c>
      <c r="M600" t="b">
        <v>1</v>
      </c>
      <c r="N600" t="b">
        <v>1</v>
      </c>
      <c r="O600" t="b">
        <v>0</v>
      </c>
      <c r="P600" t="b">
        <v>0</v>
      </c>
      <c r="Q600" t="s">
        <v>2157</v>
      </c>
      <c r="R600" t="s">
        <v>2178</v>
      </c>
      <c r="T600">
        <v>4</v>
      </c>
      <c r="U600" s="20">
        <v>0</v>
      </c>
      <c r="V600">
        <v>0</v>
      </c>
      <c r="W600">
        <v>0</v>
      </c>
      <c r="X600">
        <v>3.8490000000000002</v>
      </c>
      <c r="Y600">
        <v>7.6680000000000001</v>
      </c>
      <c r="Z600">
        <v>29.42</v>
      </c>
      <c r="AA600" t="s">
        <v>472</v>
      </c>
      <c r="AB600">
        <v>14.71</v>
      </c>
      <c r="AC600" s="20">
        <v>0</v>
      </c>
      <c r="AD600" s="20"/>
      <c r="AE600" s="20"/>
      <c r="AF600">
        <v>0</v>
      </c>
      <c r="AI600">
        <v>0</v>
      </c>
      <c r="AM600">
        <v>20</v>
      </c>
      <c r="AN600" s="44">
        <f t="shared" ref="AN600" si="151">X600*Y600*Z600</f>
        <v>868.30576344000019</v>
      </c>
      <c r="AO600" s="46">
        <v>0</v>
      </c>
      <c r="AP600" s="44">
        <v>0</v>
      </c>
      <c r="AQ600" s="44">
        <v>0</v>
      </c>
      <c r="AR600" s="41">
        <f t="shared" ref="AR600" si="152">T600*AM600/AN600</f>
        <v>9.2133443503888468E-2</v>
      </c>
      <c r="AS600" s="40"/>
      <c r="AT600" s="41"/>
      <c r="AU600" s="41"/>
      <c r="AV600" s="23">
        <v>1.75</v>
      </c>
      <c r="AW600" s="23">
        <v>2.5</v>
      </c>
      <c r="AX600" s="23">
        <v>0.75</v>
      </c>
      <c r="AY600" s="23">
        <v>0</v>
      </c>
      <c r="AZ600" s="23">
        <v>0.35</v>
      </c>
      <c r="BA600" s="23">
        <v>0.5</v>
      </c>
      <c r="BB600" s="23">
        <v>0.15</v>
      </c>
      <c r="BC600" s="23">
        <v>0</v>
      </c>
      <c r="BD600" s="20">
        <v>0.82</v>
      </c>
      <c r="BE600" s="20">
        <v>3.44</v>
      </c>
      <c r="BF600" s="20">
        <v>2.62</v>
      </c>
      <c r="BG600" s="20">
        <v>2.6262500000000002</v>
      </c>
      <c r="BH600">
        <v>2.7466666666666661</v>
      </c>
      <c r="BI600">
        <v>6.2031928980000002</v>
      </c>
      <c r="BJ600" s="64"/>
      <c r="BK600" s="64"/>
      <c r="BL600" s="64"/>
      <c r="BM600">
        <v>4.6066721751944241E-2</v>
      </c>
      <c r="BQ600">
        <v>9.2133443503888482E-2</v>
      </c>
      <c r="BR600">
        <v>4.6066721751944241E-2</v>
      </c>
      <c r="BS600">
        <v>0</v>
      </c>
      <c r="BT600" s="68" t="s">
        <v>1428</v>
      </c>
      <c r="BU600" s="68">
        <v>1473</v>
      </c>
      <c r="BV600" s="68">
        <v>10</v>
      </c>
      <c r="BX600" s="68" t="s">
        <v>1268</v>
      </c>
      <c r="BY600" s="68" t="s">
        <v>890</v>
      </c>
      <c r="BZ600" s="68">
        <v>1</v>
      </c>
      <c r="CA600" s="70">
        <v>112</v>
      </c>
      <c r="CB600" s="68">
        <v>0.5</v>
      </c>
      <c r="CC600" s="68">
        <v>20</v>
      </c>
      <c r="CD600" s="68" t="s">
        <v>464</v>
      </c>
      <c r="CE600" s="68" t="s">
        <v>464</v>
      </c>
      <c r="CF600" s="68" t="s">
        <v>1271</v>
      </c>
      <c r="CG600" s="68">
        <v>500</v>
      </c>
      <c r="CH600" s="68">
        <v>400</v>
      </c>
      <c r="CI600" s="68" t="s">
        <v>1287</v>
      </c>
      <c r="CK600" s="70">
        <v>0.4</v>
      </c>
    </row>
    <row r="601" spans="1:90" s="1" customFormat="1" x14ac:dyDescent="0.3">
      <c r="A601" s="1" t="s">
        <v>889</v>
      </c>
      <c r="B601" t="s">
        <v>4</v>
      </c>
      <c r="C601" t="s">
        <v>4176</v>
      </c>
      <c r="D601" s="14"/>
      <c r="E601" s="1">
        <v>2.92</v>
      </c>
      <c r="F601" s="1" t="s">
        <v>264</v>
      </c>
      <c r="G601" s="25"/>
      <c r="I601" s="1" t="s">
        <v>1174</v>
      </c>
      <c r="L601" s="1" t="s">
        <v>1834</v>
      </c>
      <c r="M601" t="b">
        <v>0</v>
      </c>
      <c r="N601" t="b">
        <v>0</v>
      </c>
      <c r="O601" t="b">
        <v>1</v>
      </c>
      <c r="P601" t="b">
        <v>0</v>
      </c>
      <c r="Q601"/>
      <c r="R601"/>
      <c r="S601" t="s">
        <v>2337</v>
      </c>
      <c r="U601" s="26">
        <v>4</v>
      </c>
      <c r="V601" s="1">
        <v>4</v>
      </c>
      <c r="W601" s="1">
        <v>0</v>
      </c>
      <c r="AC601" s="26">
        <v>7.8084429999999996</v>
      </c>
      <c r="AD601" s="26">
        <v>7.8548809999999998</v>
      </c>
      <c r="AE601" s="26">
        <v>15.19056011</v>
      </c>
      <c r="AF601" s="1">
        <v>3.8801999999999999</v>
      </c>
      <c r="AG601" s="1">
        <v>29.507999999999999</v>
      </c>
      <c r="AH601" s="1">
        <v>7.7140000000000004</v>
      </c>
      <c r="AI601" s="1">
        <v>0</v>
      </c>
      <c r="AM601" s="1">
        <v>20</v>
      </c>
      <c r="AN601" s="1">
        <f t="shared" si="135"/>
        <v>0</v>
      </c>
      <c r="AO601" s="26">
        <v>924.74694800021894</v>
      </c>
      <c r="AP601" s="1">
        <v>883.22940750240002</v>
      </c>
      <c r="AQ601" s="1">
        <v>0</v>
      </c>
      <c r="AS601" s="26">
        <v>8.6510153045653584E-2</v>
      </c>
      <c r="AT601" s="1">
        <v>9.0576694254581439E-2</v>
      </c>
      <c r="AV601" s="1">
        <v>1.75</v>
      </c>
      <c r="AW601" s="1">
        <v>2.5</v>
      </c>
      <c r="AX601" s="1">
        <v>0.75</v>
      </c>
      <c r="AY601" s="1">
        <v>0</v>
      </c>
      <c r="AZ601" s="1">
        <v>0.35</v>
      </c>
      <c r="BA601" s="1">
        <v>0.5</v>
      </c>
      <c r="BB601" s="1">
        <v>0.15</v>
      </c>
      <c r="BC601" s="1">
        <v>0</v>
      </c>
      <c r="BD601" s="26">
        <v>0.82</v>
      </c>
      <c r="BE601" s="26">
        <v>3.44</v>
      </c>
      <c r="BF601" s="26">
        <v>2.62</v>
      </c>
      <c r="BG601" s="26">
        <v>2.6262500000000002</v>
      </c>
      <c r="BH601" s="1">
        <v>2.6262500000000002</v>
      </c>
      <c r="BI601" s="1">
        <v>5.96680968125</v>
      </c>
      <c r="BJ601" s="1">
        <v>0.50555206026575039</v>
      </c>
      <c r="BK601" s="1">
        <v>0</v>
      </c>
      <c r="BN601" s="1">
        <v>4.3255076522826792E-2</v>
      </c>
      <c r="BO601" s="1">
        <v>4.5288347127290719E-2</v>
      </c>
      <c r="BQ601" s="1">
        <v>8.8543423650117511E-2</v>
      </c>
      <c r="BR601" s="1">
        <v>4.4271711825058763E-2</v>
      </c>
      <c r="BS601" s="1">
        <v>0.2527760301328752</v>
      </c>
      <c r="BT601" s="70" t="s">
        <v>1264</v>
      </c>
      <c r="BU601" s="70">
        <v>1273</v>
      </c>
      <c r="BV601" s="70">
        <v>10</v>
      </c>
      <c r="BW601" s="70"/>
      <c r="BX601" s="70" t="s">
        <v>1268</v>
      </c>
      <c r="BY601" s="70" t="s">
        <v>890</v>
      </c>
      <c r="BZ601" s="70">
        <v>0.15</v>
      </c>
      <c r="CA601" s="70"/>
      <c r="CB601" s="70">
        <v>1</v>
      </c>
      <c r="CC601" s="70">
        <v>20</v>
      </c>
      <c r="CD601" s="70" t="s">
        <v>464</v>
      </c>
      <c r="CE601" s="70" t="s">
        <v>464</v>
      </c>
      <c r="CF601" s="70" t="s">
        <v>1271</v>
      </c>
      <c r="CG601" s="70">
        <v>500</v>
      </c>
      <c r="CH601" s="70"/>
      <c r="CI601" s="70" t="s">
        <v>1287</v>
      </c>
      <c r="CJ601" s="70"/>
      <c r="CK601" s="70">
        <f>3.31*5</f>
        <v>16.55</v>
      </c>
      <c r="CL601"/>
    </row>
    <row r="602" spans="1:90" s="1" customFormat="1" x14ac:dyDescent="0.3">
      <c r="A602" s="1" t="s">
        <v>1427</v>
      </c>
      <c r="B602" t="s">
        <v>4</v>
      </c>
      <c r="C602" t="s">
        <v>4177</v>
      </c>
      <c r="D602" s="14"/>
      <c r="F602" s="1" t="s">
        <v>264</v>
      </c>
      <c r="G602" s="25"/>
      <c r="I602" s="1" t="s">
        <v>1174</v>
      </c>
      <c r="L602" s="1" t="s">
        <v>1835</v>
      </c>
      <c r="M602" t="b">
        <v>0</v>
      </c>
      <c r="N602" t="b">
        <v>0</v>
      </c>
      <c r="O602" t="b">
        <v>1</v>
      </c>
      <c r="P602" t="b">
        <v>0</v>
      </c>
      <c r="Q602"/>
      <c r="R602"/>
      <c r="S602" t="s">
        <v>2477</v>
      </c>
      <c r="U602" s="26">
        <v>4</v>
      </c>
      <c r="V602" s="1">
        <v>4</v>
      </c>
      <c r="W602" s="1">
        <v>0</v>
      </c>
      <c r="AC602" s="26">
        <v>7.8084429999999996</v>
      </c>
      <c r="AD602" s="26">
        <v>7.8548809999999998</v>
      </c>
      <c r="AE602" s="26">
        <v>15.19056011</v>
      </c>
      <c r="AF602" s="1">
        <v>3.8801999999999999</v>
      </c>
      <c r="AG602" s="1">
        <v>29.507999999999999</v>
      </c>
      <c r="AH602" s="1">
        <v>7.7140000000000004</v>
      </c>
      <c r="AI602" s="1">
        <v>0</v>
      </c>
      <c r="AM602" s="1">
        <v>20</v>
      </c>
      <c r="AN602" s="1">
        <f t="shared" ref="AN602" si="153">X602*Y602*Z602</f>
        <v>0</v>
      </c>
      <c r="AO602" s="26">
        <v>924.74694800021894</v>
      </c>
      <c r="AP602" s="1">
        <v>883.22940750240002</v>
      </c>
      <c r="AQ602" s="1">
        <v>0</v>
      </c>
      <c r="AS602" s="26">
        <v>8.6510153045653584E-2</v>
      </c>
      <c r="AT602" s="1">
        <v>9.0576694254581439E-2</v>
      </c>
      <c r="AV602" s="1">
        <v>1.75</v>
      </c>
      <c r="AW602" s="1">
        <v>2.5</v>
      </c>
      <c r="AX602" s="1">
        <v>0.75</v>
      </c>
      <c r="AY602" s="1">
        <v>0</v>
      </c>
      <c r="AZ602" s="1">
        <v>0.35</v>
      </c>
      <c r="BA602" s="1">
        <v>0.5</v>
      </c>
      <c r="BB602" s="1">
        <v>0.15</v>
      </c>
      <c r="BC602" s="1">
        <v>0</v>
      </c>
      <c r="BD602" s="26">
        <v>0.82</v>
      </c>
      <c r="BE602" s="26">
        <v>3.44</v>
      </c>
      <c r="BF602" s="26">
        <v>2.62</v>
      </c>
      <c r="BG602" s="26">
        <v>2.6262500000000002</v>
      </c>
      <c r="BH602" s="1">
        <v>2.6262500000000002</v>
      </c>
      <c r="BI602" s="1">
        <v>5.96680968125</v>
      </c>
      <c r="BJ602" s="1">
        <v>0.50555206026575039</v>
      </c>
      <c r="BK602" s="1">
        <v>0</v>
      </c>
      <c r="BN602" s="1">
        <v>4.3255076522826792E-2</v>
      </c>
      <c r="BO602" s="1">
        <v>4.5288347127290719E-2</v>
      </c>
      <c r="BQ602" s="1">
        <v>8.8543423650117511E-2</v>
      </c>
      <c r="BR602" s="1">
        <v>4.4271711825058763E-2</v>
      </c>
      <c r="BS602" s="1">
        <v>0.2527760301328752</v>
      </c>
      <c r="BT602" s="70" t="s">
        <v>1264</v>
      </c>
      <c r="BU602" s="70">
        <v>1273</v>
      </c>
      <c r="BV602" s="70">
        <v>10</v>
      </c>
      <c r="BW602" s="70"/>
      <c r="BX602" s="70" t="s">
        <v>1268</v>
      </c>
      <c r="BY602" s="70" t="s">
        <v>890</v>
      </c>
      <c r="BZ602" s="70">
        <v>0.15</v>
      </c>
      <c r="CA602" s="70"/>
      <c r="CB602" s="70">
        <v>1</v>
      </c>
      <c r="CC602" s="70">
        <v>20</v>
      </c>
      <c r="CD602" s="70" t="s">
        <v>464</v>
      </c>
      <c r="CE602" s="70" t="s">
        <v>464</v>
      </c>
      <c r="CF602" s="70" t="s">
        <v>1271</v>
      </c>
      <c r="CG602" s="70">
        <v>500</v>
      </c>
      <c r="CH602" s="70"/>
      <c r="CI602" s="70" t="s">
        <v>1287</v>
      </c>
      <c r="CJ602" s="70"/>
      <c r="CK602" s="70">
        <f>2.6*5</f>
        <v>13</v>
      </c>
      <c r="CL602"/>
    </row>
    <row r="603" spans="1:90" x14ac:dyDescent="0.3">
      <c r="A603" t="s">
        <v>1429</v>
      </c>
      <c r="B603" t="s">
        <v>4</v>
      </c>
      <c r="C603" t="s">
        <v>4178</v>
      </c>
      <c r="D603" s="12"/>
      <c r="F603" t="s">
        <v>265</v>
      </c>
      <c r="G603" s="25" t="s">
        <v>527</v>
      </c>
      <c r="H603" s="1" t="s">
        <v>609</v>
      </c>
      <c r="J603" t="s">
        <v>1836</v>
      </c>
      <c r="K603" t="s">
        <v>1836</v>
      </c>
      <c r="M603" t="b">
        <v>1</v>
      </c>
      <c r="N603" t="b">
        <v>1</v>
      </c>
      <c r="O603" t="b">
        <v>0</v>
      </c>
      <c r="P603" t="b">
        <v>0</v>
      </c>
      <c r="Q603" t="s">
        <v>2159</v>
      </c>
      <c r="R603" t="s">
        <v>2180</v>
      </c>
      <c r="U603" s="20">
        <v>4</v>
      </c>
      <c r="V603">
        <v>4</v>
      </c>
      <c r="W603">
        <v>0</v>
      </c>
      <c r="AC603" s="20">
        <v>7.8084429999999996</v>
      </c>
      <c r="AD603" s="20">
        <v>7.8548809999999998</v>
      </c>
      <c r="AE603" s="20">
        <v>15.19056011</v>
      </c>
      <c r="AF603">
        <v>3.8801999999999999</v>
      </c>
      <c r="AG603">
        <v>29.507999999999999</v>
      </c>
      <c r="AH603">
        <v>7.7140000000000004</v>
      </c>
      <c r="AI603">
        <v>0</v>
      </c>
      <c r="AM603">
        <v>20</v>
      </c>
      <c r="AN603" s="44">
        <f t="shared" si="135"/>
        <v>0</v>
      </c>
      <c r="AO603" s="46">
        <v>924.74694800021894</v>
      </c>
      <c r="AP603" s="44">
        <v>883.22940750240002</v>
      </c>
      <c r="AQ603" s="44">
        <v>0</v>
      </c>
      <c r="AR603" s="41"/>
      <c r="AS603" s="40">
        <v>8.6510153045653584E-2</v>
      </c>
      <c r="AT603" s="41">
        <v>9.0576694254581439E-2</v>
      </c>
      <c r="AU603" s="41"/>
      <c r="AV603" s="23">
        <v>1.75</v>
      </c>
      <c r="AW603" s="23">
        <v>2.5</v>
      </c>
      <c r="AX603" s="23">
        <v>0.75</v>
      </c>
      <c r="AY603" s="23">
        <v>0</v>
      </c>
      <c r="AZ603" s="23">
        <v>0.35</v>
      </c>
      <c r="BA603" s="23">
        <v>0.5</v>
      </c>
      <c r="BB603" s="23">
        <v>0.15</v>
      </c>
      <c r="BC603" s="23">
        <v>0</v>
      </c>
      <c r="BD603" s="20">
        <v>0.82</v>
      </c>
      <c r="BE603" s="20">
        <v>3.44</v>
      </c>
      <c r="BF603" s="20">
        <v>2.62</v>
      </c>
      <c r="BG603" s="20">
        <v>2.6262500000000002</v>
      </c>
      <c r="BH603">
        <v>2.6262500000000002</v>
      </c>
      <c r="BI603">
        <v>5.96680968125</v>
      </c>
      <c r="BJ603" s="64">
        <v>0.50555206026575039</v>
      </c>
      <c r="BK603" s="64">
        <v>0</v>
      </c>
      <c r="BL603" s="64"/>
      <c r="BN603">
        <v>4.3255076522826792E-2</v>
      </c>
      <c r="BO603">
        <v>4.5288347127290719E-2</v>
      </c>
      <c r="BQ603">
        <v>8.8543423650117511E-2</v>
      </c>
      <c r="BR603">
        <v>4.4271711825058763E-2</v>
      </c>
      <c r="BS603">
        <v>0.2527760301328752</v>
      </c>
      <c r="BT603" s="68" t="s">
        <v>1428</v>
      </c>
      <c r="BU603" s="68">
        <v>1473</v>
      </c>
      <c r="BV603" s="68">
        <v>10</v>
      </c>
      <c r="BX603" s="68" t="s">
        <v>464</v>
      </c>
      <c r="BY603" s="68" t="s">
        <v>464</v>
      </c>
      <c r="BZ603" s="68">
        <v>0</v>
      </c>
      <c r="CA603" s="70">
        <v>84</v>
      </c>
      <c r="CB603" s="68">
        <v>3.3300000000000003E-2</v>
      </c>
      <c r="CC603" s="68">
        <v>10</v>
      </c>
      <c r="CD603" s="68" t="s">
        <v>464</v>
      </c>
      <c r="CE603" s="68" t="s">
        <v>464</v>
      </c>
      <c r="CF603" s="68" t="s">
        <v>1271</v>
      </c>
      <c r="CG603" s="68">
        <v>500</v>
      </c>
      <c r="CI603" s="68" t="s">
        <v>1287</v>
      </c>
      <c r="CK603" s="70">
        <v>46</v>
      </c>
    </row>
    <row r="604" spans="1:90" x14ac:dyDescent="0.3">
      <c r="A604" t="s">
        <v>1430</v>
      </c>
      <c r="B604" t="s">
        <v>4</v>
      </c>
      <c r="C604" t="s">
        <v>4179</v>
      </c>
      <c r="D604" s="12"/>
      <c r="F604" t="s">
        <v>265</v>
      </c>
      <c r="G604" s="25" t="s">
        <v>527</v>
      </c>
      <c r="H604" s="1" t="s">
        <v>609</v>
      </c>
      <c r="J604" t="s">
        <v>2482</v>
      </c>
      <c r="K604" t="s">
        <v>2482</v>
      </c>
      <c r="M604" t="b">
        <v>1</v>
      </c>
      <c r="N604" t="b">
        <v>1</v>
      </c>
      <c r="O604" t="b">
        <v>0</v>
      </c>
      <c r="P604" t="b">
        <v>0</v>
      </c>
      <c r="Q604" t="s">
        <v>2161</v>
      </c>
      <c r="R604" t="s">
        <v>2183</v>
      </c>
      <c r="U604" s="20">
        <v>4</v>
      </c>
      <c r="V604">
        <v>4</v>
      </c>
      <c r="W604">
        <v>0</v>
      </c>
      <c r="AC604" s="20">
        <v>7.8084429999999996</v>
      </c>
      <c r="AD604" s="20">
        <v>7.8548809999999998</v>
      </c>
      <c r="AE604" s="20">
        <v>15.19056011</v>
      </c>
      <c r="AF604">
        <v>3.8801999999999999</v>
      </c>
      <c r="AG604">
        <v>29.507999999999999</v>
      </c>
      <c r="AH604">
        <v>7.7140000000000004</v>
      </c>
      <c r="AI604">
        <v>0</v>
      </c>
      <c r="AM604">
        <v>20</v>
      </c>
      <c r="AN604" s="44">
        <f t="shared" ref="AN604" si="154">X604*Y604*Z604</f>
        <v>0</v>
      </c>
      <c r="AO604" s="46">
        <v>924.74694800021894</v>
      </c>
      <c r="AP604" s="44">
        <v>883.22940750240002</v>
      </c>
      <c r="AQ604" s="44">
        <v>0</v>
      </c>
      <c r="AR604" s="41"/>
      <c r="AS604" s="40">
        <v>8.6510153045653584E-2</v>
      </c>
      <c r="AT604" s="41">
        <v>9.0576694254581439E-2</v>
      </c>
      <c r="AU604" s="41"/>
      <c r="AV604" s="23">
        <v>1.75</v>
      </c>
      <c r="AW604" s="23">
        <v>2.5</v>
      </c>
      <c r="AX604" s="23">
        <v>0.75</v>
      </c>
      <c r="AY604" s="23">
        <v>0</v>
      </c>
      <c r="AZ604" s="23">
        <v>0.35</v>
      </c>
      <c r="BA604" s="23">
        <v>0.5</v>
      </c>
      <c r="BB604" s="23">
        <v>0.15</v>
      </c>
      <c r="BC604" s="23">
        <v>0</v>
      </c>
      <c r="BD604" s="20">
        <v>0.82</v>
      </c>
      <c r="BE604" s="20">
        <v>3.44</v>
      </c>
      <c r="BF604" s="20">
        <v>2.62</v>
      </c>
      <c r="BG604" s="20">
        <v>2.6262500000000002</v>
      </c>
      <c r="BH604">
        <v>2.6262500000000002</v>
      </c>
      <c r="BI604">
        <v>5.96680968125</v>
      </c>
      <c r="BJ604" s="64">
        <v>0.50555206026575039</v>
      </c>
      <c r="BK604" s="64">
        <v>0</v>
      </c>
      <c r="BL604" s="64"/>
      <c r="BN604">
        <v>4.3255076522826792E-2</v>
      </c>
      <c r="BO604">
        <v>4.5288347127290719E-2</v>
      </c>
      <c r="BQ604">
        <v>8.8543423650117511E-2</v>
      </c>
      <c r="BR604">
        <v>4.4271711825058763E-2</v>
      </c>
      <c r="BS604">
        <v>0.2527760301328752</v>
      </c>
      <c r="BT604" s="68" t="s">
        <v>1428</v>
      </c>
      <c r="BU604" s="68">
        <v>1473</v>
      </c>
      <c r="BV604" s="68">
        <v>10</v>
      </c>
      <c r="BX604" s="68" t="s">
        <v>464</v>
      </c>
      <c r="BY604" s="68" t="s">
        <v>464</v>
      </c>
      <c r="BZ604" s="68">
        <v>0</v>
      </c>
      <c r="CA604" s="70">
        <v>84</v>
      </c>
      <c r="CB604" s="68">
        <v>3.3300000000000003E-2</v>
      </c>
      <c r="CC604" s="68">
        <v>10</v>
      </c>
      <c r="CD604" s="68" t="s">
        <v>464</v>
      </c>
      <c r="CE604" s="68" t="s">
        <v>464</v>
      </c>
      <c r="CF604" s="68" t="s">
        <v>1271</v>
      </c>
      <c r="CG604" s="68">
        <v>500</v>
      </c>
      <c r="CI604" s="68" t="s">
        <v>1287</v>
      </c>
      <c r="CK604" s="70">
        <v>6976</v>
      </c>
    </row>
    <row r="605" spans="1:90" x14ac:dyDescent="0.3">
      <c r="A605" t="s">
        <v>63</v>
      </c>
      <c r="B605" t="s">
        <v>4</v>
      </c>
      <c r="C605" t="s">
        <v>3928</v>
      </c>
      <c r="D605" s="12"/>
      <c r="E605" s="58">
        <v>3.512</v>
      </c>
      <c r="F605" t="s">
        <v>265</v>
      </c>
      <c r="G605" s="25" t="s">
        <v>527</v>
      </c>
      <c r="H605" s="1" t="s">
        <v>609</v>
      </c>
      <c r="J605" t="s">
        <v>1726</v>
      </c>
      <c r="K605" t="s">
        <v>1726</v>
      </c>
      <c r="M605" t="b">
        <v>1</v>
      </c>
      <c r="N605" t="b">
        <v>1</v>
      </c>
      <c r="O605" t="b">
        <v>0</v>
      </c>
      <c r="P605" t="b">
        <v>0</v>
      </c>
      <c r="Q605" t="s">
        <v>2163</v>
      </c>
      <c r="R605" t="s">
        <v>2186</v>
      </c>
      <c r="U605" s="20">
        <v>4</v>
      </c>
      <c r="V605">
        <v>4</v>
      </c>
      <c r="W605">
        <v>0</v>
      </c>
      <c r="AC605" s="20">
        <v>7.8084429999999996</v>
      </c>
      <c r="AD605" s="20">
        <v>7.8548809999999998</v>
      </c>
      <c r="AE605" s="20">
        <v>15.19056011</v>
      </c>
      <c r="AF605">
        <v>3.8801999999999999</v>
      </c>
      <c r="AG605">
        <v>29.507999999999999</v>
      </c>
      <c r="AH605">
        <v>7.7140000000000004</v>
      </c>
      <c r="AI605">
        <v>0</v>
      </c>
      <c r="AM605">
        <v>20</v>
      </c>
      <c r="AN605" s="44">
        <f t="shared" ref="AN605:AN606" si="155">X605*Y605*Z605</f>
        <v>0</v>
      </c>
      <c r="AO605" s="46">
        <v>924.74694800021894</v>
      </c>
      <c r="AP605" s="44">
        <v>883.22940750240002</v>
      </c>
      <c r="AQ605" s="44">
        <v>0</v>
      </c>
      <c r="AR605" s="41"/>
      <c r="AS605" s="40">
        <v>8.6510153045653584E-2</v>
      </c>
      <c r="AT605" s="41">
        <v>9.0576694254581439E-2</v>
      </c>
      <c r="AU605" s="41"/>
      <c r="AV605" s="23">
        <v>1.75</v>
      </c>
      <c r="AW605" s="23">
        <v>2.5</v>
      </c>
      <c r="AX605" s="23">
        <v>0.75</v>
      </c>
      <c r="AY605" s="23">
        <v>0</v>
      </c>
      <c r="AZ605" s="23">
        <v>0.35</v>
      </c>
      <c r="BA605" s="23">
        <v>0.5</v>
      </c>
      <c r="BB605" s="23">
        <v>0.15</v>
      </c>
      <c r="BC605" s="23">
        <v>0</v>
      </c>
      <c r="BD605" s="20">
        <v>0.82</v>
      </c>
      <c r="BE605" s="20">
        <v>3.44</v>
      </c>
      <c r="BF605" s="20">
        <v>2.62</v>
      </c>
      <c r="BG605" s="20">
        <v>2.6262500000000002</v>
      </c>
      <c r="BH605">
        <v>2.6262500000000002</v>
      </c>
      <c r="BI605">
        <v>5.96680968125</v>
      </c>
      <c r="BJ605" s="64">
        <v>0.50555206026575039</v>
      </c>
      <c r="BK605" s="64">
        <v>0</v>
      </c>
      <c r="BL605" s="64"/>
      <c r="BN605">
        <v>4.3255076522826792E-2</v>
      </c>
      <c r="BO605">
        <v>4.5288347127290719E-2</v>
      </c>
      <c r="BQ605">
        <v>8.8543423650117511E-2</v>
      </c>
      <c r="BR605">
        <v>4.4271711825058763E-2</v>
      </c>
      <c r="BS605">
        <v>0.2527760301328752</v>
      </c>
      <c r="BT605" s="68" t="s">
        <v>1428</v>
      </c>
      <c r="BU605" s="68">
        <v>1473</v>
      </c>
      <c r="BV605" s="68">
        <v>10</v>
      </c>
      <c r="BX605" s="68" t="s">
        <v>1268</v>
      </c>
      <c r="BY605" s="68" t="s">
        <v>890</v>
      </c>
      <c r="BZ605" s="68">
        <v>1</v>
      </c>
      <c r="CA605" s="70">
        <v>84</v>
      </c>
      <c r="CB605" s="68">
        <v>3.3300000000000003E-2</v>
      </c>
      <c r="CC605" s="68">
        <v>10</v>
      </c>
      <c r="CD605" s="68" t="s">
        <v>464</v>
      </c>
      <c r="CE605" s="68" t="s">
        <v>464</v>
      </c>
      <c r="CF605" s="68" t="s">
        <v>1271</v>
      </c>
      <c r="CG605" s="68">
        <v>500</v>
      </c>
      <c r="CI605" s="68" t="s">
        <v>1287</v>
      </c>
      <c r="CK605" s="70">
        <v>4984</v>
      </c>
    </row>
    <row r="606" spans="1:90" x14ac:dyDescent="0.3">
      <c r="A606" t="s">
        <v>63</v>
      </c>
      <c r="B606" t="s">
        <v>4</v>
      </c>
      <c r="C606" t="s">
        <v>3928</v>
      </c>
      <c r="D606" s="12"/>
      <c r="E606" s="58">
        <v>3.512</v>
      </c>
      <c r="F606" t="s">
        <v>265</v>
      </c>
      <c r="G606" s="25" t="s">
        <v>527</v>
      </c>
      <c r="H606" s="1" t="s">
        <v>609</v>
      </c>
      <c r="J606" t="s">
        <v>1726</v>
      </c>
      <c r="K606" t="s">
        <v>1726</v>
      </c>
      <c r="M606" t="b">
        <v>1</v>
      </c>
      <c r="N606" t="b">
        <v>1</v>
      </c>
      <c r="O606" t="b">
        <v>0</v>
      </c>
      <c r="P606" t="b">
        <v>0</v>
      </c>
      <c r="Q606" t="s">
        <v>2165</v>
      </c>
      <c r="R606" t="s">
        <v>2206</v>
      </c>
      <c r="U606" s="20">
        <v>4</v>
      </c>
      <c r="V606">
        <v>4</v>
      </c>
      <c r="W606">
        <v>0</v>
      </c>
      <c r="AC606" s="20">
        <v>7.8084429999999996</v>
      </c>
      <c r="AD606" s="20">
        <v>7.8548809999999998</v>
      </c>
      <c r="AE606" s="20">
        <v>15.19056011</v>
      </c>
      <c r="AF606">
        <v>3.8801999999999999</v>
      </c>
      <c r="AG606">
        <v>29.507999999999999</v>
      </c>
      <c r="AH606">
        <v>7.7140000000000004</v>
      </c>
      <c r="AI606">
        <v>0</v>
      </c>
      <c r="AM606">
        <v>20</v>
      </c>
      <c r="AN606" s="44">
        <f t="shared" si="155"/>
        <v>0</v>
      </c>
      <c r="AO606" s="46">
        <v>924.74694800021894</v>
      </c>
      <c r="AP606" s="44">
        <v>883.22940750240002</v>
      </c>
      <c r="AQ606" s="44">
        <v>0</v>
      </c>
      <c r="AR606" s="41"/>
      <c r="AS606" s="40">
        <v>8.6510153045653584E-2</v>
      </c>
      <c r="AT606" s="41">
        <v>9.0576694254581439E-2</v>
      </c>
      <c r="AU606" s="41"/>
      <c r="AV606" s="23">
        <v>1.75</v>
      </c>
      <c r="AW606" s="23">
        <v>2.5</v>
      </c>
      <c r="AX606" s="23">
        <v>0.75</v>
      </c>
      <c r="AY606" s="23">
        <v>0</v>
      </c>
      <c r="AZ606" s="23">
        <v>0.35</v>
      </c>
      <c r="BA606" s="23">
        <v>0.5</v>
      </c>
      <c r="BB606" s="23">
        <v>0.15</v>
      </c>
      <c r="BC606" s="23">
        <v>0</v>
      </c>
      <c r="BD606" s="20">
        <v>0.82</v>
      </c>
      <c r="BE606" s="20">
        <v>3.44</v>
      </c>
      <c r="BF606" s="20">
        <v>2.62</v>
      </c>
      <c r="BG606" s="20">
        <v>2.6262500000000002</v>
      </c>
      <c r="BH606">
        <v>2.6262500000000002</v>
      </c>
      <c r="BI606">
        <v>5.96680968125</v>
      </c>
      <c r="BJ606" s="64">
        <v>0.50555206026575039</v>
      </c>
      <c r="BK606" s="64">
        <v>0</v>
      </c>
      <c r="BL606" s="64"/>
      <c r="BN606">
        <v>4.3255076522826792E-2</v>
      </c>
      <c r="BO606">
        <v>4.5288347127290719E-2</v>
      </c>
      <c r="BQ606">
        <v>8.8543423650117511E-2</v>
      </c>
      <c r="BR606">
        <v>4.4271711825058763E-2</v>
      </c>
      <c r="BS606">
        <v>0.2527760301328752</v>
      </c>
      <c r="BT606" s="68" t="s">
        <v>1428</v>
      </c>
      <c r="BU606" s="68">
        <v>1473</v>
      </c>
      <c r="BV606" s="68">
        <v>10</v>
      </c>
      <c r="BX606" s="68" t="s">
        <v>464</v>
      </c>
      <c r="BY606" s="68" t="s">
        <v>464</v>
      </c>
      <c r="BZ606" s="68">
        <v>0</v>
      </c>
      <c r="CA606" s="70">
        <v>84</v>
      </c>
      <c r="CB606" s="68">
        <v>3.3300000000000003E-2</v>
      </c>
      <c r="CC606" s="68">
        <v>10</v>
      </c>
      <c r="CD606" s="68" t="s">
        <v>464</v>
      </c>
      <c r="CE606" s="68" t="s">
        <v>464</v>
      </c>
      <c r="CF606" s="68" t="s">
        <v>1271</v>
      </c>
      <c r="CG606" s="68">
        <v>500</v>
      </c>
      <c r="CI606" s="68" t="s">
        <v>1287</v>
      </c>
      <c r="CK606" s="70">
        <v>400</v>
      </c>
    </row>
    <row r="607" spans="1:90" x14ac:dyDescent="0.3">
      <c r="A607" t="s">
        <v>1431</v>
      </c>
      <c r="B607" t="s">
        <v>4</v>
      </c>
      <c r="C607" t="s">
        <v>4180</v>
      </c>
      <c r="D607" s="12"/>
      <c r="F607" t="s">
        <v>265</v>
      </c>
      <c r="G607" s="101" t="s">
        <v>527</v>
      </c>
      <c r="H607" s="1" t="s">
        <v>609</v>
      </c>
      <c r="J607" t="s">
        <v>2277</v>
      </c>
      <c r="K607" t="s">
        <v>2277</v>
      </c>
      <c r="M607" t="b">
        <v>1</v>
      </c>
      <c r="N607" t="b">
        <v>1</v>
      </c>
      <c r="O607" t="b">
        <v>0</v>
      </c>
      <c r="P607" t="b">
        <v>0</v>
      </c>
      <c r="Q607" t="s">
        <v>2167</v>
      </c>
      <c r="R607" t="s">
        <v>2208</v>
      </c>
      <c r="U607" s="20">
        <v>4</v>
      </c>
      <c r="V607">
        <v>4</v>
      </c>
      <c r="W607">
        <v>0</v>
      </c>
      <c r="AC607" s="20">
        <v>7.8084429999999996</v>
      </c>
      <c r="AD607" s="20">
        <v>7.8548809999999998</v>
      </c>
      <c r="AE607" s="20">
        <v>15.19056011</v>
      </c>
      <c r="AF607">
        <v>3.8801999999999999</v>
      </c>
      <c r="AG607">
        <v>29.507999999999999</v>
      </c>
      <c r="AH607">
        <v>7.7140000000000004</v>
      </c>
      <c r="AI607">
        <v>0</v>
      </c>
      <c r="AM607">
        <v>20</v>
      </c>
      <c r="AN607" s="44">
        <f t="shared" ref="AN607:AN608" si="156">X607*Y607*Z607</f>
        <v>0</v>
      </c>
      <c r="AO607" s="46">
        <v>924.74694800021894</v>
      </c>
      <c r="AP607" s="44">
        <v>883.22940750240002</v>
      </c>
      <c r="AQ607" s="44">
        <v>0</v>
      </c>
      <c r="AR607" s="41"/>
      <c r="AS607" s="40">
        <v>8.6510153045653584E-2</v>
      </c>
      <c r="AT607" s="41">
        <v>9.0576694254581439E-2</v>
      </c>
      <c r="AU607" s="41"/>
      <c r="AV607" s="23">
        <v>1.75</v>
      </c>
      <c r="AW607" s="23">
        <v>2.5</v>
      </c>
      <c r="AX607" s="23">
        <v>0.75</v>
      </c>
      <c r="AY607" s="23">
        <v>0</v>
      </c>
      <c r="AZ607" s="23">
        <v>0.35</v>
      </c>
      <c r="BA607" s="23">
        <v>0.5</v>
      </c>
      <c r="BB607" s="23">
        <v>0.15</v>
      </c>
      <c r="BC607" s="23">
        <v>0</v>
      </c>
      <c r="BD607" s="20">
        <v>0.82</v>
      </c>
      <c r="BE607" s="20">
        <v>3.44</v>
      </c>
      <c r="BF607" s="20">
        <v>2.62</v>
      </c>
      <c r="BG607" s="20">
        <v>2.6262500000000002</v>
      </c>
      <c r="BH607">
        <v>2.6262500000000002</v>
      </c>
      <c r="BI607">
        <v>5.96680968125</v>
      </c>
      <c r="BJ607" s="64">
        <v>0.50555206026575039</v>
      </c>
      <c r="BK607" s="64">
        <v>0</v>
      </c>
      <c r="BL607" s="64"/>
      <c r="BN607">
        <v>4.3255076522826792E-2</v>
      </c>
      <c r="BO607">
        <v>4.5288347127290719E-2</v>
      </c>
      <c r="BQ607">
        <v>8.8543423650117511E-2</v>
      </c>
      <c r="BR607">
        <v>4.4271711825058763E-2</v>
      </c>
      <c r="BS607">
        <v>0.2527760301328752</v>
      </c>
      <c r="BT607" s="68" t="s">
        <v>1428</v>
      </c>
      <c r="BU607" s="68">
        <v>1473</v>
      </c>
      <c r="BV607" s="68">
        <v>10</v>
      </c>
      <c r="BX607" s="68" t="s">
        <v>464</v>
      </c>
      <c r="BY607" s="68" t="s">
        <v>464</v>
      </c>
      <c r="BZ607" s="68">
        <v>0</v>
      </c>
      <c r="CA607" s="70">
        <v>84</v>
      </c>
      <c r="CB607" s="68">
        <v>3.3300000000000003E-2</v>
      </c>
      <c r="CC607" s="68">
        <v>10</v>
      </c>
      <c r="CD607" s="68" t="s">
        <v>464</v>
      </c>
      <c r="CE607" s="68" t="s">
        <v>464</v>
      </c>
      <c r="CF607" s="68" t="s">
        <v>1271</v>
      </c>
      <c r="CG607" s="68">
        <v>500</v>
      </c>
      <c r="CI607" s="68" t="s">
        <v>1287</v>
      </c>
      <c r="CK607" s="70">
        <v>3800</v>
      </c>
    </row>
    <row r="608" spans="1:90" x14ac:dyDescent="0.3">
      <c r="A608" t="s">
        <v>1432</v>
      </c>
      <c r="B608" t="s">
        <v>4</v>
      </c>
      <c r="C608" t="s">
        <v>4181</v>
      </c>
      <c r="D608" s="12"/>
      <c r="F608" t="s">
        <v>265</v>
      </c>
      <c r="G608" s="25" t="s">
        <v>527</v>
      </c>
      <c r="H608" s="1" t="s">
        <v>609</v>
      </c>
      <c r="J608" t="s">
        <v>2278</v>
      </c>
      <c r="K608" t="s">
        <v>2278</v>
      </c>
      <c r="M608" t="b">
        <v>1</v>
      </c>
      <c r="N608" t="b">
        <v>1</v>
      </c>
      <c r="O608" t="b">
        <v>0</v>
      </c>
      <c r="P608" t="b">
        <v>0</v>
      </c>
      <c r="Q608" t="s">
        <v>2169</v>
      </c>
      <c r="R608" t="s">
        <v>2227</v>
      </c>
      <c r="U608" s="20">
        <v>4</v>
      </c>
      <c r="V608">
        <v>4</v>
      </c>
      <c r="W608">
        <v>0</v>
      </c>
      <c r="AC608" s="20">
        <v>7.8084429999999996</v>
      </c>
      <c r="AD608" s="20">
        <v>7.8548809999999998</v>
      </c>
      <c r="AE608" s="20">
        <v>15.19056011</v>
      </c>
      <c r="AF608">
        <v>3.8801999999999999</v>
      </c>
      <c r="AG608">
        <v>29.507999999999999</v>
      </c>
      <c r="AH608">
        <v>7.7140000000000004</v>
      </c>
      <c r="AI608">
        <v>0</v>
      </c>
      <c r="AM608">
        <v>20</v>
      </c>
      <c r="AN608" s="44">
        <f t="shared" si="156"/>
        <v>0</v>
      </c>
      <c r="AO608" s="46">
        <v>924.74694800021894</v>
      </c>
      <c r="AP608" s="44">
        <v>883.22940750240002</v>
      </c>
      <c r="AQ608" s="44">
        <v>0</v>
      </c>
      <c r="AR608" s="41"/>
      <c r="AS608" s="40">
        <v>8.6510153045653584E-2</v>
      </c>
      <c r="AT608" s="41">
        <v>9.0576694254581439E-2</v>
      </c>
      <c r="AU608" s="41"/>
      <c r="AV608" s="23">
        <v>1.75</v>
      </c>
      <c r="AW608" s="23">
        <v>2.5</v>
      </c>
      <c r="AX608" s="23">
        <v>0.75</v>
      </c>
      <c r="AY608" s="23">
        <v>0</v>
      </c>
      <c r="AZ608" s="23">
        <v>0.35</v>
      </c>
      <c r="BA608" s="23">
        <v>0.5</v>
      </c>
      <c r="BB608" s="23">
        <v>0.15</v>
      </c>
      <c r="BC608" s="23">
        <v>0</v>
      </c>
      <c r="BD608" s="20">
        <v>0.82</v>
      </c>
      <c r="BE608" s="20">
        <v>3.44</v>
      </c>
      <c r="BF608" s="20">
        <v>2.62</v>
      </c>
      <c r="BG608" s="20">
        <v>2.6262500000000002</v>
      </c>
      <c r="BH608">
        <v>2.6262500000000002</v>
      </c>
      <c r="BI608">
        <v>5.96680968125</v>
      </c>
      <c r="BJ608" s="64">
        <v>0.50555206026575039</v>
      </c>
      <c r="BK608" s="64">
        <v>0</v>
      </c>
      <c r="BL608" s="64"/>
      <c r="BN608">
        <v>4.3255076522826792E-2</v>
      </c>
      <c r="BO608">
        <v>4.5288347127290719E-2</v>
      </c>
      <c r="BQ608">
        <v>8.8543423650117511E-2</v>
      </c>
      <c r="BR608">
        <v>4.4271711825058763E-2</v>
      </c>
      <c r="BS608">
        <v>0.2527760301328752</v>
      </c>
      <c r="BT608" s="68" t="s">
        <v>1428</v>
      </c>
      <c r="BU608" s="68">
        <v>1473</v>
      </c>
      <c r="BV608" s="68">
        <v>10</v>
      </c>
      <c r="BX608" s="68" t="s">
        <v>464</v>
      </c>
      <c r="BY608" s="68" t="s">
        <v>464</v>
      </c>
      <c r="BZ608" s="68">
        <v>0</v>
      </c>
      <c r="CA608" s="70">
        <v>84</v>
      </c>
      <c r="CB608" s="68">
        <v>3.3300000000000003E-2</v>
      </c>
      <c r="CC608" s="68">
        <v>10</v>
      </c>
      <c r="CD608" s="68" t="s">
        <v>464</v>
      </c>
      <c r="CE608" s="68" t="s">
        <v>464</v>
      </c>
      <c r="CF608" s="68" t="s">
        <v>1271</v>
      </c>
      <c r="CG608" s="68">
        <v>500</v>
      </c>
      <c r="CI608" s="68" t="s">
        <v>1287</v>
      </c>
      <c r="CK608" s="70">
        <v>7400</v>
      </c>
    </row>
    <row r="609" spans="1:89" x14ac:dyDescent="0.3">
      <c r="A609" t="s">
        <v>1433</v>
      </c>
      <c r="B609" t="s">
        <v>4</v>
      </c>
      <c r="C609" t="s">
        <v>4182</v>
      </c>
      <c r="D609" s="12"/>
      <c r="F609" t="s">
        <v>265</v>
      </c>
      <c r="G609" s="25" t="s">
        <v>527</v>
      </c>
      <c r="H609" s="1" t="s">
        <v>609</v>
      </c>
      <c r="J609" t="s">
        <v>2279</v>
      </c>
      <c r="K609" t="s">
        <v>2279</v>
      </c>
      <c r="M609" t="b">
        <v>1</v>
      </c>
      <c r="N609" t="b">
        <v>1</v>
      </c>
      <c r="O609" t="b">
        <v>0</v>
      </c>
      <c r="P609" t="b">
        <v>0</v>
      </c>
      <c r="Q609" t="s">
        <v>2171</v>
      </c>
      <c r="R609" t="s">
        <v>2229</v>
      </c>
      <c r="U609" s="20">
        <v>4</v>
      </c>
      <c r="V609">
        <v>4</v>
      </c>
      <c r="W609">
        <v>0</v>
      </c>
      <c r="AC609" s="20">
        <v>7.8084429999999996</v>
      </c>
      <c r="AD609" s="20">
        <v>7.8548809999999998</v>
      </c>
      <c r="AE609" s="20">
        <v>15.19056011</v>
      </c>
      <c r="AF609">
        <v>3.8801999999999999</v>
      </c>
      <c r="AG609">
        <v>29.507999999999999</v>
      </c>
      <c r="AH609">
        <v>7.7140000000000004</v>
      </c>
      <c r="AI609">
        <v>0</v>
      </c>
      <c r="AM609">
        <v>20</v>
      </c>
      <c r="AN609" s="44">
        <f t="shared" ref="AN609" si="157">X609*Y609*Z609</f>
        <v>0</v>
      </c>
      <c r="AO609" s="46">
        <v>924.74694800021894</v>
      </c>
      <c r="AP609" s="44">
        <v>883.22940750240002</v>
      </c>
      <c r="AQ609" s="44">
        <v>0</v>
      </c>
      <c r="AR609" s="41"/>
      <c r="AS609" s="40">
        <v>8.6510153045653584E-2</v>
      </c>
      <c r="AT609" s="41">
        <v>9.0576694254581439E-2</v>
      </c>
      <c r="AU609" s="41"/>
      <c r="AV609" s="23">
        <v>1.75</v>
      </c>
      <c r="AW609" s="23">
        <v>2.5</v>
      </c>
      <c r="AX609" s="23">
        <v>0.75</v>
      </c>
      <c r="AY609" s="23">
        <v>0</v>
      </c>
      <c r="AZ609" s="23">
        <v>0.35</v>
      </c>
      <c r="BA609" s="23">
        <v>0.5</v>
      </c>
      <c r="BB609" s="23">
        <v>0.15</v>
      </c>
      <c r="BC609" s="23">
        <v>0</v>
      </c>
      <c r="BD609" s="20">
        <v>0.82</v>
      </c>
      <c r="BE609" s="20">
        <v>3.44</v>
      </c>
      <c r="BF609" s="20">
        <v>2.62</v>
      </c>
      <c r="BG609" s="20">
        <v>2.6262500000000002</v>
      </c>
      <c r="BH609">
        <v>2.6262500000000002</v>
      </c>
      <c r="BI609">
        <v>5.96680968125</v>
      </c>
      <c r="BJ609" s="64">
        <v>0.50555206026575039</v>
      </c>
      <c r="BK609" s="64">
        <v>0</v>
      </c>
      <c r="BL609" s="64"/>
      <c r="BN609">
        <v>4.3255076522826792E-2</v>
      </c>
      <c r="BO609">
        <v>4.5288347127290719E-2</v>
      </c>
      <c r="BQ609">
        <v>8.8543423650117511E-2</v>
      </c>
      <c r="BR609">
        <v>4.4271711825058763E-2</v>
      </c>
      <c r="BS609">
        <v>0.2527760301328752</v>
      </c>
      <c r="BT609" s="68" t="s">
        <v>1428</v>
      </c>
      <c r="BU609" s="68">
        <v>1473</v>
      </c>
      <c r="BV609" s="68">
        <v>10</v>
      </c>
      <c r="BX609" s="68" t="s">
        <v>464</v>
      </c>
      <c r="BY609" s="68" t="s">
        <v>464</v>
      </c>
      <c r="BZ609" s="68">
        <v>0</v>
      </c>
      <c r="CA609" s="70">
        <v>84</v>
      </c>
      <c r="CB609" s="68">
        <v>3.3300000000000003E-2</v>
      </c>
      <c r="CC609" s="68">
        <v>10</v>
      </c>
      <c r="CD609" s="68" t="s">
        <v>464</v>
      </c>
      <c r="CE609" s="68" t="s">
        <v>464</v>
      </c>
      <c r="CF609" s="68" t="s">
        <v>1271</v>
      </c>
      <c r="CG609" s="68">
        <v>500</v>
      </c>
      <c r="CI609" s="68" t="s">
        <v>1287</v>
      </c>
      <c r="CK609" s="70">
        <v>3000</v>
      </c>
    </row>
    <row r="610" spans="1:89" x14ac:dyDescent="0.3">
      <c r="A610" t="s">
        <v>1434</v>
      </c>
      <c r="B610" t="s">
        <v>4</v>
      </c>
      <c r="C610" t="s">
        <v>4183</v>
      </c>
      <c r="D610" s="12"/>
      <c r="F610" t="s">
        <v>265</v>
      </c>
      <c r="G610" s="25" t="s">
        <v>527</v>
      </c>
      <c r="H610" s="1" t="s">
        <v>609</v>
      </c>
      <c r="J610" t="s">
        <v>2280</v>
      </c>
      <c r="K610" t="s">
        <v>2280</v>
      </c>
      <c r="M610" t="b">
        <v>1</v>
      </c>
      <c r="N610" t="b">
        <v>1</v>
      </c>
      <c r="O610" t="b">
        <v>0</v>
      </c>
      <c r="P610" t="b">
        <v>0</v>
      </c>
      <c r="Q610" t="s">
        <v>2173</v>
      </c>
      <c r="R610" t="s">
        <v>2281</v>
      </c>
      <c r="U610" s="20">
        <v>4</v>
      </c>
      <c r="V610">
        <v>4</v>
      </c>
      <c r="W610">
        <v>0</v>
      </c>
      <c r="AC610" s="20">
        <v>7.8084429999999996</v>
      </c>
      <c r="AD610" s="20">
        <v>7.8548809999999998</v>
      </c>
      <c r="AE610" s="20">
        <v>15.19056011</v>
      </c>
      <c r="AF610">
        <v>3.8801999999999999</v>
      </c>
      <c r="AG610">
        <v>29.507999999999999</v>
      </c>
      <c r="AH610">
        <v>7.7140000000000004</v>
      </c>
      <c r="AI610">
        <v>0</v>
      </c>
      <c r="AM610">
        <v>20</v>
      </c>
      <c r="AN610" s="44">
        <f t="shared" ref="AN610" si="158">X610*Y610*Z610</f>
        <v>0</v>
      </c>
      <c r="AO610" s="46">
        <v>924.74694800021894</v>
      </c>
      <c r="AP610" s="44">
        <v>883.22940750240002</v>
      </c>
      <c r="AQ610" s="44">
        <v>0</v>
      </c>
      <c r="AR610" s="41"/>
      <c r="AS610" s="40">
        <v>8.6510153045653584E-2</v>
      </c>
      <c r="AT610" s="41">
        <v>9.0576694254581439E-2</v>
      </c>
      <c r="AU610" s="41"/>
      <c r="AV610" s="23">
        <v>1.75</v>
      </c>
      <c r="AW610" s="23">
        <v>2.5</v>
      </c>
      <c r="AX610" s="23">
        <v>0.75</v>
      </c>
      <c r="AY610" s="23">
        <v>0</v>
      </c>
      <c r="AZ610" s="23">
        <v>0.35</v>
      </c>
      <c r="BA610" s="23">
        <v>0.5</v>
      </c>
      <c r="BB610" s="23">
        <v>0.15</v>
      </c>
      <c r="BC610" s="23">
        <v>0</v>
      </c>
      <c r="BD610" s="20">
        <v>0.82</v>
      </c>
      <c r="BE610" s="20">
        <v>3.44</v>
      </c>
      <c r="BF610" s="20">
        <v>2.62</v>
      </c>
      <c r="BG610" s="20">
        <v>2.6262500000000002</v>
      </c>
      <c r="BH610">
        <v>2.6262500000000002</v>
      </c>
      <c r="BI610">
        <v>5.96680968125</v>
      </c>
      <c r="BJ610" s="64">
        <v>0.50555206026575039</v>
      </c>
      <c r="BK610" s="64">
        <v>0</v>
      </c>
      <c r="BL610" s="64"/>
      <c r="BN610">
        <v>4.3255076522826792E-2</v>
      </c>
      <c r="BO610">
        <v>4.5288347127290719E-2</v>
      </c>
      <c r="BQ610">
        <v>8.8543423650117511E-2</v>
      </c>
      <c r="BR610">
        <v>4.4271711825058763E-2</v>
      </c>
      <c r="BS610">
        <v>0.2527760301328752</v>
      </c>
      <c r="BT610" s="68" t="s">
        <v>1428</v>
      </c>
      <c r="BU610" s="68">
        <v>1473</v>
      </c>
      <c r="BV610" s="68">
        <v>10</v>
      </c>
      <c r="BX610" s="68" t="s">
        <v>464</v>
      </c>
      <c r="BY610" s="68" t="s">
        <v>464</v>
      </c>
      <c r="BZ610" s="68">
        <v>0</v>
      </c>
      <c r="CA610" s="70">
        <v>84</v>
      </c>
      <c r="CB610" s="68">
        <v>3.3300000000000003E-2</v>
      </c>
      <c r="CC610" s="68">
        <v>10</v>
      </c>
      <c r="CD610" s="68" t="s">
        <v>464</v>
      </c>
      <c r="CE610" s="68" t="s">
        <v>464</v>
      </c>
      <c r="CF610" s="68" t="s">
        <v>1271</v>
      </c>
      <c r="CG610" s="68">
        <v>500</v>
      </c>
      <c r="CI610" s="68" t="s">
        <v>1287</v>
      </c>
      <c r="CK610" s="70">
        <v>1000</v>
      </c>
    </row>
    <row r="611" spans="1:89" x14ac:dyDescent="0.3">
      <c r="A611" t="s">
        <v>63</v>
      </c>
      <c r="B611" t="s">
        <v>4</v>
      </c>
      <c r="C611" t="s">
        <v>3928</v>
      </c>
      <c r="D611" s="12"/>
      <c r="E611" s="58">
        <v>3.512</v>
      </c>
      <c r="F611" t="s">
        <v>265</v>
      </c>
      <c r="G611" s="25" t="s">
        <v>527</v>
      </c>
      <c r="H611" s="1" t="s">
        <v>609</v>
      </c>
      <c r="J611" t="s">
        <v>1726</v>
      </c>
      <c r="K611" t="s">
        <v>1726</v>
      </c>
      <c r="M611" t="b">
        <v>1</v>
      </c>
      <c r="N611" t="b">
        <v>1</v>
      </c>
      <c r="O611" t="b">
        <v>0</v>
      </c>
      <c r="P611" t="b">
        <v>0</v>
      </c>
      <c r="Q611" t="s">
        <v>2175</v>
      </c>
      <c r="R611" t="s">
        <v>2282</v>
      </c>
      <c r="U611" s="20">
        <v>4</v>
      </c>
      <c r="V611">
        <v>4</v>
      </c>
      <c r="W611">
        <v>0</v>
      </c>
      <c r="AC611" s="20">
        <v>7.8084429999999996</v>
      </c>
      <c r="AD611" s="20">
        <v>7.8548809999999998</v>
      </c>
      <c r="AE611" s="20">
        <v>15.19056011</v>
      </c>
      <c r="AF611">
        <v>3.8801999999999999</v>
      </c>
      <c r="AG611">
        <v>29.507999999999999</v>
      </c>
      <c r="AH611">
        <v>7.7140000000000004</v>
      </c>
      <c r="AI611">
        <v>0</v>
      </c>
      <c r="AM611">
        <v>20</v>
      </c>
      <c r="AN611" s="44">
        <f t="shared" ref="AN611:AN612" si="159">X611*Y611*Z611</f>
        <v>0</v>
      </c>
      <c r="AO611" s="46">
        <v>924.74694800021894</v>
      </c>
      <c r="AP611" s="44">
        <v>883.22940750240002</v>
      </c>
      <c r="AQ611" s="44">
        <v>0</v>
      </c>
      <c r="AR611" s="41"/>
      <c r="AS611" s="40">
        <v>8.6510153045653584E-2</v>
      </c>
      <c r="AT611" s="41">
        <v>9.0576694254581439E-2</v>
      </c>
      <c r="AU611" s="41"/>
      <c r="AV611" s="23">
        <v>1.75</v>
      </c>
      <c r="AW611" s="23">
        <v>2.5</v>
      </c>
      <c r="AX611" s="23">
        <v>0.75</v>
      </c>
      <c r="AY611" s="23">
        <v>0</v>
      </c>
      <c r="AZ611" s="23">
        <v>0.35</v>
      </c>
      <c r="BA611" s="23">
        <v>0.5</v>
      </c>
      <c r="BB611" s="23">
        <v>0.15</v>
      </c>
      <c r="BC611" s="23">
        <v>0</v>
      </c>
      <c r="BD611" s="20">
        <v>0.82</v>
      </c>
      <c r="BE611" s="20">
        <v>3.44</v>
      </c>
      <c r="BF611" s="20">
        <v>2.62</v>
      </c>
      <c r="BG611" s="20">
        <v>2.6262500000000002</v>
      </c>
      <c r="BH611">
        <v>2.6262500000000002</v>
      </c>
      <c r="BI611">
        <v>5.96680968125</v>
      </c>
      <c r="BJ611" s="64">
        <v>0.50555206026575039</v>
      </c>
      <c r="BK611" s="64">
        <v>0</v>
      </c>
      <c r="BL611" s="64"/>
      <c r="BN611">
        <v>4.3255076522826792E-2</v>
      </c>
      <c r="BO611">
        <v>4.5288347127290719E-2</v>
      </c>
      <c r="BQ611">
        <v>8.8543423650117511E-2</v>
      </c>
      <c r="BR611">
        <v>4.4271711825058763E-2</v>
      </c>
      <c r="BS611">
        <v>0.2527760301328752</v>
      </c>
      <c r="BT611" s="68" t="s">
        <v>1428</v>
      </c>
      <c r="BU611" s="68">
        <v>1473</v>
      </c>
      <c r="BV611" s="68">
        <v>10</v>
      </c>
      <c r="BX611" s="68" t="s">
        <v>464</v>
      </c>
      <c r="BY611" s="68" t="s">
        <v>464</v>
      </c>
      <c r="BZ611" s="68">
        <v>0</v>
      </c>
      <c r="CB611" s="68">
        <v>3.3300000000000003E-2</v>
      </c>
      <c r="CC611" s="68">
        <v>10</v>
      </c>
      <c r="CD611" s="68" t="s">
        <v>464</v>
      </c>
      <c r="CE611" s="68" t="s">
        <v>464</v>
      </c>
      <c r="CF611" s="68" t="s">
        <v>1271</v>
      </c>
      <c r="CG611" s="68">
        <v>500</v>
      </c>
      <c r="CI611" s="68" t="s">
        <v>1287</v>
      </c>
      <c r="CK611" s="70">
        <f>1.6*20</f>
        <v>32</v>
      </c>
    </row>
    <row r="612" spans="1:89" x14ac:dyDescent="0.3">
      <c r="A612" t="s">
        <v>266</v>
      </c>
      <c r="B612" t="s">
        <v>4</v>
      </c>
      <c r="C612" t="s">
        <v>4184</v>
      </c>
      <c r="D612" s="12"/>
      <c r="E612">
        <v>2.8</v>
      </c>
      <c r="F612" t="s">
        <v>267</v>
      </c>
      <c r="G612" s="98" t="s">
        <v>596</v>
      </c>
      <c r="H612">
        <v>1526807</v>
      </c>
      <c r="M612" t="b">
        <v>1</v>
      </c>
      <c r="N612" t="b">
        <v>1</v>
      </c>
      <c r="O612" t="b">
        <v>0</v>
      </c>
      <c r="P612" t="b">
        <v>0</v>
      </c>
      <c r="Q612" t="s">
        <v>596</v>
      </c>
      <c r="R612">
        <v>1526807</v>
      </c>
      <c r="T612">
        <v>1</v>
      </c>
      <c r="U612" s="20">
        <v>0</v>
      </c>
      <c r="V612">
        <v>0</v>
      </c>
      <c r="W612">
        <v>0</v>
      </c>
      <c r="X612">
        <v>3.97</v>
      </c>
      <c r="Y612">
        <v>3.97</v>
      </c>
      <c r="Z612">
        <v>15.56</v>
      </c>
      <c r="AA612" t="s">
        <v>519</v>
      </c>
      <c r="AB612">
        <v>15.56</v>
      </c>
      <c r="AC612" s="20">
        <v>0</v>
      </c>
      <c r="AD612" s="20"/>
      <c r="AE612" s="20"/>
      <c r="AF612">
        <v>0</v>
      </c>
      <c r="AI612">
        <v>0</v>
      </c>
      <c r="AM612">
        <v>20</v>
      </c>
      <c r="AN612" s="44">
        <f t="shared" si="159"/>
        <v>245.23960400000001</v>
      </c>
      <c r="AO612" s="46">
        <v>0</v>
      </c>
      <c r="AP612" s="44">
        <v>0</v>
      </c>
      <c r="AQ612" s="44">
        <v>0</v>
      </c>
      <c r="AR612" s="41">
        <f t="shared" ref="AR612" si="160">T612*AM612/AN612</f>
        <v>8.1552896325831611E-2</v>
      </c>
      <c r="AS612" s="40"/>
      <c r="AT612" s="41"/>
      <c r="AU612" s="41"/>
      <c r="AV612" s="23">
        <v>1.75</v>
      </c>
      <c r="AW612" s="23">
        <v>2.5</v>
      </c>
      <c r="AX612" s="23">
        <v>0.75</v>
      </c>
      <c r="AY612" s="23">
        <v>0</v>
      </c>
      <c r="AZ612" s="23">
        <v>0.35</v>
      </c>
      <c r="BA612" s="23">
        <v>0.5</v>
      </c>
      <c r="BB612" s="23">
        <v>0.15</v>
      </c>
      <c r="BC612" s="23">
        <v>0</v>
      </c>
      <c r="BD612" s="20">
        <v>0.89</v>
      </c>
      <c r="BE612" s="20">
        <v>3.44</v>
      </c>
      <c r="BF612" s="20">
        <v>2.5499999999999998</v>
      </c>
      <c r="BG612" s="20">
        <v>2.69875</v>
      </c>
      <c r="BH612">
        <v>2.69875</v>
      </c>
      <c r="BI612">
        <v>6.2151871187406877</v>
      </c>
      <c r="BJ612" s="64"/>
      <c r="BK612" s="64"/>
      <c r="BL612" s="64"/>
      <c r="BM612">
        <v>4.0776448162915813E-2</v>
      </c>
      <c r="BQ612">
        <v>8.1552896325831611E-2</v>
      </c>
      <c r="BR612">
        <v>4.0776448162915813E-2</v>
      </c>
      <c r="BS612">
        <v>0</v>
      </c>
      <c r="BT612" s="68" t="s">
        <v>1264</v>
      </c>
      <c r="BX612" s="68" t="s">
        <v>464</v>
      </c>
      <c r="BY612" s="68" t="s">
        <v>464</v>
      </c>
      <c r="BZ612" s="68">
        <v>0</v>
      </c>
      <c r="CB612" s="68">
        <v>0.5</v>
      </c>
      <c r="CC612" s="68">
        <v>1</v>
      </c>
      <c r="CD612" s="68" t="s">
        <v>464</v>
      </c>
      <c r="CE612" s="68" t="s">
        <v>464</v>
      </c>
      <c r="CF612" s="68" t="s">
        <v>1266</v>
      </c>
      <c r="CG612" s="68">
        <v>125</v>
      </c>
      <c r="CH612" s="68">
        <v>220</v>
      </c>
      <c r="CI612" s="68" t="s">
        <v>1287</v>
      </c>
      <c r="CK612" s="70">
        <v>40</v>
      </c>
    </row>
    <row r="613" spans="1:89" x14ac:dyDescent="0.3">
      <c r="A613" t="s">
        <v>266</v>
      </c>
      <c r="B613" t="s">
        <v>4</v>
      </c>
      <c r="C613" t="s">
        <v>4184</v>
      </c>
      <c r="D613" s="12"/>
      <c r="E613">
        <v>2.8</v>
      </c>
      <c r="F613" t="s">
        <v>267</v>
      </c>
      <c r="G613" s="8" t="s">
        <v>596</v>
      </c>
      <c r="H613" t="s">
        <v>669</v>
      </c>
      <c r="M613" t="b">
        <v>1</v>
      </c>
      <c r="N613" t="b">
        <v>1</v>
      </c>
      <c r="O613" t="b">
        <v>0</v>
      </c>
      <c r="P613" t="b">
        <v>0</v>
      </c>
      <c r="Q613" t="s">
        <v>596</v>
      </c>
      <c r="R613" t="s">
        <v>669</v>
      </c>
      <c r="T613">
        <v>1</v>
      </c>
      <c r="U613" s="20">
        <v>0</v>
      </c>
      <c r="V613">
        <v>0</v>
      </c>
      <c r="W613">
        <v>0</v>
      </c>
      <c r="X613">
        <v>3.97</v>
      </c>
      <c r="Y613">
        <v>3.97</v>
      </c>
      <c r="Z613">
        <v>15.56</v>
      </c>
      <c r="AA613" t="s">
        <v>519</v>
      </c>
      <c r="AB613">
        <v>15.56</v>
      </c>
      <c r="AC613" s="20">
        <v>0</v>
      </c>
      <c r="AD613" s="20"/>
      <c r="AE613" s="20"/>
      <c r="AF613">
        <v>0</v>
      </c>
      <c r="AI613">
        <v>0</v>
      </c>
      <c r="AM613">
        <v>20</v>
      </c>
      <c r="AN613" s="44">
        <f t="shared" ref="AN613:AN614" si="161">X613*Y613*Z613</f>
        <v>245.23960400000001</v>
      </c>
      <c r="AO613" s="46">
        <v>0</v>
      </c>
      <c r="AP613" s="44">
        <v>0</v>
      </c>
      <c r="AQ613" s="44">
        <v>0</v>
      </c>
      <c r="AR613" s="41">
        <f t="shared" ref="AR613:AR614" si="162">T613*AM613/AN613</f>
        <v>8.1552896325831611E-2</v>
      </c>
      <c r="AS613" s="40"/>
      <c r="AT613" s="41"/>
      <c r="AU613" s="41"/>
      <c r="AV613" s="23">
        <v>1.75</v>
      </c>
      <c r="AW613" s="23">
        <v>2.5</v>
      </c>
      <c r="AX613" s="23">
        <v>0.75</v>
      </c>
      <c r="AY613" s="23">
        <v>0</v>
      </c>
      <c r="AZ613" s="23">
        <v>0.35</v>
      </c>
      <c r="BA613" s="23">
        <v>0.5</v>
      </c>
      <c r="BB613" s="23">
        <v>0.15</v>
      </c>
      <c r="BC613" s="23">
        <v>0</v>
      </c>
      <c r="BD613" s="20">
        <v>0.89</v>
      </c>
      <c r="BE613" s="20">
        <v>3.44</v>
      </c>
      <c r="BF613" s="20">
        <v>2.5499999999999998</v>
      </c>
      <c r="BG613" s="20">
        <v>2.69875</v>
      </c>
      <c r="BH613">
        <v>2.69875</v>
      </c>
      <c r="BI613">
        <v>6.2151871187406877</v>
      </c>
      <c r="BJ613" s="64"/>
      <c r="BK613" s="64"/>
      <c r="BL613" s="64"/>
      <c r="BM613">
        <v>4.0776448162915813E-2</v>
      </c>
      <c r="BQ613">
        <v>8.1552896325831611E-2</v>
      </c>
      <c r="BR613">
        <v>4.0776448162915813E-2</v>
      </c>
      <c r="BS613">
        <v>0</v>
      </c>
      <c r="BT613" s="68" t="s">
        <v>1264</v>
      </c>
      <c r="BX613" s="68" t="s">
        <v>1268</v>
      </c>
      <c r="BY613" s="68" t="s">
        <v>863</v>
      </c>
      <c r="BZ613" s="68">
        <v>1</v>
      </c>
      <c r="CB613" s="68">
        <v>0.5</v>
      </c>
      <c r="CC613" s="68">
        <v>1</v>
      </c>
      <c r="CD613" s="68" t="s">
        <v>464</v>
      </c>
      <c r="CE613" s="68" t="s">
        <v>464</v>
      </c>
      <c r="CF613" s="68" t="s">
        <v>1266</v>
      </c>
      <c r="CG613" s="68">
        <v>125</v>
      </c>
      <c r="CH613" s="68">
        <v>220</v>
      </c>
      <c r="CI613" s="68" t="s">
        <v>1287</v>
      </c>
      <c r="CK613" s="70">
        <v>270</v>
      </c>
    </row>
    <row r="614" spans="1:89" x14ac:dyDescent="0.3">
      <c r="A614" t="s">
        <v>266</v>
      </c>
      <c r="B614" t="s">
        <v>4</v>
      </c>
      <c r="C614" t="s">
        <v>4184</v>
      </c>
      <c r="D614" s="12"/>
      <c r="E614">
        <v>2.8</v>
      </c>
      <c r="F614" t="s">
        <v>267</v>
      </c>
      <c r="G614" s="8" t="s">
        <v>596</v>
      </c>
      <c r="H614" t="s">
        <v>669</v>
      </c>
      <c r="M614" t="b">
        <v>1</v>
      </c>
      <c r="N614" t="b">
        <v>1</v>
      </c>
      <c r="O614" t="b">
        <v>0</v>
      </c>
      <c r="P614" t="b">
        <v>0</v>
      </c>
      <c r="Q614" t="s">
        <v>596</v>
      </c>
      <c r="R614" t="s">
        <v>669</v>
      </c>
      <c r="T614">
        <v>1</v>
      </c>
      <c r="U614" s="20">
        <v>0</v>
      </c>
      <c r="V614">
        <v>0</v>
      </c>
      <c r="W614">
        <v>0</v>
      </c>
      <c r="X614">
        <v>3.97</v>
      </c>
      <c r="Y614">
        <v>3.97</v>
      </c>
      <c r="Z614">
        <v>15.56</v>
      </c>
      <c r="AA614" t="s">
        <v>519</v>
      </c>
      <c r="AB614">
        <v>15.56</v>
      </c>
      <c r="AC614" s="20">
        <v>0</v>
      </c>
      <c r="AD614" s="20"/>
      <c r="AE614" s="20"/>
      <c r="AF614">
        <v>0</v>
      </c>
      <c r="AI614">
        <v>0</v>
      </c>
      <c r="AM614">
        <v>20</v>
      </c>
      <c r="AN614" s="44">
        <f t="shared" si="161"/>
        <v>245.23960400000001</v>
      </c>
      <c r="AO614" s="46">
        <v>0</v>
      </c>
      <c r="AP614" s="44">
        <v>0</v>
      </c>
      <c r="AQ614" s="44">
        <v>0</v>
      </c>
      <c r="AR614" s="41">
        <f t="shared" si="162"/>
        <v>8.1552896325831611E-2</v>
      </c>
      <c r="AS614" s="40"/>
      <c r="AT614" s="41"/>
      <c r="AU614" s="41"/>
      <c r="AV614" s="23">
        <v>1.75</v>
      </c>
      <c r="AW614" s="23">
        <v>2.5</v>
      </c>
      <c r="AX614" s="23">
        <v>0.75</v>
      </c>
      <c r="AY614" s="23">
        <v>0</v>
      </c>
      <c r="AZ614" s="23">
        <v>0.35</v>
      </c>
      <c r="BA614" s="23">
        <v>0.5</v>
      </c>
      <c r="BB614" s="23">
        <v>0.15</v>
      </c>
      <c r="BC614" s="23">
        <v>0</v>
      </c>
      <c r="BD614" s="20">
        <v>0.89</v>
      </c>
      <c r="BE614" s="20">
        <v>3.44</v>
      </c>
      <c r="BF614" s="20">
        <v>2.5499999999999998</v>
      </c>
      <c r="BG614" s="20">
        <v>2.69875</v>
      </c>
      <c r="BH614">
        <v>2.69875</v>
      </c>
      <c r="BI614">
        <v>6.2151871187406877</v>
      </c>
      <c r="BJ614" s="64"/>
      <c r="BK614" s="64"/>
      <c r="BL614" s="64"/>
      <c r="BM614">
        <v>4.0776448162915813E-2</v>
      </c>
      <c r="BQ614">
        <v>8.1552896325831611E-2</v>
      </c>
      <c r="BR614">
        <v>4.0776448162915813E-2</v>
      </c>
      <c r="BS614">
        <v>0</v>
      </c>
      <c r="BT614" s="68" t="s">
        <v>1264</v>
      </c>
      <c r="BX614" s="68" t="s">
        <v>464</v>
      </c>
      <c r="BY614" s="68" t="s">
        <v>464</v>
      </c>
      <c r="BZ614" s="68">
        <v>0</v>
      </c>
      <c r="CB614" s="68">
        <v>0.5</v>
      </c>
      <c r="CC614" s="68">
        <v>1</v>
      </c>
      <c r="CD614" s="68" t="s">
        <v>464</v>
      </c>
      <c r="CE614" s="68" t="s">
        <v>464</v>
      </c>
      <c r="CF614" s="68" t="s">
        <v>1435</v>
      </c>
      <c r="CG614" s="68">
        <v>100</v>
      </c>
      <c r="CH614" s="68">
        <v>425</v>
      </c>
      <c r="CI614" s="68" t="s">
        <v>1287</v>
      </c>
      <c r="CK614" s="70">
        <v>0.4</v>
      </c>
    </row>
    <row r="615" spans="1:89" x14ac:dyDescent="0.3">
      <c r="A615" t="s">
        <v>266</v>
      </c>
      <c r="B615" t="s">
        <v>4</v>
      </c>
      <c r="C615" t="s">
        <v>4184</v>
      </c>
      <c r="D615" s="12"/>
      <c r="E615">
        <v>2.8</v>
      </c>
      <c r="F615" t="s">
        <v>267</v>
      </c>
      <c r="G615" s="8" t="s">
        <v>596</v>
      </c>
      <c r="H615" t="s">
        <v>669</v>
      </c>
      <c r="M615" t="b">
        <v>1</v>
      </c>
      <c r="N615" t="b">
        <v>1</v>
      </c>
      <c r="O615" t="b">
        <v>0</v>
      </c>
      <c r="P615" t="b">
        <v>0</v>
      </c>
      <c r="Q615" t="s">
        <v>596</v>
      </c>
      <c r="R615" t="s">
        <v>669</v>
      </c>
      <c r="T615">
        <v>1</v>
      </c>
      <c r="U615" s="20">
        <v>0</v>
      </c>
      <c r="V615">
        <v>0</v>
      </c>
      <c r="W615">
        <v>0</v>
      </c>
      <c r="X615">
        <v>3.97</v>
      </c>
      <c r="Y615">
        <v>3.97</v>
      </c>
      <c r="Z615">
        <v>15.56</v>
      </c>
      <c r="AA615" t="s">
        <v>519</v>
      </c>
      <c r="AB615">
        <v>15.56</v>
      </c>
      <c r="AC615" s="20">
        <v>0</v>
      </c>
      <c r="AD615" s="20"/>
      <c r="AE615" s="20"/>
      <c r="AF615">
        <v>0</v>
      </c>
      <c r="AI615">
        <v>0</v>
      </c>
      <c r="AM615">
        <v>20</v>
      </c>
      <c r="AN615" s="44">
        <f t="shared" ref="AN615" si="163">X615*Y615*Z615</f>
        <v>245.23960400000001</v>
      </c>
      <c r="AO615" s="46">
        <v>0</v>
      </c>
      <c r="AP615" s="44">
        <v>0</v>
      </c>
      <c r="AQ615" s="44">
        <v>0</v>
      </c>
      <c r="AR615" s="41">
        <f t="shared" ref="AR615" si="164">T615*AM615/AN615</f>
        <v>8.1552896325831611E-2</v>
      </c>
      <c r="AS615" s="40"/>
      <c r="AT615" s="41"/>
      <c r="AU615" s="41"/>
      <c r="AV615" s="23">
        <v>1.75</v>
      </c>
      <c r="AW615" s="23">
        <v>2.5</v>
      </c>
      <c r="AX615" s="23">
        <v>0.75</v>
      </c>
      <c r="AY615" s="23">
        <v>0</v>
      </c>
      <c r="AZ615" s="23">
        <v>0.35</v>
      </c>
      <c r="BA615" s="23">
        <v>0.5</v>
      </c>
      <c r="BB615" s="23">
        <v>0.15</v>
      </c>
      <c r="BC615" s="23">
        <v>0</v>
      </c>
      <c r="BD615" s="20">
        <v>0.89</v>
      </c>
      <c r="BE615" s="20">
        <v>3.44</v>
      </c>
      <c r="BF615" s="20">
        <v>2.5499999999999998</v>
      </c>
      <c r="BG615" s="20">
        <v>2.69875</v>
      </c>
      <c r="BH615">
        <v>2.69875</v>
      </c>
      <c r="BI615">
        <v>6.2151871187406877</v>
      </c>
      <c r="BJ615" s="64"/>
      <c r="BK615" s="64"/>
      <c r="BL615" s="64"/>
      <c r="BM615">
        <v>4.0776448162915813E-2</v>
      </c>
      <c r="BQ615">
        <v>8.1552896325831611E-2</v>
      </c>
      <c r="BR615">
        <v>4.0776448162915813E-2</v>
      </c>
      <c r="BS615">
        <v>0</v>
      </c>
      <c r="BT615" s="68" t="s">
        <v>1264</v>
      </c>
      <c r="BX615" s="68" t="s">
        <v>1268</v>
      </c>
      <c r="BY615" s="68" t="s">
        <v>863</v>
      </c>
      <c r="BZ615" s="68">
        <v>1</v>
      </c>
      <c r="CB615" s="68">
        <v>0.5</v>
      </c>
      <c r="CC615" s="68">
        <v>1</v>
      </c>
      <c r="CD615" s="68" t="s">
        <v>464</v>
      </c>
      <c r="CE615" s="68" t="s">
        <v>464</v>
      </c>
      <c r="CF615" s="68" t="s">
        <v>1435</v>
      </c>
      <c r="CG615" s="68">
        <v>100</v>
      </c>
      <c r="CH615" s="68">
        <v>425</v>
      </c>
      <c r="CI615" s="68" t="s">
        <v>1287</v>
      </c>
      <c r="CK615" s="70">
        <v>0.8</v>
      </c>
    </row>
    <row r="616" spans="1:89" x14ac:dyDescent="0.3">
      <c r="A616" t="s">
        <v>268</v>
      </c>
      <c r="B616" t="s">
        <v>4</v>
      </c>
      <c r="C616" t="s">
        <v>4185</v>
      </c>
      <c r="D616" s="12"/>
      <c r="E616">
        <v>3.29</v>
      </c>
      <c r="F616" t="s">
        <v>269</v>
      </c>
      <c r="G616" s="105" t="s">
        <v>527</v>
      </c>
      <c r="H616" s="1" t="s">
        <v>609</v>
      </c>
      <c r="J616" t="s">
        <v>2243</v>
      </c>
      <c r="K616" t="s">
        <v>2243</v>
      </c>
      <c r="M616" t="b">
        <v>1</v>
      </c>
      <c r="N616" t="b">
        <v>1</v>
      </c>
      <c r="O616" t="b">
        <v>0</v>
      </c>
      <c r="P616" t="b">
        <v>0</v>
      </c>
      <c r="Q616" t="s">
        <v>2177</v>
      </c>
      <c r="R616" t="s">
        <v>2283</v>
      </c>
      <c r="T616">
        <v>1</v>
      </c>
      <c r="U616" s="20">
        <v>0</v>
      </c>
      <c r="V616">
        <v>0</v>
      </c>
      <c r="W616">
        <v>0</v>
      </c>
      <c r="X616">
        <v>3.89</v>
      </c>
      <c r="Y616">
        <v>3.89</v>
      </c>
      <c r="Z616">
        <v>16.43</v>
      </c>
      <c r="AA616" t="s">
        <v>519</v>
      </c>
      <c r="AB616">
        <v>16.43</v>
      </c>
      <c r="AC616" s="20">
        <v>0</v>
      </c>
      <c r="AD616" s="20"/>
      <c r="AE616" s="20"/>
      <c r="AF616">
        <v>0</v>
      </c>
      <c r="AI616">
        <v>0</v>
      </c>
      <c r="AM616">
        <v>38</v>
      </c>
      <c r="AN616" s="44">
        <f t="shared" si="135"/>
        <v>248.62040300000001</v>
      </c>
      <c r="AO616" s="46">
        <v>0</v>
      </c>
      <c r="AP616" s="44">
        <v>0</v>
      </c>
      <c r="AQ616" s="44">
        <v>0</v>
      </c>
      <c r="AR616" s="41">
        <f t="shared" ref="AR616:AR628" si="165">T616*AM616/AN616</f>
        <v>0.15284344945736411</v>
      </c>
      <c r="AS616" s="40"/>
      <c r="AT616" s="41"/>
      <c r="AU616" s="41"/>
      <c r="AV616" s="23">
        <v>1.84</v>
      </c>
      <c r="AW616" s="23">
        <v>3.04</v>
      </c>
      <c r="AX616" s="23">
        <v>0.48</v>
      </c>
      <c r="AY616" s="23">
        <v>0</v>
      </c>
      <c r="AZ616" s="23">
        <v>0.34328358208955218</v>
      </c>
      <c r="BA616" s="23">
        <v>0.56716417910447758</v>
      </c>
      <c r="BB616" s="23">
        <v>8.9552238805970144E-2</v>
      </c>
      <c r="BC616" s="23">
        <v>0</v>
      </c>
      <c r="BD616" s="20">
        <v>0.95</v>
      </c>
      <c r="BE616" s="20">
        <v>3.44</v>
      </c>
      <c r="BF616" s="20">
        <v>2.4900000000000002</v>
      </c>
      <c r="BG616" s="20">
        <v>2.9704000000000002</v>
      </c>
      <c r="BH616">
        <v>2.9704000000000002</v>
      </c>
      <c r="BI616">
        <v>6.7075943239940399</v>
      </c>
      <c r="BJ616" s="64"/>
      <c r="BK616" s="64"/>
      <c r="BL616" s="64"/>
      <c r="BM616">
        <v>7.6421724728682056E-2</v>
      </c>
      <c r="BQ616">
        <v>0.15284344945736411</v>
      </c>
      <c r="BR616">
        <v>7.6421724728682056E-2</v>
      </c>
      <c r="BS616">
        <v>0</v>
      </c>
      <c r="BT616" s="68" t="s">
        <v>1264</v>
      </c>
      <c r="BU616" s="68">
        <v>1573</v>
      </c>
      <c r="BV616" s="68">
        <v>10</v>
      </c>
      <c r="CD616" s="68" t="s">
        <v>464</v>
      </c>
      <c r="CE616" s="68" t="s">
        <v>464</v>
      </c>
    </row>
    <row r="617" spans="1:89" x14ac:dyDescent="0.3">
      <c r="A617" t="s">
        <v>151</v>
      </c>
      <c r="B617" t="s">
        <v>4</v>
      </c>
      <c r="C617" t="s">
        <v>3929</v>
      </c>
      <c r="D617" s="12"/>
      <c r="E617">
        <v>3.29</v>
      </c>
      <c r="F617" t="s">
        <v>269</v>
      </c>
      <c r="G617" s="106" t="s">
        <v>587</v>
      </c>
      <c r="H617">
        <v>-1</v>
      </c>
      <c r="J617" t="s">
        <v>2559</v>
      </c>
      <c r="M617" t="b">
        <v>1</v>
      </c>
      <c r="N617" t="b">
        <v>0</v>
      </c>
      <c r="O617" t="b">
        <v>0</v>
      </c>
      <c r="P617" t="b">
        <v>0</v>
      </c>
      <c r="Q617" t="s">
        <v>2179</v>
      </c>
      <c r="R617">
        <v>-1</v>
      </c>
      <c r="T617">
        <v>1</v>
      </c>
      <c r="U617" s="20">
        <v>0</v>
      </c>
      <c r="V617">
        <v>0</v>
      </c>
      <c r="W617">
        <v>0</v>
      </c>
      <c r="X617">
        <v>3.9</v>
      </c>
      <c r="Y617">
        <v>3.9</v>
      </c>
      <c r="Z617">
        <v>16.54</v>
      </c>
      <c r="AA617" t="s">
        <v>519</v>
      </c>
      <c r="AB617">
        <v>16.54</v>
      </c>
      <c r="AC617" s="20">
        <v>0</v>
      </c>
      <c r="AD617" s="20"/>
      <c r="AE617" s="20"/>
      <c r="AF617">
        <v>0</v>
      </c>
      <c r="AI617">
        <v>0</v>
      </c>
      <c r="AM617">
        <v>38</v>
      </c>
      <c r="AN617" s="44">
        <f t="shared" si="135"/>
        <v>251.57339999999996</v>
      </c>
      <c r="AO617" s="46">
        <v>0</v>
      </c>
      <c r="AP617" s="44">
        <v>0</v>
      </c>
      <c r="AQ617" s="44">
        <v>0</v>
      </c>
      <c r="AR617" s="41">
        <f t="shared" si="165"/>
        <v>0.15104935577449766</v>
      </c>
      <c r="AS617" s="40"/>
      <c r="AT617" s="41"/>
      <c r="AU617" s="41"/>
      <c r="AV617" s="23">
        <v>1.71875</v>
      </c>
      <c r="AW617" s="23">
        <v>2.53125</v>
      </c>
      <c r="AX617" s="23">
        <v>0.375</v>
      </c>
      <c r="AY617" s="23">
        <v>0</v>
      </c>
      <c r="AZ617" s="23">
        <v>0.3716216216216216</v>
      </c>
      <c r="BA617" s="23">
        <v>0.54729729729729726</v>
      </c>
      <c r="BB617" s="23">
        <v>8.1081081081081086E-2</v>
      </c>
      <c r="BC617" s="23">
        <v>0</v>
      </c>
      <c r="BD617" s="20">
        <v>0.95</v>
      </c>
      <c r="BE617" s="20">
        <v>3.44</v>
      </c>
      <c r="BF617" s="20">
        <v>2.4900000000000002</v>
      </c>
      <c r="BG617" s="20">
        <v>2.8390624999999998</v>
      </c>
      <c r="BH617">
        <v>2.8390624999999998</v>
      </c>
      <c r="BI617">
        <v>6.7833032939095634</v>
      </c>
      <c r="BJ617" s="64"/>
      <c r="BK617" s="64"/>
      <c r="BL617" s="64"/>
      <c r="BM617">
        <v>7.5524677887248828E-2</v>
      </c>
      <c r="BQ617">
        <v>0.15104935577449771</v>
      </c>
      <c r="BR617">
        <v>7.5524677887248828E-2</v>
      </c>
      <c r="BS617">
        <v>0</v>
      </c>
      <c r="BT617" s="68" t="s">
        <v>1264</v>
      </c>
      <c r="BU617" s="68">
        <v>1573</v>
      </c>
      <c r="BV617" s="68">
        <v>10</v>
      </c>
      <c r="CD617" s="68" t="s">
        <v>464</v>
      </c>
      <c r="CE617" s="68" t="s">
        <v>464</v>
      </c>
    </row>
    <row r="618" spans="1:89" x14ac:dyDescent="0.3">
      <c r="A618" t="s">
        <v>2550</v>
      </c>
      <c r="B618" t="s">
        <v>4</v>
      </c>
      <c r="C618" t="s">
        <v>4186</v>
      </c>
      <c r="D618" s="12"/>
      <c r="E618">
        <v>3.3</v>
      </c>
      <c r="F618" t="s">
        <v>269</v>
      </c>
      <c r="G618" s="106" t="s">
        <v>2503</v>
      </c>
      <c r="H618">
        <v>-1</v>
      </c>
      <c r="J618" t="s">
        <v>2514</v>
      </c>
      <c r="M618" t="b">
        <v>1</v>
      </c>
      <c r="N618" t="b">
        <v>0</v>
      </c>
      <c r="O618" t="b">
        <v>0</v>
      </c>
      <c r="P618" t="b">
        <v>0</v>
      </c>
      <c r="Q618" t="s">
        <v>2181</v>
      </c>
      <c r="R618">
        <v>-1</v>
      </c>
      <c r="T618">
        <v>1</v>
      </c>
      <c r="U618" s="20">
        <v>0</v>
      </c>
      <c r="V618">
        <v>0</v>
      </c>
      <c r="W618">
        <v>0</v>
      </c>
      <c r="X618">
        <v>3.9</v>
      </c>
      <c r="Y618">
        <v>3.9</v>
      </c>
      <c r="Z618">
        <v>20.78</v>
      </c>
      <c r="AA618" t="s">
        <v>519</v>
      </c>
      <c r="AB618">
        <v>20.78</v>
      </c>
      <c r="AC618" s="20">
        <v>0</v>
      </c>
      <c r="AD618" s="20"/>
      <c r="AE618" s="20"/>
      <c r="AF618">
        <v>0</v>
      </c>
      <c r="AI618">
        <v>0</v>
      </c>
      <c r="AM618">
        <v>38</v>
      </c>
      <c r="AN618" s="44">
        <f t="shared" si="135"/>
        <v>316.06380000000001</v>
      </c>
      <c r="AO618" s="46">
        <v>0</v>
      </c>
      <c r="AP618" s="44">
        <v>0</v>
      </c>
      <c r="AQ618" s="44">
        <v>0</v>
      </c>
      <c r="AR618" s="41">
        <f t="shared" si="165"/>
        <v>0.12022889049615931</v>
      </c>
      <c r="AS618" s="40"/>
      <c r="AT618" s="41"/>
      <c r="AU618" s="41"/>
      <c r="AV618" s="23">
        <v>1.6857142857142859</v>
      </c>
      <c r="AW618" s="23">
        <v>2.371428571428571</v>
      </c>
      <c r="AX618" s="23">
        <v>0.34285714285714292</v>
      </c>
      <c r="AY618" s="23">
        <v>0</v>
      </c>
      <c r="AZ618" s="23">
        <v>0.38311688311688308</v>
      </c>
      <c r="BA618" s="23">
        <v>0.53896103896103897</v>
      </c>
      <c r="BB618" s="23">
        <v>7.792207792207792E-2</v>
      </c>
      <c r="BC618" s="23">
        <v>0</v>
      </c>
      <c r="BD618" s="20">
        <v>0.95</v>
      </c>
      <c r="BE618" s="20">
        <v>3.44</v>
      </c>
      <c r="BF618" s="20">
        <v>2.4900000000000002</v>
      </c>
      <c r="BG618" s="20">
        <v>2.794285714285714</v>
      </c>
      <c r="BH618">
        <v>2.794285714285714</v>
      </c>
      <c r="BI618">
        <v>6.7908553945945132</v>
      </c>
      <c r="BJ618" s="64"/>
      <c r="BK618" s="64"/>
      <c r="BL618" s="64"/>
      <c r="BM618">
        <v>6.0114445248079663E-2</v>
      </c>
      <c r="BQ618">
        <v>0.1202288904961593</v>
      </c>
      <c r="BR618">
        <v>6.0114445248079663E-2</v>
      </c>
      <c r="BS618">
        <v>0</v>
      </c>
      <c r="BT618" s="68" t="s">
        <v>1264</v>
      </c>
      <c r="BU618" s="68">
        <v>1573</v>
      </c>
      <c r="BV618" s="68">
        <v>10</v>
      </c>
      <c r="CD618" s="68" t="s">
        <v>464</v>
      </c>
      <c r="CE618" s="68" t="s">
        <v>464</v>
      </c>
    </row>
    <row r="619" spans="1:89" x14ac:dyDescent="0.3">
      <c r="A619" t="s">
        <v>2551</v>
      </c>
      <c r="B619" t="s">
        <v>4</v>
      </c>
      <c r="C619" t="s">
        <v>4187</v>
      </c>
      <c r="D619" s="12"/>
      <c r="E619">
        <v>3.31</v>
      </c>
      <c r="F619" t="s">
        <v>269</v>
      </c>
      <c r="G619" s="106" t="s">
        <v>2504</v>
      </c>
      <c r="H619">
        <v>-1</v>
      </c>
      <c r="J619" t="s">
        <v>2514</v>
      </c>
      <c r="M619" t="b">
        <v>1</v>
      </c>
      <c r="N619" t="b">
        <v>0</v>
      </c>
      <c r="O619" t="b">
        <v>0</v>
      </c>
      <c r="P619" t="b">
        <v>0</v>
      </c>
      <c r="Q619" t="s">
        <v>2182</v>
      </c>
      <c r="R619">
        <v>-1</v>
      </c>
      <c r="T619">
        <v>1</v>
      </c>
      <c r="U619" s="20">
        <v>0</v>
      </c>
      <c r="V619">
        <v>0</v>
      </c>
      <c r="W619">
        <v>0</v>
      </c>
      <c r="X619">
        <v>3.89</v>
      </c>
      <c r="Y619">
        <v>3.89</v>
      </c>
      <c r="Z619">
        <v>22.41</v>
      </c>
      <c r="AA619" t="s">
        <v>519</v>
      </c>
      <c r="AB619">
        <v>22.41</v>
      </c>
      <c r="AC619" s="20">
        <v>0</v>
      </c>
      <c r="AD619" s="20"/>
      <c r="AE619" s="20"/>
      <c r="AF619">
        <v>0</v>
      </c>
      <c r="AI619">
        <v>0</v>
      </c>
      <c r="AM619">
        <v>38</v>
      </c>
      <c r="AN619" s="44">
        <f t="shared" si="135"/>
        <v>339.11036100000001</v>
      </c>
      <c r="AO619" s="46">
        <v>0</v>
      </c>
      <c r="AP619" s="44">
        <v>0</v>
      </c>
      <c r="AQ619" s="44">
        <v>0</v>
      </c>
      <c r="AR619" s="41">
        <f t="shared" si="165"/>
        <v>0.11205791497476539</v>
      </c>
      <c r="AS619" s="40"/>
      <c r="AT619" s="41"/>
      <c r="AU619" s="41"/>
      <c r="AV619" s="23">
        <v>1.6578947368421051</v>
      </c>
      <c r="AW619" s="23">
        <v>2.236842105263158</v>
      </c>
      <c r="AX619" s="23">
        <v>0.31578947368421051</v>
      </c>
      <c r="AY619" s="23">
        <v>0</v>
      </c>
      <c r="AZ619" s="23">
        <v>0.39374999999999999</v>
      </c>
      <c r="BA619" s="23">
        <v>0.53125</v>
      </c>
      <c r="BB619" s="23">
        <v>7.4999999999999997E-2</v>
      </c>
      <c r="BC619" s="23">
        <v>0</v>
      </c>
      <c r="BD619" s="20">
        <v>0.95</v>
      </c>
      <c r="BE619" s="20">
        <v>3.44</v>
      </c>
      <c r="BF619" s="20">
        <v>2.4900000000000002</v>
      </c>
      <c r="BG619" s="20">
        <v>2.7565789473684208</v>
      </c>
      <c r="BH619">
        <v>2.7565789473684208</v>
      </c>
      <c r="BI619">
        <v>6.7972150583292086</v>
      </c>
      <c r="BJ619" s="64"/>
      <c r="BK619" s="64"/>
      <c r="BL619" s="64"/>
      <c r="BM619">
        <v>5.6028957487382687E-2</v>
      </c>
      <c r="BQ619">
        <v>0.1120579149747654</v>
      </c>
      <c r="BR619">
        <v>5.6028957487382687E-2</v>
      </c>
      <c r="BS619">
        <v>0</v>
      </c>
      <c r="BT619" s="68" t="s">
        <v>1264</v>
      </c>
      <c r="BU619" s="68">
        <v>1573</v>
      </c>
      <c r="BV619" s="68">
        <v>10</v>
      </c>
      <c r="CD619" s="68" t="s">
        <v>464</v>
      </c>
      <c r="CE619" s="68" t="s">
        <v>464</v>
      </c>
    </row>
    <row r="620" spans="1:89" x14ac:dyDescent="0.3">
      <c r="A620" t="s">
        <v>2737</v>
      </c>
      <c r="B620" t="s">
        <v>4</v>
      </c>
      <c r="C620" t="s">
        <v>4188</v>
      </c>
      <c r="D620" s="12"/>
      <c r="E620">
        <v>3.32</v>
      </c>
      <c r="F620" t="s">
        <v>269</v>
      </c>
      <c r="G620" s="106" t="s">
        <v>2505</v>
      </c>
      <c r="H620">
        <v>-1</v>
      </c>
      <c r="J620" t="s">
        <v>2514</v>
      </c>
      <c r="M620" t="b">
        <v>1</v>
      </c>
      <c r="N620" t="b">
        <v>0</v>
      </c>
      <c r="O620" t="b">
        <v>0</v>
      </c>
      <c r="P620" t="b">
        <v>0</v>
      </c>
      <c r="Q620" t="s">
        <v>2184</v>
      </c>
      <c r="R620">
        <v>-1</v>
      </c>
      <c r="T620">
        <v>1</v>
      </c>
      <c r="U620" s="20">
        <v>0</v>
      </c>
      <c r="V620">
        <v>0</v>
      </c>
      <c r="W620">
        <v>0</v>
      </c>
      <c r="X620">
        <v>3.9</v>
      </c>
      <c r="Y620">
        <v>3.9</v>
      </c>
      <c r="Z620">
        <v>25.55</v>
      </c>
      <c r="AA620" t="s">
        <v>519</v>
      </c>
      <c r="AB620">
        <v>25.55</v>
      </c>
      <c r="AC620" s="20">
        <v>0</v>
      </c>
      <c r="AD620" s="20"/>
      <c r="AE620" s="20"/>
      <c r="AF620">
        <v>0</v>
      </c>
      <c r="AI620">
        <v>0</v>
      </c>
      <c r="AM620">
        <v>38</v>
      </c>
      <c r="AN620" s="44">
        <f t="shared" si="135"/>
        <v>388.6155</v>
      </c>
      <c r="AO620" s="46">
        <v>0</v>
      </c>
      <c r="AP620" s="44">
        <v>0</v>
      </c>
      <c r="AQ620" s="44">
        <v>0</v>
      </c>
      <c r="AR620" s="41">
        <f t="shared" si="165"/>
        <v>9.7783027182394941E-2</v>
      </c>
      <c r="AS620" s="40"/>
      <c r="AT620" s="41"/>
      <c r="AU620" s="41"/>
      <c r="AV620" s="23">
        <v>1.634146341463415</v>
      </c>
      <c r="AW620" s="23">
        <v>2.1219512195121948</v>
      </c>
      <c r="AX620" s="23">
        <v>0.29268292682926828</v>
      </c>
      <c r="AY620" s="23">
        <v>0</v>
      </c>
      <c r="AZ620" s="23">
        <v>0.40361445783132532</v>
      </c>
      <c r="BA620" s="23">
        <v>0.52409638554216864</v>
      </c>
      <c r="BB620" s="23">
        <v>7.2289156626506021E-2</v>
      </c>
      <c r="BC620" s="23">
        <v>0</v>
      </c>
      <c r="BD620" s="20">
        <v>0.95</v>
      </c>
      <c r="BE620" s="20">
        <v>3.44</v>
      </c>
      <c r="BF620" s="20">
        <v>2.4900000000000002</v>
      </c>
      <c r="BG620" s="20">
        <v>2.7243902439024388</v>
      </c>
      <c r="BH620">
        <v>2.7243902439024388</v>
      </c>
      <c r="BI620">
        <v>6.8026440395661458</v>
      </c>
      <c r="BJ620" s="64"/>
      <c r="BK620" s="64"/>
      <c r="BL620" s="64"/>
      <c r="BM620">
        <v>4.889151359119747E-2</v>
      </c>
      <c r="BQ620">
        <v>9.7783027182394941E-2</v>
      </c>
      <c r="BR620">
        <v>4.889151359119747E-2</v>
      </c>
      <c r="BS620">
        <v>0</v>
      </c>
      <c r="BT620" s="68" t="s">
        <v>1264</v>
      </c>
      <c r="BU620" s="68">
        <v>1573</v>
      </c>
      <c r="BV620" s="68">
        <v>10</v>
      </c>
      <c r="CD620" s="68" t="s">
        <v>464</v>
      </c>
      <c r="CE620" s="68" t="s">
        <v>464</v>
      </c>
    </row>
    <row r="621" spans="1:89" x14ac:dyDescent="0.3">
      <c r="A621" t="s">
        <v>2552</v>
      </c>
      <c r="B621" t="s">
        <v>4</v>
      </c>
      <c r="C621" t="s">
        <v>4189</v>
      </c>
      <c r="D621" s="12"/>
      <c r="E621">
        <v>3.32</v>
      </c>
      <c r="F621" t="s">
        <v>269</v>
      </c>
      <c r="G621" s="106" t="s">
        <v>2506</v>
      </c>
      <c r="H621">
        <v>-1</v>
      </c>
      <c r="J621" t="s">
        <v>2514</v>
      </c>
      <c r="M621" t="b">
        <v>1</v>
      </c>
      <c r="N621" t="b">
        <v>0</v>
      </c>
      <c r="O621" t="b">
        <v>0</v>
      </c>
      <c r="P621" t="b">
        <v>0</v>
      </c>
      <c r="Q621" t="s">
        <v>2185</v>
      </c>
      <c r="R621">
        <v>-1</v>
      </c>
      <c r="T621">
        <v>1</v>
      </c>
      <c r="U621" s="20">
        <v>0</v>
      </c>
      <c r="V621">
        <v>0</v>
      </c>
      <c r="W621">
        <v>0</v>
      </c>
      <c r="X621">
        <v>3.93</v>
      </c>
      <c r="Y621">
        <v>3.93</v>
      </c>
      <c r="Z621">
        <v>29.52</v>
      </c>
      <c r="AA621" t="s">
        <v>519</v>
      </c>
      <c r="AB621">
        <v>29.52</v>
      </c>
      <c r="AC621" s="20">
        <v>0</v>
      </c>
      <c r="AD621" s="20"/>
      <c r="AE621" s="20"/>
      <c r="AF621">
        <v>0</v>
      </c>
      <c r="AI621">
        <v>0</v>
      </c>
      <c r="AM621">
        <v>38</v>
      </c>
      <c r="AN621" s="44">
        <f t="shared" si="135"/>
        <v>455.933448</v>
      </c>
      <c r="AO621" s="46">
        <v>0</v>
      </c>
      <c r="AP621" s="44">
        <v>0</v>
      </c>
      <c r="AQ621" s="44">
        <v>0</v>
      </c>
      <c r="AR621" s="41">
        <f t="shared" si="165"/>
        <v>8.3345497389347059E-2</v>
      </c>
      <c r="AS621" s="40"/>
      <c r="AT621" s="41"/>
      <c r="AU621" s="41"/>
      <c r="AV621" s="23">
        <v>1.595744680851064</v>
      </c>
      <c r="AW621" s="23">
        <v>1.936170212765957</v>
      </c>
      <c r="AX621" s="23">
        <v>0.25531914893617019</v>
      </c>
      <c r="AY621" s="23">
        <v>0</v>
      </c>
      <c r="AZ621" s="23">
        <v>0.42134831460674149</v>
      </c>
      <c r="BA621" s="23">
        <v>0.5112359550561798</v>
      </c>
      <c r="BB621" s="23">
        <v>6.741573033707865E-2</v>
      </c>
      <c r="BC621" s="23">
        <v>0</v>
      </c>
      <c r="BD621" s="20">
        <v>0.95</v>
      </c>
      <c r="BE621" s="20">
        <v>3.44</v>
      </c>
      <c r="BF621" s="20">
        <v>2.4900000000000002</v>
      </c>
      <c r="BG621" s="20">
        <v>2.6723404255319152</v>
      </c>
      <c r="BH621">
        <v>2.6723404255319152</v>
      </c>
      <c r="BI621">
        <v>6.8114228177365099</v>
      </c>
      <c r="BJ621" s="64"/>
      <c r="BK621" s="64"/>
      <c r="BL621" s="64"/>
      <c r="BM621">
        <v>4.167274869467353E-2</v>
      </c>
      <c r="BQ621">
        <v>8.3345497389347059E-2</v>
      </c>
      <c r="BR621">
        <v>4.167274869467353E-2</v>
      </c>
      <c r="BS621">
        <v>0</v>
      </c>
      <c r="BT621" s="68" t="s">
        <v>1264</v>
      </c>
      <c r="BU621" s="68">
        <v>1573</v>
      </c>
      <c r="BV621" s="68">
        <v>10</v>
      </c>
      <c r="CD621" s="68" t="s">
        <v>464</v>
      </c>
      <c r="CE621" s="68" t="s">
        <v>464</v>
      </c>
    </row>
    <row r="622" spans="1:89" x14ac:dyDescent="0.3">
      <c r="A622" t="s">
        <v>2553</v>
      </c>
      <c r="B622" t="s">
        <v>4</v>
      </c>
      <c r="C622" t="s">
        <v>4190</v>
      </c>
      <c r="D622" s="12"/>
      <c r="E622">
        <v>3.32</v>
      </c>
      <c r="F622" t="s">
        <v>269</v>
      </c>
      <c r="G622" s="106" t="s">
        <v>2507</v>
      </c>
      <c r="H622">
        <v>-1</v>
      </c>
      <c r="J622" t="s">
        <v>2514</v>
      </c>
      <c r="M622" t="b">
        <v>1</v>
      </c>
      <c r="N622" t="b">
        <v>0</v>
      </c>
      <c r="O622" t="b">
        <v>0</v>
      </c>
      <c r="P622" t="b">
        <v>0</v>
      </c>
      <c r="Q622" t="s">
        <v>2187</v>
      </c>
      <c r="R622">
        <v>-1</v>
      </c>
      <c r="T622">
        <v>1</v>
      </c>
      <c r="U622" s="20">
        <v>0</v>
      </c>
      <c r="V622">
        <v>0</v>
      </c>
      <c r="W622">
        <v>0</v>
      </c>
      <c r="X622">
        <v>3.9</v>
      </c>
      <c r="Y622">
        <v>3.9</v>
      </c>
      <c r="Z622">
        <v>33.729999999999997</v>
      </c>
      <c r="AA622" t="s">
        <v>519</v>
      </c>
      <c r="AB622">
        <v>33.729999999999997</v>
      </c>
      <c r="AC622" s="20">
        <v>0</v>
      </c>
      <c r="AD622" s="20"/>
      <c r="AE622" s="20"/>
      <c r="AF622">
        <v>0</v>
      </c>
      <c r="AI622">
        <v>0</v>
      </c>
      <c r="AM622">
        <v>38</v>
      </c>
      <c r="AN622" s="44">
        <f t="shared" si="135"/>
        <v>513.03329999999994</v>
      </c>
      <c r="AO622" s="46">
        <v>0</v>
      </c>
      <c r="AP622" s="44">
        <v>0</v>
      </c>
      <c r="AQ622" s="44">
        <v>0</v>
      </c>
      <c r="AR622" s="41">
        <f t="shared" si="165"/>
        <v>7.4069266069083636E-2</v>
      </c>
      <c r="AS622" s="40"/>
      <c r="AT622" s="41"/>
      <c r="AU622" s="41"/>
      <c r="AV622" s="23">
        <v>1.5660377358490569</v>
      </c>
      <c r="AW622" s="23">
        <v>1.7924528301886791</v>
      </c>
      <c r="AX622" s="23">
        <v>0.22641509433962259</v>
      </c>
      <c r="AY622" s="23">
        <v>0</v>
      </c>
      <c r="AZ622" s="23">
        <v>0.43684210526315792</v>
      </c>
      <c r="BA622" s="23">
        <v>0.5</v>
      </c>
      <c r="BB622" s="23">
        <v>6.3157894736842107E-2</v>
      </c>
      <c r="BC622" s="23">
        <v>0</v>
      </c>
      <c r="BD622" s="20">
        <v>0.95</v>
      </c>
      <c r="BE622" s="20">
        <v>3.44</v>
      </c>
      <c r="BF622" s="20">
        <v>2.4900000000000002</v>
      </c>
      <c r="BG622" s="20">
        <v>2.6320754716981138</v>
      </c>
      <c r="BH622">
        <v>2.632075471698113</v>
      </c>
      <c r="BI622">
        <v>6.8182139480192454</v>
      </c>
      <c r="BJ622" s="64"/>
      <c r="BK622" s="64"/>
      <c r="BL622" s="64"/>
      <c r="BM622">
        <v>3.7034633034541818E-2</v>
      </c>
      <c r="BQ622">
        <v>7.4069266069083636E-2</v>
      </c>
      <c r="BR622">
        <v>3.7034633034541818E-2</v>
      </c>
      <c r="BS622">
        <v>0</v>
      </c>
      <c r="BT622" s="68" t="s">
        <v>1264</v>
      </c>
      <c r="BU622" s="68">
        <v>1573</v>
      </c>
      <c r="BV622" s="68">
        <v>10</v>
      </c>
      <c r="CD622" s="68" t="s">
        <v>464</v>
      </c>
      <c r="CE622" s="68" t="s">
        <v>464</v>
      </c>
    </row>
    <row r="623" spans="1:89" x14ac:dyDescent="0.3">
      <c r="A623" t="s">
        <v>2554</v>
      </c>
      <c r="B623" t="s">
        <v>4</v>
      </c>
      <c r="C623" t="s">
        <v>4191</v>
      </c>
      <c r="D623" s="12"/>
      <c r="E623">
        <v>3.22</v>
      </c>
      <c r="F623" t="s">
        <v>269</v>
      </c>
      <c r="G623" s="106" t="s">
        <v>2508</v>
      </c>
      <c r="H623">
        <v>-1</v>
      </c>
      <c r="J623" t="s">
        <v>2514</v>
      </c>
      <c r="M623" t="b">
        <v>1</v>
      </c>
      <c r="N623" t="b">
        <v>0</v>
      </c>
      <c r="O623" t="b">
        <v>0</v>
      </c>
      <c r="P623" t="b">
        <v>0</v>
      </c>
      <c r="Q623" t="s">
        <v>2188</v>
      </c>
      <c r="R623">
        <v>-1</v>
      </c>
      <c r="T623">
        <v>2</v>
      </c>
      <c r="U623" s="20">
        <v>0</v>
      </c>
      <c r="V623">
        <v>0</v>
      </c>
      <c r="W623">
        <v>0</v>
      </c>
      <c r="X623">
        <v>3.9</v>
      </c>
      <c r="Y623">
        <v>3.9</v>
      </c>
      <c r="Z623">
        <v>31.44</v>
      </c>
      <c r="AA623" t="s">
        <v>519</v>
      </c>
      <c r="AB623">
        <v>31.44</v>
      </c>
      <c r="AC623" s="20">
        <v>0</v>
      </c>
      <c r="AD623" s="20"/>
      <c r="AE623" s="20"/>
      <c r="AF623">
        <v>0</v>
      </c>
      <c r="AI623">
        <v>0</v>
      </c>
      <c r="AM623">
        <v>40</v>
      </c>
      <c r="AN623" s="44">
        <f t="shared" si="135"/>
        <v>478.20240000000001</v>
      </c>
      <c r="AO623" s="46">
        <v>0</v>
      </c>
      <c r="AP623" s="44">
        <v>0</v>
      </c>
      <c r="AQ623" s="44">
        <v>0</v>
      </c>
      <c r="AR623" s="41">
        <f t="shared" si="165"/>
        <v>0.16729317962435988</v>
      </c>
      <c r="AS623" s="40"/>
      <c r="AT623" s="41"/>
      <c r="AU623" s="41"/>
      <c r="AV623" s="23">
        <v>1.75</v>
      </c>
      <c r="AW623" s="23">
        <v>2.65625</v>
      </c>
      <c r="AX623" s="23">
        <v>0.375</v>
      </c>
      <c r="AY623" s="23">
        <v>0</v>
      </c>
      <c r="AZ623" s="23">
        <v>0.36601307189542481</v>
      </c>
      <c r="BA623" s="23">
        <v>0.55555555555555558</v>
      </c>
      <c r="BB623" s="23">
        <v>7.8431372549019607E-2</v>
      </c>
      <c r="BC623" s="23">
        <v>0</v>
      </c>
      <c r="BD623" s="20">
        <v>0.95</v>
      </c>
      <c r="BE623" s="20">
        <v>3.44</v>
      </c>
      <c r="BF623" s="20">
        <v>2.4900000000000002</v>
      </c>
      <c r="BG623" s="20">
        <v>2.8778125000000001</v>
      </c>
      <c r="BH623">
        <v>2.8778125000000001</v>
      </c>
      <c r="BI623">
        <v>6.7946490392267176</v>
      </c>
      <c r="BJ623" s="64"/>
      <c r="BK623" s="64"/>
      <c r="BL623" s="64"/>
      <c r="BM623">
        <v>8.3646589812179942E-2</v>
      </c>
      <c r="BQ623">
        <v>0.16729317962435991</v>
      </c>
      <c r="BR623">
        <v>8.3646589812179942E-2</v>
      </c>
      <c r="BS623">
        <v>0</v>
      </c>
      <c r="BT623" s="68" t="s">
        <v>1264</v>
      </c>
      <c r="BU623" s="68">
        <v>1573</v>
      </c>
      <c r="BV623" s="68">
        <v>10</v>
      </c>
      <c r="CD623" s="68" t="s">
        <v>464</v>
      </c>
      <c r="CE623" s="68" t="s">
        <v>464</v>
      </c>
    </row>
    <row r="624" spans="1:89" x14ac:dyDescent="0.3">
      <c r="A624" t="s">
        <v>2555</v>
      </c>
      <c r="B624" t="s">
        <v>4</v>
      </c>
      <c r="C624" t="s">
        <v>4192</v>
      </c>
      <c r="D624" s="12"/>
      <c r="E624">
        <v>3.25</v>
      </c>
      <c r="F624" t="s">
        <v>269</v>
      </c>
      <c r="G624" s="106" t="s">
        <v>2509</v>
      </c>
      <c r="H624">
        <v>-1</v>
      </c>
      <c r="J624" t="s">
        <v>2514</v>
      </c>
      <c r="M624" t="b">
        <v>1</v>
      </c>
      <c r="N624" t="b">
        <v>0</v>
      </c>
      <c r="O624" t="b">
        <v>0</v>
      </c>
      <c r="P624" t="b">
        <v>0</v>
      </c>
      <c r="Q624" t="s">
        <v>2189</v>
      </c>
      <c r="R624">
        <v>-1</v>
      </c>
      <c r="T624">
        <v>1</v>
      </c>
      <c r="U624" s="20">
        <v>0</v>
      </c>
      <c r="V624">
        <v>0</v>
      </c>
      <c r="W624">
        <v>0</v>
      </c>
      <c r="X624">
        <v>3.91</v>
      </c>
      <c r="Y624">
        <v>3.91</v>
      </c>
      <c r="Z624">
        <v>18.2</v>
      </c>
      <c r="AA624" t="s">
        <v>519</v>
      </c>
      <c r="AB624">
        <v>18.2</v>
      </c>
      <c r="AC624" s="20">
        <v>0</v>
      </c>
      <c r="AD624" s="20"/>
      <c r="AE624" s="20"/>
      <c r="AF624">
        <v>0</v>
      </c>
      <c r="AI624">
        <v>0</v>
      </c>
      <c r="AM624">
        <v>40</v>
      </c>
      <c r="AN624" s="44">
        <f t="shared" si="135"/>
        <v>278.24342000000001</v>
      </c>
      <c r="AO624" s="46">
        <v>0</v>
      </c>
      <c r="AP624" s="44">
        <v>0</v>
      </c>
      <c r="AQ624" s="44">
        <v>0</v>
      </c>
      <c r="AR624" s="41">
        <f t="shared" si="165"/>
        <v>0.14375901503798363</v>
      </c>
      <c r="AS624" s="40"/>
      <c r="AT624" s="41"/>
      <c r="AU624" s="41"/>
      <c r="AV624" s="23">
        <v>1.714285714285714</v>
      </c>
      <c r="AW624" s="23">
        <v>2.4857142857142862</v>
      </c>
      <c r="AX624" s="23">
        <v>0.34285714285714292</v>
      </c>
      <c r="AY624" s="23">
        <v>0</v>
      </c>
      <c r="AZ624" s="23">
        <v>0.37735849056603771</v>
      </c>
      <c r="BA624" s="23">
        <v>0.54716981132075471</v>
      </c>
      <c r="BB624" s="23">
        <v>7.5471698113207544E-2</v>
      </c>
      <c r="BC624" s="23">
        <v>0</v>
      </c>
      <c r="BD624" s="20">
        <v>0.95</v>
      </c>
      <c r="BE624" s="20">
        <v>3.44</v>
      </c>
      <c r="BF624" s="20">
        <v>2.4900000000000002</v>
      </c>
      <c r="BG624" s="20">
        <v>2.8297142857142861</v>
      </c>
      <c r="BH624">
        <v>2.8297142857142861</v>
      </c>
      <c r="BI624">
        <v>6.8012286474559138</v>
      </c>
      <c r="BJ624" s="64"/>
      <c r="BK624" s="64"/>
      <c r="BL624" s="64"/>
      <c r="BM624">
        <v>7.1879507518991817E-2</v>
      </c>
      <c r="BQ624">
        <v>0.14375901503798361</v>
      </c>
      <c r="BR624">
        <v>7.1879507518991817E-2</v>
      </c>
      <c r="BS624">
        <v>0</v>
      </c>
      <c r="BT624" s="68" t="s">
        <v>1264</v>
      </c>
      <c r="BU624" s="68">
        <v>1573</v>
      </c>
      <c r="BV624" s="68">
        <v>10</v>
      </c>
      <c r="CD624" s="68" t="s">
        <v>464</v>
      </c>
      <c r="CE624" s="68" t="s">
        <v>464</v>
      </c>
    </row>
    <row r="625" spans="1:89" x14ac:dyDescent="0.3">
      <c r="A625" t="s">
        <v>2556</v>
      </c>
      <c r="B625" t="s">
        <v>4</v>
      </c>
      <c r="C625" t="s">
        <v>4193</v>
      </c>
      <c r="D625" s="12"/>
      <c r="E625">
        <v>3.27</v>
      </c>
      <c r="F625" t="s">
        <v>269</v>
      </c>
      <c r="G625" s="106" t="s">
        <v>2510</v>
      </c>
      <c r="H625">
        <v>-1</v>
      </c>
      <c r="J625" t="s">
        <v>2514</v>
      </c>
      <c r="M625" t="b">
        <v>1</v>
      </c>
      <c r="N625" t="b">
        <v>0</v>
      </c>
      <c r="O625" t="b">
        <v>0</v>
      </c>
      <c r="P625" t="b">
        <v>0</v>
      </c>
      <c r="Q625" t="s">
        <v>2190</v>
      </c>
      <c r="R625">
        <v>-1</v>
      </c>
      <c r="T625">
        <v>1</v>
      </c>
      <c r="U625" s="20">
        <v>0</v>
      </c>
      <c r="V625">
        <v>0</v>
      </c>
      <c r="W625">
        <v>0</v>
      </c>
      <c r="X625">
        <v>3.9</v>
      </c>
      <c r="Y625">
        <v>3.9</v>
      </c>
      <c r="Z625">
        <v>20.25</v>
      </c>
      <c r="AA625" t="s">
        <v>519</v>
      </c>
      <c r="AB625">
        <v>20.25</v>
      </c>
      <c r="AC625" s="20">
        <v>0</v>
      </c>
      <c r="AD625" s="20"/>
      <c r="AE625" s="20"/>
      <c r="AF625">
        <v>0</v>
      </c>
      <c r="AI625">
        <v>0</v>
      </c>
      <c r="AM625">
        <v>40</v>
      </c>
      <c r="AN625" s="44">
        <f t="shared" si="135"/>
        <v>308.0025</v>
      </c>
      <c r="AO625" s="46">
        <v>0</v>
      </c>
      <c r="AP625" s="44">
        <v>0</v>
      </c>
      <c r="AQ625" s="44">
        <v>0</v>
      </c>
      <c r="AR625" s="41">
        <f t="shared" si="165"/>
        <v>0.12986907573802162</v>
      </c>
      <c r="AS625" s="40"/>
      <c r="AT625" s="41"/>
      <c r="AU625" s="41"/>
      <c r="AV625" s="23">
        <v>1.6842105263157889</v>
      </c>
      <c r="AW625" s="23">
        <v>2.3421052631578951</v>
      </c>
      <c r="AX625" s="23">
        <v>0.31578947368421051</v>
      </c>
      <c r="AY625" s="23">
        <v>0</v>
      </c>
      <c r="AZ625" s="23">
        <v>0.38787878787878788</v>
      </c>
      <c r="BA625" s="23">
        <v>0.53939393939393943</v>
      </c>
      <c r="BB625" s="23">
        <v>7.2727272727272724E-2</v>
      </c>
      <c r="BC625" s="23">
        <v>0</v>
      </c>
      <c r="BD625" s="20">
        <v>0.95</v>
      </c>
      <c r="BE625" s="20">
        <v>3.44</v>
      </c>
      <c r="BF625" s="20">
        <v>2.4900000000000002</v>
      </c>
      <c r="BG625" s="20">
        <v>2.7892105263157898</v>
      </c>
      <c r="BH625">
        <v>2.7892105263157889</v>
      </c>
      <c r="BI625">
        <v>6.8067693701752354</v>
      </c>
      <c r="BJ625" s="64"/>
      <c r="BK625" s="64"/>
      <c r="BL625" s="64"/>
      <c r="BM625">
        <v>6.4934537869010808E-2</v>
      </c>
      <c r="BQ625">
        <v>0.12986907573802159</v>
      </c>
      <c r="BR625">
        <v>6.4934537869010808E-2</v>
      </c>
      <c r="BS625">
        <v>0</v>
      </c>
      <c r="BT625" s="68" t="s">
        <v>1264</v>
      </c>
      <c r="BU625" s="68">
        <v>1573</v>
      </c>
      <c r="BV625" s="68">
        <v>10</v>
      </c>
      <c r="CD625" s="68" t="s">
        <v>464</v>
      </c>
      <c r="CE625" s="68" t="s">
        <v>464</v>
      </c>
    </row>
    <row r="626" spans="1:89" x14ac:dyDescent="0.3">
      <c r="A626" t="s">
        <v>2738</v>
      </c>
      <c r="B626" t="s">
        <v>4</v>
      </c>
      <c r="C626" t="s">
        <v>4194</v>
      </c>
      <c r="D626" s="12"/>
      <c r="E626">
        <v>3.3</v>
      </c>
      <c r="F626" t="s">
        <v>269</v>
      </c>
      <c r="G626" s="106" t="s">
        <v>2511</v>
      </c>
      <c r="H626">
        <v>-1</v>
      </c>
      <c r="J626" t="s">
        <v>2514</v>
      </c>
      <c r="M626" t="b">
        <v>1</v>
      </c>
      <c r="N626" t="b">
        <v>0</v>
      </c>
      <c r="O626" t="b">
        <v>0</v>
      </c>
      <c r="P626" t="b">
        <v>0</v>
      </c>
      <c r="Q626" t="s">
        <v>2191</v>
      </c>
      <c r="R626">
        <v>-1</v>
      </c>
      <c r="T626">
        <v>1</v>
      </c>
      <c r="U626" s="20">
        <v>0</v>
      </c>
      <c r="V626">
        <v>0</v>
      </c>
      <c r="W626">
        <v>0</v>
      </c>
      <c r="X626">
        <v>3.9</v>
      </c>
      <c r="Y626">
        <v>3.9</v>
      </c>
      <c r="Z626">
        <v>22.01</v>
      </c>
      <c r="AA626" t="s">
        <v>519</v>
      </c>
      <c r="AB626">
        <v>22.01</v>
      </c>
      <c r="AC626" s="20">
        <v>0</v>
      </c>
      <c r="AD626" s="20"/>
      <c r="AE626" s="20"/>
      <c r="AF626">
        <v>0</v>
      </c>
      <c r="AI626">
        <v>0</v>
      </c>
      <c r="AM626">
        <v>40</v>
      </c>
      <c r="AN626" s="44">
        <f t="shared" si="135"/>
        <v>334.77210000000002</v>
      </c>
      <c r="AO626" s="46">
        <v>0</v>
      </c>
      <c r="AP626" s="44">
        <v>0</v>
      </c>
      <c r="AQ626" s="44">
        <v>0</v>
      </c>
      <c r="AR626" s="41">
        <f t="shared" si="165"/>
        <v>0.11948427004520387</v>
      </c>
      <c r="AS626" s="40"/>
      <c r="AT626" s="41"/>
      <c r="AU626" s="41"/>
      <c r="AV626" s="23">
        <v>1.658536585365854</v>
      </c>
      <c r="AW626" s="23">
        <v>2.219512195121951</v>
      </c>
      <c r="AX626" s="23">
        <v>0.29268292682926828</v>
      </c>
      <c r="AY626" s="23">
        <v>0</v>
      </c>
      <c r="AZ626" s="23">
        <v>0.39766081871345033</v>
      </c>
      <c r="BA626" s="23">
        <v>0.53216374269005851</v>
      </c>
      <c r="BB626" s="23">
        <v>7.0175438596491224E-2</v>
      </c>
      <c r="BC626" s="23">
        <v>0</v>
      </c>
      <c r="BD626" s="20">
        <v>0.95</v>
      </c>
      <c r="BE626" s="20">
        <v>3.44</v>
      </c>
      <c r="BF626" s="20">
        <v>2.4900000000000002</v>
      </c>
      <c r="BG626" s="20">
        <v>2.7546341463414641</v>
      </c>
      <c r="BH626">
        <v>2.7546341463414632</v>
      </c>
      <c r="BI626">
        <v>6.8114992554234393</v>
      </c>
      <c r="BJ626" s="64"/>
      <c r="BK626" s="64"/>
      <c r="BL626" s="64"/>
      <c r="BM626">
        <v>5.9742135022601943E-2</v>
      </c>
      <c r="BQ626">
        <v>0.1194842700452039</v>
      </c>
      <c r="BR626">
        <v>5.9742135022601943E-2</v>
      </c>
      <c r="BS626">
        <v>0</v>
      </c>
      <c r="BT626" s="68" t="s">
        <v>1264</v>
      </c>
      <c r="BU626" s="68">
        <v>1573</v>
      </c>
      <c r="BV626" s="68">
        <v>10</v>
      </c>
      <c r="CD626" s="68" t="s">
        <v>464</v>
      </c>
      <c r="CE626" s="68" t="s">
        <v>464</v>
      </c>
    </row>
    <row r="627" spans="1:89" x14ac:dyDescent="0.3">
      <c r="A627" t="s">
        <v>2557</v>
      </c>
      <c r="B627" t="s">
        <v>4</v>
      </c>
      <c r="C627" t="s">
        <v>4195</v>
      </c>
      <c r="D627" s="12"/>
      <c r="E627">
        <v>3.3</v>
      </c>
      <c r="F627" t="s">
        <v>269</v>
      </c>
      <c r="G627" s="106" t="s">
        <v>2512</v>
      </c>
      <c r="H627">
        <v>-1</v>
      </c>
      <c r="J627" t="s">
        <v>2514</v>
      </c>
      <c r="M627" t="b">
        <v>1</v>
      </c>
      <c r="N627" t="b">
        <v>0</v>
      </c>
      <c r="O627" t="b">
        <v>0</v>
      </c>
      <c r="P627" t="b">
        <v>0</v>
      </c>
      <c r="Q627" t="s">
        <v>2192</v>
      </c>
      <c r="R627">
        <v>-1</v>
      </c>
      <c r="T627">
        <v>1</v>
      </c>
      <c r="U627" s="20">
        <v>0</v>
      </c>
      <c r="V627">
        <v>0</v>
      </c>
      <c r="W627">
        <v>0</v>
      </c>
      <c r="X627">
        <v>3.9</v>
      </c>
      <c r="Y627">
        <v>3.9</v>
      </c>
      <c r="Z627">
        <v>25.65</v>
      </c>
      <c r="AA627" t="s">
        <v>519</v>
      </c>
      <c r="AB627">
        <v>25.65</v>
      </c>
      <c r="AC627" s="20">
        <v>0</v>
      </c>
      <c r="AD627" s="20"/>
      <c r="AE627" s="20"/>
      <c r="AF627">
        <v>0</v>
      </c>
      <c r="AI627">
        <v>0</v>
      </c>
      <c r="AM627">
        <v>40</v>
      </c>
      <c r="AN627" s="44">
        <f t="shared" si="135"/>
        <v>390.13649999999996</v>
      </c>
      <c r="AO627" s="46">
        <v>0</v>
      </c>
      <c r="AP627" s="44">
        <v>0</v>
      </c>
      <c r="AQ627" s="44">
        <v>0</v>
      </c>
      <c r="AR627" s="41">
        <f t="shared" si="165"/>
        <v>0.1025282176879118</v>
      </c>
      <c r="AS627" s="40"/>
      <c r="AT627" s="41"/>
      <c r="AU627" s="41"/>
      <c r="AV627" s="23">
        <v>1.617021276595745</v>
      </c>
      <c r="AW627" s="23">
        <v>2.021276595744681</v>
      </c>
      <c r="AX627" s="23">
        <v>0.25531914893617019</v>
      </c>
      <c r="AY627" s="23">
        <v>0</v>
      </c>
      <c r="AZ627" s="23">
        <v>0.41530054644808739</v>
      </c>
      <c r="BA627" s="23">
        <v>0.51912568306010931</v>
      </c>
      <c r="BB627" s="23">
        <v>6.5573770491803268E-2</v>
      </c>
      <c r="BC627" s="23">
        <v>0</v>
      </c>
      <c r="BD627" s="20">
        <v>0.95</v>
      </c>
      <c r="BE627" s="20">
        <v>3.44</v>
      </c>
      <c r="BF627" s="20">
        <v>2.4900000000000002</v>
      </c>
      <c r="BG627" s="20">
        <v>2.6987234042553192</v>
      </c>
      <c r="BH627">
        <v>2.6987234042553192</v>
      </c>
      <c r="BI627">
        <v>6.8191475805056392</v>
      </c>
      <c r="BJ627" s="64"/>
      <c r="BK627" s="64"/>
      <c r="BL627" s="64"/>
      <c r="BM627">
        <v>5.1264108843955901E-2</v>
      </c>
      <c r="BQ627">
        <v>0.1025282176879118</v>
      </c>
      <c r="BR627">
        <v>5.1264108843955901E-2</v>
      </c>
      <c r="BS627">
        <v>0</v>
      </c>
      <c r="BT627" s="68" t="s">
        <v>1264</v>
      </c>
      <c r="BU627" s="68">
        <v>1573</v>
      </c>
      <c r="BV627" s="68">
        <v>10</v>
      </c>
      <c r="CD627" s="68" t="s">
        <v>464</v>
      </c>
      <c r="CE627" s="68" t="s">
        <v>464</v>
      </c>
    </row>
    <row r="628" spans="1:89" x14ac:dyDescent="0.3">
      <c r="A628" t="s">
        <v>2558</v>
      </c>
      <c r="B628" t="s">
        <v>4</v>
      </c>
      <c r="C628" t="s">
        <v>4196</v>
      </c>
      <c r="D628" s="12"/>
      <c r="E628">
        <v>3.34</v>
      </c>
      <c r="F628" t="s">
        <v>269</v>
      </c>
      <c r="G628" s="106" t="s">
        <v>2513</v>
      </c>
      <c r="H628">
        <v>-1</v>
      </c>
      <c r="J628" t="s">
        <v>2514</v>
      </c>
      <c r="M628" t="b">
        <v>1</v>
      </c>
      <c r="N628" t="b">
        <v>0</v>
      </c>
      <c r="O628" t="b">
        <v>0</v>
      </c>
      <c r="P628" t="b">
        <v>0</v>
      </c>
      <c r="Q628" t="s">
        <v>2193</v>
      </c>
      <c r="R628">
        <v>-1</v>
      </c>
      <c r="T628">
        <v>1</v>
      </c>
      <c r="U628" s="20">
        <v>0</v>
      </c>
      <c r="V628">
        <v>0</v>
      </c>
      <c r="W628">
        <v>0</v>
      </c>
      <c r="X628">
        <v>3.89</v>
      </c>
      <c r="Y628">
        <v>3.89</v>
      </c>
      <c r="Z628">
        <v>33.799999999999997</v>
      </c>
      <c r="AA628" t="s">
        <v>519</v>
      </c>
      <c r="AB628">
        <v>33.799999999999997</v>
      </c>
      <c r="AC628" s="20">
        <v>0</v>
      </c>
      <c r="AD628" s="20"/>
      <c r="AE628" s="20"/>
      <c r="AF628">
        <v>0</v>
      </c>
      <c r="AI628">
        <v>0</v>
      </c>
      <c r="AM628">
        <v>40</v>
      </c>
      <c r="AN628" s="44">
        <f t="shared" si="135"/>
        <v>511.46498000000003</v>
      </c>
      <c r="AO628" s="46">
        <v>0</v>
      </c>
      <c r="AP628" s="44">
        <v>0</v>
      </c>
      <c r="AQ628" s="44">
        <v>0</v>
      </c>
      <c r="AR628" s="41">
        <f t="shared" si="165"/>
        <v>7.8206722970554116E-2</v>
      </c>
      <c r="AS628" s="40"/>
      <c r="AT628" s="41"/>
      <c r="AU628" s="41"/>
      <c r="AV628" s="23">
        <v>1.584905660377359</v>
      </c>
      <c r="AW628" s="23">
        <v>1.867924528301887</v>
      </c>
      <c r="AX628" s="23">
        <v>0.22641509433962259</v>
      </c>
      <c r="AY628" s="23">
        <v>0</v>
      </c>
      <c r="AZ628" s="23">
        <v>0.43076923076923079</v>
      </c>
      <c r="BA628" s="23">
        <v>0.50769230769230778</v>
      </c>
      <c r="BB628" s="23">
        <v>6.1538461538461542E-2</v>
      </c>
      <c r="BC628" s="23">
        <v>0</v>
      </c>
      <c r="BD628" s="20">
        <v>0.95</v>
      </c>
      <c r="BE628" s="20">
        <v>3.44</v>
      </c>
      <c r="BF628" s="20">
        <v>2.4900000000000002</v>
      </c>
      <c r="BG628" s="20">
        <v>2.655471698113208</v>
      </c>
      <c r="BH628">
        <v>2.655471698113208</v>
      </c>
      <c r="BI628">
        <v>6.8250642093428109</v>
      </c>
      <c r="BJ628" s="64"/>
      <c r="BK628" s="64"/>
      <c r="BL628" s="64"/>
      <c r="BM628">
        <v>3.9103361485277058E-2</v>
      </c>
      <c r="BQ628">
        <v>7.8206722970554116E-2</v>
      </c>
      <c r="BR628">
        <v>3.9103361485277058E-2</v>
      </c>
      <c r="BS628">
        <v>0</v>
      </c>
      <c r="BT628" s="68" t="s">
        <v>1264</v>
      </c>
      <c r="BU628" s="68">
        <v>1573</v>
      </c>
      <c r="BV628" s="68">
        <v>10</v>
      </c>
      <c r="CD628" s="68" t="s">
        <v>464</v>
      </c>
      <c r="CE628" s="68" t="s">
        <v>464</v>
      </c>
    </row>
    <row r="629" spans="1:89" x14ac:dyDescent="0.3">
      <c r="A629" t="s">
        <v>282</v>
      </c>
      <c r="B629" t="s">
        <v>2776</v>
      </c>
      <c r="C629" t="s">
        <v>4197</v>
      </c>
      <c r="D629" s="12"/>
      <c r="E629">
        <v>3.5</v>
      </c>
      <c r="F629" t="s">
        <v>283</v>
      </c>
      <c r="G629" s="98" t="s">
        <v>597</v>
      </c>
      <c r="H629">
        <v>-1</v>
      </c>
      <c r="M629" t="b">
        <v>1</v>
      </c>
      <c r="N629" t="b">
        <v>0</v>
      </c>
      <c r="O629" t="b">
        <v>0</v>
      </c>
      <c r="P629" t="b">
        <v>0</v>
      </c>
      <c r="Q629" t="s">
        <v>597</v>
      </c>
      <c r="R629">
        <v>-1</v>
      </c>
      <c r="U629" s="20">
        <v>1</v>
      </c>
      <c r="V629">
        <v>0</v>
      </c>
      <c r="W629">
        <v>0</v>
      </c>
      <c r="AC629" s="20">
        <v>13.656835900000001</v>
      </c>
      <c r="AD629" s="20">
        <v>13.656835900000001</v>
      </c>
      <c r="AE629" s="20">
        <v>13.656835900000001</v>
      </c>
      <c r="AF629">
        <v>0</v>
      </c>
      <c r="AI629">
        <v>0</v>
      </c>
      <c r="AM629">
        <v>20</v>
      </c>
      <c r="AN629" s="44">
        <f t="shared" si="135"/>
        <v>0</v>
      </c>
      <c r="AO629" s="46">
        <v>201.0880346354428</v>
      </c>
      <c r="AP629" s="44">
        <v>0</v>
      </c>
      <c r="AQ629" s="44">
        <v>0</v>
      </c>
      <c r="AR629" s="41"/>
      <c r="AS629" s="40">
        <v>9.9458926217357829E-2</v>
      </c>
      <c r="AT629" s="41"/>
      <c r="AU629" s="41"/>
      <c r="AV629" s="23">
        <v>1.882352941176471</v>
      </c>
      <c r="AW629" s="23">
        <v>2.3529411764705879</v>
      </c>
      <c r="AX629" s="23">
        <v>0.47058823529411759</v>
      </c>
      <c r="AY629" s="23">
        <v>0</v>
      </c>
      <c r="AZ629" s="23">
        <v>0.4</v>
      </c>
      <c r="BA629" s="23">
        <v>0.5</v>
      </c>
      <c r="BB629" s="23">
        <v>9.9999999999999992E-2</v>
      </c>
      <c r="BC629" s="23">
        <v>0</v>
      </c>
      <c r="BD629" s="20">
        <v>0.98</v>
      </c>
      <c r="BE629" s="20">
        <v>3.44</v>
      </c>
      <c r="BF629" s="20">
        <v>2.46</v>
      </c>
      <c r="BG629" s="20">
        <v>2.54</v>
      </c>
      <c r="BH629">
        <v>2.54</v>
      </c>
      <c r="BI629">
        <v>5.758559377411764</v>
      </c>
      <c r="BJ629" s="64">
        <v>0.53996993008785332</v>
      </c>
      <c r="BK629" s="64"/>
      <c r="BL629" s="64"/>
      <c r="BN629">
        <v>4.9729463108678908E-2</v>
      </c>
      <c r="BQ629">
        <v>9.9458926217357829E-2</v>
      </c>
      <c r="BR629">
        <v>4.9729463108678908E-2</v>
      </c>
      <c r="BS629">
        <v>0.53996993008785332</v>
      </c>
      <c r="BT629" s="68" t="s">
        <v>1264</v>
      </c>
      <c r="BU629" s="68">
        <f>1173</f>
        <v>1173</v>
      </c>
      <c r="BV629" s="68">
        <v>6</v>
      </c>
      <c r="BX629" s="68" t="s">
        <v>464</v>
      </c>
      <c r="BY629" s="68" t="s">
        <v>464</v>
      </c>
      <c r="BZ629" s="68">
        <v>0</v>
      </c>
      <c r="CB629" s="68">
        <v>1</v>
      </c>
      <c r="CC629" s="68">
        <v>1</v>
      </c>
      <c r="CD629" s="68" t="s">
        <v>464</v>
      </c>
      <c r="CE629" s="68" t="s">
        <v>464</v>
      </c>
      <c r="CF629" s="68" t="s">
        <v>1266</v>
      </c>
      <c r="CG629" s="68">
        <v>125</v>
      </c>
      <c r="CH629" s="68">
        <v>220</v>
      </c>
      <c r="CI629" s="68" t="s">
        <v>1287</v>
      </c>
      <c r="CJ629" s="68">
        <f t="shared" ref="CJ629:CJ634" si="166">273+15</f>
        <v>288</v>
      </c>
      <c r="CK629" s="70">
        <v>20</v>
      </c>
    </row>
    <row r="630" spans="1:89" x14ac:dyDescent="0.3">
      <c r="A630" t="s">
        <v>284</v>
      </c>
      <c r="B630" t="s">
        <v>2776</v>
      </c>
      <c r="C630" t="s">
        <v>4198</v>
      </c>
      <c r="D630" s="12"/>
      <c r="E630">
        <v>3.3</v>
      </c>
      <c r="F630" t="s">
        <v>283</v>
      </c>
      <c r="G630" s="8" t="s">
        <v>598</v>
      </c>
      <c r="H630" t="s">
        <v>670</v>
      </c>
      <c r="I630" t="s">
        <v>1506</v>
      </c>
      <c r="M630" t="b">
        <v>1</v>
      </c>
      <c r="N630" t="b">
        <v>1</v>
      </c>
      <c r="O630" t="b">
        <v>0</v>
      </c>
      <c r="P630" t="b">
        <v>0</v>
      </c>
      <c r="Q630" t="s">
        <v>598</v>
      </c>
      <c r="R630" t="s">
        <v>670</v>
      </c>
      <c r="S630" t="s">
        <v>1506</v>
      </c>
      <c r="T630">
        <v>2</v>
      </c>
      <c r="U630" s="20">
        <v>1</v>
      </c>
      <c r="V630">
        <v>2</v>
      </c>
      <c r="W630">
        <v>0</v>
      </c>
      <c r="X630">
        <v>3.8</v>
      </c>
      <c r="Y630">
        <v>3.8</v>
      </c>
      <c r="Z630">
        <v>28.5</v>
      </c>
      <c r="AB630">
        <v>14.25</v>
      </c>
      <c r="AC630" s="20">
        <v>14.696413339999999</v>
      </c>
      <c r="AD630" s="20">
        <v>14.696413339999999</v>
      </c>
      <c r="AE630" s="20">
        <v>14.696413339999999</v>
      </c>
      <c r="AF630">
        <v>3.83528</v>
      </c>
      <c r="AG630">
        <v>3.83528</v>
      </c>
      <c r="AH630">
        <v>28.573699999999999</v>
      </c>
      <c r="AI630">
        <v>0</v>
      </c>
      <c r="AM630">
        <v>20</v>
      </c>
      <c r="AN630" s="44">
        <f t="shared" si="135"/>
        <v>411.53999999999996</v>
      </c>
      <c r="AO630" s="46">
        <v>216.40687730768099</v>
      </c>
      <c r="AP630" s="44">
        <v>420.30120210079798</v>
      </c>
      <c r="AQ630" s="44">
        <v>0</v>
      </c>
      <c r="AR630" s="41"/>
      <c r="AS630" s="40">
        <v>9.2418504665009241E-2</v>
      </c>
      <c r="AT630" s="41">
        <v>9.516984438794697E-2</v>
      </c>
      <c r="AU630" s="41"/>
      <c r="AV630" s="23">
        <v>1.882352941176471</v>
      </c>
      <c r="AW630" s="23">
        <v>2.3529411764705879</v>
      </c>
      <c r="AX630" s="23">
        <v>0.47058823529411759</v>
      </c>
      <c r="AY630" s="23">
        <v>0</v>
      </c>
      <c r="AZ630" s="23">
        <v>0.4</v>
      </c>
      <c r="BA630" s="23">
        <v>0.5</v>
      </c>
      <c r="BB630" s="23">
        <v>9.9999999999999992E-2</v>
      </c>
      <c r="BC630" s="23">
        <v>0</v>
      </c>
      <c r="BD630" s="20">
        <v>0.93</v>
      </c>
      <c r="BE630" s="20">
        <v>3.44</v>
      </c>
      <c r="BF630" s="20">
        <v>2.5099999999999998</v>
      </c>
      <c r="BG630" s="20">
        <v>2.534117647058824</v>
      </c>
      <c r="BH630">
        <v>2.534117647058824</v>
      </c>
      <c r="BI630">
        <v>5.7395734358823516</v>
      </c>
      <c r="BJ630" s="64">
        <v>0.5339514578906801</v>
      </c>
      <c r="BK630" s="64">
        <v>0.54984742874132453</v>
      </c>
      <c r="BL630" s="64"/>
      <c r="BN630">
        <v>4.6209252332504627E-2</v>
      </c>
      <c r="BO630">
        <v>4.7584922193973492E-2</v>
      </c>
      <c r="BQ630">
        <v>9.3794174526478105E-2</v>
      </c>
      <c r="BR630">
        <v>4.689708726323906E-2</v>
      </c>
      <c r="BS630">
        <v>0.54189944331600226</v>
      </c>
      <c r="BT630" s="68" t="s">
        <v>1264</v>
      </c>
      <c r="BU630" s="68">
        <f>1173</f>
        <v>1173</v>
      </c>
      <c r="BV630" s="68">
        <v>6</v>
      </c>
      <c r="BX630" s="68" t="s">
        <v>464</v>
      </c>
      <c r="BY630" s="68" t="s">
        <v>464</v>
      </c>
      <c r="BZ630" s="68">
        <v>0</v>
      </c>
      <c r="CB630" s="68">
        <v>1</v>
      </c>
      <c r="CC630" s="68">
        <v>1</v>
      </c>
      <c r="CD630" s="68" t="s">
        <v>464</v>
      </c>
      <c r="CE630" s="68" t="s">
        <v>464</v>
      </c>
      <c r="CF630" s="68" t="s">
        <v>1266</v>
      </c>
      <c r="CG630" s="68">
        <v>125</v>
      </c>
      <c r="CH630" s="68">
        <v>220</v>
      </c>
      <c r="CI630" s="68" t="s">
        <v>1287</v>
      </c>
      <c r="CJ630" s="68">
        <f t="shared" si="166"/>
        <v>288</v>
      </c>
      <c r="CK630" s="70">
        <v>100</v>
      </c>
    </row>
    <row r="631" spans="1:89" x14ac:dyDescent="0.3">
      <c r="A631" t="s">
        <v>44</v>
      </c>
      <c r="B631" t="s">
        <v>2776</v>
      </c>
      <c r="C631" t="s">
        <v>3997</v>
      </c>
      <c r="D631" s="12"/>
      <c r="E631">
        <v>3.2</v>
      </c>
      <c r="F631" t="s">
        <v>283</v>
      </c>
      <c r="G631" s="8" t="s">
        <v>549</v>
      </c>
      <c r="H631">
        <v>-1</v>
      </c>
      <c r="I631" t="s">
        <v>1505</v>
      </c>
      <c r="M631" t="b">
        <v>1</v>
      </c>
      <c r="N631" t="b">
        <v>0</v>
      </c>
      <c r="O631" t="b">
        <v>0</v>
      </c>
      <c r="P631" t="b">
        <v>0</v>
      </c>
      <c r="Q631" t="s">
        <v>549</v>
      </c>
      <c r="R631">
        <v>-1</v>
      </c>
      <c r="S631" t="s">
        <v>1505</v>
      </c>
      <c r="U631" s="20">
        <v>1</v>
      </c>
      <c r="V631">
        <v>0</v>
      </c>
      <c r="W631">
        <v>0</v>
      </c>
      <c r="AC631" s="20">
        <v>15.28115725</v>
      </c>
      <c r="AD631" s="20">
        <v>15.28115725</v>
      </c>
      <c r="AE631" s="20">
        <v>15.28115725</v>
      </c>
      <c r="AF631">
        <v>0</v>
      </c>
      <c r="AI631">
        <v>0</v>
      </c>
      <c r="AM631">
        <v>20</v>
      </c>
      <c r="AN631" s="44">
        <f t="shared" si="135"/>
        <v>0</v>
      </c>
      <c r="AO631" s="46">
        <v>229.90248606119221</v>
      </c>
      <c r="AP631" s="44">
        <v>0</v>
      </c>
      <c r="AQ631" s="44">
        <v>0</v>
      </c>
      <c r="AR631" s="41"/>
      <c r="AS631" s="40">
        <v>8.6993404650164072E-2</v>
      </c>
      <c r="AT631" s="41"/>
      <c r="AU631" s="41"/>
      <c r="AV631" s="23">
        <v>1.882352941176471</v>
      </c>
      <c r="AW631" s="23">
        <v>2.3529411764705879</v>
      </c>
      <c r="AX631" s="23">
        <v>0.47058823529411759</v>
      </c>
      <c r="AY631" s="23">
        <v>0</v>
      </c>
      <c r="AZ631" s="23">
        <v>0.4</v>
      </c>
      <c r="BA631" s="23">
        <v>0.5</v>
      </c>
      <c r="BB631" s="23">
        <v>9.9999999999999992E-2</v>
      </c>
      <c r="BC631" s="23">
        <v>0</v>
      </c>
      <c r="BD631" s="20">
        <v>0.82</v>
      </c>
      <c r="BE631" s="20">
        <v>3.44</v>
      </c>
      <c r="BF631" s="20">
        <v>2.62</v>
      </c>
      <c r="BG631" s="20">
        <v>2.5211764705882351</v>
      </c>
      <c r="BH631">
        <v>2.521176470588236</v>
      </c>
      <c r="BI631">
        <v>5.6898745917647062</v>
      </c>
      <c r="BJ631" s="64">
        <v>0.57369840599679445</v>
      </c>
      <c r="BK631" s="64"/>
      <c r="BL631" s="64"/>
      <c r="BN631">
        <v>4.3496702325082043E-2</v>
      </c>
      <c r="BQ631">
        <v>8.6993404650164072E-2</v>
      </c>
      <c r="BR631">
        <v>4.3496702325082043E-2</v>
      </c>
      <c r="BS631">
        <v>0.57369840599679445</v>
      </c>
      <c r="BT631" s="68" t="s">
        <v>1264</v>
      </c>
      <c r="BU631" s="68">
        <f>1173</f>
        <v>1173</v>
      </c>
      <c r="BV631" s="68">
        <v>6</v>
      </c>
      <c r="BX631" s="68" t="s">
        <v>464</v>
      </c>
      <c r="BY631" s="68" t="s">
        <v>464</v>
      </c>
      <c r="BZ631" s="68">
        <v>0</v>
      </c>
      <c r="CB631" s="68">
        <v>1</v>
      </c>
      <c r="CC631" s="68">
        <v>1</v>
      </c>
      <c r="CD631" s="68" t="s">
        <v>464</v>
      </c>
      <c r="CE631" s="68" t="s">
        <v>464</v>
      </c>
      <c r="CF631" s="68" t="s">
        <v>1266</v>
      </c>
      <c r="CG631" s="68">
        <v>125</v>
      </c>
      <c r="CH631" s="68">
        <v>220</v>
      </c>
      <c r="CI631" s="68" t="s">
        <v>1287</v>
      </c>
      <c r="CJ631" s="68">
        <f t="shared" si="166"/>
        <v>288</v>
      </c>
      <c r="CK631" s="70">
        <v>3500</v>
      </c>
    </row>
    <row r="632" spans="1:89" x14ac:dyDescent="0.3">
      <c r="A632" s="4" t="s">
        <v>285</v>
      </c>
      <c r="B632" t="s">
        <v>2776</v>
      </c>
      <c r="C632" t="s">
        <v>4199</v>
      </c>
      <c r="D632" s="12"/>
      <c r="E632" s="4">
        <v>3.6</v>
      </c>
      <c r="F632" s="4" t="s">
        <v>283</v>
      </c>
      <c r="G632" s="8" t="s">
        <v>549</v>
      </c>
      <c r="H632" s="4">
        <v>-1</v>
      </c>
      <c r="I632" s="4"/>
      <c r="J632" s="4" t="s">
        <v>2244</v>
      </c>
      <c r="K632" s="4"/>
      <c r="L632" s="4"/>
      <c r="M632" t="b">
        <v>1</v>
      </c>
      <c r="N632" t="b">
        <v>0</v>
      </c>
      <c r="O632" t="b">
        <v>0</v>
      </c>
      <c r="P632" t="b">
        <v>0</v>
      </c>
      <c r="Q632" t="s">
        <v>2205</v>
      </c>
      <c r="R632">
        <v>-1</v>
      </c>
      <c r="T632" s="4"/>
      <c r="U632" s="31">
        <v>0</v>
      </c>
      <c r="V632">
        <v>0</v>
      </c>
      <c r="W632">
        <v>0</v>
      </c>
      <c r="X632" s="4">
        <v>-1</v>
      </c>
      <c r="Y632" s="4"/>
      <c r="Z632" s="4"/>
      <c r="AA632" s="4"/>
      <c r="AB632" s="4"/>
      <c r="AC632" s="31">
        <v>0</v>
      </c>
      <c r="AD632" s="31"/>
      <c r="AE632" s="31"/>
      <c r="AF632">
        <v>0</v>
      </c>
      <c r="AI632">
        <v>0</v>
      </c>
      <c r="AL632" s="4"/>
      <c r="AM632" s="4">
        <v>20</v>
      </c>
      <c r="AN632" s="44">
        <f t="shared" si="135"/>
        <v>0</v>
      </c>
      <c r="AO632" s="46">
        <v>0</v>
      </c>
      <c r="AP632" s="44">
        <v>0</v>
      </c>
      <c r="AQ632" s="44">
        <v>0</v>
      </c>
      <c r="AR632" s="41"/>
      <c r="AS632" s="40"/>
      <c r="AT632" s="41"/>
      <c r="AU632" s="41"/>
      <c r="AV632" s="4">
        <v>1.882352941176471</v>
      </c>
      <c r="AW632" s="4">
        <v>2.3529411764705879</v>
      </c>
      <c r="AX632" s="4">
        <v>0.35294117647058831</v>
      </c>
      <c r="AY632" s="4">
        <v>0.47058823529411759</v>
      </c>
      <c r="AZ632" s="4">
        <v>0.37209302325581389</v>
      </c>
      <c r="BA632" s="4">
        <v>0.46511627906976749</v>
      </c>
      <c r="BB632" s="4">
        <v>6.9767441860465129E-2</v>
      </c>
      <c r="BC632" s="4">
        <v>9.3023255813953487E-2</v>
      </c>
      <c r="BD632" s="31">
        <v>0.98</v>
      </c>
      <c r="BE632" s="31">
        <v>3.44</v>
      </c>
      <c r="BF632" s="31">
        <v>2.46</v>
      </c>
      <c r="BG632" s="31">
        <v>2.5447058823529409</v>
      </c>
      <c r="BH632" s="4">
        <v>2.5447058823529409</v>
      </c>
      <c r="BI632" s="4">
        <v>5.7284445009411762</v>
      </c>
      <c r="BJ632" s="64"/>
      <c r="BK632" s="64"/>
      <c r="BL632" s="64"/>
      <c r="BQ632">
        <v>0</v>
      </c>
      <c r="BR632">
        <v>0</v>
      </c>
      <c r="BS632">
        <v>0</v>
      </c>
      <c r="BT632" s="68" t="s">
        <v>1264</v>
      </c>
      <c r="BU632" s="68">
        <f>1173</f>
        <v>1173</v>
      </c>
      <c r="BV632" s="68">
        <v>6</v>
      </c>
      <c r="BX632" s="68" t="s">
        <v>464</v>
      </c>
      <c r="BY632" s="68" t="s">
        <v>464</v>
      </c>
      <c r="BZ632" s="68">
        <v>0</v>
      </c>
      <c r="CB632" s="68">
        <v>1</v>
      </c>
      <c r="CC632" s="68">
        <v>1</v>
      </c>
      <c r="CD632" s="68" t="s">
        <v>464</v>
      </c>
      <c r="CE632" s="68" t="s">
        <v>464</v>
      </c>
      <c r="CF632" s="68" t="s">
        <v>1266</v>
      </c>
      <c r="CG632" s="68">
        <v>125</v>
      </c>
      <c r="CH632" s="68">
        <v>220</v>
      </c>
      <c r="CI632" s="68" t="s">
        <v>1287</v>
      </c>
      <c r="CJ632" s="68">
        <f t="shared" si="166"/>
        <v>288</v>
      </c>
      <c r="CK632" s="70">
        <v>20</v>
      </c>
    </row>
    <row r="633" spans="1:89" x14ac:dyDescent="0.3">
      <c r="A633" t="s">
        <v>286</v>
      </c>
      <c r="B633" t="s">
        <v>2776</v>
      </c>
      <c r="C633" t="s">
        <v>4200</v>
      </c>
      <c r="D633" s="29"/>
      <c r="E633">
        <v>3.4</v>
      </c>
      <c r="F633" t="s">
        <v>283</v>
      </c>
      <c r="G633" s="8" t="s">
        <v>599</v>
      </c>
      <c r="H633">
        <v>-1</v>
      </c>
      <c r="M633" t="b">
        <v>1</v>
      </c>
      <c r="N633" t="b">
        <v>0</v>
      </c>
      <c r="O633" t="b">
        <v>0</v>
      </c>
      <c r="P633" t="b">
        <v>0</v>
      </c>
      <c r="Q633" t="s">
        <v>599</v>
      </c>
      <c r="R633">
        <v>-1</v>
      </c>
      <c r="U633" s="20">
        <v>1</v>
      </c>
      <c r="V633">
        <v>0</v>
      </c>
      <c r="W633">
        <v>0</v>
      </c>
      <c r="AC633" s="20">
        <v>14.64115209</v>
      </c>
      <c r="AD633" s="20">
        <v>14.64115209</v>
      </c>
      <c r="AE633" s="20">
        <v>14.64115209</v>
      </c>
      <c r="AF633">
        <v>0</v>
      </c>
      <c r="AI633">
        <v>0</v>
      </c>
      <c r="AM633">
        <v>20</v>
      </c>
      <c r="AN633" s="44">
        <f t="shared" si="135"/>
        <v>0</v>
      </c>
      <c r="AO633" s="46">
        <v>213.3423200442661</v>
      </c>
      <c r="AP633" s="44">
        <v>0</v>
      </c>
      <c r="AQ633" s="44">
        <v>0</v>
      </c>
      <c r="AR633" s="41"/>
      <c r="AS633" s="40">
        <v>9.374605092815258E-2</v>
      </c>
      <c r="AT633" s="41"/>
      <c r="AU633" s="41"/>
      <c r="AV633" s="23">
        <v>1.882352941176471</v>
      </c>
      <c r="AW633" s="23">
        <v>2.3529411764705879</v>
      </c>
      <c r="AX633" s="23">
        <v>0.35294117647058831</v>
      </c>
      <c r="AY633" s="23">
        <v>0.47058823529411759</v>
      </c>
      <c r="AZ633" s="23">
        <v>0.37209302325581389</v>
      </c>
      <c r="BA633" s="23">
        <v>0.46511627906976749</v>
      </c>
      <c r="BB633" s="23">
        <v>6.9767441860465129E-2</v>
      </c>
      <c r="BC633" s="23">
        <v>9.3023255813953487E-2</v>
      </c>
      <c r="BD633" s="20">
        <v>0.93</v>
      </c>
      <c r="BE633" s="20">
        <v>3.44</v>
      </c>
      <c r="BF633" s="20">
        <v>2.5099999999999998</v>
      </c>
      <c r="BG633" s="20">
        <v>2.538823529411764</v>
      </c>
      <c r="BH633">
        <v>2.5388235294117649</v>
      </c>
      <c r="BI633">
        <v>5.7094585594117646</v>
      </c>
      <c r="BJ633" s="64">
        <v>0.53401936473899148</v>
      </c>
      <c r="BK633" s="64"/>
      <c r="BL633" s="64"/>
      <c r="BN633">
        <v>4.6873025464076297E-2</v>
      </c>
      <c r="BQ633">
        <v>9.374605092815258E-2</v>
      </c>
      <c r="BR633">
        <v>4.6873025464076297E-2</v>
      </c>
      <c r="BS633">
        <v>0.53401936473899148</v>
      </c>
      <c r="BT633" s="68" t="s">
        <v>1264</v>
      </c>
      <c r="BU633" s="68">
        <f>1173</f>
        <v>1173</v>
      </c>
      <c r="BV633" s="68">
        <v>6</v>
      </c>
      <c r="BX633" s="68" t="s">
        <v>464</v>
      </c>
      <c r="BY633" s="68" t="s">
        <v>464</v>
      </c>
      <c r="BZ633" s="68">
        <v>0</v>
      </c>
      <c r="CB633" s="68">
        <v>1</v>
      </c>
      <c r="CC633" s="68">
        <v>1</v>
      </c>
      <c r="CD633" s="68" t="s">
        <v>464</v>
      </c>
      <c r="CE633" s="68" t="s">
        <v>464</v>
      </c>
      <c r="CF633" s="68" t="s">
        <v>1266</v>
      </c>
      <c r="CG633" s="68">
        <v>125</v>
      </c>
      <c r="CH633" s="68">
        <v>220</v>
      </c>
      <c r="CI633" s="68" t="s">
        <v>1287</v>
      </c>
      <c r="CJ633" s="68">
        <f t="shared" si="166"/>
        <v>288</v>
      </c>
      <c r="CK633" s="70">
        <v>180</v>
      </c>
    </row>
    <row r="634" spans="1:89" x14ac:dyDescent="0.3">
      <c r="A634" t="s">
        <v>287</v>
      </c>
      <c r="B634" t="s">
        <v>2776</v>
      </c>
      <c r="C634" t="s">
        <v>4201</v>
      </c>
      <c r="D634" s="12"/>
      <c r="E634">
        <v>3.3</v>
      </c>
      <c r="F634" t="s">
        <v>283</v>
      </c>
      <c r="G634" s="98" t="s">
        <v>600</v>
      </c>
      <c r="H634" t="s">
        <v>671</v>
      </c>
      <c r="M634" t="b">
        <v>1</v>
      </c>
      <c r="N634" t="b">
        <v>1</v>
      </c>
      <c r="O634" t="b">
        <v>0</v>
      </c>
      <c r="P634" t="b">
        <v>0</v>
      </c>
      <c r="Q634" t="s">
        <v>600</v>
      </c>
      <c r="R634" t="s">
        <v>671</v>
      </c>
      <c r="U634" s="20">
        <v>1</v>
      </c>
      <c r="V634">
        <v>2</v>
      </c>
      <c r="W634">
        <v>0</v>
      </c>
      <c r="AC634" s="20">
        <v>15.19820412</v>
      </c>
      <c r="AD634" s="20">
        <v>15.194836840000001</v>
      </c>
      <c r="AE634" s="20">
        <v>3.9043439100000001</v>
      </c>
      <c r="AF634">
        <v>3.8588</v>
      </c>
      <c r="AG634">
        <v>3.8588</v>
      </c>
      <c r="AH634">
        <v>29.656099999999999</v>
      </c>
      <c r="AI634">
        <v>0</v>
      </c>
      <c r="AM634">
        <v>20</v>
      </c>
      <c r="AN634" s="44">
        <f t="shared" si="135"/>
        <v>0</v>
      </c>
      <c r="AO634" s="46">
        <v>227.79419475650769</v>
      </c>
      <c r="AP634" s="44">
        <v>441.58933615438389</v>
      </c>
      <c r="AQ634" s="44">
        <v>0</v>
      </c>
      <c r="AR634" s="41"/>
      <c r="AS634" s="40">
        <v>8.7798550008608742E-2</v>
      </c>
      <c r="AT634" s="41">
        <v>9.0581897534807332E-2</v>
      </c>
      <c r="AU634" s="41"/>
      <c r="AV634" s="23">
        <v>1.882352941176471</v>
      </c>
      <c r="AW634" s="23">
        <v>2.3529411764705879</v>
      </c>
      <c r="AX634" s="23">
        <v>0.35294117647058831</v>
      </c>
      <c r="AY634" s="23">
        <v>0.47058823529411759</v>
      </c>
      <c r="AZ634" s="23">
        <v>0.37209302325581389</v>
      </c>
      <c r="BA634" s="23">
        <v>0.46511627906976749</v>
      </c>
      <c r="BB634" s="23">
        <v>6.9767441860465129E-2</v>
      </c>
      <c r="BC634" s="23">
        <v>9.3023255813953487E-2</v>
      </c>
      <c r="BD634" s="20">
        <v>0.82</v>
      </c>
      <c r="BE634" s="20">
        <v>3.44</v>
      </c>
      <c r="BF634" s="20">
        <v>2.62</v>
      </c>
      <c r="BG634" s="20">
        <v>2.525882352941176</v>
      </c>
      <c r="BH634">
        <v>2.525882352941176</v>
      </c>
      <c r="BI634">
        <v>5.6597597152941184</v>
      </c>
      <c r="BJ634" s="64">
        <v>0.57188837719605823</v>
      </c>
      <c r="BK634" s="64">
        <v>0</v>
      </c>
      <c r="BL634" s="64"/>
      <c r="BN634">
        <v>4.3899275004304371E-2</v>
      </c>
      <c r="BO634">
        <v>4.5290948767403673E-2</v>
      </c>
      <c r="BQ634">
        <v>8.9190223771708044E-2</v>
      </c>
      <c r="BR634">
        <v>4.4595111885854022E-2</v>
      </c>
      <c r="BS634">
        <v>0.28594418859802911</v>
      </c>
      <c r="BT634" s="68" t="s">
        <v>1264</v>
      </c>
      <c r="BU634" s="68">
        <f>1173</f>
        <v>1173</v>
      </c>
      <c r="BV634" s="68">
        <v>6</v>
      </c>
      <c r="BX634" s="68" t="s">
        <v>464</v>
      </c>
      <c r="BY634" s="68" t="s">
        <v>464</v>
      </c>
      <c r="BZ634" s="68">
        <v>0</v>
      </c>
      <c r="CB634" s="68">
        <v>1</v>
      </c>
      <c r="CC634" s="68">
        <v>1</v>
      </c>
      <c r="CD634" s="68" t="s">
        <v>464</v>
      </c>
      <c r="CE634" s="68" t="s">
        <v>464</v>
      </c>
      <c r="CF634" s="68" t="s">
        <v>1266</v>
      </c>
      <c r="CG634" s="68">
        <v>125</v>
      </c>
      <c r="CH634" s="68">
        <v>220</v>
      </c>
      <c r="CI634" s="68" t="s">
        <v>1287</v>
      </c>
      <c r="CJ634" s="68">
        <f t="shared" si="166"/>
        <v>288</v>
      </c>
      <c r="CK634" s="70">
        <v>2260</v>
      </c>
    </row>
    <row r="635" spans="1:89" x14ac:dyDescent="0.3">
      <c r="A635" t="s">
        <v>4</v>
      </c>
      <c r="B635" t="s">
        <v>4</v>
      </c>
      <c r="C635" t="s">
        <v>3921</v>
      </c>
      <c r="D635" s="12"/>
      <c r="E635">
        <v>3.26</v>
      </c>
      <c r="F635" t="s">
        <v>290</v>
      </c>
      <c r="G635" s="8" t="s">
        <v>527</v>
      </c>
      <c r="H635" t="s">
        <v>609</v>
      </c>
      <c r="M635" t="b">
        <v>1</v>
      </c>
      <c r="N635" t="b">
        <v>1</v>
      </c>
      <c r="O635" t="b">
        <v>0</v>
      </c>
      <c r="P635" t="b">
        <v>0</v>
      </c>
      <c r="Q635" t="s">
        <v>527</v>
      </c>
      <c r="R635" t="s">
        <v>609</v>
      </c>
      <c r="U635" s="20">
        <v>4</v>
      </c>
      <c r="V635">
        <v>4</v>
      </c>
      <c r="W635">
        <v>0</v>
      </c>
      <c r="AC635" s="20">
        <v>7.8084429999999996</v>
      </c>
      <c r="AD635" s="20">
        <v>7.8548809999999998</v>
      </c>
      <c r="AE635" s="20">
        <v>15.19056011</v>
      </c>
      <c r="AF635">
        <v>3.8801999999999999</v>
      </c>
      <c r="AG635">
        <v>29.507999999999999</v>
      </c>
      <c r="AH635">
        <v>7.7140000000000004</v>
      </c>
      <c r="AI635">
        <v>0</v>
      </c>
      <c r="AM635">
        <v>20</v>
      </c>
      <c r="AN635" s="44">
        <f t="shared" si="135"/>
        <v>0</v>
      </c>
      <c r="AO635" s="46">
        <v>924.74694800021894</v>
      </c>
      <c r="AP635" s="44">
        <v>883.22940750240002</v>
      </c>
      <c r="AQ635" s="44">
        <v>0</v>
      </c>
      <c r="AR635" s="41"/>
      <c r="AS635" s="40">
        <v>8.6510153045653584E-2</v>
      </c>
      <c r="AT635" s="41">
        <v>9.0576694254581439E-2</v>
      </c>
      <c r="AU635" s="41"/>
      <c r="AV635" s="23">
        <v>1.75</v>
      </c>
      <c r="AW635" s="23">
        <v>2.5</v>
      </c>
      <c r="AX635" s="23">
        <v>0.75</v>
      </c>
      <c r="AY635" s="23">
        <v>0</v>
      </c>
      <c r="AZ635" s="23">
        <v>0.35</v>
      </c>
      <c r="BA635" s="23">
        <v>0.5</v>
      </c>
      <c r="BB635" s="23">
        <v>0.15</v>
      </c>
      <c r="BC635" s="23">
        <v>0</v>
      </c>
      <c r="BD635" s="20">
        <v>0.82</v>
      </c>
      <c r="BE635" s="20">
        <v>3.44</v>
      </c>
      <c r="BF635" s="20">
        <v>2.62</v>
      </c>
      <c r="BG635" s="20">
        <v>2.6262500000000002</v>
      </c>
      <c r="BH635">
        <v>2.6262500000000002</v>
      </c>
      <c r="BI635">
        <v>5.96680968125</v>
      </c>
      <c r="BJ635" s="64">
        <v>0.50555206026575039</v>
      </c>
      <c r="BK635" s="64">
        <v>0</v>
      </c>
      <c r="BL635" s="64"/>
      <c r="BN635">
        <v>4.3255076522826792E-2</v>
      </c>
      <c r="BO635">
        <v>4.5288347127290719E-2</v>
      </c>
      <c r="BQ635">
        <v>8.8543423650117511E-2</v>
      </c>
      <c r="BR635">
        <v>4.4271711825058763E-2</v>
      </c>
      <c r="BS635">
        <v>0.2527760301328752</v>
      </c>
      <c r="BT635" s="68" t="s">
        <v>1264</v>
      </c>
      <c r="BU635" s="68">
        <f>1473</f>
        <v>1473</v>
      </c>
      <c r="BV635" s="68">
        <v>12</v>
      </c>
      <c r="BX635" s="68" t="s">
        <v>464</v>
      </c>
      <c r="BY635" s="68" t="s">
        <v>464</v>
      </c>
      <c r="BZ635" s="68">
        <v>0</v>
      </c>
      <c r="CB635" s="68">
        <v>1</v>
      </c>
      <c r="CC635" s="68">
        <v>20</v>
      </c>
      <c r="CD635" s="68" t="s">
        <v>464</v>
      </c>
      <c r="CE635" s="68" t="s">
        <v>464</v>
      </c>
      <c r="CF635" s="68" t="s">
        <v>1271</v>
      </c>
      <c r="CG635" s="68">
        <v>300</v>
      </c>
      <c r="CH635" s="68">
        <v>420</v>
      </c>
      <c r="CI635" s="68" t="s">
        <v>1287</v>
      </c>
      <c r="CJ635" s="68">
        <v>298</v>
      </c>
      <c r="CK635" s="70">
        <f>11.4/0.1</f>
        <v>114</v>
      </c>
    </row>
    <row r="636" spans="1:89" x14ac:dyDescent="0.3">
      <c r="A636" t="s">
        <v>1436</v>
      </c>
      <c r="B636" t="s">
        <v>4</v>
      </c>
      <c r="C636" t="s">
        <v>4202</v>
      </c>
      <c r="D636" s="12"/>
      <c r="E636" s="1">
        <v>2.4700000000000002</v>
      </c>
      <c r="F636" s="1" t="s">
        <v>290</v>
      </c>
      <c r="G636" s="25" t="s">
        <v>527</v>
      </c>
      <c r="H636" s="1" t="s">
        <v>609</v>
      </c>
      <c r="M636" t="b">
        <v>1</v>
      </c>
      <c r="N636" t="b">
        <v>1</v>
      </c>
      <c r="O636" t="b">
        <v>0</v>
      </c>
      <c r="P636" t="b">
        <v>0</v>
      </c>
      <c r="Q636" t="s">
        <v>527</v>
      </c>
      <c r="R636" t="s">
        <v>609</v>
      </c>
      <c r="T636" s="1"/>
      <c r="U636" s="20">
        <v>4</v>
      </c>
      <c r="V636">
        <v>4</v>
      </c>
      <c r="W636">
        <v>0</v>
      </c>
      <c r="X636" s="1"/>
      <c r="Y636" s="1"/>
      <c r="Z636" s="1"/>
      <c r="AA636" s="1"/>
      <c r="AB636" s="1"/>
      <c r="AC636" s="20">
        <v>7.8084429999999996</v>
      </c>
      <c r="AD636" s="20">
        <v>7.8548809999999998</v>
      </c>
      <c r="AE636" s="20">
        <v>15.19056011</v>
      </c>
      <c r="AF636">
        <v>3.8801999999999999</v>
      </c>
      <c r="AG636">
        <v>29.507999999999999</v>
      </c>
      <c r="AH636">
        <v>7.7140000000000004</v>
      </c>
      <c r="AI636">
        <v>0</v>
      </c>
      <c r="AL636" s="1"/>
      <c r="AM636">
        <v>20</v>
      </c>
      <c r="AN636" s="44">
        <f t="shared" si="135"/>
        <v>0</v>
      </c>
      <c r="AO636" s="46">
        <v>924.74694800021894</v>
      </c>
      <c r="AP636" s="44">
        <v>883.22940750240002</v>
      </c>
      <c r="AQ636" s="44">
        <v>0</v>
      </c>
      <c r="AR636" s="41"/>
      <c r="AS636" s="40">
        <v>8.6510153045653584E-2</v>
      </c>
      <c r="AT636" s="41">
        <v>9.0576694254581439E-2</v>
      </c>
      <c r="AU636" s="41"/>
      <c r="AV636" s="23">
        <v>1.75</v>
      </c>
      <c r="AW636" s="23">
        <v>2.5</v>
      </c>
      <c r="AX636" s="23">
        <v>0.75</v>
      </c>
      <c r="AY636" s="23">
        <v>0</v>
      </c>
      <c r="AZ636" s="23">
        <v>0.35</v>
      </c>
      <c r="BA636" s="23">
        <v>0.5</v>
      </c>
      <c r="BB636" s="23">
        <v>0.15</v>
      </c>
      <c r="BC636" s="23">
        <v>0</v>
      </c>
      <c r="BD636" s="20">
        <v>0.82</v>
      </c>
      <c r="BE636" s="20">
        <v>3.44</v>
      </c>
      <c r="BF636" s="20">
        <v>2.62</v>
      </c>
      <c r="BG636" s="20">
        <v>2.6262500000000002</v>
      </c>
      <c r="BH636">
        <v>2.6262500000000002</v>
      </c>
      <c r="BI636">
        <v>5.96680968125</v>
      </c>
      <c r="BJ636" s="64">
        <v>0.50555206026575039</v>
      </c>
      <c r="BK636" s="64">
        <v>0</v>
      </c>
      <c r="BL636" s="64"/>
      <c r="BN636">
        <v>4.3255076522826792E-2</v>
      </c>
      <c r="BO636">
        <v>4.5288347127290719E-2</v>
      </c>
      <c r="BQ636">
        <v>8.8543423650117511E-2</v>
      </c>
      <c r="BR636">
        <v>4.4271711825058763E-2</v>
      </c>
      <c r="BS636">
        <v>0.2527760301328752</v>
      </c>
      <c r="BT636" s="68" t="s">
        <v>1264</v>
      </c>
      <c r="BU636" s="68">
        <f>1473</f>
        <v>1473</v>
      </c>
      <c r="BV636" s="68">
        <v>12</v>
      </c>
      <c r="BW636" s="68" t="s">
        <v>1307</v>
      </c>
      <c r="BX636" s="68" t="s">
        <v>464</v>
      </c>
      <c r="BY636" s="68" t="s">
        <v>464</v>
      </c>
      <c r="BZ636" s="68">
        <v>0</v>
      </c>
      <c r="CB636" s="68">
        <v>1</v>
      </c>
      <c r="CC636" s="68">
        <v>20</v>
      </c>
      <c r="CD636" s="68" t="s">
        <v>464</v>
      </c>
      <c r="CE636" s="68" t="s">
        <v>464</v>
      </c>
      <c r="CF636" s="68" t="s">
        <v>1271</v>
      </c>
      <c r="CG636" s="68">
        <v>300</v>
      </c>
      <c r="CH636" s="68">
        <v>420</v>
      </c>
      <c r="CI636" s="68" t="s">
        <v>1287</v>
      </c>
      <c r="CJ636" s="68">
        <v>298</v>
      </c>
      <c r="CK636" s="70">
        <f>42.9/0.1</f>
        <v>428.99999999999994</v>
      </c>
    </row>
    <row r="637" spans="1:89" x14ac:dyDescent="0.3">
      <c r="A637" t="s">
        <v>1437</v>
      </c>
      <c r="B637" t="s">
        <v>4</v>
      </c>
      <c r="C637" t="s">
        <v>4203</v>
      </c>
      <c r="D637" s="14"/>
      <c r="E637" s="1">
        <v>2.4700000000000002</v>
      </c>
      <c r="F637" s="1" t="s">
        <v>290</v>
      </c>
      <c r="G637" s="25" t="s">
        <v>527</v>
      </c>
      <c r="H637" s="1" t="s">
        <v>609</v>
      </c>
      <c r="M637" t="b">
        <v>1</v>
      </c>
      <c r="N637" t="b">
        <v>1</v>
      </c>
      <c r="O637" t="b">
        <v>0</v>
      </c>
      <c r="P637" t="b">
        <v>0</v>
      </c>
      <c r="Q637" t="s">
        <v>527</v>
      </c>
      <c r="R637" t="s">
        <v>609</v>
      </c>
      <c r="T637" s="1"/>
      <c r="U637" s="20">
        <v>4</v>
      </c>
      <c r="V637">
        <v>4</v>
      </c>
      <c r="W637">
        <v>0</v>
      </c>
      <c r="X637" s="1"/>
      <c r="Y637" s="1"/>
      <c r="Z637" s="1"/>
      <c r="AA637" s="1"/>
      <c r="AB637" s="1"/>
      <c r="AC637" s="20">
        <v>7.8084429999999996</v>
      </c>
      <c r="AD637" s="20">
        <v>7.8548809999999998</v>
      </c>
      <c r="AE637" s="20">
        <v>15.19056011</v>
      </c>
      <c r="AF637">
        <v>3.8801999999999999</v>
      </c>
      <c r="AG637">
        <v>29.507999999999999</v>
      </c>
      <c r="AH637">
        <v>7.7140000000000004</v>
      </c>
      <c r="AI637">
        <v>0</v>
      </c>
      <c r="AL637" s="1"/>
      <c r="AM637">
        <v>20</v>
      </c>
      <c r="AN637" s="44">
        <f t="shared" si="135"/>
        <v>0</v>
      </c>
      <c r="AO637" s="46">
        <v>924.74694800021894</v>
      </c>
      <c r="AP637" s="44">
        <v>883.22940750240002</v>
      </c>
      <c r="AQ637" s="44">
        <v>0</v>
      </c>
      <c r="AR637" s="41"/>
      <c r="AS637" s="40">
        <v>8.6510153045653584E-2</v>
      </c>
      <c r="AT637" s="41">
        <v>9.0576694254581439E-2</v>
      </c>
      <c r="AU637" s="41"/>
      <c r="AV637" s="23">
        <v>1.75</v>
      </c>
      <c r="AW637" s="23">
        <v>2.5</v>
      </c>
      <c r="AX637" s="23">
        <v>0.75</v>
      </c>
      <c r="AY637" s="23">
        <v>0</v>
      </c>
      <c r="AZ637" s="23">
        <v>0.35</v>
      </c>
      <c r="BA637" s="23">
        <v>0.5</v>
      </c>
      <c r="BB637" s="23">
        <v>0.15</v>
      </c>
      <c r="BC637" s="23">
        <v>0</v>
      </c>
      <c r="BD637" s="20">
        <v>0.82</v>
      </c>
      <c r="BE637" s="20">
        <v>3.44</v>
      </c>
      <c r="BF637" s="20">
        <v>2.62</v>
      </c>
      <c r="BG637" s="20">
        <v>2.6262500000000002</v>
      </c>
      <c r="BH637">
        <v>2.6262500000000002</v>
      </c>
      <c r="BI637">
        <v>5.96680968125</v>
      </c>
      <c r="BJ637" s="64">
        <v>0.50555206026575039</v>
      </c>
      <c r="BK637" s="64">
        <v>0</v>
      </c>
      <c r="BL637" s="64"/>
      <c r="BN637">
        <v>4.3255076522826792E-2</v>
      </c>
      <c r="BO637">
        <v>4.5288347127290719E-2</v>
      </c>
      <c r="BQ637">
        <v>8.8543423650117511E-2</v>
      </c>
      <c r="BR637">
        <v>4.4271711825058763E-2</v>
      </c>
      <c r="BS637">
        <v>0.2527760301328752</v>
      </c>
      <c r="BT637" s="68" t="s">
        <v>1264</v>
      </c>
      <c r="BU637" s="68">
        <f>1473</f>
        <v>1473</v>
      </c>
      <c r="BV637" s="68">
        <v>12</v>
      </c>
      <c r="BW637" s="68" t="s">
        <v>1307</v>
      </c>
      <c r="BX637" s="68" t="s">
        <v>464</v>
      </c>
      <c r="BY637" s="68" t="s">
        <v>464</v>
      </c>
      <c r="BZ637" s="68">
        <v>0</v>
      </c>
      <c r="CB637" s="68">
        <v>1</v>
      </c>
      <c r="CC637" s="68">
        <v>20</v>
      </c>
      <c r="CD637" s="68" t="s">
        <v>464</v>
      </c>
      <c r="CE637" s="68" t="s">
        <v>464</v>
      </c>
      <c r="CF637" s="68" t="s">
        <v>1271</v>
      </c>
      <c r="CG637" s="68">
        <v>300</v>
      </c>
      <c r="CH637" s="68">
        <v>420</v>
      </c>
      <c r="CI637" s="68" t="s">
        <v>1287</v>
      </c>
      <c r="CJ637" s="68">
        <v>298</v>
      </c>
      <c r="CK637" s="70">
        <f>154.7/0.1</f>
        <v>1546.9999999999998</v>
      </c>
    </row>
    <row r="638" spans="1:89" x14ac:dyDescent="0.3">
      <c r="A638" t="s">
        <v>1436</v>
      </c>
      <c r="B638" t="s">
        <v>4</v>
      </c>
      <c r="C638" t="s">
        <v>4202</v>
      </c>
      <c r="D638" s="12"/>
      <c r="E638" s="1">
        <v>2.4700000000000002</v>
      </c>
      <c r="F638" s="1" t="s">
        <v>290</v>
      </c>
      <c r="G638" s="25" t="s">
        <v>527</v>
      </c>
      <c r="H638" s="1" t="s">
        <v>609</v>
      </c>
      <c r="M638" t="b">
        <v>1</v>
      </c>
      <c r="N638" t="b">
        <v>1</v>
      </c>
      <c r="O638" t="b">
        <v>0</v>
      </c>
      <c r="P638" t="b">
        <v>0</v>
      </c>
      <c r="Q638" t="s">
        <v>527</v>
      </c>
      <c r="R638" t="s">
        <v>609</v>
      </c>
      <c r="T638" s="1"/>
      <c r="U638" s="20">
        <v>4</v>
      </c>
      <c r="V638">
        <v>4</v>
      </c>
      <c r="W638">
        <v>0</v>
      </c>
      <c r="X638" s="1"/>
      <c r="Y638" s="1"/>
      <c r="Z638" s="1"/>
      <c r="AA638" s="1"/>
      <c r="AB638" s="1"/>
      <c r="AC638" s="20">
        <v>7.8084429999999996</v>
      </c>
      <c r="AD638" s="20">
        <v>7.8548809999999998</v>
      </c>
      <c r="AE638" s="20">
        <v>15.19056011</v>
      </c>
      <c r="AF638">
        <v>3.8801999999999999</v>
      </c>
      <c r="AG638">
        <v>29.507999999999999</v>
      </c>
      <c r="AH638">
        <v>7.7140000000000004</v>
      </c>
      <c r="AI638">
        <v>0</v>
      </c>
      <c r="AL638" s="1"/>
      <c r="AM638">
        <v>20</v>
      </c>
      <c r="AN638" s="44">
        <f t="shared" ref="AN638:AN639" si="167">X638*Y638*Z638</f>
        <v>0</v>
      </c>
      <c r="AO638" s="46">
        <v>924.74694800021894</v>
      </c>
      <c r="AP638" s="44">
        <v>883.22940750240002</v>
      </c>
      <c r="AQ638" s="44">
        <v>0</v>
      </c>
      <c r="AR638" s="41"/>
      <c r="AS638" s="40">
        <v>8.6510153045653584E-2</v>
      </c>
      <c r="AT638" s="41">
        <v>9.0576694254581439E-2</v>
      </c>
      <c r="AU638" s="41"/>
      <c r="AV638" s="23">
        <v>1.75</v>
      </c>
      <c r="AW638" s="23">
        <v>2.5</v>
      </c>
      <c r="AX638" s="23">
        <v>0.75</v>
      </c>
      <c r="AY638" s="23">
        <v>0</v>
      </c>
      <c r="AZ638" s="23">
        <v>0.35</v>
      </c>
      <c r="BA638" s="23">
        <v>0.5</v>
      </c>
      <c r="BB638" s="23">
        <v>0.15</v>
      </c>
      <c r="BC638" s="23">
        <v>0</v>
      </c>
      <c r="BD638" s="20">
        <v>0.82</v>
      </c>
      <c r="BE638" s="20">
        <v>3.44</v>
      </c>
      <c r="BF638" s="20">
        <v>2.62</v>
      </c>
      <c r="BG638" s="20">
        <v>2.6262500000000002</v>
      </c>
      <c r="BH638">
        <v>2.6262500000000002</v>
      </c>
      <c r="BI638">
        <v>5.96680968125</v>
      </c>
      <c r="BJ638" s="64">
        <v>0.50555206026575039</v>
      </c>
      <c r="BK638" s="64">
        <v>0</v>
      </c>
      <c r="BL638" s="64"/>
      <c r="BN638">
        <v>4.3255076522826792E-2</v>
      </c>
      <c r="BO638">
        <v>4.5288347127290719E-2</v>
      </c>
      <c r="BQ638">
        <v>8.8543423650117511E-2</v>
      </c>
      <c r="BR638">
        <v>4.4271711825058763E-2</v>
      </c>
      <c r="BS638">
        <v>0.2527760301328752</v>
      </c>
      <c r="BT638" s="68" t="s">
        <v>1264</v>
      </c>
      <c r="BU638" s="68">
        <f>1473</f>
        <v>1473</v>
      </c>
      <c r="BV638" s="68">
        <v>12</v>
      </c>
      <c r="BW638" s="68" t="s">
        <v>1307</v>
      </c>
      <c r="BX638" s="68" t="s">
        <v>1268</v>
      </c>
      <c r="BY638" s="68" t="s">
        <v>863</v>
      </c>
      <c r="BZ638" s="68">
        <v>0.5</v>
      </c>
      <c r="CB638" s="68">
        <v>1</v>
      </c>
      <c r="CC638" s="68">
        <v>20</v>
      </c>
      <c r="CD638" s="68" t="s">
        <v>464</v>
      </c>
      <c r="CE638" s="68" t="s">
        <v>464</v>
      </c>
      <c r="CF638" s="68" t="s">
        <v>1271</v>
      </c>
      <c r="CG638" s="68">
        <v>300</v>
      </c>
      <c r="CH638" s="68">
        <v>420</v>
      </c>
      <c r="CI638" s="68" t="s">
        <v>1287</v>
      </c>
      <c r="CJ638" s="68">
        <v>298</v>
      </c>
      <c r="CK638" s="70">
        <f>190.1/0.1</f>
        <v>1900.9999999999998</v>
      </c>
    </row>
    <row r="639" spans="1:89" x14ac:dyDescent="0.3">
      <c r="A639" t="s">
        <v>1437</v>
      </c>
      <c r="B639" t="s">
        <v>4</v>
      </c>
      <c r="C639" t="s">
        <v>4203</v>
      </c>
      <c r="D639" s="14"/>
      <c r="E639" s="1">
        <v>2.4700000000000002</v>
      </c>
      <c r="F639" s="1" t="s">
        <v>290</v>
      </c>
      <c r="G639" s="25" t="s">
        <v>527</v>
      </c>
      <c r="H639" s="1" t="s">
        <v>609</v>
      </c>
      <c r="M639" t="b">
        <v>1</v>
      </c>
      <c r="N639" t="b">
        <v>1</v>
      </c>
      <c r="O639" t="b">
        <v>0</v>
      </c>
      <c r="P639" t="b">
        <v>0</v>
      </c>
      <c r="Q639" t="s">
        <v>527</v>
      </c>
      <c r="R639" t="s">
        <v>609</v>
      </c>
      <c r="T639" s="1"/>
      <c r="U639" s="20">
        <v>4</v>
      </c>
      <c r="V639">
        <v>4</v>
      </c>
      <c r="W639">
        <v>0</v>
      </c>
      <c r="X639" s="1"/>
      <c r="Y639" s="1"/>
      <c r="Z639" s="1"/>
      <c r="AA639" s="1"/>
      <c r="AB639" s="1"/>
      <c r="AC639" s="20">
        <v>7.8084429999999996</v>
      </c>
      <c r="AD639" s="20">
        <v>7.8548809999999998</v>
      </c>
      <c r="AE639" s="20">
        <v>15.19056011</v>
      </c>
      <c r="AF639">
        <v>3.8801999999999999</v>
      </c>
      <c r="AG639">
        <v>29.507999999999999</v>
      </c>
      <c r="AH639">
        <v>7.7140000000000004</v>
      </c>
      <c r="AI639">
        <v>0</v>
      </c>
      <c r="AL639" s="1"/>
      <c r="AM639">
        <v>20</v>
      </c>
      <c r="AN639" s="44">
        <f t="shared" si="167"/>
        <v>0</v>
      </c>
      <c r="AO639" s="46">
        <v>924.74694800021894</v>
      </c>
      <c r="AP639" s="44">
        <v>883.22940750240002</v>
      </c>
      <c r="AQ639" s="44">
        <v>0</v>
      </c>
      <c r="AR639" s="41"/>
      <c r="AS639" s="40">
        <v>8.6510153045653584E-2</v>
      </c>
      <c r="AT639" s="41">
        <v>9.0576694254581439E-2</v>
      </c>
      <c r="AU639" s="41"/>
      <c r="AV639" s="23">
        <v>1.75</v>
      </c>
      <c r="AW639" s="23">
        <v>2.5</v>
      </c>
      <c r="AX639" s="23">
        <v>0.75</v>
      </c>
      <c r="AY639" s="23">
        <v>0</v>
      </c>
      <c r="AZ639" s="23">
        <v>0.35</v>
      </c>
      <c r="BA639" s="23">
        <v>0.5</v>
      </c>
      <c r="BB639" s="23">
        <v>0.15</v>
      </c>
      <c r="BC639" s="23">
        <v>0</v>
      </c>
      <c r="BD639" s="20">
        <v>0.82</v>
      </c>
      <c r="BE639" s="20">
        <v>3.44</v>
      </c>
      <c r="BF639" s="20">
        <v>2.62</v>
      </c>
      <c r="BG639" s="20">
        <v>2.6262500000000002</v>
      </c>
      <c r="BH639">
        <v>2.6262500000000002</v>
      </c>
      <c r="BI639">
        <v>5.96680968125</v>
      </c>
      <c r="BJ639" s="64">
        <v>0.50555206026575039</v>
      </c>
      <c r="BK639" s="64">
        <v>0</v>
      </c>
      <c r="BL639" s="64"/>
      <c r="BN639">
        <v>4.3255076522826792E-2</v>
      </c>
      <c r="BO639">
        <v>4.5288347127290719E-2</v>
      </c>
      <c r="BQ639">
        <v>8.8543423650117511E-2</v>
      </c>
      <c r="BR639">
        <v>4.4271711825058763E-2</v>
      </c>
      <c r="BS639">
        <v>0.2527760301328752</v>
      </c>
      <c r="BT639" s="68" t="s">
        <v>1264</v>
      </c>
      <c r="BU639" s="68">
        <f>1473</f>
        <v>1473</v>
      </c>
      <c r="BV639" s="68">
        <v>12</v>
      </c>
      <c r="BW639" s="68" t="s">
        <v>1307</v>
      </c>
      <c r="BX639" s="68" t="s">
        <v>1268</v>
      </c>
      <c r="BY639" s="68" t="s">
        <v>863</v>
      </c>
      <c r="BZ639" s="68">
        <v>0.5</v>
      </c>
      <c r="CB639" s="68">
        <v>1</v>
      </c>
      <c r="CC639" s="68">
        <v>20</v>
      </c>
      <c r="CD639" s="68" t="s">
        <v>464</v>
      </c>
      <c r="CE639" s="68" t="s">
        <v>464</v>
      </c>
      <c r="CF639" s="68" t="s">
        <v>1271</v>
      </c>
      <c r="CG639" s="68">
        <v>300</v>
      </c>
      <c r="CH639" s="68">
        <v>420</v>
      </c>
      <c r="CI639" s="68" t="s">
        <v>1287</v>
      </c>
      <c r="CJ639" s="68">
        <v>298</v>
      </c>
      <c r="CK639" s="70">
        <f>429.5/0.1</f>
        <v>4295</v>
      </c>
    </row>
    <row r="640" spans="1:89" x14ac:dyDescent="0.3">
      <c r="A640" t="s">
        <v>1438</v>
      </c>
      <c r="B640" t="s">
        <v>153</v>
      </c>
      <c r="C640" t="s">
        <v>4204</v>
      </c>
      <c r="D640" s="12"/>
      <c r="E640">
        <v>2.09</v>
      </c>
      <c r="F640" t="s">
        <v>291</v>
      </c>
      <c r="G640" s="25" t="s">
        <v>531</v>
      </c>
      <c r="H640">
        <v>-1</v>
      </c>
      <c r="M640" t="b">
        <v>1</v>
      </c>
      <c r="N640" t="b">
        <v>0</v>
      </c>
      <c r="O640" t="b">
        <v>0</v>
      </c>
      <c r="P640" t="b">
        <v>0</v>
      </c>
      <c r="Q640" t="s">
        <v>531</v>
      </c>
      <c r="R640">
        <v>-1</v>
      </c>
      <c r="U640" s="20">
        <v>1</v>
      </c>
      <c r="V640">
        <v>0</v>
      </c>
      <c r="W640">
        <v>0</v>
      </c>
      <c r="AC640" s="20">
        <v>3.9103940000000001</v>
      </c>
      <c r="AD640" s="20">
        <v>3.9103940000000001</v>
      </c>
      <c r="AE640" s="20">
        <v>11.314458</v>
      </c>
      <c r="AF640">
        <v>0</v>
      </c>
      <c r="AI640">
        <v>0</v>
      </c>
      <c r="AM640">
        <v>14</v>
      </c>
      <c r="AN640" s="44">
        <f t="shared" si="135"/>
        <v>0</v>
      </c>
      <c r="AO640" s="46">
        <v>173.0114278564659</v>
      </c>
      <c r="AP640" s="44">
        <v>0</v>
      </c>
      <c r="AQ640" s="44">
        <v>0</v>
      </c>
      <c r="AR640" s="41"/>
      <c r="AS640" s="40">
        <v>8.0919510193365449E-2</v>
      </c>
      <c r="AT640" s="41"/>
      <c r="AU640" s="41"/>
      <c r="AV640" s="23">
        <v>1.9090909090909089</v>
      </c>
      <c r="AW640" s="23">
        <v>2.545454545454545</v>
      </c>
      <c r="AX640" s="23">
        <v>0.63636363636363635</v>
      </c>
      <c r="AY640" s="23">
        <v>2.545454545454545</v>
      </c>
      <c r="AZ640" s="23">
        <v>0.25</v>
      </c>
      <c r="BA640" s="23">
        <v>0.33333333333333331</v>
      </c>
      <c r="BB640" s="23">
        <v>8.3333333333333329E-2</v>
      </c>
      <c r="BC640" s="23">
        <v>0.33333333333333331</v>
      </c>
      <c r="BD640" s="20">
        <v>0.82</v>
      </c>
      <c r="BE640" s="20">
        <v>3.44</v>
      </c>
      <c r="BF640" s="20">
        <v>2.62</v>
      </c>
      <c r="BG640" s="20">
        <v>2.6363636363636358</v>
      </c>
      <c r="BH640">
        <v>2.6363636363636371</v>
      </c>
      <c r="BI640">
        <v>6.0044088459090901</v>
      </c>
      <c r="BJ640" s="64">
        <v>0.5117218936152963</v>
      </c>
      <c r="BK640" s="64"/>
      <c r="BL640" s="64"/>
      <c r="BN640">
        <v>4.0459755096682717E-2</v>
      </c>
      <c r="BQ640">
        <v>8.0919510193365449E-2</v>
      </c>
      <c r="BR640">
        <v>4.0459755096682717E-2</v>
      </c>
      <c r="BS640">
        <v>0.5117218936152963</v>
      </c>
      <c r="BT640" s="68" t="s">
        <v>1264</v>
      </c>
      <c r="BU640" s="68">
        <v>773</v>
      </c>
      <c r="BV640" s="68">
        <v>5</v>
      </c>
      <c r="BW640" s="68" t="s">
        <v>1307</v>
      </c>
      <c r="BX640" s="68" t="s">
        <v>1268</v>
      </c>
      <c r="BY640" s="68" t="s">
        <v>863</v>
      </c>
      <c r="BZ640" s="68">
        <v>1</v>
      </c>
      <c r="CA640" s="70">
        <v>84</v>
      </c>
      <c r="CB640" s="68">
        <v>0.5</v>
      </c>
      <c r="CC640" s="68">
        <v>0</v>
      </c>
      <c r="CD640" s="68" t="s">
        <v>1439</v>
      </c>
      <c r="CE640" s="68" t="s">
        <v>464</v>
      </c>
      <c r="CF640" s="68" t="s">
        <v>1266</v>
      </c>
      <c r="CG640" s="68">
        <v>500</v>
      </c>
      <c r="CH640" s="68">
        <v>250</v>
      </c>
      <c r="CJ640" s="68">
        <v>293</v>
      </c>
      <c r="CK640" s="70">
        <v>1000</v>
      </c>
    </row>
    <row r="641" spans="1:89" x14ac:dyDescent="0.3">
      <c r="A641" t="s">
        <v>1438</v>
      </c>
      <c r="B641" t="s">
        <v>153</v>
      </c>
      <c r="C641" t="s">
        <v>4204</v>
      </c>
      <c r="D641" s="12"/>
      <c r="E641">
        <v>2.09</v>
      </c>
      <c r="F641" t="s">
        <v>291</v>
      </c>
      <c r="G641" s="25" t="s">
        <v>531</v>
      </c>
      <c r="H641">
        <v>-1</v>
      </c>
      <c r="M641" t="b">
        <v>1</v>
      </c>
      <c r="N641" t="b">
        <v>0</v>
      </c>
      <c r="O641" t="b">
        <v>0</v>
      </c>
      <c r="P641" t="b">
        <v>0</v>
      </c>
      <c r="Q641" t="s">
        <v>531</v>
      </c>
      <c r="R641">
        <v>-1</v>
      </c>
      <c r="U641" s="20">
        <v>1</v>
      </c>
      <c r="V641">
        <v>0</v>
      </c>
      <c r="W641">
        <v>0</v>
      </c>
      <c r="AC641" s="20">
        <v>3.9103940000000001</v>
      </c>
      <c r="AD641" s="20">
        <v>3.9103940000000001</v>
      </c>
      <c r="AE641" s="20">
        <v>11.314458</v>
      </c>
      <c r="AF641">
        <v>0</v>
      </c>
      <c r="AI641">
        <v>0</v>
      </c>
      <c r="AM641">
        <v>14</v>
      </c>
      <c r="AN641" s="44">
        <f t="shared" ref="AN641" si="168">X641*Y641*Z641</f>
        <v>0</v>
      </c>
      <c r="AO641" s="46">
        <v>173.0114278564659</v>
      </c>
      <c r="AP641" s="44">
        <v>0</v>
      </c>
      <c r="AQ641" s="44">
        <v>0</v>
      </c>
      <c r="AR641" s="41"/>
      <c r="AS641" s="40">
        <v>8.0919510193365449E-2</v>
      </c>
      <c r="AT641" s="41"/>
      <c r="AU641" s="41"/>
      <c r="AV641" s="23">
        <v>1.9090909090909089</v>
      </c>
      <c r="AW641" s="23">
        <v>2.545454545454545</v>
      </c>
      <c r="AX641" s="23">
        <v>0.63636363636363635</v>
      </c>
      <c r="AY641" s="23">
        <v>2.545454545454545</v>
      </c>
      <c r="AZ641" s="23">
        <v>0.25</v>
      </c>
      <c r="BA641" s="23">
        <v>0.33333333333333331</v>
      </c>
      <c r="BB641" s="23">
        <v>8.3333333333333329E-2</v>
      </c>
      <c r="BC641" s="23">
        <v>0.33333333333333331</v>
      </c>
      <c r="BD641" s="20">
        <v>0.82</v>
      </c>
      <c r="BE641" s="20">
        <v>3.44</v>
      </c>
      <c r="BF641" s="20">
        <v>2.62</v>
      </c>
      <c r="BG641" s="20">
        <v>2.6363636363636358</v>
      </c>
      <c r="BH641">
        <v>2.6363636363636371</v>
      </c>
      <c r="BI641">
        <v>6.0044088459090901</v>
      </c>
      <c r="BJ641" s="64">
        <v>0.5117218936152963</v>
      </c>
      <c r="BK641" s="64"/>
      <c r="BL641" s="64"/>
      <c r="BN641">
        <v>4.0459755096682717E-2</v>
      </c>
      <c r="BQ641">
        <v>8.0919510193365449E-2</v>
      </c>
      <c r="BR641">
        <v>4.0459755096682717E-2</v>
      </c>
      <c r="BS641">
        <v>0.5117218936152963</v>
      </c>
      <c r="BT641" s="68" t="s">
        <v>1264</v>
      </c>
      <c r="BU641" s="68">
        <v>773</v>
      </c>
      <c r="BV641" s="68">
        <v>5</v>
      </c>
      <c r="BW641" s="68" t="s">
        <v>1307</v>
      </c>
      <c r="BX641" s="68" t="s">
        <v>1268</v>
      </c>
      <c r="BY641" s="68" t="s">
        <v>863</v>
      </c>
      <c r="BZ641" s="68">
        <v>1</v>
      </c>
      <c r="CA641" s="70">
        <v>84</v>
      </c>
      <c r="CB641" s="68">
        <v>0.5</v>
      </c>
      <c r="CC641" s="68">
        <v>0</v>
      </c>
      <c r="CD641" s="68" t="s">
        <v>1439</v>
      </c>
      <c r="CE641" s="68" t="s">
        <v>464</v>
      </c>
      <c r="CF641" s="68" t="s">
        <v>1266</v>
      </c>
      <c r="CG641" s="68">
        <v>500</v>
      </c>
      <c r="CH641" s="68">
        <v>420</v>
      </c>
      <c r="CJ641" s="68">
        <v>293</v>
      </c>
      <c r="CK641" s="70">
        <v>100</v>
      </c>
    </row>
    <row r="642" spans="1:89" x14ac:dyDescent="0.3">
      <c r="A642" t="s">
        <v>1438</v>
      </c>
      <c r="B642" t="s">
        <v>153</v>
      </c>
      <c r="C642" t="s">
        <v>4204</v>
      </c>
      <c r="D642" s="12"/>
      <c r="E642">
        <v>2.09</v>
      </c>
      <c r="F642" t="s">
        <v>291</v>
      </c>
      <c r="G642" s="25" t="s">
        <v>531</v>
      </c>
      <c r="H642">
        <v>-1</v>
      </c>
      <c r="M642" t="b">
        <v>1</v>
      </c>
      <c r="N642" t="b">
        <v>0</v>
      </c>
      <c r="O642" t="b">
        <v>0</v>
      </c>
      <c r="P642" t="b">
        <v>0</v>
      </c>
      <c r="Q642" t="s">
        <v>531</v>
      </c>
      <c r="R642">
        <v>-1</v>
      </c>
      <c r="U642" s="20">
        <v>1</v>
      </c>
      <c r="V642">
        <v>0</v>
      </c>
      <c r="W642">
        <v>0</v>
      </c>
      <c r="AC642" s="20">
        <v>3.9103940000000001</v>
      </c>
      <c r="AD642" s="20">
        <v>3.9103940000000001</v>
      </c>
      <c r="AE642" s="20">
        <v>11.314458</v>
      </c>
      <c r="AF642">
        <v>0</v>
      </c>
      <c r="AI642">
        <v>0</v>
      </c>
      <c r="AM642">
        <v>14</v>
      </c>
      <c r="AN642" s="44">
        <f t="shared" ref="AN642" si="169">X642*Y642*Z642</f>
        <v>0</v>
      </c>
      <c r="AO642" s="46">
        <v>173.0114278564659</v>
      </c>
      <c r="AP642" s="44">
        <v>0</v>
      </c>
      <c r="AQ642" s="44">
        <v>0</v>
      </c>
      <c r="AR642" s="41"/>
      <c r="AS642" s="40">
        <v>8.0919510193365449E-2</v>
      </c>
      <c r="AT642" s="41"/>
      <c r="AU642" s="41"/>
      <c r="AV642" s="23">
        <v>1.9090909090909089</v>
      </c>
      <c r="AW642" s="23">
        <v>2.545454545454545</v>
      </c>
      <c r="AX642" s="23">
        <v>0.63636363636363635</v>
      </c>
      <c r="AY642" s="23">
        <v>2.545454545454545</v>
      </c>
      <c r="AZ642" s="23">
        <v>0.25</v>
      </c>
      <c r="BA642" s="23">
        <v>0.33333333333333331</v>
      </c>
      <c r="BB642" s="23">
        <v>8.3333333333333329E-2</v>
      </c>
      <c r="BC642" s="23">
        <v>0.33333333333333331</v>
      </c>
      <c r="BD642" s="20">
        <v>0.82</v>
      </c>
      <c r="BE642" s="20">
        <v>3.44</v>
      </c>
      <c r="BF642" s="20">
        <v>2.62</v>
      </c>
      <c r="BG642" s="20">
        <v>2.6363636363636358</v>
      </c>
      <c r="BH642">
        <v>2.6363636363636371</v>
      </c>
      <c r="BI642">
        <v>6.0044088459090901</v>
      </c>
      <c r="BJ642" s="64">
        <v>0.5117218936152963</v>
      </c>
      <c r="BK642" s="64"/>
      <c r="BL642" s="64"/>
      <c r="BN642">
        <v>4.0459755096682717E-2</v>
      </c>
      <c r="BQ642">
        <v>8.0919510193365449E-2</v>
      </c>
      <c r="BR642">
        <v>4.0459755096682717E-2</v>
      </c>
      <c r="BS642">
        <v>0.5117218936152963</v>
      </c>
      <c r="BT642" s="68" t="s">
        <v>1264</v>
      </c>
      <c r="BU642" s="68">
        <v>773</v>
      </c>
      <c r="BV642" s="68">
        <v>5</v>
      </c>
      <c r="BW642" s="68" t="s">
        <v>1307</v>
      </c>
      <c r="BX642" s="68" t="s">
        <v>1268</v>
      </c>
      <c r="BY642" s="68" t="s">
        <v>863</v>
      </c>
      <c r="BZ642" s="68">
        <v>1</v>
      </c>
      <c r="CA642" s="70">
        <v>84</v>
      </c>
      <c r="CB642" s="68">
        <v>0.5</v>
      </c>
      <c r="CC642" s="68">
        <v>0</v>
      </c>
      <c r="CD642" s="68" t="s">
        <v>1439</v>
      </c>
      <c r="CE642" s="68" t="s">
        <v>464</v>
      </c>
      <c r="CF642" s="68" t="s">
        <v>1266</v>
      </c>
      <c r="CG642" s="68">
        <v>500</v>
      </c>
      <c r="CH642" s="68">
        <v>500</v>
      </c>
      <c r="CJ642" s="68">
        <v>293</v>
      </c>
      <c r="CK642" s="70">
        <v>75</v>
      </c>
    </row>
    <row r="643" spans="1:89" x14ac:dyDescent="0.3">
      <c r="A643" t="s">
        <v>1438</v>
      </c>
      <c r="B643" t="s">
        <v>153</v>
      </c>
      <c r="C643" t="s">
        <v>4204</v>
      </c>
      <c r="D643" s="12"/>
      <c r="E643">
        <v>2.09</v>
      </c>
      <c r="F643" t="s">
        <v>291</v>
      </c>
      <c r="G643" s="25" t="s">
        <v>531</v>
      </c>
      <c r="H643">
        <v>-1</v>
      </c>
      <c r="M643" t="b">
        <v>1</v>
      </c>
      <c r="N643" t="b">
        <v>0</v>
      </c>
      <c r="O643" t="b">
        <v>0</v>
      </c>
      <c r="P643" t="b">
        <v>0</v>
      </c>
      <c r="Q643" t="s">
        <v>531</v>
      </c>
      <c r="R643">
        <v>-1</v>
      </c>
      <c r="U643" s="20">
        <v>1</v>
      </c>
      <c r="V643">
        <v>0</v>
      </c>
      <c r="W643">
        <v>0</v>
      </c>
      <c r="AC643" s="20">
        <v>3.9103940000000001</v>
      </c>
      <c r="AD643" s="20">
        <v>3.9103940000000001</v>
      </c>
      <c r="AE643" s="20">
        <v>11.314458</v>
      </c>
      <c r="AF643">
        <v>0</v>
      </c>
      <c r="AI643">
        <v>0</v>
      </c>
      <c r="AM643">
        <v>14</v>
      </c>
      <c r="AN643" s="44">
        <f t="shared" ref="AN643" si="170">X643*Y643*Z643</f>
        <v>0</v>
      </c>
      <c r="AO643" s="46">
        <v>173.0114278564659</v>
      </c>
      <c r="AP643" s="44">
        <v>0</v>
      </c>
      <c r="AQ643" s="44">
        <v>0</v>
      </c>
      <c r="AR643" s="41"/>
      <c r="AS643" s="40">
        <v>8.0919510193365449E-2</v>
      </c>
      <c r="AT643" s="41"/>
      <c r="AU643" s="41"/>
      <c r="AV643" s="23">
        <v>1.9090909090909089</v>
      </c>
      <c r="AW643" s="23">
        <v>2.545454545454545</v>
      </c>
      <c r="AX643" s="23">
        <v>0.63636363636363635</v>
      </c>
      <c r="AY643" s="23">
        <v>2.545454545454545</v>
      </c>
      <c r="AZ643" s="23">
        <v>0.25</v>
      </c>
      <c r="BA643" s="23">
        <v>0.33333333333333331</v>
      </c>
      <c r="BB643" s="23">
        <v>8.3333333333333329E-2</v>
      </c>
      <c r="BC643" s="23">
        <v>0.33333333333333331</v>
      </c>
      <c r="BD643" s="20">
        <v>0.82</v>
      </c>
      <c r="BE643" s="20">
        <v>3.44</v>
      </c>
      <c r="BF643" s="20">
        <v>2.62</v>
      </c>
      <c r="BG643" s="20">
        <v>2.6363636363636358</v>
      </c>
      <c r="BH643">
        <v>2.6363636363636371</v>
      </c>
      <c r="BI643">
        <v>6.0044088459090901</v>
      </c>
      <c r="BJ643" s="64">
        <v>0.5117218936152963</v>
      </c>
      <c r="BK643" s="64"/>
      <c r="BL643" s="64"/>
      <c r="BN643">
        <v>4.0459755096682717E-2</v>
      </c>
      <c r="BQ643">
        <v>8.0919510193365449E-2</v>
      </c>
      <c r="BR643">
        <v>4.0459755096682717E-2</v>
      </c>
      <c r="BS643">
        <v>0.5117218936152963</v>
      </c>
      <c r="BT643" s="68" t="s">
        <v>1264</v>
      </c>
      <c r="BU643" s="68">
        <v>773</v>
      </c>
      <c r="BV643" s="68">
        <v>5</v>
      </c>
      <c r="BW643" s="68" t="s">
        <v>1307</v>
      </c>
      <c r="BX643" s="68" t="s">
        <v>1268</v>
      </c>
      <c r="BY643" s="68" t="s">
        <v>863</v>
      </c>
      <c r="BZ643" s="68">
        <v>1</v>
      </c>
      <c r="CA643" s="70">
        <v>84</v>
      </c>
      <c r="CB643" s="68">
        <v>0.5</v>
      </c>
      <c r="CC643" s="68">
        <v>0</v>
      </c>
      <c r="CD643" s="68" t="s">
        <v>1439</v>
      </c>
      <c r="CE643" s="68" t="s">
        <v>464</v>
      </c>
      <c r="CF643" s="68" t="s">
        <v>1266</v>
      </c>
      <c r="CG643" s="68">
        <v>500</v>
      </c>
      <c r="CH643" s="68">
        <v>550</v>
      </c>
      <c r="CJ643" s="68">
        <v>293</v>
      </c>
      <c r="CK643" s="70">
        <v>40</v>
      </c>
    </row>
    <row r="644" spans="1:89" x14ac:dyDescent="0.3">
      <c r="A644" t="s">
        <v>1438</v>
      </c>
      <c r="B644" t="s">
        <v>153</v>
      </c>
      <c r="C644" t="s">
        <v>4204</v>
      </c>
      <c r="D644" s="12"/>
      <c r="E644">
        <v>2.09</v>
      </c>
      <c r="F644" t="s">
        <v>291</v>
      </c>
      <c r="G644" s="25" t="s">
        <v>531</v>
      </c>
      <c r="H644">
        <v>-1</v>
      </c>
      <c r="M644" t="b">
        <v>1</v>
      </c>
      <c r="N644" t="b">
        <v>0</v>
      </c>
      <c r="O644" t="b">
        <v>0</v>
      </c>
      <c r="P644" t="b">
        <v>0</v>
      </c>
      <c r="Q644" t="s">
        <v>531</v>
      </c>
      <c r="R644">
        <v>-1</v>
      </c>
      <c r="U644" s="20">
        <v>1</v>
      </c>
      <c r="V644">
        <v>0</v>
      </c>
      <c r="W644">
        <v>0</v>
      </c>
      <c r="AC644" s="20">
        <v>3.9103940000000001</v>
      </c>
      <c r="AD644" s="20">
        <v>3.9103940000000001</v>
      </c>
      <c r="AE644" s="20">
        <v>11.314458</v>
      </c>
      <c r="AF644">
        <v>0</v>
      </c>
      <c r="AI644">
        <v>0</v>
      </c>
      <c r="AM644">
        <v>14</v>
      </c>
      <c r="AN644" s="44">
        <f t="shared" ref="AN644" si="171">X644*Y644*Z644</f>
        <v>0</v>
      </c>
      <c r="AO644" s="46">
        <v>173.0114278564659</v>
      </c>
      <c r="AP644" s="44">
        <v>0</v>
      </c>
      <c r="AQ644" s="44">
        <v>0</v>
      </c>
      <c r="AR644" s="41"/>
      <c r="AS644" s="40">
        <v>8.0919510193365449E-2</v>
      </c>
      <c r="AT644" s="41"/>
      <c r="AU644" s="41"/>
      <c r="AV644" s="23">
        <v>1.9090909090909089</v>
      </c>
      <c r="AW644" s="23">
        <v>2.545454545454545</v>
      </c>
      <c r="AX644" s="23">
        <v>0.63636363636363635</v>
      </c>
      <c r="AY644" s="23">
        <v>2.545454545454545</v>
      </c>
      <c r="AZ644" s="23">
        <v>0.25</v>
      </c>
      <c r="BA644" s="23">
        <v>0.33333333333333331</v>
      </c>
      <c r="BB644" s="23">
        <v>8.3333333333333329E-2</v>
      </c>
      <c r="BC644" s="23">
        <v>0.33333333333333331</v>
      </c>
      <c r="BD644" s="20">
        <v>0.82</v>
      </c>
      <c r="BE644" s="20">
        <v>3.44</v>
      </c>
      <c r="BF644" s="20">
        <v>2.62</v>
      </c>
      <c r="BG644" s="20">
        <v>2.6363636363636358</v>
      </c>
      <c r="BH644">
        <v>2.6363636363636371</v>
      </c>
      <c r="BI644">
        <v>6.0044088459090901</v>
      </c>
      <c r="BJ644" s="64">
        <v>0.5117218936152963</v>
      </c>
      <c r="BK644" s="64"/>
      <c r="BL644" s="64"/>
      <c r="BN644">
        <v>4.0459755096682717E-2</v>
      </c>
      <c r="BQ644">
        <v>8.0919510193365449E-2</v>
      </c>
      <c r="BR644">
        <v>4.0459755096682717E-2</v>
      </c>
      <c r="BS644">
        <v>0.5117218936152963</v>
      </c>
      <c r="BT644" s="68" t="s">
        <v>1264</v>
      </c>
      <c r="BU644" s="68">
        <v>773</v>
      </c>
      <c r="BV644" s="68">
        <v>5</v>
      </c>
      <c r="BW644" s="68" t="s">
        <v>1307</v>
      </c>
      <c r="BX644" s="68" t="s">
        <v>1268</v>
      </c>
      <c r="BY644" s="68" t="s">
        <v>863</v>
      </c>
      <c r="BZ644" s="68">
        <v>1</v>
      </c>
      <c r="CA644" s="70">
        <v>84</v>
      </c>
      <c r="CB644" s="68">
        <v>0.5</v>
      </c>
      <c r="CC644" s="68">
        <v>0</v>
      </c>
      <c r="CD644" s="68" t="s">
        <v>1439</v>
      </c>
      <c r="CE644" s="68" t="s">
        <v>464</v>
      </c>
      <c r="CF644" s="68" t="s">
        <v>1266</v>
      </c>
      <c r="CG644" s="68">
        <v>500</v>
      </c>
      <c r="CH644" s="68">
        <v>600</v>
      </c>
      <c r="CJ644" s="68">
        <v>293</v>
      </c>
      <c r="CK644" s="70">
        <v>5</v>
      </c>
    </row>
    <row r="645" spans="1:89" x14ac:dyDescent="0.3">
      <c r="A645" t="s">
        <v>1438</v>
      </c>
      <c r="B645" t="s">
        <v>153</v>
      </c>
      <c r="C645" t="s">
        <v>4204</v>
      </c>
      <c r="D645" s="12"/>
      <c r="E645">
        <v>2.09</v>
      </c>
      <c r="F645" t="s">
        <v>291</v>
      </c>
      <c r="G645" s="25" t="s">
        <v>531</v>
      </c>
      <c r="H645">
        <v>-1</v>
      </c>
      <c r="M645" t="b">
        <v>1</v>
      </c>
      <c r="N645" t="b">
        <v>0</v>
      </c>
      <c r="O645" t="b">
        <v>0</v>
      </c>
      <c r="P645" t="b">
        <v>0</v>
      </c>
      <c r="Q645" t="s">
        <v>531</v>
      </c>
      <c r="R645">
        <v>-1</v>
      </c>
      <c r="U645" s="20">
        <v>1</v>
      </c>
      <c r="V645">
        <v>0</v>
      </c>
      <c r="W645">
        <v>0</v>
      </c>
      <c r="AC645" s="20">
        <v>3.9103940000000001</v>
      </c>
      <c r="AD645" s="20">
        <v>3.9103940000000001</v>
      </c>
      <c r="AE645" s="20">
        <v>11.314458</v>
      </c>
      <c r="AF645">
        <v>0</v>
      </c>
      <c r="AI645">
        <v>0</v>
      </c>
      <c r="AM645">
        <v>14</v>
      </c>
      <c r="AN645" s="44">
        <f t="shared" ref="AN645" si="172">X645*Y645*Z645</f>
        <v>0</v>
      </c>
      <c r="AO645" s="46">
        <v>173.0114278564659</v>
      </c>
      <c r="AP645" s="44">
        <v>0</v>
      </c>
      <c r="AQ645" s="44">
        <v>0</v>
      </c>
      <c r="AR645" s="41"/>
      <c r="AS645" s="40">
        <v>8.0919510193365449E-2</v>
      </c>
      <c r="AT645" s="41"/>
      <c r="AU645" s="41"/>
      <c r="AV645" s="23">
        <v>1.9090909090909089</v>
      </c>
      <c r="AW645" s="23">
        <v>2.545454545454545</v>
      </c>
      <c r="AX645" s="23">
        <v>0.63636363636363635</v>
      </c>
      <c r="AY645" s="23">
        <v>2.545454545454545</v>
      </c>
      <c r="AZ645" s="23">
        <v>0.25</v>
      </c>
      <c r="BA645" s="23">
        <v>0.33333333333333331</v>
      </c>
      <c r="BB645" s="23">
        <v>8.3333333333333329E-2</v>
      </c>
      <c r="BC645" s="23">
        <v>0.33333333333333331</v>
      </c>
      <c r="BD645" s="20">
        <v>0.82</v>
      </c>
      <c r="BE645" s="20">
        <v>3.44</v>
      </c>
      <c r="BF645" s="20">
        <v>2.62</v>
      </c>
      <c r="BG645" s="20">
        <v>2.6363636363636358</v>
      </c>
      <c r="BH645">
        <v>2.6363636363636371</v>
      </c>
      <c r="BI645">
        <v>6.0044088459090901</v>
      </c>
      <c r="BJ645" s="64">
        <v>0.5117218936152963</v>
      </c>
      <c r="BK645" s="64"/>
      <c r="BL645" s="64"/>
      <c r="BN645">
        <v>4.0459755096682717E-2</v>
      </c>
      <c r="BQ645">
        <v>8.0919510193365449E-2</v>
      </c>
      <c r="BR645">
        <v>4.0459755096682717E-2</v>
      </c>
      <c r="BS645">
        <v>0.5117218936152963</v>
      </c>
      <c r="BT645" s="68" t="s">
        <v>1264</v>
      </c>
      <c r="BU645" s="68">
        <v>773</v>
      </c>
      <c r="BV645" s="68">
        <v>5</v>
      </c>
      <c r="BW645" s="68" t="s">
        <v>1307</v>
      </c>
      <c r="BX645" s="68" t="s">
        <v>1268</v>
      </c>
      <c r="BY645" s="68" t="s">
        <v>863</v>
      </c>
      <c r="BZ645" s="68">
        <v>1</v>
      </c>
      <c r="CA645" s="70">
        <v>84</v>
      </c>
      <c r="CB645" s="68">
        <v>0.5</v>
      </c>
      <c r="CC645" s="68">
        <v>0</v>
      </c>
      <c r="CD645" s="68" t="s">
        <v>1439</v>
      </c>
      <c r="CE645" s="68" t="s">
        <v>464</v>
      </c>
      <c r="CF645" s="68" t="s">
        <v>1266</v>
      </c>
      <c r="CG645" s="68">
        <v>500</v>
      </c>
      <c r="CH645" s="68">
        <v>650</v>
      </c>
      <c r="CJ645" s="68">
        <v>293</v>
      </c>
      <c r="CK645" s="70">
        <v>0</v>
      </c>
    </row>
    <row r="646" spans="1:89" x14ac:dyDescent="0.3">
      <c r="A646" t="s">
        <v>1438</v>
      </c>
      <c r="B646" t="s">
        <v>153</v>
      </c>
      <c r="C646" t="s">
        <v>4204</v>
      </c>
      <c r="D646" s="12"/>
      <c r="E646">
        <v>2.09</v>
      </c>
      <c r="F646" t="s">
        <v>291</v>
      </c>
      <c r="G646" s="25" t="s">
        <v>531</v>
      </c>
      <c r="H646">
        <v>-1</v>
      </c>
      <c r="M646" t="b">
        <v>1</v>
      </c>
      <c r="N646" t="b">
        <v>0</v>
      </c>
      <c r="O646" t="b">
        <v>0</v>
      </c>
      <c r="P646" t="b">
        <v>0</v>
      </c>
      <c r="Q646" t="s">
        <v>531</v>
      </c>
      <c r="R646">
        <v>-1</v>
      </c>
      <c r="U646" s="20">
        <v>1</v>
      </c>
      <c r="V646">
        <v>0</v>
      </c>
      <c r="W646">
        <v>0</v>
      </c>
      <c r="AC646" s="20">
        <v>3.9103940000000001</v>
      </c>
      <c r="AD646" s="20">
        <v>3.9103940000000001</v>
      </c>
      <c r="AE646" s="20">
        <v>11.314458</v>
      </c>
      <c r="AF646">
        <v>0</v>
      </c>
      <c r="AI646">
        <v>0</v>
      </c>
      <c r="AM646">
        <v>14</v>
      </c>
      <c r="AN646" s="44">
        <f t="shared" ref="AN646" si="173">X646*Y646*Z646</f>
        <v>0</v>
      </c>
      <c r="AO646" s="46">
        <v>173.0114278564659</v>
      </c>
      <c r="AP646" s="44">
        <v>0</v>
      </c>
      <c r="AQ646" s="44">
        <v>0</v>
      </c>
      <c r="AR646" s="41"/>
      <c r="AS646" s="40">
        <v>8.0919510193365449E-2</v>
      </c>
      <c r="AT646" s="41"/>
      <c r="AU646" s="41"/>
      <c r="AV646" s="23">
        <v>1.9090909090909089</v>
      </c>
      <c r="AW646" s="23">
        <v>2.545454545454545</v>
      </c>
      <c r="AX646" s="23">
        <v>0.63636363636363635</v>
      </c>
      <c r="AY646" s="23">
        <v>2.545454545454545</v>
      </c>
      <c r="AZ646" s="23">
        <v>0.25</v>
      </c>
      <c r="BA646" s="23">
        <v>0.33333333333333331</v>
      </c>
      <c r="BB646" s="23">
        <v>8.3333333333333329E-2</v>
      </c>
      <c r="BC646" s="23">
        <v>0.33333333333333331</v>
      </c>
      <c r="BD646" s="20">
        <v>0.82</v>
      </c>
      <c r="BE646" s="20">
        <v>3.44</v>
      </c>
      <c r="BF646" s="20">
        <v>2.62</v>
      </c>
      <c r="BG646" s="20">
        <v>2.6363636363636358</v>
      </c>
      <c r="BH646">
        <v>2.6363636363636371</v>
      </c>
      <c r="BI646">
        <v>6.0044088459090901</v>
      </c>
      <c r="BJ646" s="64">
        <v>0.5117218936152963</v>
      </c>
      <c r="BK646" s="64"/>
      <c r="BL646" s="64"/>
      <c r="BN646">
        <v>4.0459755096682717E-2</v>
      </c>
      <c r="BQ646">
        <v>8.0919510193365449E-2</v>
      </c>
      <c r="BR646">
        <v>4.0459755096682717E-2</v>
      </c>
      <c r="BS646">
        <v>0.5117218936152963</v>
      </c>
      <c r="BT646" s="68" t="s">
        <v>1264</v>
      </c>
      <c r="BU646" s="68">
        <v>773</v>
      </c>
      <c r="BV646" s="68">
        <v>5</v>
      </c>
      <c r="BW646" s="68" t="s">
        <v>1307</v>
      </c>
      <c r="BX646" s="68" t="s">
        <v>1268</v>
      </c>
      <c r="BY646" s="68" t="s">
        <v>863</v>
      </c>
      <c r="BZ646" s="68">
        <v>1</v>
      </c>
      <c r="CA646" s="70">
        <v>84</v>
      </c>
      <c r="CB646" s="68">
        <v>0.5</v>
      </c>
      <c r="CC646" s="68">
        <v>0</v>
      </c>
      <c r="CD646" s="68" t="s">
        <v>1439</v>
      </c>
      <c r="CE646" s="68" t="s">
        <v>464</v>
      </c>
      <c r="CF646" s="68" t="s">
        <v>1266</v>
      </c>
      <c r="CG646" s="68">
        <v>500</v>
      </c>
      <c r="CH646" s="68">
        <v>400</v>
      </c>
      <c r="CJ646" s="68">
        <v>293</v>
      </c>
      <c r="CK646" s="70">
        <v>250</v>
      </c>
    </row>
    <row r="647" spans="1:89" x14ac:dyDescent="0.3">
      <c r="A647" t="s">
        <v>1438</v>
      </c>
      <c r="B647" t="s">
        <v>153</v>
      </c>
      <c r="C647" t="s">
        <v>4204</v>
      </c>
      <c r="D647" s="12"/>
      <c r="E647">
        <v>2.09</v>
      </c>
      <c r="F647" t="s">
        <v>291</v>
      </c>
      <c r="G647" s="25" t="s">
        <v>531</v>
      </c>
      <c r="H647">
        <v>-1</v>
      </c>
      <c r="M647" t="b">
        <v>1</v>
      </c>
      <c r="N647" t="b">
        <v>0</v>
      </c>
      <c r="O647" t="b">
        <v>0</v>
      </c>
      <c r="P647" t="b">
        <v>0</v>
      </c>
      <c r="Q647" t="s">
        <v>531</v>
      </c>
      <c r="R647">
        <v>-1</v>
      </c>
      <c r="U647" s="20">
        <v>1</v>
      </c>
      <c r="V647">
        <v>0</v>
      </c>
      <c r="W647">
        <v>0</v>
      </c>
      <c r="AC647" s="20">
        <v>3.9103940000000001</v>
      </c>
      <c r="AD647" s="20">
        <v>3.9103940000000001</v>
      </c>
      <c r="AE647" s="20">
        <v>11.314458</v>
      </c>
      <c r="AF647">
        <v>0</v>
      </c>
      <c r="AI647">
        <v>0</v>
      </c>
      <c r="AM647">
        <v>14</v>
      </c>
      <c r="AN647" s="44">
        <f t="shared" ref="AN647" si="174">X647*Y647*Z647</f>
        <v>0</v>
      </c>
      <c r="AO647" s="46">
        <v>173.0114278564659</v>
      </c>
      <c r="AP647" s="44">
        <v>0</v>
      </c>
      <c r="AQ647" s="44">
        <v>0</v>
      </c>
      <c r="AR647" s="41"/>
      <c r="AS647" s="40">
        <v>8.0919510193365449E-2</v>
      </c>
      <c r="AT647" s="41"/>
      <c r="AU647" s="41"/>
      <c r="AV647" s="23">
        <v>1.9090909090909089</v>
      </c>
      <c r="AW647" s="23">
        <v>2.545454545454545</v>
      </c>
      <c r="AX647" s="23">
        <v>0.63636363636363635</v>
      </c>
      <c r="AY647" s="23">
        <v>2.545454545454545</v>
      </c>
      <c r="AZ647" s="23">
        <v>0.25</v>
      </c>
      <c r="BA647" s="23">
        <v>0.33333333333333331</v>
      </c>
      <c r="BB647" s="23">
        <v>8.3333333333333329E-2</v>
      </c>
      <c r="BC647" s="23">
        <v>0.33333333333333331</v>
      </c>
      <c r="BD647" s="20">
        <v>0.82</v>
      </c>
      <c r="BE647" s="20">
        <v>3.44</v>
      </c>
      <c r="BF647" s="20">
        <v>2.62</v>
      </c>
      <c r="BG647" s="20">
        <v>2.6363636363636358</v>
      </c>
      <c r="BH647">
        <v>2.6363636363636371</v>
      </c>
      <c r="BI647">
        <v>6.0044088459090901</v>
      </c>
      <c r="BJ647" s="64">
        <v>0.5117218936152963</v>
      </c>
      <c r="BK647" s="64"/>
      <c r="BL647" s="64"/>
      <c r="BN647">
        <v>4.0459755096682717E-2</v>
      </c>
      <c r="BQ647">
        <v>8.0919510193365449E-2</v>
      </c>
      <c r="BR647">
        <v>4.0459755096682717E-2</v>
      </c>
      <c r="BS647">
        <v>0.5117218936152963</v>
      </c>
      <c r="BT647" s="68" t="s">
        <v>1264</v>
      </c>
      <c r="BU647" s="68">
        <v>773</v>
      </c>
      <c r="BV647" s="68">
        <v>5</v>
      </c>
      <c r="BW647" s="68" t="s">
        <v>1307</v>
      </c>
      <c r="BX647" s="68" t="s">
        <v>1268</v>
      </c>
      <c r="BY647" s="68" t="s">
        <v>863</v>
      </c>
      <c r="BZ647" s="68">
        <v>2</v>
      </c>
      <c r="CA647" s="70">
        <v>84</v>
      </c>
      <c r="CB647" s="68">
        <v>0.5</v>
      </c>
      <c r="CC647" s="68">
        <v>0</v>
      </c>
      <c r="CD647" s="68" t="s">
        <v>1439</v>
      </c>
      <c r="CE647" s="68" t="s">
        <v>464</v>
      </c>
      <c r="CF647" s="68" t="s">
        <v>1266</v>
      </c>
      <c r="CG647" s="68">
        <v>500</v>
      </c>
      <c r="CH647" s="68">
        <v>400</v>
      </c>
      <c r="CJ647" s="68">
        <v>293</v>
      </c>
      <c r="CK647" s="70">
        <v>750</v>
      </c>
    </row>
    <row r="648" spans="1:89" x14ac:dyDescent="0.3">
      <c r="A648" t="s">
        <v>1438</v>
      </c>
      <c r="B648" t="s">
        <v>153</v>
      </c>
      <c r="C648" t="s">
        <v>4204</v>
      </c>
      <c r="D648" s="12"/>
      <c r="E648">
        <v>2.09</v>
      </c>
      <c r="F648" t="s">
        <v>291</v>
      </c>
      <c r="G648" s="25" t="s">
        <v>531</v>
      </c>
      <c r="H648">
        <v>-1</v>
      </c>
      <c r="M648" t="b">
        <v>1</v>
      </c>
      <c r="N648" t="b">
        <v>0</v>
      </c>
      <c r="O648" t="b">
        <v>0</v>
      </c>
      <c r="P648" t="b">
        <v>0</v>
      </c>
      <c r="Q648" t="s">
        <v>531</v>
      </c>
      <c r="R648">
        <v>-1</v>
      </c>
      <c r="U648" s="20">
        <v>1</v>
      </c>
      <c r="V648">
        <v>0</v>
      </c>
      <c r="W648">
        <v>0</v>
      </c>
      <c r="AC648" s="20">
        <v>3.9103940000000001</v>
      </c>
      <c r="AD648" s="20">
        <v>3.9103940000000001</v>
      </c>
      <c r="AE648" s="20">
        <v>11.314458</v>
      </c>
      <c r="AF648">
        <v>0</v>
      </c>
      <c r="AI648">
        <v>0</v>
      </c>
      <c r="AM648">
        <v>14</v>
      </c>
      <c r="AN648" s="44">
        <f t="shared" ref="AN648:AN650" si="175">X648*Y648*Z648</f>
        <v>0</v>
      </c>
      <c r="AO648" s="46">
        <v>173.0114278564659</v>
      </c>
      <c r="AP648" s="44">
        <v>0</v>
      </c>
      <c r="AQ648" s="44">
        <v>0</v>
      </c>
      <c r="AR648" s="41"/>
      <c r="AS648" s="40">
        <v>8.0919510193365449E-2</v>
      </c>
      <c r="AT648" s="41"/>
      <c r="AU648" s="41"/>
      <c r="AV648" s="23">
        <v>1.9090909090909089</v>
      </c>
      <c r="AW648" s="23">
        <v>2.545454545454545</v>
      </c>
      <c r="AX648" s="23">
        <v>0.63636363636363635</v>
      </c>
      <c r="AY648" s="23">
        <v>2.545454545454545</v>
      </c>
      <c r="AZ648" s="23">
        <v>0.25</v>
      </c>
      <c r="BA648" s="23">
        <v>0.33333333333333331</v>
      </c>
      <c r="BB648" s="23">
        <v>8.3333333333333329E-2</v>
      </c>
      <c r="BC648" s="23">
        <v>0.33333333333333331</v>
      </c>
      <c r="BD648" s="20">
        <v>0.82</v>
      </c>
      <c r="BE648" s="20">
        <v>3.44</v>
      </c>
      <c r="BF648" s="20">
        <v>2.62</v>
      </c>
      <c r="BG648" s="20">
        <v>2.6363636363636358</v>
      </c>
      <c r="BH648">
        <v>2.6363636363636371</v>
      </c>
      <c r="BI648">
        <v>6.0044088459090901</v>
      </c>
      <c r="BJ648" s="64">
        <v>0.5117218936152963</v>
      </c>
      <c r="BK648" s="64"/>
      <c r="BL648" s="64"/>
      <c r="BN648">
        <v>4.0459755096682717E-2</v>
      </c>
      <c r="BQ648">
        <v>8.0919510193365449E-2</v>
      </c>
      <c r="BR648">
        <v>4.0459755096682717E-2</v>
      </c>
      <c r="BS648">
        <v>0.5117218936152963</v>
      </c>
      <c r="BT648" s="68" t="s">
        <v>1264</v>
      </c>
      <c r="BU648" s="68">
        <v>773</v>
      </c>
      <c r="BV648" s="68">
        <v>5</v>
      </c>
      <c r="BW648" s="68" t="s">
        <v>1307</v>
      </c>
      <c r="BX648" s="68" t="s">
        <v>1268</v>
      </c>
      <c r="BY648" s="68" t="s">
        <v>863</v>
      </c>
      <c r="BZ648" s="68">
        <v>3</v>
      </c>
      <c r="CA648" s="70">
        <v>84</v>
      </c>
      <c r="CB648" s="68">
        <v>0.5</v>
      </c>
      <c r="CC648" s="68">
        <v>0</v>
      </c>
      <c r="CD648" s="68" t="s">
        <v>1439</v>
      </c>
      <c r="CE648" s="68" t="s">
        <v>464</v>
      </c>
      <c r="CF648" s="68" t="s">
        <v>1266</v>
      </c>
      <c r="CG648" s="68">
        <v>500</v>
      </c>
      <c r="CH648" s="68">
        <v>400</v>
      </c>
      <c r="CJ648" s="68">
        <v>293</v>
      </c>
      <c r="CK648" s="70">
        <v>600</v>
      </c>
    </row>
    <row r="649" spans="1:89" x14ac:dyDescent="0.3">
      <c r="A649" t="s">
        <v>1438</v>
      </c>
      <c r="B649" t="s">
        <v>153</v>
      </c>
      <c r="C649" t="s">
        <v>4204</v>
      </c>
      <c r="D649" s="12"/>
      <c r="E649">
        <v>2.09</v>
      </c>
      <c r="F649" t="s">
        <v>291</v>
      </c>
      <c r="G649" s="25" t="s">
        <v>531</v>
      </c>
      <c r="H649">
        <v>-1</v>
      </c>
      <c r="M649" t="b">
        <v>1</v>
      </c>
      <c r="N649" t="b">
        <v>0</v>
      </c>
      <c r="O649" t="b">
        <v>0</v>
      </c>
      <c r="P649" t="b">
        <v>0</v>
      </c>
      <c r="Q649" t="s">
        <v>531</v>
      </c>
      <c r="R649">
        <v>-1</v>
      </c>
      <c r="U649" s="20">
        <v>1</v>
      </c>
      <c r="V649">
        <v>0</v>
      </c>
      <c r="W649">
        <v>0</v>
      </c>
      <c r="AC649" s="20">
        <v>3.9103940000000001</v>
      </c>
      <c r="AD649" s="20">
        <v>3.9103940000000001</v>
      </c>
      <c r="AE649" s="20">
        <v>11.314458</v>
      </c>
      <c r="AF649">
        <v>0</v>
      </c>
      <c r="AI649">
        <v>0</v>
      </c>
      <c r="AM649">
        <v>14</v>
      </c>
      <c r="AN649" s="44">
        <f t="shared" si="175"/>
        <v>0</v>
      </c>
      <c r="AO649" s="46">
        <v>173.0114278564659</v>
      </c>
      <c r="AP649" s="44">
        <v>0</v>
      </c>
      <c r="AQ649" s="44">
        <v>0</v>
      </c>
      <c r="AR649" s="41"/>
      <c r="AS649" s="40">
        <v>8.0919510193365449E-2</v>
      </c>
      <c r="AT649" s="41"/>
      <c r="AU649" s="41"/>
      <c r="AV649" s="23">
        <v>1.9090909090909089</v>
      </c>
      <c r="AW649" s="23">
        <v>2.545454545454545</v>
      </c>
      <c r="AX649" s="23">
        <v>0.63636363636363635</v>
      </c>
      <c r="AY649" s="23">
        <v>2.545454545454545</v>
      </c>
      <c r="AZ649" s="23">
        <v>0.25</v>
      </c>
      <c r="BA649" s="23">
        <v>0.33333333333333331</v>
      </c>
      <c r="BB649" s="23">
        <v>8.3333333333333329E-2</v>
      </c>
      <c r="BC649" s="23">
        <v>0.33333333333333331</v>
      </c>
      <c r="BD649" s="20">
        <v>0.82</v>
      </c>
      <c r="BE649" s="20">
        <v>3.44</v>
      </c>
      <c r="BF649" s="20">
        <v>2.62</v>
      </c>
      <c r="BG649" s="20">
        <v>2.6363636363636358</v>
      </c>
      <c r="BH649">
        <v>2.6363636363636371</v>
      </c>
      <c r="BI649">
        <v>6.0044088459090901</v>
      </c>
      <c r="BJ649" s="64">
        <v>0.5117218936152963</v>
      </c>
      <c r="BK649" s="64"/>
      <c r="BL649" s="64"/>
      <c r="BN649">
        <v>4.0459755096682717E-2</v>
      </c>
      <c r="BQ649">
        <v>8.0919510193365449E-2</v>
      </c>
      <c r="BR649">
        <v>4.0459755096682717E-2</v>
      </c>
      <c r="BS649">
        <v>0.5117218936152963</v>
      </c>
      <c r="BT649" s="68" t="s">
        <v>1264</v>
      </c>
      <c r="BU649" s="68">
        <v>773</v>
      </c>
      <c r="BV649" s="68">
        <v>5</v>
      </c>
      <c r="BW649" s="68" t="s">
        <v>1307</v>
      </c>
      <c r="BX649" s="68" t="s">
        <v>1268</v>
      </c>
      <c r="BY649" s="68" t="s">
        <v>863</v>
      </c>
      <c r="BZ649" s="68">
        <v>1</v>
      </c>
      <c r="CA649" s="70">
        <v>84</v>
      </c>
      <c r="CB649" s="68">
        <v>0.5</v>
      </c>
      <c r="CC649" s="68">
        <v>0</v>
      </c>
      <c r="CD649" s="68" t="s">
        <v>1439</v>
      </c>
      <c r="CE649" s="68" t="s">
        <v>464</v>
      </c>
      <c r="CF649" s="68" t="s">
        <v>1266</v>
      </c>
      <c r="CG649" s="68">
        <v>500</v>
      </c>
      <c r="CH649" s="68">
        <v>250</v>
      </c>
      <c r="CJ649" s="68">
        <v>293</v>
      </c>
      <c r="CK649" s="70">
        <v>2250</v>
      </c>
    </row>
    <row r="650" spans="1:89" x14ac:dyDescent="0.3">
      <c r="A650" t="s">
        <v>1438</v>
      </c>
      <c r="B650" t="s">
        <v>153</v>
      </c>
      <c r="C650" t="s">
        <v>4204</v>
      </c>
      <c r="D650" s="12"/>
      <c r="E650">
        <v>2.09</v>
      </c>
      <c r="F650" t="s">
        <v>291</v>
      </c>
      <c r="G650" s="25" t="s">
        <v>531</v>
      </c>
      <c r="H650">
        <v>-1</v>
      </c>
      <c r="M650" t="b">
        <v>1</v>
      </c>
      <c r="N650" t="b">
        <v>0</v>
      </c>
      <c r="O650" t="b">
        <v>0</v>
      </c>
      <c r="P650" t="b">
        <v>0</v>
      </c>
      <c r="Q650" t="s">
        <v>531</v>
      </c>
      <c r="R650">
        <v>-1</v>
      </c>
      <c r="U650" s="20">
        <v>1</v>
      </c>
      <c r="V650">
        <v>0</v>
      </c>
      <c r="W650">
        <v>0</v>
      </c>
      <c r="AC650" s="20">
        <v>3.9103940000000001</v>
      </c>
      <c r="AD650" s="20">
        <v>3.9103940000000001</v>
      </c>
      <c r="AE650" s="20">
        <v>11.314458</v>
      </c>
      <c r="AF650">
        <v>0</v>
      </c>
      <c r="AI650">
        <v>0</v>
      </c>
      <c r="AM650">
        <v>14</v>
      </c>
      <c r="AN650" s="44">
        <f t="shared" si="175"/>
        <v>0</v>
      </c>
      <c r="AO650" s="46">
        <v>173.0114278564659</v>
      </c>
      <c r="AP650" s="44">
        <v>0</v>
      </c>
      <c r="AQ650" s="44">
        <v>0</v>
      </c>
      <c r="AR650" s="41"/>
      <c r="AS650" s="40">
        <v>8.0919510193365449E-2</v>
      </c>
      <c r="AT650" s="41"/>
      <c r="AU650" s="41"/>
      <c r="AV650" s="23">
        <v>1.9090909090909089</v>
      </c>
      <c r="AW650" s="23">
        <v>2.545454545454545</v>
      </c>
      <c r="AX650" s="23">
        <v>0.63636363636363635</v>
      </c>
      <c r="AY650" s="23">
        <v>2.545454545454545</v>
      </c>
      <c r="AZ650" s="23">
        <v>0.25</v>
      </c>
      <c r="BA650" s="23">
        <v>0.33333333333333331</v>
      </c>
      <c r="BB650" s="23">
        <v>8.3333333333333329E-2</v>
      </c>
      <c r="BC650" s="23">
        <v>0.33333333333333331</v>
      </c>
      <c r="BD650" s="20">
        <v>0.82</v>
      </c>
      <c r="BE650" s="20">
        <v>3.44</v>
      </c>
      <c r="BF650" s="20">
        <v>2.62</v>
      </c>
      <c r="BG650" s="20">
        <v>2.6363636363636358</v>
      </c>
      <c r="BH650">
        <v>2.6363636363636371</v>
      </c>
      <c r="BI650">
        <v>6.0044088459090901</v>
      </c>
      <c r="BJ650" s="64">
        <v>0.5117218936152963</v>
      </c>
      <c r="BK650" s="64"/>
      <c r="BL650" s="64"/>
      <c r="BN650">
        <v>4.0459755096682717E-2</v>
      </c>
      <c r="BQ650">
        <v>8.0919510193365449E-2</v>
      </c>
      <c r="BR650">
        <v>4.0459755096682717E-2</v>
      </c>
      <c r="BS650">
        <v>0.5117218936152963</v>
      </c>
      <c r="BT650" s="68" t="s">
        <v>1264</v>
      </c>
      <c r="BU650" s="68">
        <v>773</v>
      </c>
      <c r="BV650" s="68">
        <v>5</v>
      </c>
      <c r="BW650" s="68" t="s">
        <v>1307</v>
      </c>
      <c r="BX650" s="68" t="s">
        <v>1268</v>
      </c>
      <c r="BY650" s="68" t="s">
        <v>863</v>
      </c>
      <c r="BZ650" s="68">
        <v>2</v>
      </c>
      <c r="CA650" s="70">
        <v>84</v>
      </c>
      <c r="CB650" s="68">
        <v>0.5</v>
      </c>
      <c r="CC650" s="68">
        <v>0</v>
      </c>
      <c r="CD650" s="68" t="s">
        <v>1439</v>
      </c>
      <c r="CE650" s="68" t="s">
        <v>464</v>
      </c>
      <c r="CF650" s="68" t="s">
        <v>1266</v>
      </c>
      <c r="CG650" s="68">
        <v>500</v>
      </c>
      <c r="CH650" s="68">
        <v>250</v>
      </c>
      <c r="CJ650" s="68">
        <v>293</v>
      </c>
      <c r="CK650" s="70">
        <v>4250</v>
      </c>
    </row>
    <row r="651" spans="1:89" x14ac:dyDescent="0.3">
      <c r="A651" t="s">
        <v>1438</v>
      </c>
      <c r="B651" t="s">
        <v>153</v>
      </c>
      <c r="C651" t="s">
        <v>4204</v>
      </c>
      <c r="D651" s="12"/>
      <c r="E651">
        <v>2.09</v>
      </c>
      <c r="F651" t="s">
        <v>291</v>
      </c>
      <c r="G651" s="25" t="s">
        <v>531</v>
      </c>
      <c r="H651">
        <v>-1</v>
      </c>
      <c r="M651" t="b">
        <v>1</v>
      </c>
      <c r="N651" t="b">
        <v>0</v>
      </c>
      <c r="O651" t="b">
        <v>0</v>
      </c>
      <c r="P651" t="b">
        <v>0</v>
      </c>
      <c r="Q651" t="s">
        <v>531</v>
      </c>
      <c r="R651">
        <v>-1</v>
      </c>
      <c r="U651" s="20">
        <v>1</v>
      </c>
      <c r="V651">
        <v>0</v>
      </c>
      <c r="W651">
        <v>0</v>
      </c>
      <c r="AC651" s="20">
        <v>3.9103940000000001</v>
      </c>
      <c r="AD651" s="20">
        <v>3.9103940000000001</v>
      </c>
      <c r="AE651" s="20">
        <v>11.314458</v>
      </c>
      <c r="AF651">
        <v>0</v>
      </c>
      <c r="AI651">
        <v>0</v>
      </c>
      <c r="AM651">
        <v>14</v>
      </c>
      <c r="AN651" s="44">
        <f t="shared" ref="AN651" si="176">X651*Y651*Z651</f>
        <v>0</v>
      </c>
      <c r="AO651" s="46">
        <v>173.0114278564659</v>
      </c>
      <c r="AP651" s="44">
        <v>0</v>
      </c>
      <c r="AQ651" s="44">
        <v>0</v>
      </c>
      <c r="AR651" s="41"/>
      <c r="AS651" s="40">
        <v>8.0919510193365449E-2</v>
      </c>
      <c r="AT651" s="41"/>
      <c r="AU651" s="41"/>
      <c r="AV651" s="23">
        <v>1.9090909090909089</v>
      </c>
      <c r="AW651" s="23">
        <v>2.545454545454545</v>
      </c>
      <c r="AX651" s="23">
        <v>0.63636363636363635</v>
      </c>
      <c r="AY651" s="23">
        <v>2.545454545454545</v>
      </c>
      <c r="AZ651" s="23">
        <v>0.25</v>
      </c>
      <c r="BA651" s="23">
        <v>0.33333333333333331</v>
      </c>
      <c r="BB651" s="23">
        <v>8.3333333333333329E-2</v>
      </c>
      <c r="BC651" s="23">
        <v>0.33333333333333331</v>
      </c>
      <c r="BD651" s="20">
        <v>0.82</v>
      </c>
      <c r="BE651" s="20">
        <v>3.44</v>
      </c>
      <c r="BF651" s="20">
        <v>2.62</v>
      </c>
      <c r="BG651" s="20">
        <v>2.6363636363636358</v>
      </c>
      <c r="BH651">
        <v>2.6363636363636371</v>
      </c>
      <c r="BI651">
        <v>6.0044088459090901</v>
      </c>
      <c r="BJ651" s="64">
        <v>0.5117218936152963</v>
      </c>
      <c r="BK651" s="64"/>
      <c r="BL651" s="64"/>
      <c r="BN651">
        <v>4.0459755096682717E-2</v>
      </c>
      <c r="BQ651">
        <v>8.0919510193365449E-2</v>
      </c>
      <c r="BR651">
        <v>4.0459755096682717E-2</v>
      </c>
      <c r="BS651">
        <v>0.5117218936152963</v>
      </c>
      <c r="BT651" s="68" t="s">
        <v>1264</v>
      </c>
      <c r="BU651" s="68">
        <v>773</v>
      </c>
      <c r="BV651" s="68">
        <v>5</v>
      </c>
      <c r="BW651" s="68" t="s">
        <v>1307</v>
      </c>
      <c r="BX651" s="68" t="s">
        <v>1268</v>
      </c>
      <c r="BY651" s="68" t="s">
        <v>863</v>
      </c>
      <c r="BZ651" s="68">
        <v>3</v>
      </c>
      <c r="CA651" s="70">
        <v>84</v>
      </c>
      <c r="CB651" s="68">
        <v>0.5</v>
      </c>
      <c r="CC651" s="68">
        <v>0</v>
      </c>
      <c r="CD651" s="68" t="s">
        <v>1439</v>
      </c>
      <c r="CE651" s="68" t="s">
        <v>464</v>
      </c>
      <c r="CF651" s="68" t="s">
        <v>1266</v>
      </c>
      <c r="CG651" s="68">
        <v>500</v>
      </c>
      <c r="CH651" s="68">
        <v>250</v>
      </c>
      <c r="CJ651" s="68">
        <v>293</v>
      </c>
      <c r="CK651" s="70">
        <v>2100</v>
      </c>
    </row>
    <row r="652" spans="1:89" x14ac:dyDescent="0.3">
      <c r="A652" t="s">
        <v>4</v>
      </c>
      <c r="B652" t="s">
        <v>4</v>
      </c>
      <c r="C652" t="s">
        <v>3921</v>
      </c>
      <c r="D652" s="12"/>
      <c r="E652">
        <v>3.22</v>
      </c>
      <c r="F652" t="s">
        <v>292</v>
      </c>
      <c r="G652" s="98" t="s">
        <v>527</v>
      </c>
      <c r="H652" t="s">
        <v>609</v>
      </c>
      <c r="M652" t="b">
        <v>1</v>
      </c>
      <c r="N652" t="b">
        <v>1</v>
      </c>
      <c r="O652" t="b">
        <v>0</v>
      </c>
      <c r="P652" t="b">
        <v>0</v>
      </c>
      <c r="Q652" t="s">
        <v>527</v>
      </c>
      <c r="R652" t="s">
        <v>609</v>
      </c>
      <c r="U652" s="20">
        <v>4</v>
      </c>
      <c r="V652">
        <v>0</v>
      </c>
      <c r="W652">
        <v>0</v>
      </c>
      <c r="AC652" s="20">
        <v>7.8084429999999996</v>
      </c>
      <c r="AD652" s="20">
        <v>7.8548809999999998</v>
      </c>
      <c r="AE652" s="20">
        <v>15.19056011</v>
      </c>
      <c r="AF652">
        <v>0</v>
      </c>
      <c r="AI652">
        <v>0</v>
      </c>
      <c r="AM652">
        <v>20</v>
      </c>
      <c r="AN652" s="44">
        <v>850</v>
      </c>
      <c r="AO652" s="46">
        <v>924.74694795000005</v>
      </c>
      <c r="AP652" s="44">
        <v>0</v>
      </c>
      <c r="AQ652" s="44">
        <v>0</v>
      </c>
      <c r="AR652" s="41">
        <f t="shared" ref="AR652:AR663" si="177">T652*AM652/AN652</f>
        <v>0</v>
      </c>
      <c r="AS652" s="40">
        <f>U652*AM652/AO652</f>
        <v>8.6510153050351563E-2</v>
      </c>
      <c r="AT652" s="41"/>
      <c r="AU652" s="41"/>
      <c r="AV652" s="23">
        <v>1.75</v>
      </c>
      <c r="AW652" s="23">
        <v>2.5</v>
      </c>
      <c r="AX652" s="23">
        <v>0.75</v>
      </c>
      <c r="AY652" s="23">
        <v>0</v>
      </c>
      <c r="AZ652" s="23">
        <v>0.35</v>
      </c>
      <c r="BA652" s="23">
        <v>0.5</v>
      </c>
      <c r="BB652" s="23">
        <v>0.15</v>
      </c>
      <c r="BC652" s="23">
        <v>0</v>
      </c>
      <c r="BD652" s="20">
        <v>0.82</v>
      </c>
      <c r="BE652" s="20">
        <v>3.44</v>
      </c>
      <c r="BF652" s="20">
        <v>2.62</v>
      </c>
      <c r="BG652" s="20">
        <v>2.6262500000000002</v>
      </c>
      <c r="BH652">
        <v>2.6262500000000002</v>
      </c>
      <c r="BI652">
        <v>5.96680968125</v>
      </c>
      <c r="BJ652" s="64">
        <v>0.50555206026575039</v>
      </c>
      <c r="BK652" s="64"/>
      <c r="BL652" s="64"/>
      <c r="BM652">
        <v>4.7058823529411757E-2</v>
      </c>
      <c r="BN652">
        <v>4.3255076525175781E-2</v>
      </c>
      <c r="BQ652">
        <v>9.0313900054587545E-2</v>
      </c>
      <c r="BR652">
        <v>4.5156950027293773E-2</v>
      </c>
      <c r="BS652">
        <v>0.50555206026575039</v>
      </c>
      <c r="BT652" s="68" t="s">
        <v>1264</v>
      </c>
      <c r="BU652" s="68">
        <v>1473</v>
      </c>
      <c r="BV652" s="68">
        <v>12</v>
      </c>
      <c r="BX652" s="68" t="s">
        <v>464</v>
      </c>
      <c r="BY652" s="68" t="s">
        <v>464</v>
      </c>
      <c r="BZ652" s="68">
        <v>0</v>
      </c>
      <c r="CB652" s="68">
        <v>1</v>
      </c>
      <c r="CC652" s="68">
        <v>20</v>
      </c>
      <c r="CD652" s="68" t="s">
        <v>464</v>
      </c>
      <c r="CE652" s="68" t="s">
        <v>464</v>
      </c>
      <c r="CF652" s="68" t="s">
        <v>1271</v>
      </c>
      <c r="CG652" s="68">
        <v>300</v>
      </c>
      <c r="CH652" s="68">
        <v>300</v>
      </c>
      <c r="CJ652" s="68">
        <v>298</v>
      </c>
    </row>
    <row r="653" spans="1:89" x14ac:dyDescent="0.3">
      <c r="A653" s="32" t="s">
        <v>991</v>
      </c>
      <c r="C653" t="s">
        <v>4205</v>
      </c>
      <c r="D653" s="12"/>
      <c r="E653">
        <v>3.1</v>
      </c>
      <c r="F653" t="s">
        <v>292</v>
      </c>
      <c r="G653" s="8">
        <v>-1</v>
      </c>
      <c r="H653">
        <v>-1</v>
      </c>
      <c r="M653" t="b">
        <v>0</v>
      </c>
      <c r="N653" t="b">
        <v>0</v>
      </c>
      <c r="O653" t="b">
        <v>0</v>
      </c>
      <c r="P653" t="b">
        <v>1</v>
      </c>
      <c r="Q653">
        <v>-1</v>
      </c>
      <c r="R653">
        <v>-1</v>
      </c>
      <c r="T653">
        <v>4</v>
      </c>
      <c r="U653" s="20">
        <v>0</v>
      </c>
      <c r="V653">
        <v>0</v>
      </c>
      <c r="W653">
        <v>0</v>
      </c>
      <c r="X653">
        <v>3.8759999999999999</v>
      </c>
      <c r="Y653">
        <v>3.8849999999999998</v>
      </c>
      <c r="Z653">
        <v>37.359000000000002</v>
      </c>
      <c r="AA653" t="s">
        <v>1175</v>
      </c>
      <c r="AB653">
        <v>18.679500000000001</v>
      </c>
      <c r="AC653" s="20">
        <v>0</v>
      </c>
      <c r="AD653" s="20"/>
      <c r="AE653" s="20"/>
      <c r="AF653">
        <v>0</v>
      </c>
      <c r="AI653">
        <v>0</v>
      </c>
      <c r="AM653">
        <v>26</v>
      </c>
      <c r="AN653" s="44">
        <v>1100</v>
      </c>
      <c r="AO653" s="46">
        <v>0</v>
      </c>
      <c r="AP653" s="44">
        <v>0</v>
      </c>
      <c r="AQ653" s="44">
        <v>0</v>
      </c>
      <c r="AR653" s="41">
        <f t="shared" si="177"/>
        <v>9.4545454545454544E-2</v>
      </c>
      <c r="AS653" s="40"/>
      <c r="AT653" s="41"/>
      <c r="AU653" s="41"/>
      <c r="AV653" s="23">
        <v>1.714285714285714</v>
      </c>
      <c r="AW653" s="23">
        <v>2.4761904761904758</v>
      </c>
      <c r="AX653" s="23">
        <v>0.76190476190476186</v>
      </c>
      <c r="AY653" s="23">
        <v>0</v>
      </c>
      <c r="AZ653" s="23">
        <v>0.34615384615384609</v>
      </c>
      <c r="BA653" s="23">
        <v>0.5</v>
      </c>
      <c r="BB653" s="23">
        <v>0.1538461538461538</v>
      </c>
      <c r="BC653" s="23">
        <v>0</v>
      </c>
      <c r="BD653" s="20">
        <v>0.82</v>
      </c>
      <c r="BE653" s="20">
        <v>3.44</v>
      </c>
      <c r="BF653" s="20">
        <v>2.62</v>
      </c>
      <c r="BG653" s="20">
        <v>2.612857142857143</v>
      </c>
      <c r="BH653">
        <v>2.612857142857143</v>
      </c>
      <c r="BI653">
        <v>5.9413964502380949</v>
      </c>
      <c r="BJ653" s="64"/>
      <c r="BK653" s="64"/>
      <c r="BL653" s="64"/>
      <c r="BM653">
        <v>4.7272727272727272E-2</v>
      </c>
      <c r="BQ653">
        <v>9.4545454545454544E-2</v>
      </c>
      <c r="BR653">
        <v>4.7272727272727272E-2</v>
      </c>
      <c r="BS653">
        <v>0</v>
      </c>
      <c r="BT653" s="68" t="s">
        <v>1264</v>
      </c>
      <c r="BU653" s="68">
        <v>1473</v>
      </c>
      <c r="BV653" s="68">
        <v>12</v>
      </c>
      <c r="BX653" s="68" t="s">
        <v>464</v>
      </c>
      <c r="BY653" s="68" t="s">
        <v>464</v>
      </c>
      <c r="BZ653" s="68">
        <v>0</v>
      </c>
      <c r="CB653" s="68">
        <v>1</v>
      </c>
      <c r="CC653" s="68">
        <v>20</v>
      </c>
      <c r="CD653" s="68" t="s">
        <v>464</v>
      </c>
      <c r="CE653" s="68" t="s">
        <v>464</v>
      </c>
      <c r="CF653" s="68" t="s">
        <v>1271</v>
      </c>
      <c r="CG653" s="68">
        <v>300</v>
      </c>
      <c r="CH653" s="68">
        <v>300</v>
      </c>
      <c r="CJ653" s="68">
        <v>298</v>
      </c>
      <c r="CK653" s="70">
        <v>6750</v>
      </c>
    </row>
    <row r="654" spans="1:89" x14ac:dyDescent="0.3">
      <c r="A654" s="4" t="s">
        <v>992</v>
      </c>
      <c r="C654" t="s">
        <v>4206</v>
      </c>
      <c r="D654" s="29"/>
      <c r="E654" s="4">
        <v>3.08</v>
      </c>
      <c r="F654" s="4" t="s">
        <v>292</v>
      </c>
      <c r="G654" s="30">
        <v>-2</v>
      </c>
      <c r="H654" s="4">
        <v>-1</v>
      </c>
      <c r="I654" s="4"/>
      <c r="J654" s="4"/>
      <c r="K654" s="4"/>
      <c r="L654" s="4"/>
      <c r="M654" t="b">
        <v>0</v>
      </c>
      <c r="N654" t="b">
        <v>0</v>
      </c>
      <c r="O654" t="b">
        <v>0</v>
      </c>
      <c r="P654" t="b">
        <v>1</v>
      </c>
      <c r="Q654">
        <v>-2</v>
      </c>
      <c r="R654">
        <v>-1</v>
      </c>
      <c r="T654" s="4"/>
      <c r="U654" s="31">
        <v>0</v>
      </c>
      <c r="V654">
        <v>0</v>
      </c>
      <c r="W654">
        <v>0</v>
      </c>
      <c r="X654" s="4"/>
      <c r="Y654" s="4"/>
      <c r="Z654" s="4"/>
      <c r="AA654" s="4"/>
      <c r="AB654" s="4"/>
      <c r="AC654" s="31">
        <v>0</v>
      </c>
      <c r="AD654" s="31"/>
      <c r="AE654" s="31"/>
      <c r="AF654">
        <v>0</v>
      </c>
      <c r="AI654">
        <v>0</v>
      </c>
      <c r="AL654" s="4"/>
      <c r="AM654" s="4">
        <v>32</v>
      </c>
      <c r="AN654" s="44">
        <v>1350</v>
      </c>
      <c r="AO654" s="46">
        <v>0</v>
      </c>
      <c r="AP654" s="44">
        <v>0</v>
      </c>
      <c r="AQ654" s="44">
        <v>0</v>
      </c>
      <c r="AR654" s="41">
        <f t="shared" si="177"/>
        <v>0</v>
      </c>
      <c r="AS654" s="40"/>
      <c r="AT654" s="41"/>
      <c r="AU654" s="41"/>
      <c r="AV654" s="4">
        <v>1.6923076923076921</v>
      </c>
      <c r="AW654" s="4">
        <v>2.4615384615384621</v>
      </c>
      <c r="AX654" s="4">
        <v>0.76923076923076927</v>
      </c>
      <c r="AY654" s="4">
        <v>0</v>
      </c>
      <c r="AZ654" s="4">
        <v>0.34375</v>
      </c>
      <c r="BA654" s="4">
        <v>0.5</v>
      </c>
      <c r="BB654" s="4">
        <v>0.15625</v>
      </c>
      <c r="BC654" s="4">
        <v>0</v>
      </c>
      <c r="BD654" s="31">
        <v>0.82</v>
      </c>
      <c r="BE654" s="31">
        <v>3.44</v>
      </c>
      <c r="BF654" s="31">
        <v>2.62</v>
      </c>
      <c r="BG654" s="31">
        <v>2.6046153846153852</v>
      </c>
      <c r="BH654" s="4">
        <v>2.6046153846153852</v>
      </c>
      <c r="BI654" s="4">
        <v>5.9257575388461543</v>
      </c>
      <c r="BJ654" s="64"/>
      <c r="BK654" s="64"/>
      <c r="BL654" s="64"/>
      <c r="BM654">
        <v>4.7407407407407412E-2</v>
      </c>
      <c r="BQ654">
        <v>9.481481481481481E-2</v>
      </c>
      <c r="BR654">
        <v>4.7407407407407412E-2</v>
      </c>
      <c r="BS654">
        <v>0</v>
      </c>
      <c r="BT654" s="68" t="s">
        <v>1264</v>
      </c>
      <c r="BU654" s="68">
        <v>1473</v>
      </c>
      <c r="BV654" s="68">
        <v>12</v>
      </c>
      <c r="BX654" s="68" t="s">
        <v>464</v>
      </c>
      <c r="BY654" s="68" t="s">
        <v>464</v>
      </c>
      <c r="BZ654" s="68">
        <v>0</v>
      </c>
      <c r="CB654" s="68">
        <v>1</v>
      </c>
      <c r="CC654" s="68">
        <v>20</v>
      </c>
      <c r="CD654" s="68" t="s">
        <v>464</v>
      </c>
      <c r="CE654" s="68" t="s">
        <v>464</v>
      </c>
      <c r="CF654" s="68" t="s">
        <v>1271</v>
      </c>
      <c r="CG654" s="68">
        <v>300</v>
      </c>
      <c r="CH654" s="68">
        <v>300</v>
      </c>
      <c r="CJ654" s="68">
        <v>298</v>
      </c>
    </row>
    <row r="655" spans="1:89" x14ac:dyDescent="0.3">
      <c r="A655" s="4" t="s">
        <v>993</v>
      </c>
      <c r="C655" t="s">
        <v>4207</v>
      </c>
      <c r="D655" s="29"/>
      <c r="E655" s="4">
        <v>3.06</v>
      </c>
      <c r="F655" s="4" t="s">
        <v>292</v>
      </c>
      <c r="G655" s="30">
        <v>-2</v>
      </c>
      <c r="H655" s="4">
        <v>-1</v>
      </c>
      <c r="I655" s="4"/>
      <c r="J655" s="4"/>
      <c r="K655" s="4"/>
      <c r="L655" s="4"/>
      <c r="M655" t="b">
        <v>0</v>
      </c>
      <c r="N655" t="b">
        <v>0</v>
      </c>
      <c r="O655" t="b">
        <v>0</v>
      </c>
      <c r="P655" t="b">
        <v>1</v>
      </c>
      <c r="Q655">
        <v>-2</v>
      </c>
      <c r="R655">
        <v>-1</v>
      </c>
      <c r="T655" s="4"/>
      <c r="U655" s="31">
        <v>0</v>
      </c>
      <c r="V655">
        <v>0</v>
      </c>
      <c r="W655">
        <v>0</v>
      </c>
      <c r="X655" s="4"/>
      <c r="Y655" s="4"/>
      <c r="Z655" s="4"/>
      <c r="AA655" s="4"/>
      <c r="AB655" s="4"/>
      <c r="AC655" s="31">
        <v>0</v>
      </c>
      <c r="AD655" s="31"/>
      <c r="AE655" s="31"/>
      <c r="AF655">
        <v>0</v>
      </c>
      <c r="AI655">
        <v>0</v>
      </c>
      <c r="AL655" s="4"/>
      <c r="AM655" s="4">
        <v>38</v>
      </c>
      <c r="AN655" s="44">
        <v>1600</v>
      </c>
      <c r="AO655" s="46">
        <v>0</v>
      </c>
      <c r="AP655" s="44">
        <v>0</v>
      </c>
      <c r="AQ655" s="44">
        <v>0</v>
      </c>
      <c r="AR655" s="41">
        <f t="shared" si="177"/>
        <v>0</v>
      </c>
      <c r="AS655" s="40"/>
      <c r="AT655" s="41"/>
      <c r="AU655" s="41"/>
      <c r="AV655" s="4">
        <v>1.67741935483871</v>
      </c>
      <c r="AW655" s="4">
        <v>2.4516129032258061</v>
      </c>
      <c r="AX655" s="4">
        <v>0.77419354838709675</v>
      </c>
      <c r="AY655" s="4">
        <v>0</v>
      </c>
      <c r="AZ655" s="4">
        <v>0.34210526315789469</v>
      </c>
      <c r="BA655" s="4">
        <v>0.5</v>
      </c>
      <c r="BB655" s="4">
        <v>0.15789473684210531</v>
      </c>
      <c r="BC655" s="4">
        <v>0</v>
      </c>
      <c r="BD655" s="31">
        <v>0.82</v>
      </c>
      <c r="BE655" s="31">
        <v>3.44</v>
      </c>
      <c r="BF655" s="31">
        <v>2.62</v>
      </c>
      <c r="BG655" s="31">
        <v>2.5990322580645162</v>
      </c>
      <c r="BH655" s="4">
        <v>2.5990322580645162</v>
      </c>
      <c r="BI655" s="4">
        <v>5.9151634375806452</v>
      </c>
      <c r="BJ655" s="64"/>
      <c r="BK655" s="64"/>
      <c r="BL655" s="64"/>
      <c r="BM655">
        <v>4.7500000000000001E-2</v>
      </c>
      <c r="BQ655">
        <v>9.5000000000000001E-2</v>
      </c>
      <c r="BR655">
        <v>4.7500000000000001E-2</v>
      </c>
      <c r="BS655">
        <v>0</v>
      </c>
      <c r="BT655" s="68" t="s">
        <v>1264</v>
      </c>
      <c r="BU655" s="68">
        <v>1473</v>
      </c>
      <c r="BV655" s="68">
        <v>12</v>
      </c>
      <c r="BX655" s="68" t="s">
        <v>464</v>
      </c>
      <c r="BY655" s="68" t="s">
        <v>464</v>
      </c>
      <c r="BZ655" s="68">
        <v>0</v>
      </c>
      <c r="CB655" s="68">
        <v>1</v>
      </c>
      <c r="CC655" s="68">
        <v>20</v>
      </c>
      <c r="CD655" s="68" t="s">
        <v>464</v>
      </c>
      <c r="CE655" s="68" t="s">
        <v>464</v>
      </c>
      <c r="CF655" s="68" t="s">
        <v>1271</v>
      </c>
      <c r="CG655" s="68">
        <v>300</v>
      </c>
      <c r="CH655" s="68">
        <v>300</v>
      </c>
      <c r="CJ655" s="68">
        <v>298</v>
      </c>
    </row>
    <row r="656" spans="1:89" x14ac:dyDescent="0.3">
      <c r="A656" s="34" t="s">
        <v>63</v>
      </c>
      <c r="B656" t="s">
        <v>4</v>
      </c>
      <c r="C656" t="s">
        <v>3928</v>
      </c>
      <c r="D656" s="12"/>
      <c r="E656">
        <v>3.59</v>
      </c>
      <c r="F656" t="s">
        <v>295</v>
      </c>
      <c r="G656" s="98" t="s">
        <v>527</v>
      </c>
      <c r="H656" t="s">
        <v>609</v>
      </c>
      <c r="I656" t="s">
        <v>1179</v>
      </c>
      <c r="J656" t="s">
        <v>1726</v>
      </c>
      <c r="K656" t="s">
        <v>1726</v>
      </c>
      <c r="M656" t="b">
        <v>1</v>
      </c>
      <c r="N656" t="b">
        <v>1</v>
      </c>
      <c r="O656" t="b">
        <v>0</v>
      </c>
      <c r="P656" t="b">
        <v>0</v>
      </c>
      <c r="Q656" t="s">
        <v>2207</v>
      </c>
      <c r="R656" t="s">
        <v>2284</v>
      </c>
      <c r="S656" t="s">
        <v>1179</v>
      </c>
      <c r="T656">
        <v>1</v>
      </c>
      <c r="U656" s="20">
        <v>1</v>
      </c>
      <c r="V656">
        <v>0</v>
      </c>
      <c r="W656">
        <v>1</v>
      </c>
      <c r="X656" s="20">
        <v>3.86</v>
      </c>
      <c r="Y656" s="20">
        <v>3.86</v>
      </c>
      <c r="Z656">
        <v>14.995541551467477</v>
      </c>
      <c r="AB656">
        <v>14.995541551467477</v>
      </c>
      <c r="AC656" s="20">
        <v>3.86</v>
      </c>
      <c r="AD656" s="20">
        <v>3.86</v>
      </c>
      <c r="AE656" s="20">
        <v>14.97</v>
      </c>
      <c r="AF656">
        <v>3.8504999999999998</v>
      </c>
      <c r="AG656">
        <v>3.8504999999999998</v>
      </c>
      <c r="AH656">
        <v>14.379</v>
      </c>
      <c r="AM656">
        <v>20</v>
      </c>
      <c r="AN656" s="44">
        <f t="shared" si="135"/>
        <v>223.4275709002448</v>
      </c>
      <c r="AO656" s="46">
        <v>0</v>
      </c>
      <c r="AP656" s="44"/>
      <c r="AQ656" s="44">
        <v>213.2</v>
      </c>
      <c r="AR656" s="41">
        <f t="shared" si="177"/>
        <v>8.9514467348031701E-2</v>
      </c>
      <c r="AS656" s="40"/>
      <c r="AT656" s="41"/>
      <c r="AU656" s="56">
        <f>W656*AM656/AQ656</f>
        <v>9.3808630393996256E-2</v>
      </c>
      <c r="AV656" s="23">
        <v>1.75</v>
      </c>
      <c r="AW656" s="23">
        <v>2.5</v>
      </c>
      <c r="AX656" s="23">
        <v>0.75</v>
      </c>
      <c r="AY656" s="23">
        <v>0</v>
      </c>
      <c r="AZ656" s="23">
        <v>0.35</v>
      </c>
      <c r="BA656" s="23">
        <v>0.5</v>
      </c>
      <c r="BB656" s="23">
        <v>0.15</v>
      </c>
      <c r="BC656" s="23">
        <v>0</v>
      </c>
      <c r="BD656" s="20">
        <v>1</v>
      </c>
      <c r="BE656" s="20">
        <v>3.44</v>
      </c>
      <c r="BF656" s="20">
        <v>2.44</v>
      </c>
      <c r="BG656" s="20">
        <v>2.7124999999999999</v>
      </c>
      <c r="BH656">
        <v>2.7124999999999999</v>
      </c>
      <c r="BI656">
        <v>6.264025610615688</v>
      </c>
      <c r="BJ656" s="64"/>
      <c r="BK656" s="64"/>
      <c r="BL656" s="64">
        <v>0</v>
      </c>
      <c r="BM656">
        <v>4.4757233674015851E-2</v>
      </c>
      <c r="BN656" t="s">
        <v>459</v>
      </c>
      <c r="BP656">
        <v>4.6904315196998128E-2</v>
      </c>
      <c r="BQ656">
        <v>9.1661548871013979E-2</v>
      </c>
      <c r="BR656" t="s">
        <v>459</v>
      </c>
      <c r="BS656">
        <v>0</v>
      </c>
      <c r="BT656" s="68" t="s">
        <v>1305</v>
      </c>
      <c r="BU656" s="68">
        <v>1273</v>
      </c>
      <c r="BV656" s="68">
        <v>2</v>
      </c>
      <c r="BX656" s="68" t="s">
        <v>1268</v>
      </c>
      <c r="BY656" s="68" t="s">
        <v>863</v>
      </c>
      <c r="BZ656" s="68">
        <v>0.5</v>
      </c>
      <c r="CA656" s="68">
        <v>48</v>
      </c>
      <c r="CB656" s="68">
        <v>0.25</v>
      </c>
      <c r="CC656" s="68">
        <v>10</v>
      </c>
      <c r="CD656" s="68" t="s">
        <v>464</v>
      </c>
      <c r="CE656" s="68" t="s">
        <v>464</v>
      </c>
      <c r="CF656" s="68" t="s">
        <v>1271</v>
      </c>
      <c r="CG656" s="68">
        <v>300</v>
      </c>
      <c r="CH656" s="68">
        <v>300</v>
      </c>
      <c r="CI656" s="68" t="s">
        <v>1310</v>
      </c>
      <c r="CJ656" s="68">
        <v>293</v>
      </c>
      <c r="CK656" s="70">
        <v>240</v>
      </c>
    </row>
    <row r="657" spans="1:89" x14ac:dyDescent="0.3">
      <c r="A657" t="s">
        <v>296</v>
      </c>
      <c r="B657" t="s">
        <v>4</v>
      </c>
      <c r="C657" t="s">
        <v>4208</v>
      </c>
      <c r="D657" s="12"/>
      <c r="E657">
        <v>3.55</v>
      </c>
      <c r="F657" t="s">
        <v>295</v>
      </c>
      <c r="G657" s="98" t="s">
        <v>527</v>
      </c>
      <c r="H657" t="s">
        <v>609</v>
      </c>
      <c r="J657" t="s">
        <v>1837</v>
      </c>
      <c r="M657" t="b">
        <v>1</v>
      </c>
      <c r="N657" t="b">
        <v>0</v>
      </c>
      <c r="O657" t="b">
        <v>0</v>
      </c>
      <c r="P657" t="b">
        <v>0</v>
      </c>
      <c r="Q657" t="s">
        <v>2209</v>
      </c>
      <c r="R657" t="s">
        <v>609</v>
      </c>
      <c r="T657">
        <v>1</v>
      </c>
      <c r="U657" s="20">
        <v>1</v>
      </c>
      <c r="V657">
        <v>0</v>
      </c>
      <c r="W657">
        <v>0</v>
      </c>
      <c r="X657" s="20">
        <v>3.86</v>
      </c>
      <c r="Y657" s="20">
        <v>3.86</v>
      </c>
      <c r="Z657">
        <v>15.615511227317649</v>
      </c>
      <c r="AB657">
        <v>15.615511227317649</v>
      </c>
      <c r="AC657" s="20">
        <v>3.86</v>
      </c>
      <c r="AD657" s="20">
        <v>3.86</v>
      </c>
      <c r="AE657" s="20">
        <f>(AE656+AE658)/2</f>
        <v>15.342750000000001</v>
      </c>
      <c r="AF657">
        <v>0</v>
      </c>
      <c r="AM657">
        <v>20</v>
      </c>
      <c r="AN657" s="44">
        <f t="shared" si="135"/>
        <v>232.66487108254202</v>
      </c>
      <c r="AO657" s="46">
        <v>0</v>
      </c>
      <c r="AP657" s="44"/>
      <c r="AQ657" s="44"/>
      <c r="AR657" s="41">
        <f t="shared" si="177"/>
        <v>8.5960548779642126E-2</v>
      </c>
      <c r="AS657" s="40"/>
      <c r="AT657" s="41"/>
      <c r="AU657" s="41"/>
      <c r="AV657" s="23">
        <v>1.75</v>
      </c>
      <c r="AW657" s="23">
        <v>2.5</v>
      </c>
      <c r="AX657" s="23">
        <v>0.75</v>
      </c>
      <c r="AY657" s="23">
        <v>0</v>
      </c>
      <c r="AZ657" s="23">
        <v>0.35</v>
      </c>
      <c r="BA657" s="23">
        <v>0.5</v>
      </c>
      <c r="BB657" s="23">
        <v>0.15</v>
      </c>
      <c r="BC657" s="23">
        <v>0</v>
      </c>
      <c r="BD657" s="20">
        <v>0.95</v>
      </c>
      <c r="BE657" s="20">
        <v>3.44</v>
      </c>
      <c r="BF657" s="20">
        <v>2.4900000000000002</v>
      </c>
      <c r="BG657" s="20">
        <v>2.7109375</v>
      </c>
      <c r="BH657">
        <v>2.7109375</v>
      </c>
      <c r="BI657">
        <v>6.2579197821781882</v>
      </c>
      <c r="BJ657" s="64"/>
      <c r="BK657" s="64"/>
      <c r="BL657" s="64"/>
      <c r="BM657">
        <v>4.2980274389821063E-2</v>
      </c>
      <c r="BN657" t="s">
        <v>459</v>
      </c>
      <c r="BQ657">
        <v>8.5960548779642126E-2</v>
      </c>
      <c r="BR657" t="s">
        <v>459</v>
      </c>
      <c r="BS657">
        <v>0</v>
      </c>
      <c r="BT657" s="68" t="s">
        <v>1305</v>
      </c>
      <c r="BU657" s="68">
        <v>1273</v>
      </c>
      <c r="BV657" s="68">
        <v>2</v>
      </c>
      <c r="BX657" s="68" t="s">
        <v>1268</v>
      </c>
      <c r="BY657" s="68" t="s">
        <v>863</v>
      </c>
      <c r="BZ657" s="68">
        <v>0.5</v>
      </c>
      <c r="CA657" s="68">
        <v>47</v>
      </c>
      <c r="CB657" s="68">
        <v>0.25</v>
      </c>
      <c r="CC657" s="68">
        <v>10</v>
      </c>
      <c r="CD657" s="68" t="s">
        <v>464</v>
      </c>
      <c r="CE657" s="68" t="s">
        <v>464</v>
      </c>
      <c r="CF657" s="68" t="s">
        <v>1271</v>
      </c>
      <c r="CG657" s="68">
        <v>300</v>
      </c>
      <c r="CH657" s="68">
        <v>300</v>
      </c>
      <c r="CI657" s="68" t="s">
        <v>1310</v>
      </c>
      <c r="CJ657" s="68">
        <v>293</v>
      </c>
      <c r="CK657" s="70">
        <v>183.99999999999997</v>
      </c>
    </row>
    <row r="658" spans="1:89" x14ac:dyDescent="0.3">
      <c r="A658" t="s">
        <v>297</v>
      </c>
      <c r="B658" t="s">
        <v>4</v>
      </c>
      <c r="C658" t="s">
        <v>4209</v>
      </c>
      <c r="D658" s="12"/>
      <c r="E658">
        <v>3.5</v>
      </c>
      <c r="F658" t="s">
        <v>295</v>
      </c>
      <c r="G658" s="98" t="s">
        <v>527</v>
      </c>
      <c r="H658" t="s">
        <v>609</v>
      </c>
      <c r="J658" t="s">
        <v>1838</v>
      </c>
      <c r="M658" t="b">
        <v>1</v>
      </c>
      <c r="N658" t="b">
        <v>0</v>
      </c>
      <c r="O658" t="b">
        <v>0</v>
      </c>
      <c r="P658" t="b">
        <v>0</v>
      </c>
      <c r="Q658" t="s">
        <v>2210</v>
      </c>
      <c r="R658" t="s">
        <v>609</v>
      </c>
      <c r="T658">
        <v>1</v>
      </c>
      <c r="U658" s="20">
        <v>1</v>
      </c>
      <c r="V658">
        <v>0</v>
      </c>
      <c r="W658">
        <v>0</v>
      </c>
      <c r="X658" s="20">
        <v>3.86</v>
      </c>
      <c r="Y658" s="20">
        <v>3.86</v>
      </c>
      <c r="Z658">
        <v>15.994210692250023</v>
      </c>
      <c r="AB658">
        <v>15.994210692250023</v>
      </c>
      <c r="AC658" s="20">
        <v>3.86</v>
      </c>
      <c r="AD658" s="20">
        <v>3.86</v>
      </c>
      <c r="AE658" s="20">
        <v>15.7155</v>
      </c>
      <c r="AF658">
        <v>0</v>
      </c>
      <c r="AI658">
        <v>0</v>
      </c>
      <c r="AM658">
        <v>20</v>
      </c>
      <c r="AN658" s="44">
        <f t="shared" si="135"/>
        <v>238.30734163024843</v>
      </c>
      <c r="AO658" s="46">
        <v>0</v>
      </c>
      <c r="AP658" s="44"/>
      <c r="AQ658" s="44">
        <v>0</v>
      </c>
      <c r="AR658" s="41">
        <f t="shared" si="177"/>
        <v>8.3925236474801893E-2</v>
      </c>
      <c r="AS658" s="40"/>
      <c r="AT658" s="41"/>
      <c r="AU658" s="41"/>
      <c r="AV658" s="23">
        <v>1.75</v>
      </c>
      <c r="AW658" s="23">
        <v>2.5</v>
      </c>
      <c r="AX658" s="23">
        <v>0.75</v>
      </c>
      <c r="AY658" s="23">
        <v>0</v>
      </c>
      <c r="AZ658" s="23">
        <v>0.35</v>
      </c>
      <c r="BA658" s="23">
        <v>0.5</v>
      </c>
      <c r="BB658" s="23">
        <v>0.15</v>
      </c>
      <c r="BC658" s="23">
        <v>0</v>
      </c>
      <c r="BD658" s="20">
        <v>0.95</v>
      </c>
      <c r="BE658" s="20">
        <v>3.44</v>
      </c>
      <c r="BF658" s="20">
        <v>2.4900000000000002</v>
      </c>
      <c r="BG658" s="20">
        <v>2.7093750000000001</v>
      </c>
      <c r="BH658">
        <v>2.7093750000000001</v>
      </c>
      <c r="BI658">
        <v>6.2518139537406876</v>
      </c>
      <c r="BJ658" s="64"/>
      <c r="BK658" s="64"/>
      <c r="BL658" s="64"/>
      <c r="BM658">
        <v>4.1962618237400953E-2</v>
      </c>
      <c r="BN658" t="s">
        <v>459</v>
      </c>
      <c r="BQ658">
        <v>8.3925236474801893E-2</v>
      </c>
      <c r="BR658" t="s">
        <v>459</v>
      </c>
      <c r="BS658">
        <v>0</v>
      </c>
      <c r="BT658" s="68" t="s">
        <v>1305</v>
      </c>
      <c r="BU658" s="68">
        <v>1273</v>
      </c>
      <c r="BV658" s="68">
        <v>2</v>
      </c>
      <c r="BX658" s="68" t="s">
        <v>1268</v>
      </c>
      <c r="BY658" s="68" t="s">
        <v>863</v>
      </c>
      <c r="BZ658" s="68">
        <v>0.5</v>
      </c>
      <c r="CA658" s="68">
        <v>58</v>
      </c>
      <c r="CB658" s="68">
        <v>0.25</v>
      </c>
      <c r="CC658" s="68">
        <v>10</v>
      </c>
      <c r="CD658" s="68" t="s">
        <v>464</v>
      </c>
      <c r="CE658" s="68" t="s">
        <v>464</v>
      </c>
      <c r="CF658" s="68" t="s">
        <v>1271</v>
      </c>
      <c r="CG658" s="68">
        <v>300</v>
      </c>
      <c r="CH658" s="68">
        <v>300</v>
      </c>
      <c r="CI658" s="68" t="s">
        <v>1310</v>
      </c>
      <c r="CJ658" s="68">
        <v>293</v>
      </c>
      <c r="CK658" s="70">
        <v>176</v>
      </c>
    </row>
    <row r="659" spans="1:89" x14ac:dyDescent="0.3">
      <c r="A659" t="s">
        <v>298</v>
      </c>
      <c r="B659" t="s">
        <v>4</v>
      </c>
      <c r="C659" t="s">
        <v>4210</v>
      </c>
      <c r="D659" s="12"/>
      <c r="E659">
        <v>3.45</v>
      </c>
      <c r="F659" t="s">
        <v>295</v>
      </c>
      <c r="G659" s="98" t="s">
        <v>527</v>
      </c>
      <c r="H659" t="s">
        <v>609</v>
      </c>
      <c r="J659" t="s">
        <v>1839</v>
      </c>
      <c r="M659" t="b">
        <v>1</v>
      </c>
      <c r="N659" t="b">
        <v>0</v>
      </c>
      <c r="O659" t="b">
        <v>0</v>
      </c>
      <c r="P659" t="b">
        <v>0</v>
      </c>
      <c r="Q659" t="s">
        <v>2211</v>
      </c>
      <c r="R659" t="s">
        <v>609</v>
      </c>
      <c r="T659">
        <v>1</v>
      </c>
      <c r="U659" s="20">
        <v>1</v>
      </c>
      <c r="V659">
        <v>0</v>
      </c>
      <c r="W659">
        <v>0</v>
      </c>
      <c r="X659" s="20">
        <v>3.86</v>
      </c>
      <c r="Y659" s="20">
        <v>3.86</v>
      </c>
      <c r="Z659">
        <v>16.28902613653251</v>
      </c>
      <c r="AB659">
        <v>16.28902613653251</v>
      </c>
      <c r="AC659" s="20">
        <v>3.86</v>
      </c>
      <c r="AD659" s="20">
        <v>3.86</v>
      </c>
      <c r="AE659" s="20">
        <v>16.312000000000001</v>
      </c>
      <c r="AF659">
        <v>0</v>
      </c>
      <c r="AI659">
        <v>0</v>
      </c>
      <c r="AM659">
        <v>20</v>
      </c>
      <c r="AN659" s="44">
        <f t="shared" si="135"/>
        <v>242.69997382387976</v>
      </c>
      <c r="AO659" s="46">
        <v>0</v>
      </c>
      <c r="AP659" s="44"/>
      <c r="AQ659" s="44">
        <v>0</v>
      </c>
      <c r="AR659" s="41">
        <f t="shared" si="177"/>
        <v>8.2406271763809144E-2</v>
      </c>
      <c r="AS659" s="40"/>
      <c r="AT659" s="41"/>
      <c r="AU659" s="41"/>
      <c r="AV659" s="23">
        <v>1.75</v>
      </c>
      <c r="AW659" s="23">
        <v>2.5</v>
      </c>
      <c r="AX659" s="23">
        <v>0.75</v>
      </c>
      <c r="AY659" s="23">
        <v>0</v>
      </c>
      <c r="AZ659" s="23">
        <v>0.35</v>
      </c>
      <c r="BA659" s="23">
        <v>0.5</v>
      </c>
      <c r="BB659" s="23">
        <v>0.15</v>
      </c>
      <c r="BC659" s="23">
        <v>0</v>
      </c>
      <c r="BD659" s="20">
        <v>0.95</v>
      </c>
      <c r="BE659" s="20">
        <v>3.44</v>
      </c>
      <c r="BF659" s="20">
        <v>2.4900000000000002</v>
      </c>
      <c r="BG659" s="20">
        <v>2.7078125000000002</v>
      </c>
      <c r="BH659">
        <v>2.7078125000000002</v>
      </c>
      <c r="BI659">
        <v>6.245708125303187</v>
      </c>
      <c r="BJ659" s="64"/>
      <c r="BK659" s="64"/>
      <c r="BL659" s="64"/>
      <c r="BM659">
        <v>4.1203135881904572E-2</v>
      </c>
      <c r="BN659" t="s">
        <v>459</v>
      </c>
      <c r="BQ659">
        <v>8.2406271763809144E-2</v>
      </c>
      <c r="BR659" t="s">
        <v>459</v>
      </c>
      <c r="BS659">
        <v>0</v>
      </c>
      <c r="BT659" s="68" t="s">
        <v>1305</v>
      </c>
      <c r="BU659" s="68">
        <v>1273</v>
      </c>
      <c r="BV659" s="68">
        <v>2</v>
      </c>
      <c r="BX659" s="68" t="s">
        <v>1268</v>
      </c>
      <c r="BY659" s="68" t="s">
        <v>863</v>
      </c>
      <c r="BZ659" s="68">
        <v>0.5</v>
      </c>
      <c r="CA659" s="68">
        <v>50</v>
      </c>
      <c r="CB659" s="68">
        <v>0.25</v>
      </c>
      <c r="CC659" s="68">
        <v>10</v>
      </c>
      <c r="CD659" s="68" t="s">
        <v>464</v>
      </c>
      <c r="CE659" s="68" t="s">
        <v>464</v>
      </c>
      <c r="CF659" s="68" t="s">
        <v>1271</v>
      </c>
      <c r="CG659" s="68">
        <v>300</v>
      </c>
      <c r="CH659" s="68">
        <v>300</v>
      </c>
      <c r="CI659" s="68" t="s">
        <v>1310</v>
      </c>
      <c r="CJ659" s="68">
        <v>293</v>
      </c>
      <c r="CK659" s="70">
        <v>156</v>
      </c>
    </row>
    <row r="660" spans="1:89" x14ac:dyDescent="0.3">
      <c r="A660" t="s">
        <v>151</v>
      </c>
      <c r="B660" t="s">
        <v>4</v>
      </c>
      <c r="C660" t="s">
        <v>3929</v>
      </c>
      <c r="D660" s="12"/>
      <c r="E660">
        <v>3.4</v>
      </c>
      <c r="F660" t="s">
        <v>295</v>
      </c>
      <c r="G660" s="99" t="s">
        <v>587</v>
      </c>
      <c r="H660" s="58">
        <v>1522043</v>
      </c>
      <c r="J660" t="s">
        <v>1730</v>
      </c>
      <c r="K660" t="s">
        <v>1730</v>
      </c>
      <c r="M660" t="b">
        <v>1</v>
      </c>
      <c r="N660" t="b">
        <v>1</v>
      </c>
      <c r="O660" t="b">
        <v>0</v>
      </c>
      <c r="P660" t="b">
        <v>0</v>
      </c>
      <c r="Q660" t="s">
        <v>2212</v>
      </c>
      <c r="R660" t="s">
        <v>2285</v>
      </c>
      <c r="T660">
        <v>1</v>
      </c>
      <c r="U660" s="20">
        <v>1</v>
      </c>
      <c r="V660">
        <v>0</v>
      </c>
      <c r="W660">
        <v>0</v>
      </c>
      <c r="X660" s="20">
        <v>3.86</v>
      </c>
      <c r="Y660" s="20">
        <v>3.86</v>
      </c>
      <c r="Z660">
        <v>17.505628149549622</v>
      </c>
      <c r="AB660">
        <v>17.505628149549622</v>
      </c>
      <c r="AC660" s="20">
        <v>3.86</v>
      </c>
      <c r="AD660" s="20">
        <v>3.86</v>
      </c>
      <c r="AE660" s="20">
        <v>17.599</v>
      </c>
      <c r="AF660">
        <v>0</v>
      </c>
      <c r="AI660">
        <v>0</v>
      </c>
      <c r="AM660">
        <v>20</v>
      </c>
      <c r="AN660" s="44">
        <f t="shared" si="135"/>
        <v>260.82685717702952</v>
      </c>
      <c r="AO660" s="46">
        <v>0</v>
      </c>
      <c r="AP660" s="44"/>
      <c r="AQ660" s="44">
        <v>0</v>
      </c>
      <c r="AR660" s="41">
        <f t="shared" si="177"/>
        <v>7.667922014037655E-2</v>
      </c>
      <c r="AS660" s="40"/>
      <c r="AT660" s="41"/>
      <c r="AU660" s="41"/>
      <c r="AV660" s="23">
        <v>1.75</v>
      </c>
      <c r="AW660" s="23">
        <v>2.5</v>
      </c>
      <c r="AX660" s="23">
        <v>0.75</v>
      </c>
      <c r="AY660" s="23">
        <v>0</v>
      </c>
      <c r="AZ660" s="23">
        <v>0.35</v>
      </c>
      <c r="BA660" s="23">
        <v>0.5</v>
      </c>
      <c r="BB660" s="23">
        <v>0.15</v>
      </c>
      <c r="BC660" s="23">
        <v>0</v>
      </c>
      <c r="BD660" s="20">
        <v>0.95</v>
      </c>
      <c r="BE660" s="20">
        <v>3.44</v>
      </c>
      <c r="BF660" s="20">
        <v>2.4900000000000002</v>
      </c>
      <c r="BG660" s="20">
        <v>2.7062499999999998</v>
      </c>
      <c r="BH660">
        <v>2.7062499999999998</v>
      </c>
      <c r="BI660">
        <v>6.2396022968656872</v>
      </c>
      <c r="BJ660" s="64"/>
      <c r="BK660" s="64"/>
      <c r="BL660" s="64"/>
      <c r="BM660">
        <v>3.8339610070188268E-2</v>
      </c>
      <c r="BN660" t="s">
        <v>459</v>
      </c>
      <c r="BQ660">
        <v>7.667922014037655E-2</v>
      </c>
      <c r="BR660" t="s">
        <v>459</v>
      </c>
      <c r="BS660">
        <v>0</v>
      </c>
      <c r="BT660" s="68" t="s">
        <v>1305</v>
      </c>
      <c r="BU660" s="68">
        <v>1273</v>
      </c>
      <c r="BV660" s="68">
        <v>2</v>
      </c>
      <c r="BX660" s="68" t="s">
        <v>1268</v>
      </c>
      <c r="BY660" s="68" t="s">
        <v>863</v>
      </c>
      <c r="BZ660" s="68">
        <v>0.5</v>
      </c>
      <c r="CA660" s="68">
        <v>65</v>
      </c>
      <c r="CB660" s="68">
        <v>0.25</v>
      </c>
      <c r="CC660" s="68">
        <v>10</v>
      </c>
      <c r="CD660" s="68" t="s">
        <v>464</v>
      </c>
      <c r="CE660" s="68" t="s">
        <v>464</v>
      </c>
      <c r="CF660" s="68" t="s">
        <v>1271</v>
      </c>
      <c r="CG660" s="68">
        <v>300</v>
      </c>
      <c r="CH660" s="68">
        <v>300</v>
      </c>
      <c r="CI660" s="68" t="s">
        <v>1310</v>
      </c>
      <c r="CJ660" s="68">
        <v>293</v>
      </c>
      <c r="CK660" s="70">
        <v>183.99999999999997</v>
      </c>
    </row>
    <row r="661" spans="1:89" x14ac:dyDescent="0.3">
      <c r="A661" t="s">
        <v>299</v>
      </c>
      <c r="B661" t="s">
        <v>4</v>
      </c>
      <c r="C661" t="s">
        <v>4211</v>
      </c>
      <c r="D661" s="12"/>
      <c r="E661">
        <v>3.65</v>
      </c>
      <c r="F661" t="s">
        <v>295</v>
      </c>
      <c r="G661" s="8" t="s">
        <v>527</v>
      </c>
      <c r="H661" t="s">
        <v>609</v>
      </c>
      <c r="J661" t="s">
        <v>2245</v>
      </c>
      <c r="K661" t="s">
        <v>2245</v>
      </c>
      <c r="M661" t="b">
        <v>1</v>
      </c>
      <c r="N661" t="b">
        <v>1</v>
      </c>
      <c r="O661" t="b">
        <v>0</v>
      </c>
      <c r="P661" t="b">
        <v>0</v>
      </c>
      <c r="Q661" t="s">
        <v>2213</v>
      </c>
      <c r="R661" t="s">
        <v>2286</v>
      </c>
      <c r="T661">
        <v>1</v>
      </c>
      <c r="U661" s="20">
        <v>1</v>
      </c>
      <c r="V661">
        <v>0</v>
      </c>
      <c r="W661">
        <v>0</v>
      </c>
      <c r="X661" s="20">
        <v>3.86</v>
      </c>
      <c r="Y661" s="20">
        <v>3.86</v>
      </c>
      <c r="Z661">
        <v>14.582394405034421</v>
      </c>
      <c r="AB661">
        <v>14.582394405034421</v>
      </c>
      <c r="AC661" s="20">
        <v>3.86</v>
      </c>
      <c r="AD661" s="20">
        <v>3.86</v>
      </c>
      <c r="AE661" s="20">
        <v>14.85</v>
      </c>
      <c r="AF661">
        <v>0</v>
      </c>
      <c r="AI661">
        <v>0</v>
      </c>
      <c r="AM661">
        <v>20</v>
      </c>
      <c r="AN661" s="44">
        <f t="shared" si="135"/>
        <v>217.27184367725084</v>
      </c>
      <c r="AO661" s="46">
        <v>0</v>
      </c>
      <c r="AP661" s="44"/>
      <c r="AQ661" s="44">
        <v>0</v>
      </c>
      <c r="AR661" s="41">
        <f t="shared" si="177"/>
        <v>9.2050583552414869E-2</v>
      </c>
      <c r="AS661" s="40"/>
      <c r="AT661" s="41"/>
      <c r="AU661" s="41"/>
      <c r="AV661" s="23">
        <v>1.76875</v>
      </c>
      <c r="AW661" s="23">
        <v>2.5</v>
      </c>
      <c r="AX661" s="23">
        <v>0.73125000000000007</v>
      </c>
      <c r="AY661" s="23">
        <v>0.26250000000000001</v>
      </c>
      <c r="AZ661" s="23">
        <v>0.33610451306413303</v>
      </c>
      <c r="BA661" s="23">
        <v>0.47505938242280282</v>
      </c>
      <c r="BB661" s="23">
        <v>0.13895486935866991</v>
      </c>
      <c r="BC661" s="23">
        <v>4.9881235154394299E-2</v>
      </c>
      <c r="BD661" s="20">
        <v>1</v>
      </c>
      <c r="BE661" s="20">
        <v>3.44</v>
      </c>
      <c r="BF661" s="20">
        <v>2.44</v>
      </c>
      <c r="BG661" s="20">
        <v>2.7106249999999998</v>
      </c>
      <c r="BH661">
        <v>2.7106249999999998</v>
      </c>
      <c r="BI661">
        <v>6.2658671793656886</v>
      </c>
      <c r="BJ661" s="64"/>
      <c r="BK661" s="64"/>
      <c r="BL661" s="64"/>
      <c r="BM661">
        <v>4.6025291776207428E-2</v>
      </c>
      <c r="BN661" t="s">
        <v>459</v>
      </c>
      <c r="BQ661">
        <v>9.2050583552414869E-2</v>
      </c>
      <c r="BR661" t="s">
        <v>459</v>
      </c>
      <c r="BS661">
        <v>0</v>
      </c>
      <c r="BT661" s="68" t="s">
        <v>1305</v>
      </c>
      <c r="BU661" s="68">
        <v>1273</v>
      </c>
      <c r="BV661" s="68">
        <v>2</v>
      </c>
      <c r="BX661" s="68" t="s">
        <v>1268</v>
      </c>
      <c r="BY661" s="68" t="s">
        <v>863</v>
      </c>
      <c r="BZ661" s="68">
        <v>0.5</v>
      </c>
      <c r="CA661" s="68">
        <v>48</v>
      </c>
      <c r="CB661" s="68">
        <v>0.25</v>
      </c>
      <c r="CC661" s="68">
        <v>10</v>
      </c>
      <c r="CD661" s="68" t="s">
        <v>464</v>
      </c>
      <c r="CE661" s="68" t="s">
        <v>464</v>
      </c>
      <c r="CF661" s="68" t="s">
        <v>1271</v>
      </c>
      <c r="CG661" s="68">
        <v>300</v>
      </c>
      <c r="CH661" s="68">
        <v>300</v>
      </c>
      <c r="CI661" s="68" t="s">
        <v>1310</v>
      </c>
      <c r="CJ661" s="68">
        <v>293</v>
      </c>
      <c r="CK661" s="70">
        <v>283.99999999999994</v>
      </c>
    </row>
    <row r="662" spans="1:89" x14ac:dyDescent="0.3">
      <c r="A662" t="s">
        <v>300</v>
      </c>
      <c r="B662" t="s">
        <v>4</v>
      </c>
      <c r="C662" t="s">
        <v>4212</v>
      </c>
      <c r="D662" s="12"/>
      <c r="E662">
        <v>3.26</v>
      </c>
      <c r="F662" t="s">
        <v>295</v>
      </c>
      <c r="G662" s="8" t="s">
        <v>527</v>
      </c>
      <c r="H662" t="s">
        <v>609</v>
      </c>
      <c r="J662" t="s">
        <v>2246</v>
      </c>
      <c r="K662" t="s">
        <v>2246</v>
      </c>
      <c r="M662" t="b">
        <v>1</v>
      </c>
      <c r="N662" t="b">
        <v>1</v>
      </c>
      <c r="O662" t="b">
        <v>0</v>
      </c>
      <c r="P662" t="b">
        <v>0</v>
      </c>
      <c r="Q662" t="s">
        <v>2214</v>
      </c>
      <c r="R662" t="s">
        <v>2287</v>
      </c>
      <c r="T662">
        <v>1</v>
      </c>
      <c r="U662" s="20">
        <v>1</v>
      </c>
      <c r="V662">
        <v>0</v>
      </c>
      <c r="W662">
        <v>0</v>
      </c>
      <c r="X662" s="20">
        <v>3.86</v>
      </c>
      <c r="Y662" s="20">
        <v>3.86</v>
      </c>
      <c r="Z662">
        <v>14.909538142748223</v>
      </c>
      <c r="AB662">
        <v>14.909538142748223</v>
      </c>
      <c r="AC662" s="20">
        <v>3.86</v>
      </c>
      <c r="AD662" s="20">
        <v>3.86</v>
      </c>
      <c r="AE662" s="20">
        <v>15.022</v>
      </c>
      <c r="AF662">
        <v>0</v>
      </c>
      <c r="AI662">
        <v>0</v>
      </c>
      <c r="AM662">
        <v>20</v>
      </c>
      <c r="AN662" s="44">
        <f t="shared" si="135"/>
        <v>222.14615451169144</v>
      </c>
      <c r="AO662" s="46">
        <v>0</v>
      </c>
      <c r="AP662" s="44"/>
      <c r="AQ662" s="44">
        <v>0</v>
      </c>
      <c r="AR662" s="41">
        <f t="shared" si="177"/>
        <v>9.0030817971901517E-2</v>
      </c>
      <c r="AS662" s="40"/>
      <c r="AT662" s="41"/>
      <c r="AU662" s="41"/>
      <c r="AV662" s="23">
        <v>1.8125</v>
      </c>
      <c r="AW662" s="23">
        <v>2.5</v>
      </c>
      <c r="AX662" s="23">
        <v>0.6875</v>
      </c>
      <c r="AY662" s="23">
        <v>0.875</v>
      </c>
      <c r="AZ662" s="23">
        <v>0.30851063829787229</v>
      </c>
      <c r="BA662" s="23">
        <v>0.42553191489361702</v>
      </c>
      <c r="BB662" s="23">
        <v>0.1170212765957447</v>
      </c>
      <c r="BC662" s="23">
        <v>0.14893617021276601</v>
      </c>
      <c r="BD662" s="20">
        <v>1</v>
      </c>
      <c r="BE662" s="20">
        <v>3.44</v>
      </c>
      <c r="BF662" s="20">
        <v>2.44</v>
      </c>
      <c r="BG662" s="20">
        <v>2.7062499999999998</v>
      </c>
      <c r="BH662">
        <v>2.7062499999999998</v>
      </c>
      <c r="BI662">
        <v>6.2701641731156874</v>
      </c>
      <c r="BJ662" s="64"/>
      <c r="BK662" s="64"/>
      <c r="BL662" s="64"/>
      <c r="BM662">
        <v>4.5015408985950758E-2</v>
      </c>
      <c r="BN662" t="s">
        <v>459</v>
      </c>
      <c r="BQ662">
        <v>9.0030817971901517E-2</v>
      </c>
      <c r="BR662" t="s">
        <v>459</v>
      </c>
      <c r="BS662">
        <v>0</v>
      </c>
      <c r="BT662" s="68" t="s">
        <v>1305</v>
      </c>
      <c r="BU662" s="68">
        <v>1273</v>
      </c>
      <c r="BV662" s="68">
        <v>2</v>
      </c>
      <c r="BX662" s="68" t="s">
        <v>1268</v>
      </c>
      <c r="BY662" s="68" t="s">
        <v>863</v>
      </c>
      <c r="BZ662" s="68">
        <v>0.5</v>
      </c>
      <c r="CA662" s="68">
        <v>39</v>
      </c>
      <c r="CB662" s="68">
        <v>0.25</v>
      </c>
      <c r="CC662" s="68">
        <v>10</v>
      </c>
      <c r="CD662" s="68" t="s">
        <v>464</v>
      </c>
      <c r="CE662" s="68" t="s">
        <v>464</v>
      </c>
      <c r="CF662" s="68" t="s">
        <v>1271</v>
      </c>
      <c r="CG662" s="68">
        <v>300</v>
      </c>
      <c r="CH662" s="68">
        <v>300</v>
      </c>
      <c r="CI662" s="68" t="s">
        <v>1310</v>
      </c>
      <c r="CJ662" s="68">
        <v>293</v>
      </c>
      <c r="CK662" s="70">
        <v>312</v>
      </c>
    </row>
    <row r="663" spans="1:89" x14ac:dyDescent="0.3">
      <c r="A663" t="s">
        <v>301</v>
      </c>
      <c r="B663" t="s">
        <v>4</v>
      </c>
      <c r="C663" t="s">
        <v>4213</v>
      </c>
      <c r="D663" s="12"/>
      <c r="E663">
        <v>3.2</v>
      </c>
      <c r="F663" t="s">
        <v>295</v>
      </c>
      <c r="G663" s="8" t="s">
        <v>527</v>
      </c>
      <c r="H663" t="s">
        <v>609</v>
      </c>
      <c r="J663" t="s">
        <v>2247</v>
      </c>
      <c r="K663" t="s">
        <v>2247</v>
      </c>
      <c r="M663" t="b">
        <v>1</v>
      </c>
      <c r="N663" t="b">
        <v>1</v>
      </c>
      <c r="O663" t="b">
        <v>0</v>
      </c>
      <c r="P663" t="b">
        <v>0</v>
      </c>
      <c r="Q663" t="s">
        <v>2215</v>
      </c>
      <c r="R663" t="s">
        <v>2288</v>
      </c>
      <c r="T663">
        <v>1</v>
      </c>
      <c r="U663" s="20">
        <v>1</v>
      </c>
      <c r="V663">
        <v>0</v>
      </c>
      <c r="W663">
        <v>0</v>
      </c>
      <c r="X663" s="20">
        <v>3.86</v>
      </c>
      <c r="Y663" s="20">
        <v>3.86</v>
      </c>
      <c r="Z663">
        <v>15.013371612679299</v>
      </c>
      <c r="AB663">
        <v>15.013371612679299</v>
      </c>
      <c r="AC663" s="20">
        <v>3.86</v>
      </c>
      <c r="AD663" s="20">
        <v>3.86</v>
      </c>
      <c r="AE663" s="35">
        <v>15.380100000000001</v>
      </c>
      <c r="AF663">
        <v>0</v>
      </c>
      <c r="AI663">
        <v>0</v>
      </c>
      <c r="AM663">
        <v>20</v>
      </c>
      <c r="AN663" s="44">
        <f t="shared" si="135"/>
        <v>223.69323168027648</v>
      </c>
      <c r="AO663" s="46">
        <v>0</v>
      </c>
      <c r="AP663" s="44"/>
      <c r="AQ663" s="44">
        <v>0</v>
      </c>
      <c r="AR663" s="41">
        <f t="shared" si="177"/>
        <v>8.9408158886925521E-2</v>
      </c>
      <c r="AS663" s="40"/>
      <c r="AT663" s="41"/>
      <c r="AU663" s="41"/>
      <c r="AV663" s="23">
        <v>1.84375</v>
      </c>
      <c r="AW663" s="23">
        <v>2.5</v>
      </c>
      <c r="AX663" s="23">
        <v>0.65625</v>
      </c>
      <c r="AY663" s="23">
        <v>1.3125</v>
      </c>
      <c r="AZ663" s="23">
        <v>0.29207920792079212</v>
      </c>
      <c r="BA663" s="23">
        <v>0.39603960396039611</v>
      </c>
      <c r="BB663" s="23">
        <v>0.103960396039604</v>
      </c>
      <c r="BC663" s="23">
        <v>0.20792079207920791</v>
      </c>
      <c r="BD663" s="20">
        <v>1</v>
      </c>
      <c r="BE663" s="20">
        <v>3.44</v>
      </c>
      <c r="BF663" s="20">
        <v>2.44</v>
      </c>
      <c r="BG663" s="20">
        <v>2.703125</v>
      </c>
      <c r="BH663">
        <v>2.703125</v>
      </c>
      <c r="BI663">
        <v>6.2732334543656876</v>
      </c>
      <c r="BJ663" s="64"/>
      <c r="BK663" s="64"/>
      <c r="BL663" s="64"/>
      <c r="BM663">
        <v>4.470407944346276E-2</v>
      </c>
      <c r="BN663" t="s">
        <v>459</v>
      </c>
      <c r="BQ663">
        <v>8.9408158886925521E-2</v>
      </c>
      <c r="BR663" t="s">
        <v>459</v>
      </c>
      <c r="BS663">
        <v>0</v>
      </c>
      <c r="BT663" s="68" t="s">
        <v>1305</v>
      </c>
      <c r="BU663" s="68">
        <v>1273</v>
      </c>
      <c r="BV663" s="68">
        <v>2</v>
      </c>
      <c r="BX663" s="68" t="s">
        <v>1268</v>
      </c>
      <c r="BY663" s="68" t="s">
        <v>863</v>
      </c>
      <c r="BZ663" s="68">
        <v>0.5</v>
      </c>
      <c r="CA663" s="68">
        <v>29</v>
      </c>
      <c r="CB663" s="68">
        <v>0.25</v>
      </c>
      <c r="CC663" s="68">
        <v>10</v>
      </c>
      <c r="CD663" s="68" t="s">
        <v>464</v>
      </c>
      <c r="CE663" s="68" t="s">
        <v>464</v>
      </c>
      <c r="CF663" s="68" t="s">
        <v>1271</v>
      </c>
      <c r="CG663" s="68">
        <v>300</v>
      </c>
      <c r="CH663" s="68">
        <v>300</v>
      </c>
      <c r="CI663" s="68" t="s">
        <v>1310</v>
      </c>
      <c r="CJ663" s="68">
        <v>293</v>
      </c>
      <c r="CK663" s="70">
        <v>260</v>
      </c>
    </row>
    <row r="664" spans="1:89" x14ac:dyDescent="0.3">
      <c r="A664" t="s">
        <v>4</v>
      </c>
      <c r="B664" t="s">
        <v>4</v>
      </c>
      <c r="C664" t="s">
        <v>3921</v>
      </c>
      <c r="D664" s="12"/>
      <c r="E664">
        <v>3.5</v>
      </c>
      <c r="F664" t="s">
        <v>302</v>
      </c>
      <c r="G664" s="8" t="s">
        <v>527</v>
      </c>
      <c r="H664" t="s">
        <v>609</v>
      </c>
      <c r="M664" t="b">
        <v>1</v>
      </c>
      <c r="N664" t="b">
        <v>1</v>
      </c>
      <c r="O664" t="b">
        <v>0</v>
      </c>
      <c r="P664" t="b">
        <v>0</v>
      </c>
      <c r="Q664" t="s">
        <v>527</v>
      </c>
      <c r="R664" t="s">
        <v>609</v>
      </c>
      <c r="U664" s="20">
        <v>4</v>
      </c>
      <c r="V664">
        <v>4</v>
      </c>
      <c r="W664">
        <v>0</v>
      </c>
      <c r="AC664" s="20">
        <v>3.86</v>
      </c>
      <c r="AD664" s="20">
        <v>3.86</v>
      </c>
      <c r="AE664" s="20">
        <v>15.19056011</v>
      </c>
      <c r="AF664">
        <v>3.8801999999999999</v>
      </c>
      <c r="AG664">
        <v>29.507999999999999</v>
      </c>
      <c r="AH664">
        <v>7.7140000000000004</v>
      </c>
      <c r="AI664">
        <v>0</v>
      </c>
      <c r="AM664">
        <v>20</v>
      </c>
      <c r="AN664" s="44">
        <f t="shared" si="135"/>
        <v>0</v>
      </c>
      <c r="AO664" s="46">
        <v>924.74694800021894</v>
      </c>
      <c r="AP664" s="44">
        <v>883.22940750240002</v>
      </c>
      <c r="AQ664" s="44">
        <v>0</v>
      </c>
      <c r="AR664" s="41"/>
      <c r="AS664" s="40">
        <v>8.6510153045653584E-2</v>
      </c>
      <c r="AT664" s="41">
        <v>9.0576694254581439E-2</v>
      </c>
      <c r="AU664" s="41"/>
      <c r="AV664" s="23">
        <v>1.75</v>
      </c>
      <c r="AW664" s="23">
        <v>2.5</v>
      </c>
      <c r="AX664" s="23">
        <v>0.75</v>
      </c>
      <c r="AY664" s="23">
        <v>0</v>
      </c>
      <c r="AZ664" s="23">
        <v>0.35</v>
      </c>
      <c r="BA664" s="23">
        <v>0.5</v>
      </c>
      <c r="BB664" s="23">
        <v>0.15</v>
      </c>
      <c r="BC664" s="23">
        <v>0</v>
      </c>
      <c r="BD664" s="20">
        <v>0.82</v>
      </c>
      <c r="BE664" s="20">
        <v>3.44</v>
      </c>
      <c r="BF664" s="20">
        <v>2.62</v>
      </c>
      <c r="BG664" s="20">
        <v>2.6262500000000002</v>
      </c>
      <c r="BH664">
        <v>2.6262500000000002</v>
      </c>
      <c r="BI664">
        <v>5.96680968125</v>
      </c>
      <c r="BJ664" s="64">
        <v>0.50555206026575039</v>
      </c>
      <c r="BK664" s="64">
        <v>0</v>
      </c>
      <c r="BL664" s="64"/>
      <c r="BN664">
        <v>4.3255076522826792E-2</v>
      </c>
      <c r="BO664">
        <v>4.5288347127290719E-2</v>
      </c>
      <c r="BQ664">
        <v>8.8543423650117511E-2</v>
      </c>
      <c r="BR664">
        <v>4.4271711825058763E-2</v>
      </c>
      <c r="BS664">
        <v>0.2527760301328752</v>
      </c>
      <c r="CD664" s="68" t="s">
        <v>464</v>
      </c>
      <c r="CE664" s="68" t="s">
        <v>464</v>
      </c>
    </row>
    <row r="665" spans="1:89" x14ac:dyDescent="0.3">
      <c r="A665" t="s">
        <v>303</v>
      </c>
      <c r="B665" t="s">
        <v>4</v>
      </c>
      <c r="C665" t="s">
        <v>4214</v>
      </c>
      <c r="D665" s="12"/>
      <c r="E665">
        <v>3.4</v>
      </c>
      <c r="F665" t="s">
        <v>302</v>
      </c>
      <c r="G665" s="25" t="s">
        <v>527</v>
      </c>
      <c r="H665" s="1" t="s">
        <v>609</v>
      </c>
      <c r="J665" t="s">
        <v>2248</v>
      </c>
      <c r="K665" t="s">
        <v>2248</v>
      </c>
      <c r="M665" t="b">
        <v>1</v>
      </c>
      <c r="N665" t="b">
        <v>1</v>
      </c>
      <c r="O665" t="b">
        <v>0</v>
      </c>
      <c r="P665" t="b">
        <v>0</v>
      </c>
      <c r="Q665" t="s">
        <v>2216</v>
      </c>
      <c r="R665" t="s">
        <v>2289</v>
      </c>
      <c r="U665" s="20">
        <v>0</v>
      </c>
      <c r="V665">
        <v>4</v>
      </c>
      <c r="W665">
        <v>0</v>
      </c>
      <c r="AC665" s="26">
        <v>3.86</v>
      </c>
      <c r="AD665" s="26">
        <v>3.86</v>
      </c>
      <c r="AE665" s="26">
        <v>15.19056011</v>
      </c>
      <c r="AF665">
        <v>3.8801999999999999</v>
      </c>
      <c r="AG665">
        <v>29.507999999999999</v>
      </c>
      <c r="AH665">
        <v>7.7140000000000004</v>
      </c>
      <c r="AI665">
        <v>0</v>
      </c>
      <c r="AM665">
        <v>20</v>
      </c>
      <c r="AN665" s="44">
        <f t="shared" si="135"/>
        <v>0</v>
      </c>
      <c r="AO665" s="46">
        <v>0</v>
      </c>
      <c r="AP665" s="44">
        <v>883.22940750240002</v>
      </c>
      <c r="AQ665" s="44">
        <v>0</v>
      </c>
      <c r="AR665" s="41"/>
      <c r="AS665" s="40"/>
      <c r="AT665" s="41">
        <v>9.0576694254581439E-2</v>
      </c>
      <c r="AU665" s="41"/>
      <c r="AV665" s="23">
        <v>1.75</v>
      </c>
      <c r="AW665" s="23">
        <v>2.5</v>
      </c>
      <c r="AX665" s="23">
        <v>0.75</v>
      </c>
      <c r="AY665" s="23">
        <v>0</v>
      </c>
      <c r="AZ665" s="23">
        <v>0.35</v>
      </c>
      <c r="BA665" s="23">
        <v>0.5</v>
      </c>
      <c r="BB665" s="23">
        <v>0.15</v>
      </c>
      <c r="BC665" s="23">
        <v>0</v>
      </c>
      <c r="BD665" s="20">
        <v>0.82</v>
      </c>
      <c r="BE665" s="20">
        <v>3.44</v>
      </c>
      <c r="BF665" s="20">
        <v>2.62</v>
      </c>
      <c r="BG665" s="20">
        <v>2.6231249999999999</v>
      </c>
      <c r="BH665">
        <v>2.6231249999999999</v>
      </c>
      <c r="BI665">
        <v>5.9545980243750014</v>
      </c>
      <c r="BJ665" s="64">
        <v>0.50555206026575039</v>
      </c>
      <c r="BK665" s="64">
        <v>0</v>
      </c>
      <c r="BL665" s="64"/>
      <c r="BO665">
        <v>4.5288347127290719E-2</v>
      </c>
      <c r="BQ665">
        <v>9.0576694254581439E-2</v>
      </c>
      <c r="BR665">
        <v>4.5288347127290719E-2</v>
      </c>
      <c r="BS665">
        <v>0.2527760301328752</v>
      </c>
      <c r="CD665" s="68" t="s">
        <v>464</v>
      </c>
      <c r="CE665" s="68" t="s">
        <v>464</v>
      </c>
    </row>
    <row r="666" spans="1:89" x14ac:dyDescent="0.3">
      <c r="A666" t="s">
        <v>7</v>
      </c>
      <c r="B666" t="s">
        <v>4</v>
      </c>
      <c r="C666" t="s">
        <v>3924</v>
      </c>
      <c r="D666" s="12"/>
      <c r="E666">
        <v>3.3</v>
      </c>
      <c r="F666" t="s">
        <v>302</v>
      </c>
      <c r="G666" s="25" t="s">
        <v>527</v>
      </c>
      <c r="H666" s="1" t="s">
        <v>609</v>
      </c>
      <c r="J666" t="s">
        <v>1725</v>
      </c>
      <c r="K666" t="s">
        <v>1725</v>
      </c>
      <c r="M666" t="b">
        <v>1</v>
      </c>
      <c r="N666" t="b">
        <v>1</v>
      </c>
      <c r="O666" t="b">
        <v>0</v>
      </c>
      <c r="P666" t="b">
        <v>0</v>
      </c>
      <c r="Q666" t="s">
        <v>2217</v>
      </c>
      <c r="R666" t="s">
        <v>2290</v>
      </c>
      <c r="U666" s="20">
        <v>0</v>
      </c>
      <c r="V666">
        <v>4</v>
      </c>
      <c r="W666">
        <v>0</v>
      </c>
      <c r="X666">
        <v>-1</v>
      </c>
      <c r="AC666" s="26">
        <v>3.86</v>
      </c>
      <c r="AD666" s="26">
        <v>3.86</v>
      </c>
      <c r="AE666" s="26">
        <v>15.19056011</v>
      </c>
      <c r="AF666">
        <v>3.8801999999999999</v>
      </c>
      <c r="AG666">
        <v>29.507999999999999</v>
      </c>
      <c r="AH666">
        <v>7.7140000000000004</v>
      </c>
      <c r="AI666">
        <v>0</v>
      </c>
      <c r="AM666">
        <v>20</v>
      </c>
      <c r="AN666" s="44">
        <f t="shared" si="135"/>
        <v>0</v>
      </c>
      <c r="AO666" s="46">
        <v>0</v>
      </c>
      <c r="AP666" s="44">
        <v>883.22940750240002</v>
      </c>
      <c r="AQ666" s="44">
        <v>0</v>
      </c>
      <c r="AR666" s="41"/>
      <c r="AS666" s="40"/>
      <c r="AT666" s="41">
        <v>9.0576694254581439E-2</v>
      </c>
      <c r="AU666" s="41"/>
      <c r="AV666" s="23">
        <v>1.75</v>
      </c>
      <c r="AW666" s="23">
        <v>2.5</v>
      </c>
      <c r="AX666" s="23">
        <v>0.75</v>
      </c>
      <c r="AY666" s="23">
        <v>0</v>
      </c>
      <c r="AZ666" s="23">
        <v>0.35</v>
      </c>
      <c r="BA666" s="23">
        <v>0.5</v>
      </c>
      <c r="BB666" s="23">
        <v>0.15</v>
      </c>
      <c r="BC666" s="23">
        <v>0</v>
      </c>
      <c r="BD666" s="20">
        <v>0.82</v>
      </c>
      <c r="BE666" s="20">
        <v>3.44</v>
      </c>
      <c r="BF666" s="20">
        <v>2.62</v>
      </c>
      <c r="BG666" s="20">
        <v>2.62</v>
      </c>
      <c r="BH666">
        <v>2.62</v>
      </c>
      <c r="BI666">
        <v>5.9423863675000002</v>
      </c>
      <c r="BJ666" s="64">
        <v>0.50555206026575039</v>
      </c>
      <c r="BK666" s="64">
        <v>0</v>
      </c>
      <c r="BL666" s="64"/>
      <c r="BO666">
        <v>4.5288347127290719E-2</v>
      </c>
      <c r="BQ666">
        <v>9.0576694254581439E-2</v>
      </c>
      <c r="BR666">
        <v>4.5288347127290719E-2</v>
      </c>
      <c r="BS666">
        <v>0.2527760301328752</v>
      </c>
      <c r="CD666" s="68" t="s">
        <v>464</v>
      </c>
      <c r="CE666" s="68" t="s">
        <v>464</v>
      </c>
    </row>
    <row r="667" spans="1:89" x14ac:dyDescent="0.3">
      <c r="A667" t="s">
        <v>63</v>
      </c>
      <c r="B667" t="s">
        <v>4</v>
      </c>
      <c r="C667" t="s">
        <v>3928</v>
      </c>
      <c r="D667" s="12"/>
      <c r="E667">
        <v>3.5</v>
      </c>
      <c r="F667" t="s">
        <v>305</v>
      </c>
      <c r="G667" s="25" t="s">
        <v>527</v>
      </c>
      <c r="H667" s="1" t="s">
        <v>609</v>
      </c>
      <c r="I667" t="s">
        <v>1179</v>
      </c>
      <c r="J667" t="s">
        <v>1726</v>
      </c>
      <c r="K667" t="s">
        <v>1726</v>
      </c>
      <c r="M667" t="b">
        <v>1</v>
      </c>
      <c r="N667" t="b">
        <v>1</v>
      </c>
      <c r="O667" t="b">
        <v>0</v>
      </c>
      <c r="P667" t="b">
        <v>0</v>
      </c>
      <c r="Q667" t="s">
        <v>2218</v>
      </c>
      <c r="R667" t="s">
        <v>2291</v>
      </c>
      <c r="S667" t="s">
        <v>1179</v>
      </c>
      <c r="T667">
        <v>1</v>
      </c>
      <c r="U667" s="20">
        <v>0</v>
      </c>
      <c r="V667">
        <v>0</v>
      </c>
      <c r="W667">
        <v>1</v>
      </c>
      <c r="X667">
        <v>-1</v>
      </c>
      <c r="AC667" s="20">
        <v>3.84</v>
      </c>
      <c r="AD667" s="20">
        <v>3.84</v>
      </c>
      <c r="AE667" s="20">
        <v>13.97</v>
      </c>
      <c r="AF667">
        <v>3.8504999999999998</v>
      </c>
      <c r="AG667">
        <v>3.8504999999999998</v>
      </c>
      <c r="AH667">
        <v>14.379</v>
      </c>
      <c r="AM667">
        <v>20</v>
      </c>
      <c r="AN667" s="44">
        <f t="shared" si="135"/>
        <v>0</v>
      </c>
      <c r="AO667" s="46">
        <v>0</v>
      </c>
      <c r="AP667" s="44">
        <v>0</v>
      </c>
      <c r="AQ667" s="44">
        <v>213.2</v>
      </c>
      <c r="AR667" s="41"/>
      <c r="AS667" s="40"/>
      <c r="AT667" s="41"/>
      <c r="AU667" s="56">
        <f>W667*AM667/AQ667</f>
        <v>9.3808630393996256E-2</v>
      </c>
      <c r="AV667" s="23">
        <v>1.75</v>
      </c>
      <c r="AW667" s="23">
        <v>2.5</v>
      </c>
      <c r="AX667" s="23">
        <v>0.75</v>
      </c>
      <c r="AY667" s="23">
        <v>0</v>
      </c>
      <c r="AZ667" s="23">
        <v>0.35</v>
      </c>
      <c r="BA667" s="23">
        <v>0.5</v>
      </c>
      <c r="BB667" s="23">
        <v>0.15</v>
      </c>
      <c r="BC667" s="23">
        <v>0</v>
      </c>
      <c r="BD667" s="20">
        <v>1</v>
      </c>
      <c r="BE667" s="20">
        <v>3.44</v>
      </c>
      <c r="BF667" s="20">
        <v>2.44</v>
      </c>
      <c r="BG667" s="20">
        <v>2.7124999999999999</v>
      </c>
      <c r="BH667">
        <v>2.7124999999999999</v>
      </c>
      <c r="BI667">
        <v>6.264025610615688</v>
      </c>
      <c r="BJ667" s="64"/>
      <c r="BK667" s="64"/>
      <c r="BL667" s="64">
        <v>0</v>
      </c>
      <c r="BM667" t="s">
        <v>459</v>
      </c>
      <c r="BP667">
        <v>4.6904315196998128E-2</v>
      </c>
      <c r="BQ667">
        <v>9.3808630393996256E-2</v>
      </c>
      <c r="BR667" t="s">
        <v>459</v>
      </c>
      <c r="BS667">
        <v>0</v>
      </c>
      <c r="CD667" s="68" t="s">
        <v>464</v>
      </c>
      <c r="CE667" s="68" t="s">
        <v>464</v>
      </c>
    </row>
    <row r="668" spans="1:89" x14ac:dyDescent="0.3">
      <c r="A668" t="s">
        <v>304</v>
      </c>
      <c r="B668" t="s">
        <v>0</v>
      </c>
      <c r="C668" t="s">
        <v>829</v>
      </c>
      <c r="D668" s="12"/>
      <c r="E668">
        <v>3.33</v>
      </c>
      <c r="F668" t="s">
        <v>305</v>
      </c>
      <c r="G668" s="74" t="s">
        <v>523</v>
      </c>
      <c r="J668" t="s">
        <v>1726</v>
      </c>
      <c r="M668" t="b">
        <v>1</v>
      </c>
      <c r="N668" t="b">
        <v>0</v>
      </c>
      <c r="O668" t="b">
        <v>0</v>
      </c>
      <c r="P668" t="b">
        <v>0</v>
      </c>
      <c r="Q668" t="s">
        <v>2219</v>
      </c>
      <c r="T668">
        <v>4</v>
      </c>
      <c r="U668" s="20">
        <v>0</v>
      </c>
      <c r="V668">
        <v>0</v>
      </c>
      <c r="W668">
        <v>0</v>
      </c>
      <c r="X668">
        <v>6.47</v>
      </c>
      <c r="Y668">
        <v>6.47</v>
      </c>
      <c r="Z668">
        <v>30.69</v>
      </c>
      <c r="AB668">
        <v>15.345000000000001</v>
      </c>
      <c r="AC668" s="20">
        <v>0</v>
      </c>
      <c r="AD668" s="20"/>
      <c r="AE668" s="20"/>
      <c r="AF668">
        <v>0</v>
      </c>
      <c r="AI668">
        <v>0</v>
      </c>
      <c r="AM668">
        <v>34</v>
      </c>
      <c r="AN668" s="44">
        <f t="shared" si="135"/>
        <v>1284.7110209999998</v>
      </c>
      <c r="AO668" s="46">
        <v>0</v>
      </c>
      <c r="AP668" s="44">
        <v>0</v>
      </c>
      <c r="AQ668" s="44">
        <v>0</v>
      </c>
      <c r="AR668" s="41">
        <f t="shared" ref="AR668:AR670" si="178">T668*AM668/AN668</f>
        <v>0.1058603824338174</v>
      </c>
      <c r="AS668" s="40"/>
      <c r="AT668" s="41"/>
      <c r="AU668" s="41"/>
      <c r="AV668">
        <v>1.62962962962963</v>
      </c>
      <c r="AW668">
        <v>2.518518518518519</v>
      </c>
      <c r="AX668">
        <v>0.88888888888888884</v>
      </c>
      <c r="AY668">
        <v>0</v>
      </c>
      <c r="AZ668">
        <v>0.32352941176470579</v>
      </c>
      <c r="BA668">
        <v>0.5</v>
      </c>
      <c r="BB668">
        <v>0.1764705882352941</v>
      </c>
      <c r="BC668">
        <v>0</v>
      </c>
      <c r="BD668" s="20">
        <v>1.6</v>
      </c>
      <c r="BE668" s="20">
        <v>3.44</v>
      </c>
      <c r="BF668" s="20">
        <v>1.84</v>
      </c>
      <c r="BG668" s="20">
        <v>2.8474074074074069</v>
      </c>
      <c r="BH668">
        <v>2.8474074074074069</v>
      </c>
      <c r="BI668">
        <v>6.6632481018297778</v>
      </c>
      <c r="BJ668" s="64"/>
      <c r="BK668" s="64"/>
      <c r="BL668" s="64"/>
      <c r="BM668">
        <v>5.2930191216908701E-2</v>
      </c>
      <c r="BQ668">
        <v>0.1058603824338174</v>
      </c>
      <c r="BR668">
        <v>5.2930191216908701E-2</v>
      </c>
      <c r="BS668">
        <v>0</v>
      </c>
      <c r="CD668" s="68" t="s">
        <v>464</v>
      </c>
      <c r="CE668" s="68" t="s">
        <v>464</v>
      </c>
    </row>
    <row r="669" spans="1:89" x14ac:dyDescent="0.3">
      <c r="A669" t="s">
        <v>299</v>
      </c>
      <c r="B669" t="s">
        <v>4</v>
      </c>
      <c r="C669" t="s">
        <v>4211</v>
      </c>
      <c r="D669" s="12"/>
      <c r="E669">
        <v>3.65</v>
      </c>
      <c r="F669" t="s">
        <v>306</v>
      </c>
      <c r="G669" s="8" t="s">
        <v>527</v>
      </c>
      <c r="H669" t="s">
        <v>609</v>
      </c>
      <c r="J669" t="s">
        <v>2245</v>
      </c>
      <c r="K669" t="s">
        <v>2245</v>
      </c>
      <c r="M669" t="b">
        <v>1</v>
      </c>
      <c r="N669" t="b">
        <v>1</v>
      </c>
      <c r="O669" t="b">
        <v>0</v>
      </c>
      <c r="P669" t="b">
        <v>0</v>
      </c>
      <c r="Q669" t="s">
        <v>2220</v>
      </c>
      <c r="R669" t="s">
        <v>2292</v>
      </c>
      <c r="T669">
        <v>1</v>
      </c>
      <c r="U669" s="20">
        <v>0</v>
      </c>
      <c r="V669">
        <v>0</v>
      </c>
      <c r="W669">
        <v>0</v>
      </c>
      <c r="X669">
        <v>3.8531</v>
      </c>
      <c r="Y669">
        <v>3.8531</v>
      </c>
      <c r="Z669">
        <v>16.2151</v>
      </c>
      <c r="AB669">
        <v>16.2151</v>
      </c>
      <c r="AC669" s="20">
        <v>0</v>
      </c>
      <c r="AD669" s="20"/>
      <c r="AE669" s="20"/>
      <c r="AF669">
        <v>0</v>
      </c>
      <c r="AI669">
        <v>0</v>
      </c>
      <c r="AM669">
        <v>20</v>
      </c>
      <c r="AN669" s="44">
        <f t="shared" si="135"/>
        <v>240.73553001411099</v>
      </c>
      <c r="AO669" s="46">
        <v>0</v>
      </c>
      <c r="AP669" s="44">
        <v>0</v>
      </c>
      <c r="AQ669" s="44">
        <v>0</v>
      </c>
      <c r="AR669" s="41">
        <f t="shared" si="178"/>
        <v>8.3078721279022161E-2</v>
      </c>
      <c r="AS669" s="40"/>
      <c r="AT669" s="41"/>
      <c r="AU669" s="41"/>
      <c r="AV669">
        <v>1.76875</v>
      </c>
      <c r="AW669">
        <v>2.5</v>
      </c>
      <c r="AX669">
        <v>0.73125000000000007</v>
      </c>
      <c r="AY669">
        <v>0.26250000000000001</v>
      </c>
      <c r="AZ669">
        <v>0.33610451306413303</v>
      </c>
      <c r="BA669">
        <v>0.47505938242280282</v>
      </c>
      <c r="BB669">
        <v>0.13895486935866991</v>
      </c>
      <c r="BC669">
        <v>4.9881235154394299E-2</v>
      </c>
      <c r="BD669" s="20">
        <v>1</v>
      </c>
      <c r="BE669" s="20">
        <v>3.44</v>
      </c>
      <c r="BF669" s="20">
        <v>2.44</v>
      </c>
      <c r="BG669" s="20">
        <v>2.7106249999999998</v>
      </c>
      <c r="BH669">
        <v>2.7106249999999998</v>
      </c>
      <c r="BI669">
        <v>6.2658671793656886</v>
      </c>
      <c r="BJ669" s="64"/>
      <c r="BK669" s="64"/>
      <c r="BL669" s="64"/>
      <c r="BM669">
        <v>4.153936063951108E-2</v>
      </c>
      <c r="BQ669">
        <v>8.3078721279022161E-2</v>
      </c>
      <c r="BR669">
        <v>4.153936063951108E-2</v>
      </c>
      <c r="BS669">
        <v>0</v>
      </c>
      <c r="CD669" s="68" t="s">
        <v>464</v>
      </c>
      <c r="CE669" s="68" t="s">
        <v>464</v>
      </c>
    </row>
    <row r="670" spans="1:89" x14ac:dyDescent="0.3">
      <c r="A670" t="s">
        <v>301</v>
      </c>
      <c r="B670" t="s">
        <v>4</v>
      </c>
      <c r="C670" t="s">
        <v>4213</v>
      </c>
      <c r="D670" s="12"/>
      <c r="E670">
        <v>3.8</v>
      </c>
      <c r="F670" t="s">
        <v>306</v>
      </c>
      <c r="G670" s="8" t="s">
        <v>527</v>
      </c>
      <c r="H670" t="s">
        <v>609</v>
      </c>
      <c r="J670" t="s">
        <v>2247</v>
      </c>
      <c r="K670" t="s">
        <v>2247</v>
      </c>
      <c r="M670" t="b">
        <v>1</v>
      </c>
      <c r="N670" t="b">
        <v>1</v>
      </c>
      <c r="O670" t="b">
        <v>0</v>
      </c>
      <c r="P670" t="b">
        <v>0</v>
      </c>
      <c r="Q670" t="s">
        <v>2221</v>
      </c>
      <c r="R670" t="s">
        <v>2293</v>
      </c>
      <c r="T670">
        <v>1</v>
      </c>
      <c r="U670" s="20">
        <v>0</v>
      </c>
      <c r="V670">
        <v>0</v>
      </c>
      <c r="W670">
        <v>0</v>
      </c>
      <c r="X670">
        <v>3.8531</v>
      </c>
      <c r="Y670">
        <v>3.8531</v>
      </c>
      <c r="Z670">
        <v>16.2151</v>
      </c>
      <c r="AB670">
        <v>16.2151</v>
      </c>
      <c r="AC670" s="20">
        <v>0</v>
      </c>
      <c r="AD670" s="20"/>
      <c r="AE670" s="20"/>
      <c r="AF670">
        <v>0</v>
      </c>
      <c r="AI670">
        <v>0</v>
      </c>
      <c r="AM670">
        <v>20</v>
      </c>
      <c r="AN670" s="44">
        <f t="shared" si="135"/>
        <v>240.73553001411099</v>
      </c>
      <c r="AO670" s="46">
        <v>0</v>
      </c>
      <c r="AP670" s="44">
        <v>0</v>
      </c>
      <c r="AQ670" s="44">
        <v>0</v>
      </c>
      <c r="AR670" s="41">
        <f t="shared" si="178"/>
        <v>8.3078721279022161E-2</v>
      </c>
      <c r="AS670" s="40"/>
      <c r="AT670" s="41"/>
      <c r="AU670" s="41"/>
      <c r="AV670">
        <v>1.84375</v>
      </c>
      <c r="AW670">
        <v>2.5</v>
      </c>
      <c r="AX670">
        <v>0.65625</v>
      </c>
      <c r="AY670">
        <v>1.3125</v>
      </c>
      <c r="AZ670">
        <v>0.29207920792079212</v>
      </c>
      <c r="BA670">
        <v>0.39603960396039611</v>
      </c>
      <c r="BB670">
        <v>0.103960396039604</v>
      </c>
      <c r="BC670">
        <v>0.20792079207920791</v>
      </c>
      <c r="BD670" s="20">
        <v>1</v>
      </c>
      <c r="BE670" s="20">
        <v>3.44</v>
      </c>
      <c r="BF670" s="20">
        <v>2.44</v>
      </c>
      <c r="BG670" s="20">
        <v>2.703125</v>
      </c>
      <c r="BH670">
        <v>2.703125</v>
      </c>
      <c r="BI670">
        <v>6.2732334543656876</v>
      </c>
      <c r="BJ670" s="64"/>
      <c r="BK670" s="64"/>
      <c r="BL670" s="64"/>
      <c r="BM670">
        <v>4.153936063951108E-2</v>
      </c>
      <c r="BQ670">
        <v>8.3078721279022161E-2</v>
      </c>
      <c r="BR670">
        <v>4.153936063951108E-2</v>
      </c>
      <c r="BS670">
        <v>0</v>
      </c>
      <c r="CD670" s="68" t="s">
        <v>464</v>
      </c>
      <c r="CE670" s="68" t="s">
        <v>464</v>
      </c>
    </row>
    <row r="671" spans="1:89" x14ac:dyDescent="0.3">
      <c r="A671" t="s">
        <v>46</v>
      </c>
      <c r="B671" t="s">
        <v>46</v>
      </c>
      <c r="C671" t="s">
        <v>4087</v>
      </c>
      <c r="D671" s="12"/>
      <c r="E671">
        <v>3.34</v>
      </c>
      <c r="F671" t="s">
        <v>307</v>
      </c>
      <c r="G671" s="8" t="s">
        <v>551</v>
      </c>
      <c r="H671" t="s">
        <v>629</v>
      </c>
      <c r="M671" t="b">
        <v>1</v>
      </c>
      <c r="N671" t="b">
        <v>1</v>
      </c>
      <c r="O671" t="b">
        <v>0</v>
      </c>
      <c r="P671" t="b">
        <v>0</v>
      </c>
      <c r="Q671" t="s">
        <v>551</v>
      </c>
      <c r="R671" t="s">
        <v>629</v>
      </c>
      <c r="U671" s="20">
        <v>2</v>
      </c>
      <c r="V671">
        <v>4</v>
      </c>
      <c r="W671">
        <v>0</v>
      </c>
      <c r="AB671" s="1">
        <v>0</v>
      </c>
      <c r="AC671" s="20">
        <v>7.41544296</v>
      </c>
      <c r="AD671" s="20">
        <v>7.4154429599999991</v>
      </c>
      <c r="AE671" s="20">
        <v>7.41544296</v>
      </c>
      <c r="AF671">
        <v>7.8</v>
      </c>
      <c r="AG671">
        <v>13.010999999999999</v>
      </c>
      <c r="AH671">
        <v>5.5460000000000003</v>
      </c>
      <c r="AI671">
        <v>0</v>
      </c>
      <c r="AM671" t="s">
        <v>1241</v>
      </c>
      <c r="AN671" s="44">
        <f t="shared" si="135"/>
        <v>0</v>
      </c>
      <c r="AO671" s="46">
        <v>288.33429290182369</v>
      </c>
      <c r="AP671" s="44">
        <v>556.51188553357167</v>
      </c>
      <c r="AQ671" s="44">
        <v>0</v>
      </c>
      <c r="AR671" s="41"/>
      <c r="AS671" s="40">
        <v>9.7109503410799117E-2</v>
      </c>
      <c r="AT671" s="41">
        <v>0.10062678166578309</v>
      </c>
      <c r="AU671" s="41"/>
      <c r="AV671">
        <v>2</v>
      </c>
      <c r="AW671">
        <v>2.545454545454545</v>
      </c>
      <c r="AX671">
        <v>0.54545454545454541</v>
      </c>
      <c r="AY671">
        <v>0</v>
      </c>
      <c r="AZ671">
        <v>0.39285714285714279</v>
      </c>
      <c r="BA671">
        <v>0.5</v>
      </c>
      <c r="BB671">
        <v>0.1071428571428571</v>
      </c>
      <c r="BC671">
        <v>0</v>
      </c>
      <c r="BD671" s="20">
        <v>1.1000000000000001</v>
      </c>
      <c r="BE671" s="20">
        <v>3.44</v>
      </c>
      <c r="BF671" s="20">
        <v>2.34</v>
      </c>
      <c r="BG671" s="20">
        <v>2.669090909090909</v>
      </c>
      <c r="BH671">
        <v>2.669090909090909</v>
      </c>
      <c r="BI671">
        <v>5.9831974772727277</v>
      </c>
      <c r="BJ671" s="64">
        <v>0.52442413903612473</v>
      </c>
      <c r="BK671" s="64">
        <v>0.54341863036636606</v>
      </c>
      <c r="BL671" s="64"/>
      <c r="BN671">
        <v>4.8554751705399558E-2</v>
      </c>
      <c r="BO671">
        <v>5.0313390832891547E-2</v>
      </c>
      <c r="BQ671">
        <v>9.8868142538291098E-2</v>
      </c>
      <c r="BR671">
        <v>4.9434071269145549E-2</v>
      </c>
      <c r="BS671">
        <v>0.53392138470124539</v>
      </c>
      <c r="BY671" s="68" t="s">
        <v>676</v>
      </c>
      <c r="BZ671" s="68">
        <v>0.22</v>
      </c>
      <c r="CD671" s="68" t="s">
        <v>464</v>
      </c>
      <c r="CE671" s="68" t="s">
        <v>464</v>
      </c>
    </row>
    <row r="672" spans="1:89" x14ac:dyDescent="0.3">
      <c r="A672" t="s">
        <v>2775</v>
      </c>
      <c r="C672" t="s">
        <v>4215</v>
      </c>
      <c r="D672" s="12"/>
      <c r="E672">
        <v>3.17</v>
      </c>
      <c r="F672" t="s">
        <v>307</v>
      </c>
      <c r="G672" s="8" t="s">
        <v>551</v>
      </c>
      <c r="H672" t="s">
        <v>629</v>
      </c>
      <c r="M672" t="b">
        <v>0</v>
      </c>
      <c r="N672" t="b">
        <v>1</v>
      </c>
      <c r="O672" t="b">
        <v>0</v>
      </c>
      <c r="P672" t="b">
        <v>0</v>
      </c>
      <c r="Q672" t="s">
        <v>551</v>
      </c>
      <c r="R672" t="s">
        <v>629</v>
      </c>
      <c r="U672" s="20">
        <v>2</v>
      </c>
      <c r="V672">
        <v>4</v>
      </c>
      <c r="W672">
        <v>0</v>
      </c>
      <c r="AC672" s="20">
        <v>7.41544296</v>
      </c>
      <c r="AD672" s="20">
        <v>7.4154429599999991</v>
      </c>
      <c r="AE672" s="20">
        <v>7.41544296</v>
      </c>
      <c r="AF672">
        <v>7.8</v>
      </c>
      <c r="AG672">
        <v>13.010999999999999</v>
      </c>
      <c r="AH672">
        <v>5.5460000000000003</v>
      </c>
      <c r="AI672">
        <v>0</v>
      </c>
      <c r="AM672">
        <v>14</v>
      </c>
      <c r="AN672" s="44">
        <f t="shared" si="135"/>
        <v>0</v>
      </c>
      <c r="AO672" s="46">
        <v>288.33429290182369</v>
      </c>
      <c r="AP672" s="44">
        <v>556.51188553357167</v>
      </c>
      <c r="AQ672" s="44">
        <v>0</v>
      </c>
      <c r="AR672" s="41"/>
      <c r="AS672" s="40">
        <v>9.7109503410799117E-2</v>
      </c>
      <c r="AT672" s="41">
        <v>0.10062678166578309</v>
      </c>
      <c r="AU672" s="41"/>
      <c r="AV672">
        <v>2</v>
      </c>
      <c r="AW672">
        <v>2.545454545454545</v>
      </c>
      <c r="AX672">
        <v>0.54545454545454541</v>
      </c>
      <c r="AY672">
        <v>0</v>
      </c>
      <c r="AZ672">
        <v>0.39285714285714279</v>
      </c>
      <c r="BA672">
        <v>0.5</v>
      </c>
      <c r="BB672">
        <v>0.1071428571428571</v>
      </c>
      <c r="BC672">
        <v>0</v>
      </c>
      <c r="BD672" s="20">
        <v>1.1000000000000001</v>
      </c>
      <c r="BE672" s="20">
        <v>3.44</v>
      </c>
      <c r="BF672" s="20">
        <v>2.34</v>
      </c>
      <c r="BG672" s="20">
        <v>2.669090909090909</v>
      </c>
      <c r="BH672">
        <v>2.669090909090909</v>
      </c>
      <c r="BI672">
        <v>5.9831974772727277</v>
      </c>
      <c r="BJ672" s="64">
        <v>0.52442413903612473</v>
      </c>
      <c r="BK672" s="64">
        <v>0.54341863036636606</v>
      </c>
      <c r="BL672" s="64"/>
      <c r="BN672">
        <v>4.8554751705399558E-2</v>
      </c>
      <c r="BO672">
        <v>5.0313390832891547E-2</v>
      </c>
      <c r="BQ672">
        <v>9.8868142538291098E-2</v>
      </c>
      <c r="BR672">
        <v>4.9434071269145549E-2</v>
      </c>
      <c r="BS672">
        <v>0.53392138470124539</v>
      </c>
      <c r="CD672" s="68" t="s">
        <v>464</v>
      </c>
      <c r="CE672" s="68" t="s">
        <v>464</v>
      </c>
    </row>
    <row r="673" spans="1:89" x14ac:dyDescent="0.3">
      <c r="A673" t="s">
        <v>308</v>
      </c>
      <c r="B673" t="s">
        <v>4</v>
      </c>
      <c r="C673" t="s">
        <v>4053</v>
      </c>
      <c r="D673" s="12"/>
      <c r="E673">
        <v>3.44</v>
      </c>
      <c r="F673" t="s">
        <v>309</v>
      </c>
      <c r="G673" s="8" t="s">
        <v>601</v>
      </c>
      <c r="H673" t="s">
        <v>672</v>
      </c>
      <c r="M673" t="b">
        <v>1</v>
      </c>
      <c r="N673" t="b">
        <v>1</v>
      </c>
      <c r="O673" t="b">
        <v>0</v>
      </c>
      <c r="P673" t="b">
        <v>0</v>
      </c>
      <c r="Q673" t="s">
        <v>601</v>
      </c>
      <c r="R673" t="s">
        <v>672</v>
      </c>
      <c r="U673" s="20">
        <v>1</v>
      </c>
      <c r="V673">
        <v>2</v>
      </c>
      <c r="W673">
        <v>0</v>
      </c>
      <c r="AC673" s="20">
        <v>3.9408639999999999</v>
      </c>
      <c r="AD673" s="20">
        <v>3.9455239999999989</v>
      </c>
      <c r="AE673" s="20">
        <v>15.25730117</v>
      </c>
      <c r="AF673">
        <v>3.8656999999999999</v>
      </c>
      <c r="AG673">
        <v>29.777000000000001</v>
      </c>
      <c r="AH673">
        <v>3.8519999999999999</v>
      </c>
      <c r="AI673">
        <v>0</v>
      </c>
      <c r="AM673">
        <v>20</v>
      </c>
      <c r="AN673" s="44">
        <f t="shared" si="135"/>
        <v>0</v>
      </c>
      <c r="AO673" s="46">
        <v>235.24089263777751</v>
      </c>
      <c r="AP673" s="44">
        <v>443.39967116280002</v>
      </c>
      <c r="AQ673" s="44">
        <v>0</v>
      </c>
      <c r="AR673" s="41"/>
      <c r="AS673" s="40">
        <v>8.5019231884976218E-2</v>
      </c>
      <c r="AT673" s="41">
        <v>9.0212065099420147E-2</v>
      </c>
      <c r="AU673" s="41"/>
      <c r="AV673">
        <v>1.9375</v>
      </c>
      <c r="AW673">
        <v>2.5</v>
      </c>
      <c r="AX673">
        <v>0.5625</v>
      </c>
      <c r="AY673">
        <v>2.625</v>
      </c>
      <c r="AZ673">
        <v>0.25409836065573771</v>
      </c>
      <c r="BA673">
        <v>0.32786885245901642</v>
      </c>
      <c r="BB673">
        <v>7.3770491803278687E-2</v>
      </c>
      <c r="BC673">
        <v>0.34426229508196721</v>
      </c>
      <c r="BD673" s="20">
        <v>0.82</v>
      </c>
      <c r="BE673" s="20">
        <v>3.44</v>
      </c>
      <c r="BF673" s="20">
        <v>2.62</v>
      </c>
      <c r="BG673" s="20">
        <v>2.6074999999999999</v>
      </c>
      <c r="BH673">
        <v>2.6074999999999999</v>
      </c>
      <c r="BI673">
        <v>5.9852253687500001</v>
      </c>
      <c r="BJ673" s="64">
        <v>0.49683934576995548</v>
      </c>
      <c r="BK673" s="64">
        <v>0</v>
      </c>
      <c r="BL673" s="64"/>
      <c r="BN673">
        <v>4.2509615942488109E-2</v>
      </c>
      <c r="BO673">
        <v>4.5106032549710073E-2</v>
      </c>
      <c r="BQ673">
        <v>8.7615648492198189E-2</v>
      </c>
      <c r="BR673">
        <v>4.3807824246099088E-2</v>
      </c>
      <c r="BS673">
        <v>0.24841967288497771</v>
      </c>
      <c r="CD673" s="68" t="s">
        <v>464</v>
      </c>
      <c r="CE673" s="68" t="s">
        <v>464</v>
      </c>
    </row>
    <row r="674" spans="1:89" x14ac:dyDescent="0.3">
      <c r="A674" t="s">
        <v>63</v>
      </c>
      <c r="B674" t="s">
        <v>4</v>
      </c>
      <c r="C674" t="s">
        <v>3928</v>
      </c>
      <c r="D674" s="12"/>
      <c r="E674">
        <v>3.4</v>
      </c>
      <c r="F674" t="s">
        <v>310</v>
      </c>
      <c r="G674" s="99" t="s">
        <v>587</v>
      </c>
      <c r="H674" s="58">
        <v>1522043</v>
      </c>
      <c r="J674" t="s">
        <v>1729</v>
      </c>
      <c r="K674" t="s">
        <v>1729</v>
      </c>
      <c r="M674" t="b">
        <v>1</v>
      </c>
      <c r="N674" t="b">
        <v>1</v>
      </c>
      <c r="O674" t="b">
        <v>0</v>
      </c>
      <c r="P674" t="b">
        <v>0</v>
      </c>
      <c r="Q674" t="s">
        <v>2222</v>
      </c>
      <c r="R674" t="s">
        <v>2294</v>
      </c>
      <c r="T674">
        <v>1</v>
      </c>
      <c r="U674" s="20">
        <v>0</v>
      </c>
      <c r="V674">
        <v>0</v>
      </c>
      <c r="W674">
        <v>0</v>
      </c>
      <c r="X674">
        <v>3.8531</v>
      </c>
      <c r="Y674">
        <v>3.8531</v>
      </c>
      <c r="Z674">
        <v>16.2151</v>
      </c>
      <c r="AB674">
        <v>16.2151</v>
      </c>
      <c r="AC674" s="20">
        <v>0</v>
      </c>
      <c r="AD674" s="20"/>
      <c r="AE674" s="20"/>
      <c r="AF674">
        <v>0</v>
      </c>
      <c r="AI674">
        <v>0</v>
      </c>
      <c r="AM674">
        <v>20</v>
      </c>
      <c r="AN674" s="44">
        <f t="shared" si="135"/>
        <v>240.73553001411099</v>
      </c>
      <c r="AO674" s="46">
        <v>0</v>
      </c>
      <c r="AP674" s="44">
        <v>0</v>
      </c>
      <c r="AQ674" s="44">
        <v>0</v>
      </c>
      <c r="AR674" s="41">
        <f t="shared" ref="AR674:AR676" si="179">T674*AM674/AN674</f>
        <v>8.3078721279022161E-2</v>
      </c>
      <c r="AS674" s="40"/>
      <c r="AT674" s="41"/>
      <c r="AU674" s="41"/>
      <c r="AV674">
        <v>1.75</v>
      </c>
      <c r="AW674">
        <v>2.5</v>
      </c>
      <c r="AX674">
        <v>0.75</v>
      </c>
      <c r="AY674">
        <v>0</v>
      </c>
      <c r="AZ674">
        <v>0.35</v>
      </c>
      <c r="BA674">
        <v>0.5</v>
      </c>
      <c r="BB674">
        <v>0.15</v>
      </c>
      <c r="BC674">
        <v>0</v>
      </c>
      <c r="BD674" s="20">
        <v>1</v>
      </c>
      <c r="BE674" s="20">
        <v>3.44</v>
      </c>
      <c r="BF674" s="20">
        <v>2.44</v>
      </c>
      <c r="BG674" s="20">
        <v>2.7124999999999999</v>
      </c>
      <c r="BH674">
        <v>2.7124999999999999</v>
      </c>
      <c r="BI674">
        <v>6.264025610615688</v>
      </c>
      <c r="BJ674" s="64"/>
      <c r="BK674" s="64"/>
      <c r="BL674" s="64"/>
      <c r="BM674">
        <v>4.153936063951108E-2</v>
      </c>
      <c r="BQ674">
        <v>8.3078721279022161E-2</v>
      </c>
      <c r="BR674">
        <v>4.153936063951108E-2</v>
      </c>
      <c r="BS674">
        <v>0</v>
      </c>
      <c r="BT674" s="68" t="s">
        <v>1264</v>
      </c>
      <c r="BX674" s="68" t="s">
        <v>464</v>
      </c>
      <c r="BY674" s="68" t="s">
        <v>464</v>
      </c>
      <c r="BZ674" s="68">
        <v>0</v>
      </c>
      <c r="CB674" s="68">
        <v>1</v>
      </c>
      <c r="CC674" s="68">
        <v>20</v>
      </c>
      <c r="CD674" s="68" t="s">
        <v>464</v>
      </c>
      <c r="CE674" s="68" t="s">
        <v>464</v>
      </c>
      <c r="CF674" s="68" t="s">
        <v>1271</v>
      </c>
      <c r="CG674" s="68">
        <v>300</v>
      </c>
      <c r="CH674" s="68">
        <v>420</v>
      </c>
      <c r="CI674" s="68" t="s">
        <v>1310</v>
      </c>
      <c r="CK674" s="70">
        <v>0</v>
      </c>
    </row>
    <row r="675" spans="1:89" x14ac:dyDescent="0.3">
      <c r="A675" t="s">
        <v>1440</v>
      </c>
      <c r="B675" t="s">
        <v>4</v>
      </c>
      <c r="C675" t="s">
        <v>4216</v>
      </c>
      <c r="D675" s="12"/>
      <c r="E675">
        <v>2.15</v>
      </c>
      <c r="F675" t="s">
        <v>310</v>
      </c>
      <c r="G675" s="8">
        <v>-1</v>
      </c>
      <c r="H675">
        <v>-1</v>
      </c>
      <c r="M675" t="b">
        <v>0</v>
      </c>
      <c r="N675" t="b">
        <v>0</v>
      </c>
      <c r="O675" t="b">
        <v>0</v>
      </c>
      <c r="P675" t="b">
        <v>1</v>
      </c>
      <c r="Q675">
        <v>-1</v>
      </c>
      <c r="R675">
        <v>-1</v>
      </c>
      <c r="T675">
        <v>1</v>
      </c>
      <c r="U675" s="20">
        <v>0</v>
      </c>
      <c r="V675">
        <v>0</v>
      </c>
      <c r="W675">
        <v>0</v>
      </c>
      <c r="X675">
        <v>3.8531</v>
      </c>
      <c r="Y675">
        <v>3.8531</v>
      </c>
      <c r="Z675">
        <v>16.2151</v>
      </c>
      <c r="AB675">
        <v>16.2151</v>
      </c>
      <c r="AC675" s="20">
        <v>0</v>
      </c>
      <c r="AD675" s="20"/>
      <c r="AE675" s="20"/>
      <c r="AF675">
        <v>0</v>
      </c>
      <c r="AI675">
        <v>0</v>
      </c>
      <c r="AM675">
        <v>20</v>
      </c>
      <c r="AN675" s="44">
        <f t="shared" si="135"/>
        <v>240.73553001411099</v>
      </c>
      <c r="AO675" s="46">
        <v>0</v>
      </c>
      <c r="AP675" s="44">
        <v>0</v>
      </c>
      <c r="AQ675" s="44">
        <v>0</v>
      </c>
      <c r="AR675" s="41">
        <f t="shared" si="179"/>
        <v>8.3078721279022161E-2</v>
      </c>
      <c r="AS675" s="40"/>
      <c r="AT675" s="41"/>
      <c r="AU675" s="41"/>
      <c r="AV675">
        <v>1.75</v>
      </c>
      <c r="AW675">
        <v>2.5</v>
      </c>
      <c r="AX675">
        <v>0.75</v>
      </c>
      <c r="AY675">
        <v>0</v>
      </c>
      <c r="AZ675">
        <v>0.35</v>
      </c>
      <c r="BA675">
        <v>0.5</v>
      </c>
      <c r="BB675">
        <v>0.15</v>
      </c>
      <c r="BC675">
        <v>0</v>
      </c>
      <c r="BD675" s="20">
        <v>1</v>
      </c>
      <c r="BE675" s="20">
        <v>3.44</v>
      </c>
      <c r="BF675" s="20">
        <v>2.44</v>
      </c>
      <c r="BG675" s="20">
        <v>2.7124999999999999</v>
      </c>
      <c r="BH675">
        <v>2.7124999999999999</v>
      </c>
      <c r="BI675">
        <v>6.264025610615688</v>
      </c>
      <c r="BJ675" s="64"/>
      <c r="BK675" s="64"/>
      <c r="BL675" s="64"/>
      <c r="BM675">
        <v>4.153936063951108E-2</v>
      </c>
      <c r="BQ675">
        <v>8.3078721279022161E-2</v>
      </c>
      <c r="BR675">
        <v>4.153936063951108E-2</v>
      </c>
      <c r="BS675">
        <v>0</v>
      </c>
      <c r="BT675" s="68" t="s">
        <v>1264</v>
      </c>
      <c r="BX675" s="68" t="s">
        <v>464</v>
      </c>
      <c r="BY675" s="68" t="s">
        <v>464</v>
      </c>
      <c r="BZ675" s="68">
        <v>0</v>
      </c>
      <c r="CB675" s="68">
        <v>1</v>
      </c>
      <c r="CC675" s="68">
        <v>20</v>
      </c>
      <c r="CD675" s="68" t="s">
        <v>464</v>
      </c>
      <c r="CE675" s="68" t="s">
        <v>464</v>
      </c>
      <c r="CF675" s="68" t="s">
        <v>1271</v>
      </c>
      <c r="CG675" s="68">
        <v>300</v>
      </c>
      <c r="CH675" s="68">
        <v>420</v>
      </c>
      <c r="CI675" s="68" t="s">
        <v>1310</v>
      </c>
      <c r="CK675" s="70">
        <v>450</v>
      </c>
    </row>
    <row r="676" spans="1:89" x14ac:dyDescent="0.3">
      <c r="A676" t="s">
        <v>311</v>
      </c>
      <c r="B676" t="s">
        <v>4</v>
      </c>
      <c r="C676" t="s">
        <v>4217</v>
      </c>
      <c r="D676" s="12"/>
      <c r="E676">
        <v>3.54</v>
      </c>
      <c r="F676" t="s">
        <v>312</v>
      </c>
      <c r="G676" s="25" t="s">
        <v>596</v>
      </c>
      <c r="H676" s="1" t="s">
        <v>669</v>
      </c>
      <c r="J676" t="s">
        <v>1751</v>
      </c>
      <c r="M676" t="b">
        <v>1</v>
      </c>
      <c r="N676" t="b">
        <v>0</v>
      </c>
      <c r="O676" t="b">
        <v>0</v>
      </c>
      <c r="P676" t="b">
        <v>0</v>
      </c>
      <c r="Q676" t="s">
        <v>2223</v>
      </c>
      <c r="R676" t="s">
        <v>669</v>
      </c>
      <c r="T676">
        <v>1</v>
      </c>
      <c r="U676" s="20">
        <v>0</v>
      </c>
      <c r="V676">
        <v>0</v>
      </c>
      <c r="W676">
        <v>0</v>
      </c>
      <c r="X676">
        <v>3.9647999999999999</v>
      </c>
      <c r="Y676">
        <v>3.9647999999999999</v>
      </c>
      <c r="Z676">
        <v>15.7392</v>
      </c>
      <c r="AA676" t="s">
        <v>439</v>
      </c>
      <c r="AB676">
        <v>15.7392</v>
      </c>
      <c r="AC676" s="20">
        <v>0</v>
      </c>
      <c r="AD676" s="20"/>
      <c r="AE676" s="20"/>
      <c r="AF676">
        <v>0</v>
      </c>
      <c r="AI676">
        <v>0</v>
      </c>
      <c r="AM676">
        <v>20</v>
      </c>
      <c r="AN676" s="44">
        <f t="shared" si="135"/>
        <v>247.41454277836797</v>
      </c>
      <c r="AO676" s="46">
        <v>0</v>
      </c>
      <c r="AP676" s="44">
        <v>0</v>
      </c>
      <c r="AQ676" s="44">
        <v>0</v>
      </c>
      <c r="AR676" s="41">
        <f t="shared" si="179"/>
        <v>8.0835991997106837E-2</v>
      </c>
      <c r="AS676" s="40"/>
      <c r="AT676" s="41"/>
      <c r="AU676" s="41"/>
      <c r="AV676" s="23">
        <v>1.9375</v>
      </c>
      <c r="AW676" s="23">
        <v>2.5</v>
      </c>
      <c r="AX676" s="23">
        <v>0.5625</v>
      </c>
      <c r="AY676" s="23">
        <v>2.625</v>
      </c>
      <c r="AZ676" s="23">
        <v>0.25409836065573771</v>
      </c>
      <c r="BA676" s="23">
        <v>0.32786885245901642</v>
      </c>
      <c r="BB676" s="23">
        <v>7.3770491803278687E-2</v>
      </c>
      <c r="BC676" s="23">
        <v>0.34426229508196721</v>
      </c>
      <c r="BD676" s="20">
        <v>0.79</v>
      </c>
      <c r="BE676" s="20">
        <v>3.44</v>
      </c>
      <c r="BF676" s="20">
        <v>2.65</v>
      </c>
      <c r="BG676" s="20">
        <v>2.5918749999999999</v>
      </c>
      <c r="BH676">
        <v>2.5918749999999999</v>
      </c>
      <c r="BI676">
        <v>5.9214935367946877</v>
      </c>
      <c r="BJ676" s="64"/>
      <c r="BK676" s="64"/>
      <c r="BL676" s="64"/>
      <c r="BM676">
        <v>4.0417995998553419E-2</v>
      </c>
      <c r="BQ676">
        <v>8.0835991997106837E-2</v>
      </c>
      <c r="BR676">
        <v>4.0417995998553419E-2</v>
      </c>
      <c r="BS676">
        <v>0</v>
      </c>
      <c r="BT676" s="68" t="s">
        <v>1264</v>
      </c>
      <c r="BU676" s="68">
        <v>1273</v>
      </c>
      <c r="BV676" s="68">
        <v>6</v>
      </c>
      <c r="CD676" s="68" t="s">
        <v>464</v>
      </c>
      <c r="CE676" s="68" t="s">
        <v>464</v>
      </c>
    </row>
    <row r="677" spans="1:89" x14ac:dyDescent="0.3">
      <c r="A677" t="s">
        <v>313</v>
      </c>
      <c r="B677" t="s">
        <v>2776</v>
      </c>
      <c r="C677" t="s">
        <v>3997</v>
      </c>
      <c r="D677" s="12"/>
      <c r="E677">
        <v>3.5</v>
      </c>
      <c r="F677" t="s">
        <v>314</v>
      </c>
      <c r="G677" s="8" t="s">
        <v>549</v>
      </c>
      <c r="H677">
        <v>-1</v>
      </c>
      <c r="I677" t="s">
        <v>1505</v>
      </c>
      <c r="M677" t="b">
        <v>1</v>
      </c>
      <c r="N677" t="b">
        <v>0</v>
      </c>
      <c r="O677" t="b">
        <v>0</v>
      </c>
      <c r="P677" t="b">
        <v>0</v>
      </c>
      <c r="Q677" t="s">
        <v>549</v>
      </c>
      <c r="R677">
        <v>-1</v>
      </c>
      <c r="S677" t="s">
        <v>1505</v>
      </c>
      <c r="U677" s="20">
        <v>1</v>
      </c>
      <c r="V677">
        <v>0</v>
      </c>
      <c r="W677">
        <v>0</v>
      </c>
      <c r="AC677" s="20">
        <v>15.28115725</v>
      </c>
      <c r="AD677" s="20">
        <v>15.28115725</v>
      </c>
      <c r="AE677" s="20">
        <v>15.28115725</v>
      </c>
      <c r="AF677">
        <v>0</v>
      </c>
      <c r="AI677">
        <v>0</v>
      </c>
      <c r="AM677">
        <v>20</v>
      </c>
      <c r="AN677" s="44">
        <f t="shared" ref="AN677:AN798" si="180">X677*Y677*Z677</f>
        <v>0</v>
      </c>
      <c r="AO677" s="46">
        <v>229.90248606119221</v>
      </c>
      <c r="AP677" s="44">
        <v>0</v>
      </c>
      <c r="AQ677" s="44">
        <v>0</v>
      </c>
      <c r="AR677" s="41"/>
      <c r="AS677" s="40">
        <v>8.6993404650164072E-2</v>
      </c>
      <c r="AT677" s="41"/>
      <c r="AU677" s="41"/>
      <c r="AV677" s="23">
        <v>1.882352941176471</v>
      </c>
      <c r="AW677" s="23">
        <v>2.3529411764705879</v>
      </c>
      <c r="AX677" s="23">
        <v>0.47058823529411759</v>
      </c>
      <c r="AY677" s="23">
        <v>0</v>
      </c>
      <c r="AZ677" s="23">
        <v>0.4</v>
      </c>
      <c r="BA677" s="23">
        <v>0.5</v>
      </c>
      <c r="BB677" s="23">
        <v>9.9999999999999992E-2</v>
      </c>
      <c r="BC677" s="23">
        <v>0</v>
      </c>
      <c r="BD677" s="20">
        <v>0.82</v>
      </c>
      <c r="BE677" s="20">
        <v>3.44</v>
      </c>
      <c r="BF677" s="20">
        <v>2.62</v>
      </c>
      <c r="BG677" s="20">
        <v>2.5211764705882351</v>
      </c>
      <c r="BH677">
        <v>2.521176470588236</v>
      </c>
      <c r="BI677">
        <v>5.6898745917647062</v>
      </c>
      <c r="BJ677" s="64">
        <v>0.57369840599679445</v>
      </c>
      <c r="BK677" s="64"/>
      <c r="BL677" s="64"/>
      <c r="BN677">
        <v>4.3496702325082043E-2</v>
      </c>
      <c r="BQ677">
        <v>8.6993404650164072E-2</v>
      </c>
      <c r="BR677">
        <v>4.3496702325082043E-2</v>
      </c>
      <c r="BS677">
        <v>0.57369840599679445</v>
      </c>
      <c r="BT677" s="68" t="s">
        <v>1264</v>
      </c>
      <c r="BU677" s="68">
        <v>1273</v>
      </c>
      <c r="BV677" s="68">
        <v>48</v>
      </c>
      <c r="CB677" s="68">
        <v>5</v>
      </c>
      <c r="CD677" s="68" t="s">
        <v>1398</v>
      </c>
      <c r="CE677" s="68" t="s">
        <v>464</v>
      </c>
      <c r="CF677" s="68" t="s">
        <v>1271</v>
      </c>
      <c r="CG677" s="68">
        <v>500</v>
      </c>
      <c r="CH677" s="68">
        <v>400</v>
      </c>
      <c r="CI677" s="68" t="s">
        <v>1310</v>
      </c>
      <c r="CK677" s="70">
        <v>0</v>
      </c>
    </row>
    <row r="678" spans="1:89" x14ac:dyDescent="0.3">
      <c r="A678" t="s">
        <v>1444</v>
      </c>
      <c r="B678" t="s">
        <v>2776</v>
      </c>
      <c r="C678" t="s">
        <v>4218</v>
      </c>
      <c r="D678" s="12"/>
      <c r="F678" t="s">
        <v>314</v>
      </c>
      <c r="G678" s="25" t="s">
        <v>549</v>
      </c>
      <c r="H678">
        <v>-1</v>
      </c>
      <c r="I678" s="1" t="s">
        <v>1505</v>
      </c>
      <c r="J678" s="1"/>
      <c r="K678" s="1"/>
      <c r="L678" s="1"/>
      <c r="M678" t="b">
        <v>1</v>
      </c>
      <c r="N678" t="b">
        <v>0</v>
      </c>
      <c r="O678" t="b">
        <v>0</v>
      </c>
      <c r="P678" t="b">
        <v>0</v>
      </c>
      <c r="Q678" t="s">
        <v>549</v>
      </c>
      <c r="R678">
        <v>-1</v>
      </c>
      <c r="S678" t="s">
        <v>1505</v>
      </c>
      <c r="U678" s="20">
        <v>1</v>
      </c>
      <c r="V678">
        <v>0</v>
      </c>
      <c r="W678">
        <v>0</v>
      </c>
      <c r="AC678" s="20">
        <v>15.28115725</v>
      </c>
      <c r="AD678" s="20">
        <v>15.28115725</v>
      </c>
      <c r="AE678" s="20">
        <v>15.28115725</v>
      </c>
      <c r="AF678">
        <v>0</v>
      </c>
      <c r="AI678">
        <v>0</v>
      </c>
      <c r="AM678">
        <v>20</v>
      </c>
      <c r="AN678" s="44">
        <f t="shared" si="180"/>
        <v>0</v>
      </c>
      <c r="AO678" s="46">
        <v>229.90248606119221</v>
      </c>
      <c r="AP678" s="44">
        <v>0</v>
      </c>
      <c r="AQ678" s="44">
        <v>0</v>
      </c>
      <c r="AR678" s="41"/>
      <c r="AS678" s="40">
        <v>8.6993404650164072E-2</v>
      </c>
      <c r="AT678" s="41"/>
      <c r="AU678" s="41"/>
      <c r="AV678" s="23">
        <v>1.882352941176471</v>
      </c>
      <c r="AW678" s="23">
        <v>2.3529411764705879</v>
      </c>
      <c r="AX678" s="23">
        <v>0.47058823529411759</v>
      </c>
      <c r="AY678" s="23">
        <v>0</v>
      </c>
      <c r="AZ678" s="23">
        <v>0.4</v>
      </c>
      <c r="BA678" s="23">
        <v>0.5</v>
      </c>
      <c r="BB678" s="23">
        <v>9.9999999999999992E-2</v>
      </c>
      <c r="BC678" s="23">
        <v>0</v>
      </c>
      <c r="BD678" s="20">
        <v>0.82</v>
      </c>
      <c r="BE678" s="20">
        <v>3.44</v>
      </c>
      <c r="BF678" s="20">
        <v>2.62</v>
      </c>
      <c r="BG678" s="20">
        <v>2.5211764705882351</v>
      </c>
      <c r="BH678">
        <v>2.521176470588236</v>
      </c>
      <c r="BI678">
        <v>5.6898745917647062</v>
      </c>
      <c r="BJ678" s="64">
        <v>0.57369840599679445</v>
      </c>
      <c r="BK678" s="64"/>
      <c r="BL678" s="64"/>
      <c r="BN678">
        <v>4.3496702325082043E-2</v>
      </c>
      <c r="BQ678">
        <v>8.6993404650164072E-2</v>
      </c>
      <c r="BR678">
        <v>4.3496702325082043E-2</v>
      </c>
      <c r="BS678">
        <v>0.57369840599679445</v>
      </c>
      <c r="BT678" s="68" t="s">
        <v>1264</v>
      </c>
      <c r="BU678" s="68">
        <v>1273</v>
      </c>
      <c r="BV678" s="68">
        <v>48</v>
      </c>
      <c r="CB678" s="68">
        <v>5</v>
      </c>
      <c r="CD678" s="68" t="s">
        <v>1398</v>
      </c>
      <c r="CE678" s="68" t="s">
        <v>464</v>
      </c>
      <c r="CF678" s="68" t="s">
        <v>1271</v>
      </c>
      <c r="CG678" s="68">
        <v>500</v>
      </c>
      <c r="CH678" s="68">
        <v>400</v>
      </c>
      <c r="CI678" s="68" t="s">
        <v>1310</v>
      </c>
      <c r="CK678" s="70">
        <v>16</v>
      </c>
    </row>
    <row r="679" spans="1:89" x14ac:dyDescent="0.3">
      <c r="A679" t="s">
        <v>1445</v>
      </c>
      <c r="B679" t="s">
        <v>2776</v>
      </c>
      <c r="C679" t="s">
        <v>4219</v>
      </c>
      <c r="D679" s="12"/>
      <c r="F679" t="s">
        <v>314</v>
      </c>
      <c r="G679" s="25" t="s">
        <v>549</v>
      </c>
      <c r="H679">
        <v>-1</v>
      </c>
      <c r="I679" s="1" t="s">
        <v>1505</v>
      </c>
      <c r="J679" s="1"/>
      <c r="K679" s="1"/>
      <c r="L679" s="1"/>
      <c r="M679" t="b">
        <v>1</v>
      </c>
      <c r="N679" t="b">
        <v>0</v>
      </c>
      <c r="O679" t="b">
        <v>0</v>
      </c>
      <c r="P679" t="b">
        <v>0</v>
      </c>
      <c r="Q679" t="s">
        <v>549</v>
      </c>
      <c r="R679">
        <v>-1</v>
      </c>
      <c r="S679" t="s">
        <v>1505</v>
      </c>
      <c r="U679" s="20">
        <v>1</v>
      </c>
      <c r="V679">
        <v>0</v>
      </c>
      <c r="W679">
        <v>0</v>
      </c>
      <c r="AC679" s="20">
        <v>15.28115725</v>
      </c>
      <c r="AD679" s="20">
        <v>15.28115725</v>
      </c>
      <c r="AE679" s="20">
        <v>15.28115725</v>
      </c>
      <c r="AF679">
        <v>0</v>
      </c>
      <c r="AI679">
        <v>0</v>
      </c>
      <c r="AM679">
        <v>20</v>
      </c>
      <c r="AN679" s="44">
        <f t="shared" ref="AN679:AN680" si="181">X679*Y679*Z679</f>
        <v>0</v>
      </c>
      <c r="AO679" s="46">
        <v>229.90248606119221</v>
      </c>
      <c r="AP679" s="44">
        <v>0</v>
      </c>
      <c r="AQ679" s="44">
        <v>0</v>
      </c>
      <c r="AR679" s="41"/>
      <c r="AS679" s="40">
        <v>8.6993404650164072E-2</v>
      </c>
      <c r="AT679" s="41"/>
      <c r="AU679" s="41"/>
      <c r="AV679" s="23">
        <v>1.882352941176471</v>
      </c>
      <c r="AW679" s="23">
        <v>2.3529411764705879</v>
      </c>
      <c r="AX679" s="23">
        <v>0.47058823529411759</v>
      </c>
      <c r="AY679" s="23">
        <v>0</v>
      </c>
      <c r="AZ679" s="23">
        <v>0.4</v>
      </c>
      <c r="BA679" s="23">
        <v>0.5</v>
      </c>
      <c r="BB679" s="23">
        <v>9.9999999999999992E-2</v>
      </c>
      <c r="BC679" s="23">
        <v>0</v>
      </c>
      <c r="BD679" s="20">
        <v>0.82</v>
      </c>
      <c r="BE679" s="20">
        <v>3.44</v>
      </c>
      <c r="BF679" s="20">
        <v>2.62</v>
      </c>
      <c r="BG679" s="20">
        <v>2.5211764705882351</v>
      </c>
      <c r="BH679">
        <v>2.521176470588236</v>
      </c>
      <c r="BI679">
        <v>5.6898745917647062</v>
      </c>
      <c r="BJ679" s="64">
        <v>0.57369840599679445</v>
      </c>
      <c r="BK679" s="64"/>
      <c r="BL679" s="64"/>
      <c r="BN679">
        <v>4.3496702325082043E-2</v>
      </c>
      <c r="BQ679">
        <v>8.6993404650164072E-2</v>
      </c>
      <c r="BR679">
        <v>4.3496702325082043E-2</v>
      </c>
      <c r="BS679">
        <v>0.57369840599679445</v>
      </c>
      <c r="BT679" s="68" t="s">
        <v>1264</v>
      </c>
      <c r="BU679" s="68">
        <v>1273</v>
      </c>
      <c r="BV679" s="68">
        <v>48</v>
      </c>
      <c r="CB679" s="68">
        <v>5</v>
      </c>
      <c r="CD679" s="68" t="s">
        <v>1398</v>
      </c>
      <c r="CE679" s="68" t="s">
        <v>464</v>
      </c>
      <c r="CF679" s="68" t="s">
        <v>1271</v>
      </c>
      <c r="CG679" s="68">
        <v>500</v>
      </c>
      <c r="CH679" s="68">
        <v>400</v>
      </c>
      <c r="CI679" s="68" t="s">
        <v>1310</v>
      </c>
      <c r="CK679" s="70">
        <v>20</v>
      </c>
    </row>
    <row r="680" spans="1:89" x14ac:dyDescent="0.3">
      <c r="A680" t="s">
        <v>1446</v>
      </c>
      <c r="B680" t="s">
        <v>2776</v>
      </c>
      <c r="C680" t="s">
        <v>4220</v>
      </c>
      <c r="D680" s="12"/>
      <c r="F680" t="s">
        <v>314</v>
      </c>
      <c r="G680" s="25" t="s">
        <v>549</v>
      </c>
      <c r="H680">
        <v>-1</v>
      </c>
      <c r="I680" s="1" t="s">
        <v>1505</v>
      </c>
      <c r="J680" s="1"/>
      <c r="K680" s="1"/>
      <c r="L680" s="1"/>
      <c r="M680" t="b">
        <v>1</v>
      </c>
      <c r="N680" t="b">
        <v>0</v>
      </c>
      <c r="O680" t="b">
        <v>0</v>
      </c>
      <c r="P680" t="b">
        <v>0</v>
      </c>
      <c r="Q680" t="s">
        <v>549</v>
      </c>
      <c r="R680">
        <v>-1</v>
      </c>
      <c r="S680" t="s">
        <v>1505</v>
      </c>
      <c r="U680" s="20">
        <v>1</v>
      </c>
      <c r="V680">
        <v>0</v>
      </c>
      <c r="W680">
        <v>0</v>
      </c>
      <c r="AC680" s="20">
        <v>15.28115725</v>
      </c>
      <c r="AD680" s="20">
        <v>15.28115725</v>
      </c>
      <c r="AE680" s="20">
        <v>15.28115725</v>
      </c>
      <c r="AF680">
        <v>0</v>
      </c>
      <c r="AI680">
        <v>0</v>
      </c>
      <c r="AM680">
        <v>20</v>
      </c>
      <c r="AN680" s="44">
        <f t="shared" si="181"/>
        <v>0</v>
      </c>
      <c r="AO680" s="46">
        <v>229.90248606119221</v>
      </c>
      <c r="AP680" s="44">
        <v>0</v>
      </c>
      <c r="AQ680" s="44">
        <v>0</v>
      </c>
      <c r="AR680" s="41"/>
      <c r="AS680" s="40">
        <v>8.6993404650164072E-2</v>
      </c>
      <c r="AT680" s="41"/>
      <c r="AU680" s="41"/>
      <c r="AV680" s="23">
        <v>1.882352941176471</v>
      </c>
      <c r="AW680" s="23">
        <v>2.3529411764705879</v>
      </c>
      <c r="AX680" s="23">
        <v>0.47058823529411759</v>
      </c>
      <c r="AY680" s="23">
        <v>0</v>
      </c>
      <c r="AZ680" s="23">
        <v>0.4</v>
      </c>
      <c r="BA680" s="23">
        <v>0.5</v>
      </c>
      <c r="BB680" s="23">
        <v>9.9999999999999992E-2</v>
      </c>
      <c r="BC680" s="23">
        <v>0</v>
      </c>
      <c r="BD680" s="20">
        <v>0.82</v>
      </c>
      <c r="BE680" s="20">
        <v>3.44</v>
      </c>
      <c r="BF680" s="20">
        <v>2.62</v>
      </c>
      <c r="BG680" s="20">
        <v>2.5211764705882351</v>
      </c>
      <c r="BH680">
        <v>2.521176470588236</v>
      </c>
      <c r="BI680">
        <v>5.6898745917647062</v>
      </c>
      <c r="BJ680" s="64">
        <v>0.57369840599679445</v>
      </c>
      <c r="BK680" s="64"/>
      <c r="BL680" s="64"/>
      <c r="BN680">
        <v>4.3496702325082043E-2</v>
      </c>
      <c r="BQ680">
        <v>8.6993404650164072E-2</v>
      </c>
      <c r="BR680">
        <v>4.3496702325082043E-2</v>
      </c>
      <c r="BS680">
        <v>0.57369840599679445</v>
      </c>
      <c r="BT680" s="68" t="s">
        <v>1264</v>
      </c>
      <c r="BU680" s="68">
        <v>1273</v>
      </c>
      <c r="BV680" s="68">
        <v>48</v>
      </c>
      <c r="CB680" s="68">
        <v>5</v>
      </c>
      <c r="CD680" s="68" t="s">
        <v>1398</v>
      </c>
      <c r="CE680" s="68" t="s">
        <v>464</v>
      </c>
      <c r="CF680" s="68" t="s">
        <v>1271</v>
      </c>
      <c r="CG680" s="68">
        <v>500</v>
      </c>
      <c r="CH680" s="68">
        <v>400</v>
      </c>
      <c r="CI680" s="68" t="s">
        <v>1310</v>
      </c>
      <c r="CK680" s="70">
        <v>12</v>
      </c>
    </row>
    <row r="681" spans="1:89" x14ac:dyDescent="0.3">
      <c r="A681" t="s">
        <v>1447</v>
      </c>
      <c r="B681" t="s">
        <v>2776</v>
      </c>
      <c r="C681" t="s">
        <v>4221</v>
      </c>
      <c r="D681" s="12"/>
      <c r="F681" t="s">
        <v>314</v>
      </c>
      <c r="G681" s="25" t="s">
        <v>549</v>
      </c>
      <c r="H681">
        <v>-1</v>
      </c>
      <c r="I681" s="1" t="s">
        <v>1505</v>
      </c>
      <c r="J681" s="1"/>
      <c r="K681" s="1"/>
      <c r="L681" s="1"/>
      <c r="M681" t="b">
        <v>1</v>
      </c>
      <c r="N681" t="b">
        <v>0</v>
      </c>
      <c r="O681" t="b">
        <v>0</v>
      </c>
      <c r="P681" t="b">
        <v>0</v>
      </c>
      <c r="Q681" t="s">
        <v>549</v>
      </c>
      <c r="R681">
        <v>-1</v>
      </c>
      <c r="S681" t="s">
        <v>1505</v>
      </c>
      <c r="U681" s="20">
        <v>1</v>
      </c>
      <c r="V681">
        <v>0</v>
      </c>
      <c r="W681">
        <v>0</v>
      </c>
      <c r="AC681" s="20">
        <v>15.28115725</v>
      </c>
      <c r="AD681" s="20">
        <v>15.28115725</v>
      </c>
      <c r="AE681" s="20">
        <v>15.28115725</v>
      </c>
      <c r="AF681">
        <v>0</v>
      </c>
      <c r="AI681">
        <v>0</v>
      </c>
      <c r="AM681">
        <v>20</v>
      </c>
      <c r="AN681" s="44">
        <f t="shared" ref="AN681:AN682" si="182">X681*Y681*Z681</f>
        <v>0</v>
      </c>
      <c r="AO681" s="46">
        <v>229.90248606119221</v>
      </c>
      <c r="AP681" s="44">
        <v>0</v>
      </c>
      <c r="AQ681" s="44">
        <v>0</v>
      </c>
      <c r="AR681" s="41"/>
      <c r="AS681" s="40">
        <v>8.6993404650164072E-2</v>
      </c>
      <c r="AT681" s="41"/>
      <c r="AU681" s="41"/>
      <c r="AV681" s="23">
        <v>1.882352941176471</v>
      </c>
      <c r="AW681" s="23">
        <v>2.3529411764705879</v>
      </c>
      <c r="AX681" s="23">
        <v>0.47058823529411759</v>
      </c>
      <c r="AY681" s="23">
        <v>0</v>
      </c>
      <c r="AZ681" s="23">
        <v>0.4</v>
      </c>
      <c r="BA681" s="23">
        <v>0.5</v>
      </c>
      <c r="BB681" s="23">
        <v>9.9999999999999992E-2</v>
      </c>
      <c r="BC681" s="23">
        <v>0</v>
      </c>
      <c r="BD681" s="20">
        <v>0.82</v>
      </c>
      <c r="BE681" s="20">
        <v>3.44</v>
      </c>
      <c r="BF681" s="20">
        <v>2.62</v>
      </c>
      <c r="BG681" s="20">
        <v>2.5211764705882351</v>
      </c>
      <c r="BH681">
        <v>2.521176470588236</v>
      </c>
      <c r="BI681">
        <v>5.6898745917647062</v>
      </c>
      <c r="BJ681" s="64">
        <v>0.57369840599679445</v>
      </c>
      <c r="BK681" s="64"/>
      <c r="BL681" s="64"/>
      <c r="BN681">
        <v>4.3496702325082043E-2</v>
      </c>
      <c r="BQ681">
        <v>8.6993404650164072E-2</v>
      </c>
      <c r="BR681">
        <v>4.3496702325082043E-2</v>
      </c>
      <c r="BS681">
        <v>0.57369840599679445</v>
      </c>
      <c r="BT681" s="68" t="s">
        <v>1264</v>
      </c>
      <c r="BU681" s="68">
        <v>1273</v>
      </c>
      <c r="BV681" s="68">
        <v>48</v>
      </c>
      <c r="CB681" s="68">
        <v>5</v>
      </c>
      <c r="CD681" s="68" t="s">
        <v>1398</v>
      </c>
      <c r="CE681" s="68" t="s">
        <v>464</v>
      </c>
      <c r="CF681" s="68" t="s">
        <v>1271</v>
      </c>
      <c r="CG681" s="68">
        <v>500</v>
      </c>
      <c r="CH681" s="68">
        <v>400</v>
      </c>
      <c r="CI681" s="68" t="s">
        <v>1310</v>
      </c>
      <c r="CK681" s="70">
        <v>8</v>
      </c>
    </row>
    <row r="682" spans="1:89" x14ac:dyDescent="0.3">
      <c r="A682" t="s">
        <v>1448</v>
      </c>
      <c r="B682" t="s">
        <v>2776</v>
      </c>
      <c r="C682" t="s">
        <v>4222</v>
      </c>
      <c r="D682" s="12"/>
      <c r="F682" t="s">
        <v>314</v>
      </c>
      <c r="G682" s="25" t="s">
        <v>549</v>
      </c>
      <c r="H682">
        <v>-1</v>
      </c>
      <c r="I682" s="1" t="s">
        <v>1505</v>
      </c>
      <c r="J682" s="1"/>
      <c r="K682" s="1"/>
      <c r="L682" s="1"/>
      <c r="M682" t="b">
        <v>1</v>
      </c>
      <c r="N682" t="b">
        <v>0</v>
      </c>
      <c r="O682" t="b">
        <v>0</v>
      </c>
      <c r="P682" t="b">
        <v>0</v>
      </c>
      <c r="Q682" t="s">
        <v>549</v>
      </c>
      <c r="R682">
        <v>-1</v>
      </c>
      <c r="S682" t="s">
        <v>1505</v>
      </c>
      <c r="U682" s="20">
        <v>1</v>
      </c>
      <c r="V682">
        <v>0</v>
      </c>
      <c r="W682">
        <v>0</v>
      </c>
      <c r="AC682" s="20">
        <v>15.28115725</v>
      </c>
      <c r="AD682" s="20">
        <v>15.28115725</v>
      </c>
      <c r="AE682" s="20">
        <v>15.28115725</v>
      </c>
      <c r="AF682">
        <v>0</v>
      </c>
      <c r="AI682">
        <v>0</v>
      </c>
      <c r="AM682">
        <v>20</v>
      </c>
      <c r="AN682" s="44">
        <f t="shared" si="182"/>
        <v>0</v>
      </c>
      <c r="AO682" s="46">
        <v>229.90248606119221</v>
      </c>
      <c r="AP682" s="44">
        <v>0</v>
      </c>
      <c r="AQ682" s="44">
        <v>0</v>
      </c>
      <c r="AR682" s="41"/>
      <c r="AS682" s="40">
        <v>8.6993404650164072E-2</v>
      </c>
      <c r="AT682" s="41"/>
      <c r="AU682" s="41"/>
      <c r="AV682" s="23">
        <v>1.882352941176471</v>
      </c>
      <c r="AW682" s="23">
        <v>2.3529411764705879</v>
      </c>
      <c r="AX682" s="23">
        <v>0.47058823529411759</v>
      </c>
      <c r="AY682" s="23">
        <v>0</v>
      </c>
      <c r="AZ682" s="23">
        <v>0.4</v>
      </c>
      <c r="BA682" s="23">
        <v>0.5</v>
      </c>
      <c r="BB682" s="23">
        <v>9.9999999999999992E-2</v>
      </c>
      <c r="BC682" s="23">
        <v>0</v>
      </c>
      <c r="BD682" s="20">
        <v>0.82</v>
      </c>
      <c r="BE682" s="20">
        <v>3.44</v>
      </c>
      <c r="BF682" s="20">
        <v>2.62</v>
      </c>
      <c r="BG682" s="20">
        <v>2.5211764705882351</v>
      </c>
      <c r="BH682">
        <v>2.521176470588236</v>
      </c>
      <c r="BI682">
        <v>5.6898745917647062</v>
      </c>
      <c r="BJ682" s="64">
        <v>0.57369840599679445</v>
      </c>
      <c r="BK682" s="64"/>
      <c r="BL682" s="64"/>
      <c r="BN682">
        <v>4.3496702325082043E-2</v>
      </c>
      <c r="BQ682">
        <v>8.6993404650164072E-2</v>
      </c>
      <c r="BR682">
        <v>4.3496702325082043E-2</v>
      </c>
      <c r="BS682">
        <v>0.57369840599679445</v>
      </c>
      <c r="BT682" s="68" t="s">
        <v>1264</v>
      </c>
      <c r="BU682" s="68">
        <v>1273</v>
      </c>
      <c r="BV682" s="68">
        <v>48</v>
      </c>
      <c r="CB682" s="68">
        <v>5</v>
      </c>
      <c r="CD682" s="68" t="s">
        <v>1398</v>
      </c>
      <c r="CE682" s="68" t="s">
        <v>464</v>
      </c>
      <c r="CF682" s="68" t="s">
        <v>1271</v>
      </c>
      <c r="CG682" s="68">
        <v>500</v>
      </c>
      <c r="CH682" s="68">
        <v>400</v>
      </c>
      <c r="CI682" s="68" t="s">
        <v>1310</v>
      </c>
      <c r="CK682" s="70">
        <v>2.8</v>
      </c>
    </row>
    <row r="683" spans="1:89" x14ac:dyDescent="0.3">
      <c r="A683" t="s">
        <v>1449</v>
      </c>
      <c r="B683" t="s">
        <v>2776</v>
      </c>
      <c r="C683" t="s">
        <v>4223</v>
      </c>
      <c r="D683" s="12"/>
      <c r="F683" t="s">
        <v>314</v>
      </c>
      <c r="G683" s="25" t="s">
        <v>549</v>
      </c>
      <c r="H683">
        <v>-1</v>
      </c>
      <c r="I683" s="1" t="s">
        <v>1505</v>
      </c>
      <c r="J683" s="1"/>
      <c r="K683" s="1"/>
      <c r="L683" s="1"/>
      <c r="M683" t="b">
        <v>1</v>
      </c>
      <c r="N683" t="b">
        <v>0</v>
      </c>
      <c r="O683" t="b">
        <v>0</v>
      </c>
      <c r="P683" t="b">
        <v>0</v>
      </c>
      <c r="Q683" t="s">
        <v>549</v>
      </c>
      <c r="R683">
        <v>-1</v>
      </c>
      <c r="S683" t="s">
        <v>1505</v>
      </c>
      <c r="U683" s="20">
        <v>1</v>
      </c>
      <c r="V683">
        <v>0</v>
      </c>
      <c r="W683">
        <v>0</v>
      </c>
      <c r="AC683" s="20">
        <v>15.28115725</v>
      </c>
      <c r="AD683" s="20">
        <v>15.28115725</v>
      </c>
      <c r="AE683" s="20">
        <v>15.28115725</v>
      </c>
      <c r="AF683">
        <v>0</v>
      </c>
      <c r="AI683">
        <v>0</v>
      </c>
      <c r="AM683">
        <v>20</v>
      </c>
      <c r="AN683" s="44">
        <f t="shared" ref="AN683:AN684" si="183">X683*Y683*Z683</f>
        <v>0</v>
      </c>
      <c r="AO683" s="46">
        <v>229.90248606119221</v>
      </c>
      <c r="AP683" s="44">
        <v>0</v>
      </c>
      <c r="AQ683" s="44">
        <v>0</v>
      </c>
      <c r="AR683" s="41"/>
      <c r="AS683" s="40">
        <v>8.6993404650164072E-2</v>
      </c>
      <c r="AT683" s="41"/>
      <c r="AU683" s="41"/>
      <c r="AV683" s="23">
        <v>1.882352941176471</v>
      </c>
      <c r="AW683" s="23">
        <v>2.3529411764705879</v>
      </c>
      <c r="AX683" s="23">
        <v>0.47058823529411759</v>
      </c>
      <c r="AY683" s="23">
        <v>0</v>
      </c>
      <c r="AZ683" s="23">
        <v>0.4</v>
      </c>
      <c r="BA683" s="23">
        <v>0.5</v>
      </c>
      <c r="BB683" s="23">
        <v>9.9999999999999992E-2</v>
      </c>
      <c r="BC683" s="23">
        <v>0</v>
      </c>
      <c r="BD683" s="20">
        <v>0.82</v>
      </c>
      <c r="BE683" s="20">
        <v>3.44</v>
      </c>
      <c r="BF683" s="20">
        <v>2.62</v>
      </c>
      <c r="BG683" s="20">
        <v>2.5211764705882351</v>
      </c>
      <c r="BH683">
        <v>2.521176470588236</v>
      </c>
      <c r="BI683">
        <v>5.6898745917647062</v>
      </c>
      <c r="BJ683" s="64">
        <v>0.57369840599679445</v>
      </c>
      <c r="BK683" s="64"/>
      <c r="BL683" s="64"/>
      <c r="BN683">
        <v>4.3496702325082043E-2</v>
      </c>
      <c r="BQ683">
        <v>8.6993404650164072E-2</v>
      </c>
      <c r="BR683">
        <v>4.3496702325082043E-2</v>
      </c>
      <c r="BS683">
        <v>0.57369840599679445</v>
      </c>
      <c r="BT683" s="68" t="s">
        <v>1264</v>
      </c>
      <c r="BU683" s="68">
        <v>1273</v>
      </c>
      <c r="BV683" s="68">
        <v>48</v>
      </c>
      <c r="CB683" s="68">
        <v>5</v>
      </c>
      <c r="CD683" s="68" t="s">
        <v>1398</v>
      </c>
      <c r="CE683" s="68" t="s">
        <v>464</v>
      </c>
      <c r="CF683" s="68" t="s">
        <v>1271</v>
      </c>
      <c r="CG683" s="68">
        <v>500</v>
      </c>
      <c r="CH683" s="68">
        <v>400</v>
      </c>
      <c r="CI683" s="68" t="s">
        <v>1310</v>
      </c>
      <c r="CK683" s="70">
        <v>1.6</v>
      </c>
    </row>
    <row r="684" spans="1:89" x14ac:dyDescent="0.3">
      <c r="A684" t="s">
        <v>1445</v>
      </c>
      <c r="B684" t="s">
        <v>2776</v>
      </c>
      <c r="C684" t="s">
        <v>4219</v>
      </c>
      <c r="D684" s="12"/>
      <c r="F684" t="s">
        <v>314</v>
      </c>
      <c r="G684" s="25" t="s">
        <v>549</v>
      </c>
      <c r="H684">
        <v>-1</v>
      </c>
      <c r="I684" s="1" t="s">
        <v>1505</v>
      </c>
      <c r="J684" s="1"/>
      <c r="K684" s="1"/>
      <c r="L684" s="1"/>
      <c r="M684" t="b">
        <v>1</v>
      </c>
      <c r="N684" t="b">
        <v>0</v>
      </c>
      <c r="O684" t="b">
        <v>0</v>
      </c>
      <c r="P684" t="b">
        <v>0</v>
      </c>
      <c r="Q684" t="s">
        <v>549</v>
      </c>
      <c r="R684">
        <v>-1</v>
      </c>
      <c r="S684" t="s">
        <v>1505</v>
      </c>
      <c r="U684" s="20">
        <v>1</v>
      </c>
      <c r="V684">
        <v>0</v>
      </c>
      <c r="W684">
        <v>0</v>
      </c>
      <c r="AC684" s="20">
        <v>15.28115725</v>
      </c>
      <c r="AD684" s="20">
        <v>15.28115725</v>
      </c>
      <c r="AE684" s="20">
        <v>15.28115725</v>
      </c>
      <c r="AF684">
        <v>0</v>
      </c>
      <c r="AI684">
        <v>0</v>
      </c>
      <c r="AM684">
        <v>20</v>
      </c>
      <c r="AN684" s="44">
        <f t="shared" si="183"/>
        <v>0</v>
      </c>
      <c r="AO684" s="46">
        <v>229.90248606119221</v>
      </c>
      <c r="AP684" s="44">
        <v>0</v>
      </c>
      <c r="AQ684" s="44">
        <v>0</v>
      </c>
      <c r="AR684" s="41"/>
      <c r="AS684" s="40">
        <v>8.6993404650164072E-2</v>
      </c>
      <c r="AT684" s="41"/>
      <c r="AU684" s="41"/>
      <c r="AV684" s="23">
        <v>1.882352941176471</v>
      </c>
      <c r="AW684" s="23">
        <v>2.3529411764705879</v>
      </c>
      <c r="AX684" s="23">
        <v>0.47058823529411759</v>
      </c>
      <c r="AY684" s="23">
        <v>0</v>
      </c>
      <c r="AZ684" s="23">
        <v>0.4</v>
      </c>
      <c r="BA684" s="23">
        <v>0.5</v>
      </c>
      <c r="BB684" s="23">
        <v>9.9999999999999992E-2</v>
      </c>
      <c r="BC684" s="23">
        <v>0</v>
      </c>
      <c r="BD684" s="20">
        <v>0.82</v>
      </c>
      <c r="BE684" s="20">
        <v>3.44</v>
      </c>
      <c r="BF684" s="20">
        <v>2.62</v>
      </c>
      <c r="BG684" s="20">
        <v>2.5211764705882351</v>
      </c>
      <c r="BH684">
        <v>2.521176470588236</v>
      </c>
      <c r="BI684">
        <v>5.6898745917647062</v>
      </c>
      <c r="BJ684" s="64">
        <v>0.57369840599679445</v>
      </c>
      <c r="BK684" s="64"/>
      <c r="BL684" s="64"/>
      <c r="BN684">
        <v>4.3496702325082043E-2</v>
      </c>
      <c r="BQ684">
        <v>8.6993404650164072E-2</v>
      </c>
      <c r="BR684">
        <v>4.3496702325082043E-2</v>
      </c>
      <c r="BS684">
        <v>0.57369840599679445</v>
      </c>
      <c r="BT684" s="68" t="s">
        <v>1264</v>
      </c>
      <c r="BU684" s="68">
        <v>1273</v>
      </c>
      <c r="BV684" s="68">
        <v>48</v>
      </c>
      <c r="CB684" s="68">
        <v>5</v>
      </c>
      <c r="CD684" s="68" t="s">
        <v>1450</v>
      </c>
      <c r="CE684" s="68" t="s">
        <v>464</v>
      </c>
      <c r="CF684" s="68" t="s">
        <v>1271</v>
      </c>
      <c r="CG684" s="68">
        <v>500</v>
      </c>
      <c r="CH684" s="68">
        <v>400</v>
      </c>
      <c r="CI684" s="68" t="s">
        <v>1310</v>
      </c>
      <c r="CK684" s="70">
        <v>14</v>
      </c>
    </row>
    <row r="685" spans="1:89" x14ac:dyDescent="0.3">
      <c r="A685" t="s">
        <v>1445</v>
      </c>
      <c r="B685" t="s">
        <v>2776</v>
      </c>
      <c r="C685" t="s">
        <v>4219</v>
      </c>
      <c r="D685" s="12"/>
      <c r="F685" t="s">
        <v>314</v>
      </c>
      <c r="G685" s="25" t="s">
        <v>549</v>
      </c>
      <c r="H685">
        <v>-1</v>
      </c>
      <c r="I685" s="1" t="s">
        <v>1505</v>
      </c>
      <c r="J685" s="1"/>
      <c r="K685" s="1"/>
      <c r="L685" s="1"/>
      <c r="M685" t="b">
        <v>1</v>
      </c>
      <c r="N685" t="b">
        <v>0</v>
      </c>
      <c r="O685" t="b">
        <v>0</v>
      </c>
      <c r="P685" t="b">
        <v>0</v>
      </c>
      <c r="Q685" t="s">
        <v>549</v>
      </c>
      <c r="R685">
        <v>-1</v>
      </c>
      <c r="S685" t="s">
        <v>1505</v>
      </c>
      <c r="U685" s="20">
        <v>1</v>
      </c>
      <c r="V685">
        <v>0</v>
      </c>
      <c r="W685">
        <v>0</v>
      </c>
      <c r="AC685" s="20">
        <v>15.28115725</v>
      </c>
      <c r="AD685" s="20">
        <v>15.28115725</v>
      </c>
      <c r="AE685" s="20">
        <v>15.28115725</v>
      </c>
      <c r="AF685">
        <v>0</v>
      </c>
      <c r="AI685">
        <v>0</v>
      </c>
      <c r="AM685">
        <v>20</v>
      </c>
      <c r="AN685" s="44">
        <f t="shared" ref="AN685" si="184">X685*Y685*Z685</f>
        <v>0</v>
      </c>
      <c r="AO685" s="46">
        <v>229.90248606119221</v>
      </c>
      <c r="AP685" s="44">
        <v>0</v>
      </c>
      <c r="AQ685" s="44">
        <v>0</v>
      </c>
      <c r="AR685" s="41"/>
      <c r="AS685" s="40">
        <v>8.6993404650164072E-2</v>
      </c>
      <c r="AT685" s="41"/>
      <c r="AU685" s="41"/>
      <c r="AV685" s="23">
        <v>1.882352941176471</v>
      </c>
      <c r="AW685" s="23">
        <v>2.3529411764705879</v>
      </c>
      <c r="AX685" s="23">
        <v>0.47058823529411759</v>
      </c>
      <c r="AY685" s="23">
        <v>0</v>
      </c>
      <c r="AZ685" s="23">
        <v>0.4</v>
      </c>
      <c r="BA685" s="23">
        <v>0.5</v>
      </c>
      <c r="BB685" s="23">
        <v>9.9999999999999992E-2</v>
      </c>
      <c r="BC685" s="23">
        <v>0</v>
      </c>
      <c r="BD685" s="20">
        <v>0.82</v>
      </c>
      <c r="BE685" s="20">
        <v>3.44</v>
      </c>
      <c r="BF685" s="20">
        <v>2.62</v>
      </c>
      <c r="BG685" s="20">
        <v>2.5211764705882351</v>
      </c>
      <c r="BH685">
        <v>2.521176470588236</v>
      </c>
      <c r="BI685">
        <v>5.6898745917647062</v>
      </c>
      <c r="BJ685" s="64">
        <v>0.57369840599679445</v>
      </c>
      <c r="BK685" s="64"/>
      <c r="BL685" s="64"/>
      <c r="BN685">
        <v>4.3496702325082043E-2</v>
      </c>
      <c r="BQ685">
        <v>8.6993404650164072E-2</v>
      </c>
      <c r="BR685">
        <v>4.3496702325082043E-2</v>
      </c>
      <c r="BS685">
        <v>0.57369840599679445</v>
      </c>
      <c r="BT685" s="68" t="s">
        <v>1264</v>
      </c>
      <c r="BU685" s="68">
        <v>1273</v>
      </c>
      <c r="BV685" s="68">
        <v>48</v>
      </c>
      <c r="CB685" s="68">
        <v>5</v>
      </c>
      <c r="CD685" s="68" t="s">
        <v>1451</v>
      </c>
      <c r="CE685" s="68" t="s">
        <v>464</v>
      </c>
      <c r="CF685" s="68" t="s">
        <v>1271</v>
      </c>
      <c r="CG685" s="68">
        <v>500</v>
      </c>
      <c r="CH685" s="68">
        <v>400</v>
      </c>
      <c r="CI685" s="68" t="s">
        <v>1310</v>
      </c>
      <c r="CK685" s="70">
        <v>42</v>
      </c>
    </row>
    <row r="686" spans="1:89" x14ac:dyDescent="0.3">
      <c r="A686" t="s">
        <v>1445</v>
      </c>
      <c r="B686" t="s">
        <v>2776</v>
      </c>
      <c r="C686" t="s">
        <v>4219</v>
      </c>
      <c r="D686" s="12"/>
      <c r="F686" t="s">
        <v>314</v>
      </c>
      <c r="G686" s="25" t="s">
        <v>549</v>
      </c>
      <c r="H686">
        <v>-1</v>
      </c>
      <c r="I686" s="1" t="s">
        <v>1505</v>
      </c>
      <c r="J686" s="1"/>
      <c r="K686" s="1"/>
      <c r="L686" s="1"/>
      <c r="M686" t="b">
        <v>1</v>
      </c>
      <c r="N686" t="b">
        <v>0</v>
      </c>
      <c r="O686" t="b">
        <v>0</v>
      </c>
      <c r="P686" t="b">
        <v>0</v>
      </c>
      <c r="Q686" t="s">
        <v>549</v>
      </c>
      <c r="R686">
        <v>-1</v>
      </c>
      <c r="S686" t="s">
        <v>1505</v>
      </c>
      <c r="U686" s="20">
        <v>1</v>
      </c>
      <c r="V686">
        <v>0</v>
      </c>
      <c r="W686">
        <v>0</v>
      </c>
      <c r="AC686" s="20">
        <v>15.28115725</v>
      </c>
      <c r="AD686" s="20">
        <v>15.28115725</v>
      </c>
      <c r="AE686" s="20">
        <v>15.28115725</v>
      </c>
      <c r="AF686">
        <v>0</v>
      </c>
      <c r="AI686">
        <v>0</v>
      </c>
      <c r="AM686">
        <v>20</v>
      </c>
      <c r="AN686" s="44">
        <f t="shared" ref="AN686" si="185">X686*Y686*Z686</f>
        <v>0</v>
      </c>
      <c r="AO686" s="46">
        <v>229.90248606119221</v>
      </c>
      <c r="AP686" s="44">
        <v>0</v>
      </c>
      <c r="AQ686" s="44">
        <v>0</v>
      </c>
      <c r="AR686" s="41"/>
      <c r="AS686" s="40">
        <v>8.6993404650164072E-2</v>
      </c>
      <c r="AT686" s="41"/>
      <c r="AU686" s="41"/>
      <c r="AV686" s="23">
        <v>1.882352941176471</v>
      </c>
      <c r="AW686" s="23">
        <v>2.3529411764705879</v>
      </c>
      <c r="AX686" s="23">
        <v>0.47058823529411759</v>
      </c>
      <c r="AY686" s="23">
        <v>0</v>
      </c>
      <c r="AZ686" s="23">
        <v>0.4</v>
      </c>
      <c r="BA686" s="23">
        <v>0.5</v>
      </c>
      <c r="BB686" s="23">
        <v>9.9999999999999992E-2</v>
      </c>
      <c r="BC686" s="23">
        <v>0</v>
      </c>
      <c r="BD686" s="20">
        <v>0.82</v>
      </c>
      <c r="BE686" s="20">
        <v>3.44</v>
      </c>
      <c r="BF686" s="20">
        <v>2.62</v>
      </c>
      <c r="BG686" s="20">
        <v>2.5211764705882351</v>
      </c>
      <c r="BH686">
        <v>2.521176470588236</v>
      </c>
      <c r="BI686">
        <v>5.6898745917647062</v>
      </c>
      <c r="BJ686" s="64">
        <v>0.57369840599679445</v>
      </c>
      <c r="BK686" s="64"/>
      <c r="BL686" s="64"/>
      <c r="BN686">
        <v>4.3496702325082043E-2</v>
      </c>
      <c r="BQ686">
        <v>8.6993404650164072E-2</v>
      </c>
      <c r="BR686">
        <v>4.3496702325082043E-2</v>
      </c>
      <c r="BS686">
        <v>0.57369840599679445</v>
      </c>
      <c r="BT686" s="68" t="s">
        <v>1264</v>
      </c>
      <c r="BU686" s="68">
        <v>1273</v>
      </c>
      <c r="BV686" s="68">
        <v>48</v>
      </c>
      <c r="CB686" s="68">
        <v>5</v>
      </c>
      <c r="CD686" s="68" t="s">
        <v>1402</v>
      </c>
      <c r="CE686" s="68" t="s">
        <v>464</v>
      </c>
      <c r="CF686" s="68" t="s">
        <v>1271</v>
      </c>
      <c r="CG686" s="68">
        <v>500</v>
      </c>
      <c r="CH686" s="68">
        <v>400</v>
      </c>
      <c r="CI686" s="68" t="s">
        <v>1310</v>
      </c>
      <c r="CK686" s="70">
        <v>24.8</v>
      </c>
    </row>
    <row r="687" spans="1:89" x14ac:dyDescent="0.3">
      <c r="A687" t="s">
        <v>1445</v>
      </c>
      <c r="B687" t="s">
        <v>2776</v>
      </c>
      <c r="C687" t="s">
        <v>4219</v>
      </c>
      <c r="D687" s="12"/>
      <c r="F687" t="s">
        <v>314</v>
      </c>
      <c r="G687" s="25" t="s">
        <v>549</v>
      </c>
      <c r="H687">
        <v>-1</v>
      </c>
      <c r="I687" s="1" t="s">
        <v>1505</v>
      </c>
      <c r="J687" s="1"/>
      <c r="K687" s="1"/>
      <c r="L687" s="1"/>
      <c r="M687" t="b">
        <v>1</v>
      </c>
      <c r="N687" t="b">
        <v>0</v>
      </c>
      <c r="O687" t="b">
        <v>0</v>
      </c>
      <c r="P687" t="b">
        <v>0</v>
      </c>
      <c r="Q687" t="s">
        <v>549</v>
      </c>
      <c r="R687">
        <v>-1</v>
      </c>
      <c r="S687" t="s">
        <v>1505</v>
      </c>
      <c r="U687" s="20">
        <v>1</v>
      </c>
      <c r="V687">
        <v>0</v>
      </c>
      <c r="W687">
        <v>0</v>
      </c>
      <c r="AC687" s="20">
        <v>15.28115725</v>
      </c>
      <c r="AD687" s="20">
        <v>15.28115725</v>
      </c>
      <c r="AE687" s="20">
        <v>15.28115725</v>
      </c>
      <c r="AF687">
        <v>0</v>
      </c>
      <c r="AI687">
        <v>0</v>
      </c>
      <c r="AM687">
        <v>20</v>
      </c>
      <c r="AN687" s="44">
        <f t="shared" ref="AN687" si="186">X687*Y687*Z687</f>
        <v>0</v>
      </c>
      <c r="AO687" s="46">
        <v>229.90248606119221</v>
      </c>
      <c r="AP687" s="44">
        <v>0</v>
      </c>
      <c r="AQ687" s="44">
        <v>0</v>
      </c>
      <c r="AR687" s="41"/>
      <c r="AS687" s="40">
        <v>8.6993404650164072E-2</v>
      </c>
      <c r="AT687" s="41"/>
      <c r="AU687" s="41"/>
      <c r="AV687" s="23">
        <v>1.882352941176471</v>
      </c>
      <c r="AW687" s="23">
        <v>2.3529411764705879</v>
      </c>
      <c r="AX687" s="23">
        <v>0.47058823529411759</v>
      </c>
      <c r="AY687" s="23">
        <v>0</v>
      </c>
      <c r="AZ687" s="23">
        <v>0.4</v>
      </c>
      <c r="BA687" s="23">
        <v>0.5</v>
      </c>
      <c r="BB687" s="23">
        <v>9.9999999999999992E-2</v>
      </c>
      <c r="BC687" s="23">
        <v>0</v>
      </c>
      <c r="BD687" s="20">
        <v>0.82</v>
      </c>
      <c r="BE687" s="20">
        <v>3.44</v>
      </c>
      <c r="BF687" s="20">
        <v>2.62</v>
      </c>
      <c r="BG687" s="20">
        <v>2.5211764705882351</v>
      </c>
      <c r="BH687">
        <v>2.521176470588236</v>
      </c>
      <c r="BI687">
        <v>5.6898745917647062</v>
      </c>
      <c r="BJ687" s="64">
        <v>0.57369840599679445</v>
      </c>
      <c r="BK687" s="64"/>
      <c r="BL687" s="64"/>
      <c r="BN687">
        <v>4.3496702325082043E-2</v>
      </c>
      <c r="BQ687">
        <v>8.6993404650164072E-2</v>
      </c>
      <c r="BR687">
        <v>4.3496702325082043E-2</v>
      </c>
      <c r="BS687">
        <v>0.57369840599679445</v>
      </c>
      <c r="BT687" s="68" t="s">
        <v>1264</v>
      </c>
      <c r="BU687" s="68">
        <v>1273</v>
      </c>
      <c r="BV687" s="68">
        <v>48</v>
      </c>
      <c r="CB687" s="68">
        <v>5</v>
      </c>
      <c r="CD687" s="68" t="s">
        <v>1452</v>
      </c>
      <c r="CE687" s="68" t="s">
        <v>464</v>
      </c>
      <c r="CF687" s="68" t="s">
        <v>1271</v>
      </c>
      <c r="CG687" s="68">
        <v>500</v>
      </c>
      <c r="CH687" s="68">
        <v>400</v>
      </c>
      <c r="CI687" s="68" t="s">
        <v>1310</v>
      </c>
      <c r="CK687" s="70">
        <v>8</v>
      </c>
    </row>
    <row r="688" spans="1:89" ht="15" x14ac:dyDescent="0.35">
      <c r="A688" t="s">
        <v>69</v>
      </c>
      <c r="C688" t="s">
        <v>4020</v>
      </c>
      <c r="D688" s="12"/>
      <c r="E688">
        <v>2.82</v>
      </c>
      <c r="F688" s="7" t="s">
        <v>315</v>
      </c>
      <c r="G688" s="8" t="s">
        <v>560</v>
      </c>
      <c r="H688" t="s">
        <v>638</v>
      </c>
      <c r="M688" t="b">
        <v>1</v>
      </c>
      <c r="N688" t="b">
        <v>1</v>
      </c>
      <c r="O688" t="b">
        <v>0</v>
      </c>
      <c r="P688" t="b">
        <v>0</v>
      </c>
      <c r="Q688" t="s">
        <v>560</v>
      </c>
      <c r="R688" t="s">
        <v>638</v>
      </c>
      <c r="T688" s="7"/>
      <c r="U688" s="20">
        <v>2</v>
      </c>
      <c r="V688">
        <v>4</v>
      </c>
      <c r="W688">
        <v>0</v>
      </c>
      <c r="AC688" s="20">
        <v>8.3195821399999996</v>
      </c>
      <c r="AD688" s="20">
        <v>8.3195821399999996</v>
      </c>
      <c r="AE688" s="20">
        <v>8.2425581700000006</v>
      </c>
      <c r="AF688">
        <v>5.5339970000000003</v>
      </c>
      <c r="AG688">
        <v>5.4998300000000002</v>
      </c>
      <c r="AH688">
        <v>16.550709999999999</v>
      </c>
      <c r="AI688">
        <v>0</v>
      </c>
      <c r="AM688">
        <v>12</v>
      </c>
      <c r="AN688" s="44">
        <f t="shared" si="180"/>
        <v>0</v>
      </c>
      <c r="AO688" s="46">
        <v>248.80917443900231</v>
      </c>
      <c r="AP688" s="44">
        <v>503.73811661477208</v>
      </c>
      <c r="AQ688" s="44">
        <v>0</v>
      </c>
      <c r="AR688" s="41"/>
      <c r="AS688" s="40">
        <v>9.6459465588893734E-2</v>
      </c>
      <c r="AT688" s="41">
        <v>9.5287607621536111E-2</v>
      </c>
      <c r="AU688" s="41"/>
      <c r="AV688" s="23">
        <v>2</v>
      </c>
      <c r="AW688" s="23">
        <v>3.333333333333333</v>
      </c>
      <c r="AX688" s="23">
        <v>2.666666666666667</v>
      </c>
      <c r="AY688" s="23">
        <v>4.666666666666667</v>
      </c>
      <c r="AZ688" s="23">
        <v>0.15789473684210531</v>
      </c>
      <c r="BA688" s="23">
        <v>0.26315789473684209</v>
      </c>
      <c r="BB688" s="23">
        <v>0.2105263157894737</v>
      </c>
      <c r="BC688" s="23">
        <v>0.36842105263157898</v>
      </c>
      <c r="BD688" s="20">
        <v>2.02</v>
      </c>
      <c r="BE688" s="20">
        <v>3.44</v>
      </c>
      <c r="BF688" s="20">
        <v>1.42</v>
      </c>
      <c r="BG688" s="20">
        <v>3.0044444444444438</v>
      </c>
      <c r="BH688">
        <v>3.0044444444444438</v>
      </c>
      <c r="BI688">
        <v>6.4228342255555546</v>
      </c>
      <c r="BJ688" s="64">
        <v>0.52562348257484404</v>
      </c>
      <c r="BK688" s="64">
        <v>0.51923783589802341</v>
      </c>
      <c r="BL688" s="64"/>
      <c r="BN688">
        <v>4.8229732794446867E-2</v>
      </c>
      <c r="BO688">
        <v>4.7643803810768062E-2</v>
      </c>
      <c r="BQ688">
        <v>9.5873536605214915E-2</v>
      </c>
      <c r="BR688">
        <v>4.7936768302607458E-2</v>
      </c>
      <c r="BS688">
        <v>0.52243065923643373</v>
      </c>
      <c r="CD688" s="68" t="s">
        <v>464</v>
      </c>
      <c r="CE688" s="68" t="s">
        <v>464</v>
      </c>
    </row>
    <row r="689" spans="1:89" x14ac:dyDescent="0.3">
      <c r="A689" t="s">
        <v>316</v>
      </c>
      <c r="C689" t="s">
        <v>4224</v>
      </c>
      <c r="D689" s="12"/>
      <c r="E689">
        <v>3.6</v>
      </c>
      <c r="F689" t="s">
        <v>317</v>
      </c>
      <c r="G689" s="8">
        <v>-1</v>
      </c>
      <c r="H689">
        <v>-1</v>
      </c>
      <c r="M689" t="b">
        <v>0</v>
      </c>
      <c r="N689" t="b">
        <v>0</v>
      </c>
      <c r="O689" t="b">
        <v>0</v>
      </c>
      <c r="P689" t="b">
        <v>1</v>
      </c>
      <c r="Q689">
        <v>-1</v>
      </c>
      <c r="R689">
        <v>-1</v>
      </c>
      <c r="T689">
        <v>2</v>
      </c>
      <c r="U689" s="20">
        <v>0</v>
      </c>
      <c r="V689">
        <v>0</v>
      </c>
      <c r="W689">
        <v>0</v>
      </c>
      <c r="X689">
        <v>3.823</v>
      </c>
      <c r="Y689">
        <v>2.9550000000000001</v>
      </c>
      <c r="Z689">
        <v>17.215</v>
      </c>
      <c r="AA689" t="s">
        <v>519</v>
      </c>
      <c r="AB689">
        <v>17.215</v>
      </c>
      <c r="AC689" s="20">
        <v>0</v>
      </c>
      <c r="AD689" s="20"/>
      <c r="AE689" s="20"/>
      <c r="AF689">
        <v>0</v>
      </c>
      <c r="AI689">
        <v>0</v>
      </c>
      <c r="AM689">
        <v>8</v>
      </c>
      <c r="AN689" s="44">
        <f t="shared" si="180"/>
        <v>194.477252475</v>
      </c>
      <c r="AO689" s="46">
        <v>0</v>
      </c>
      <c r="AP689" s="44">
        <v>0</v>
      </c>
      <c r="AQ689" s="44">
        <v>0</v>
      </c>
      <c r="AR689" s="41">
        <f t="shared" ref="AR689:AR779" si="187">T689*AM689/AN689</f>
        <v>8.2271832805005288E-2</v>
      </c>
      <c r="AS689" s="40"/>
      <c r="AT689" s="41"/>
      <c r="AU689" s="41"/>
      <c r="AV689" s="23">
        <v>1.8969230769230769</v>
      </c>
      <c r="AW689" s="23">
        <v>2.4615384615384621</v>
      </c>
      <c r="AX689" s="23">
        <v>0.56307692307692314</v>
      </c>
      <c r="AY689" s="23">
        <v>0</v>
      </c>
      <c r="AZ689" s="23">
        <v>0.38543294779618631</v>
      </c>
      <c r="BA689" s="23">
        <v>0.50015629884338852</v>
      </c>
      <c r="BB689" s="23">
        <v>0.1144107533604251</v>
      </c>
      <c r="BC689" s="23">
        <v>0</v>
      </c>
      <c r="BD689" s="20">
        <v>0.79</v>
      </c>
      <c r="BE689" s="20">
        <v>3.44</v>
      </c>
      <c r="BF689" s="20">
        <v>2.65</v>
      </c>
      <c r="BG689" s="20">
        <v>2.6319230769230768</v>
      </c>
      <c r="BH689">
        <v>2.6319230769230768</v>
      </c>
      <c r="BI689">
        <v>5.8365582503752389</v>
      </c>
      <c r="BJ689" s="64"/>
      <c r="BK689" s="64"/>
      <c r="BL689" s="64"/>
      <c r="BM689">
        <v>4.1135916402502637E-2</v>
      </c>
      <c r="BQ689">
        <v>8.2271832805005288E-2</v>
      </c>
      <c r="BR689">
        <v>4.1135916402502637E-2</v>
      </c>
      <c r="BS689">
        <v>0</v>
      </c>
      <c r="CD689" s="68" t="s">
        <v>464</v>
      </c>
      <c r="CE689" s="68" t="s">
        <v>464</v>
      </c>
    </row>
    <row r="690" spans="1:89" x14ac:dyDescent="0.3">
      <c r="A690" t="s">
        <v>318</v>
      </c>
      <c r="B690" t="s">
        <v>318</v>
      </c>
      <c r="C690" t="s">
        <v>4225</v>
      </c>
      <c r="D690" s="12"/>
      <c r="E690">
        <v>3.45</v>
      </c>
      <c r="F690" t="s">
        <v>319</v>
      </c>
      <c r="G690" s="106" t="s">
        <v>561</v>
      </c>
      <c r="H690">
        <v>-1</v>
      </c>
      <c r="J690" t="s">
        <v>1726</v>
      </c>
      <c r="M690" t="b">
        <v>1</v>
      </c>
      <c r="N690" t="b">
        <v>0</v>
      </c>
      <c r="O690" t="b">
        <v>0</v>
      </c>
      <c r="P690" t="b">
        <v>0</v>
      </c>
      <c r="Q690" t="s">
        <v>2224</v>
      </c>
      <c r="R690">
        <v>-1</v>
      </c>
      <c r="T690">
        <v>2</v>
      </c>
      <c r="U690" s="20">
        <v>0</v>
      </c>
      <c r="V690">
        <v>0</v>
      </c>
      <c r="W690">
        <v>2</v>
      </c>
      <c r="X690" s="60">
        <v>3.71</v>
      </c>
      <c r="Y690" s="60">
        <v>3.71</v>
      </c>
      <c r="Z690" s="60">
        <v>12.2</v>
      </c>
      <c r="AA690" t="s">
        <v>519</v>
      </c>
      <c r="AB690">
        <v>12.2</v>
      </c>
      <c r="AC690" s="20">
        <v>0</v>
      </c>
      <c r="AD690" s="20"/>
      <c r="AE690" s="20"/>
      <c r="AF690">
        <v>0</v>
      </c>
      <c r="AI690">
        <v>3.72</v>
      </c>
      <c r="AJ690">
        <v>3.72</v>
      </c>
      <c r="AK690">
        <v>12.3012</v>
      </c>
      <c r="AM690">
        <v>8</v>
      </c>
      <c r="AN690" s="44">
        <f t="shared" si="180"/>
        <v>167.92201999999997</v>
      </c>
      <c r="AO690" s="46">
        <v>0</v>
      </c>
      <c r="AP690" s="44">
        <v>0</v>
      </c>
      <c r="AQ690" s="44">
        <v>170.2</v>
      </c>
      <c r="AR690" s="41">
        <f t="shared" si="187"/>
        <v>9.5282322115944076E-2</v>
      </c>
      <c r="AS690" s="40"/>
      <c r="AT690" s="41"/>
      <c r="AU690" s="56">
        <f>W690*AM690/AQ690</f>
        <v>9.400705052878966E-2</v>
      </c>
      <c r="AV690" s="23">
        <v>1.857142857142857</v>
      </c>
      <c r="AW690" s="23">
        <v>2.285714285714286</v>
      </c>
      <c r="AX690" s="23">
        <v>0.42857142857142849</v>
      </c>
      <c r="AY690" s="23">
        <v>0</v>
      </c>
      <c r="AZ690" s="23">
        <v>0.40625000000000011</v>
      </c>
      <c r="BA690" s="23">
        <v>0.5</v>
      </c>
      <c r="BB690" s="23">
        <v>9.375E-2</v>
      </c>
      <c r="BC690" s="23">
        <v>0</v>
      </c>
      <c r="BD690" s="20">
        <v>1.1000000000000001</v>
      </c>
      <c r="BE690" s="20">
        <v>3.44</v>
      </c>
      <c r="BF690" s="20">
        <v>2.34</v>
      </c>
      <c r="BG690" s="20">
        <v>2.657142857142857</v>
      </c>
      <c r="BH690">
        <v>2.657142857142857</v>
      </c>
      <c r="BI690">
        <v>6.2648417856930001</v>
      </c>
      <c r="BJ690" s="64"/>
      <c r="BK690" s="64"/>
      <c r="BL690" s="64">
        <v>0.51949166816826697</v>
      </c>
      <c r="BM690">
        <v>4.7641161057972038E-2</v>
      </c>
      <c r="BP690">
        <v>4.700352526439483E-2</v>
      </c>
      <c r="BQ690">
        <v>9.4644686322366861E-2</v>
      </c>
      <c r="BR690">
        <v>4.7322343161183431E-2</v>
      </c>
      <c r="BS690">
        <v>0.51949166816826697</v>
      </c>
      <c r="BT690" s="68" t="s">
        <v>1264</v>
      </c>
      <c r="BU690" s="68">
        <f>825+273</f>
        <v>1098</v>
      </c>
      <c r="BV690" s="68">
        <v>12</v>
      </c>
      <c r="BX690" s="68" t="s">
        <v>464</v>
      </c>
      <c r="BY690" s="68" t="s">
        <v>464</v>
      </c>
      <c r="BZ690" s="68">
        <v>0</v>
      </c>
      <c r="CA690" s="68">
        <v>9.6999999999999993</v>
      </c>
      <c r="CB690" s="68">
        <v>0.5</v>
      </c>
      <c r="CC690" s="68">
        <v>1</v>
      </c>
      <c r="CD690" s="77" t="s">
        <v>464</v>
      </c>
      <c r="CE690" s="77" t="s">
        <v>464</v>
      </c>
      <c r="CF690" s="77" t="s">
        <v>1266</v>
      </c>
      <c r="CG690" s="77">
        <v>125</v>
      </c>
      <c r="CH690" s="77">
        <v>220</v>
      </c>
      <c r="CI690" s="77" t="s">
        <v>1287</v>
      </c>
      <c r="CJ690" s="77">
        <f>273+15</f>
        <v>288</v>
      </c>
      <c r="CK690" s="70">
        <v>29.2</v>
      </c>
    </row>
    <row r="691" spans="1:89" x14ac:dyDescent="0.3">
      <c r="A691" t="s">
        <v>320</v>
      </c>
      <c r="B691" t="s">
        <v>318</v>
      </c>
      <c r="C691" t="s">
        <v>4226</v>
      </c>
      <c r="D691" s="12"/>
      <c r="E691">
        <v>3.58</v>
      </c>
      <c r="F691" t="s">
        <v>319</v>
      </c>
      <c r="G691" s="109" t="s">
        <v>2516</v>
      </c>
      <c r="H691">
        <v>-1</v>
      </c>
      <c r="M691" t="b">
        <v>1</v>
      </c>
      <c r="N691" t="b">
        <v>0</v>
      </c>
      <c r="O691" t="b">
        <v>0</v>
      </c>
      <c r="P691" t="b">
        <v>0</v>
      </c>
      <c r="Q691" t="s">
        <v>2516</v>
      </c>
      <c r="R691">
        <v>-1</v>
      </c>
      <c r="T691">
        <v>4</v>
      </c>
      <c r="U691" s="20">
        <v>0</v>
      </c>
      <c r="V691">
        <v>0</v>
      </c>
      <c r="W691">
        <v>0</v>
      </c>
      <c r="X691">
        <v>3.77</v>
      </c>
      <c r="Y691">
        <v>3.77</v>
      </c>
      <c r="Z691">
        <v>33.299999999999997</v>
      </c>
      <c r="AA691" t="s">
        <v>519</v>
      </c>
      <c r="AB691">
        <v>16.649999999999999</v>
      </c>
      <c r="AC691" s="20">
        <v>0</v>
      </c>
      <c r="AD691" s="20"/>
      <c r="AE691" s="20"/>
      <c r="AF691">
        <v>0</v>
      </c>
      <c r="AI691">
        <v>0</v>
      </c>
      <c r="AM691">
        <v>8</v>
      </c>
      <c r="AN691" s="44">
        <f t="shared" si="180"/>
        <v>473.28956999999991</v>
      </c>
      <c r="AO691" s="46">
        <v>0</v>
      </c>
      <c r="AP691" s="44">
        <v>0</v>
      </c>
      <c r="AQ691" s="44">
        <v>0</v>
      </c>
      <c r="AR691" s="41">
        <f t="shared" si="187"/>
        <v>6.7611885045343392E-2</v>
      </c>
      <c r="AS691" s="40"/>
      <c r="AT691" s="41"/>
      <c r="AU691" s="41"/>
      <c r="AV691" s="23">
        <v>1.571428571428571</v>
      </c>
      <c r="AW691" s="23">
        <v>1.5</v>
      </c>
      <c r="AX691" s="23">
        <v>0.2142857142857143</v>
      </c>
      <c r="AY691" s="23">
        <v>0</v>
      </c>
      <c r="AZ691" s="23">
        <v>0.47826086956521741</v>
      </c>
      <c r="BA691" s="23">
        <v>0.45652173913043481</v>
      </c>
      <c r="BB691" s="23">
        <v>6.5217391304347824E-2</v>
      </c>
      <c r="BC691" s="23">
        <v>0</v>
      </c>
      <c r="BD691" s="20">
        <v>1.1000000000000001</v>
      </c>
      <c r="BE691" s="20">
        <v>3.44</v>
      </c>
      <c r="BF691" s="20">
        <v>2.34</v>
      </c>
      <c r="BG691" s="20">
        <v>2.5135714285714279</v>
      </c>
      <c r="BH691">
        <v>2.5135714285714279</v>
      </c>
      <c r="BI691">
        <v>6.6592671289361416</v>
      </c>
      <c r="BJ691" s="64"/>
      <c r="BK691" s="64"/>
      <c r="BL691" s="64"/>
      <c r="BM691">
        <v>3.3805942522671703E-2</v>
      </c>
      <c r="BQ691">
        <v>6.7611885045343392E-2</v>
      </c>
      <c r="BR691">
        <v>3.3805942522671703E-2</v>
      </c>
      <c r="BS691">
        <v>0</v>
      </c>
      <c r="BT691" s="68" t="s">
        <v>1264</v>
      </c>
      <c r="BU691" s="68">
        <f t="shared" ref="BU691:BU741" si="188">825+273</f>
        <v>1098</v>
      </c>
      <c r="BV691" s="68">
        <v>12</v>
      </c>
      <c r="BX691" s="68" t="s">
        <v>464</v>
      </c>
      <c r="BY691" s="68" t="s">
        <v>464</v>
      </c>
      <c r="BZ691" s="68">
        <v>0</v>
      </c>
      <c r="CA691" s="68">
        <v>4</v>
      </c>
      <c r="CB691" s="68">
        <v>0.5</v>
      </c>
      <c r="CC691" s="68">
        <v>1</v>
      </c>
      <c r="CD691" s="77" t="s">
        <v>464</v>
      </c>
      <c r="CE691" s="77" t="s">
        <v>464</v>
      </c>
      <c r="CF691" s="77" t="s">
        <v>1266</v>
      </c>
      <c r="CG691" s="77">
        <v>125</v>
      </c>
      <c r="CH691" s="77">
        <v>220</v>
      </c>
      <c r="CI691" s="77" t="s">
        <v>1287</v>
      </c>
      <c r="CJ691" s="77">
        <f t="shared" ref="CJ691:CJ754" si="189">273+15</f>
        <v>288</v>
      </c>
      <c r="CK691" s="70">
        <v>920</v>
      </c>
    </row>
    <row r="692" spans="1:89" x14ac:dyDescent="0.3">
      <c r="A692" t="s">
        <v>321</v>
      </c>
      <c r="B692" t="s">
        <v>318</v>
      </c>
      <c r="C692" t="s">
        <v>4227</v>
      </c>
      <c r="D692" s="12"/>
      <c r="E692">
        <v>3.48</v>
      </c>
      <c r="F692" t="s">
        <v>319</v>
      </c>
      <c r="G692" s="8" t="s">
        <v>2517</v>
      </c>
      <c r="H692">
        <v>-1</v>
      </c>
      <c r="M692" t="b">
        <v>1</v>
      </c>
      <c r="N692" t="b">
        <v>0</v>
      </c>
      <c r="O692" t="b">
        <v>0</v>
      </c>
      <c r="P692" t="b">
        <v>0</v>
      </c>
      <c r="Q692" t="s">
        <v>2517</v>
      </c>
      <c r="R692">
        <v>-1</v>
      </c>
      <c r="T692">
        <v>4</v>
      </c>
      <c r="U692" s="20">
        <v>0</v>
      </c>
      <c r="V692">
        <v>0</v>
      </c>
      <c r="W692">
        <v>0</v>
      </c>
      <c r="X692">
        <v>3.75</v>
      </c>
      <c r="Y692">
        <v>3.75</v>
      </c>
      <c r="Z692">
        <v>37.299999999999997</v>
      </c>
      <c r="AA692" t="s">
        <v>519</v>
      </c>
      <c r="AB692">
        <v>18.649999999999999</v>
      </c>
      <c r="AC692" s="20">
        <v>0</v>
      </c>
      <c r="AD692" s="20"/>
      <c r="AE692" s="20"/>
      <c r="AF692">
        <v>0</v>
      </c>
      <c r="AI692">
        <v>0</v>
      </c>
      <c r="AM692">
        <v>8</v>
      </c>
      <c r="AN692" s="44">
        <f t="shared" si="180"/>
        <v>524.53125</v>
      </c>
      <c r="AO692" s="46">
        <v>0</v>
      </c>
      <c r="AP692" s="44">
        <v>0</v>
      </c>
      <c r="AQ692" s="44">
        <v>0</v>
      </c>
      <c r="AR692" s="41">
        <f t="shared" si="187"/>
        <v>6.1006851355376826E-2</v>
      </c>
      <c r="AS692" s="40"/>
      <c r="AT692" s="41"/>
      <c r="AU692" s="41"/>
      <c r="AV692" s="23">
        <v>1.529411764705882</v>
      </c>
      <c r="AW692" s="23">
        <v>1.3529411764705881</v>
      </c>
      <c r="AX692" s="23">
        <v>0.1764705882352941</v>
      </c>
      <c r="AY692" s="23">
        <v>0</v>
      </c>
      <c r="AZ692" s="23">
        <v>0.5</v>
      </c>
      <c r="BA692" s="23">
        <v>0.44230769230769229</v>
      </c>
      <c r="BB692" s="23">
        <v>5.7692307692307702E-2</v>
      </c>
      <c r="BC692" s="23">
        <v>0</v>
      </c>
      <c r="BD692" s="20">
        <v>1.1000000000000001</v>
      </c>
      <c r="BE692" s="20">
        <v>3.44</v>
      </c>
      <c r="BF692" s="20">
        <v>2.34</v>
      </c>
      <c r="BG692" s="20">
        <v>2.4788235294117649</v>
      </c>
      <c r="BH692">
        <v>2.4788235294117649</v>
      </c>
      <c r="BI692">
        <v>6.6967043065181171</v>
      </c>
      <c r="BJ692" s="64"/>
      <c r="BK692" s="64"/>
      <c r="BL692" s="64"/>
      <c r="BM692">
        <v>3.050342567768841E-2</v>
      </c>
      <c r="BQ692">
        <v>6.1006851355376833E-2</v>
      </c>
      <c r="BR692">
        <v>3.050342567768841E-2</v>
      </c>
      <c r="BS692">
        <v>0</v>
      </c>
      <c r="BT692" s="68" t="s">
        <v>1264</v>
      </c>
      <c r="BU692" s="68">
        <f t="shared" si="188"/>
        <v>1098</v>
      </c>
      <c r="BV692" s="68">
        <v>12</v>
      </c>
      <c r="BX692" s="68" t="s">
        <v>464</v>
      </c>
      <c r="BY692" s="68" t="s">
        <v>464</v>
      </c>
      <c r="BZ692" s="68">
        <v>0</v>
      </c>
      <c r="CB692" s="68">
        <v>0.5</v>
      </c>
      <c r="CC692" s="68">
        <v>1</v>
      </c>
      <c r="CD692" s="77" t="s">
        <v>464</v>
      </c>
      <c r="CE692" s="77" t="s">
        <v>464</v>
      </c>
      <c r="CF692" s="77" t="s">
        <v>1266</v>
      </c>
      <c r="CG692" s="77">
        <v>125</v>
      </c>
      <c r="CH692" s="77">
        <v>220</v>
      </c>
      <c r="CI692" s="77" t="s">
        <v>1287</v>
      </c>
      <c r="CJ692" s="77">
        <f t="shared" si="189"/>
        <v>288</v>
      </c>
      <c r="CK692" s="70">
        <v>327.99999999999994</v>
      </c>
    </row>
    <row r="693" spans="1:89" x14ac:dyDescent="0.3">
      <c r="A693" t="s">
        <v>2735</v>
      </c>
      <c r="B693" t="s">
        <v>318</v>
      </c>
      <c r="C693" t="s">
        <v>4228</v>
      </c>
      <c r="D693" s="12"/>
      <c r="E693">
        <v>3.5</v>
      </c>
      <c r="F693" t="s">
        <v>319</v>
      </c>
      <c r="G693" s="8" t="s">
        <v>2518</v>
      </c>
      <c r="H693">
        <v>-1</v>
      </c>
      <c r="M693" t="b">
        <v>1</v>
      </c>
      <c r="N693" t="b">
        <v>0</v>
      </c>
      <c r="O693" t="b">
        <v>0</v>
      </c>
      <c r="P693" t="b">
        <v>0</v>
      </c>
      <c r="Q693" t="s">
        <v>2518</v>
      </c>
      <c r="R693">
        <v>-1</v>
      </c>
      <c r="T693">
        <v>4</v>
      </c>
      <c r="U693" s="20">
        <v>0</v>
      </c>
      <c r="V693">
        <v>0</v>
      </c>
      <c r="W693">
        <v>0</v>
      </c>
      <c r="X693">
        <v>3.76</v>
      </c>
      <c r="Y693">
        <v>3.76</v>
      </c>
      <c r="Z693">
        <v>41.2</v>
      </c>
      <c r="AA693" t="s">
        <v>519</v>
      </c>
      <c r="AB693">
        <v>20.6</v>
      </c>
      <c r="AC693" s="20">
        <v>0</v>
      </c>
      <c r="AD693" s="20"/>
      <c r="AE693" s="20"/>
      <c r="AF693">
        <v>0</v>
      </c>
      <c r="AI693">
        <v>0</v>
      </c>
      <c r="AM693">
        <v>8</v>
      </c>
      <c r="AN693" s="44">
        <f t="shared" si="180"/>
        <v>582.46911999999998</v>
      </c>
      <c r="AO693" s="46">
        <v>0</v>
      </c>
      <c r="AP693" s="44">
        <v>0</v>
      </c>
      <c r="AQ693" s="44">
        <v>0</v>
      </c>
      <c r="AR693" s="41">
        <f t="shared" si="187"/>
        <v>5.4938534767302344E-2</v>
      </c>
      <c r="AS693" s="40"/>
      <c r="AT693" s="41"/>
      <c r="AU693" s="41"/>
      <c r="AV693" s="23">
        <v>1.5</v>
      </c>
      <c r="AW693" s="23">
        <v>1.25</v>
      </c>
      <c r="AX693" s="23">
        <v>0.15</v>
      </c>
      <c r="AY693" s="23">
        <v>0</v>
      </c>
      <c r="AZ693" s="23">
        <v>0.51724137931034486</v>
      </c>
      <c r="BA693" s="23">
        <v>0.43103448275862072</v>
      </c>
      <c r="BB693" s="23">
        <v>5.1724137931034482E-2</v>
      </c>
      <c r="BC693" s="23">
        <v>0</v>
      </c>
      <c r="BD693" s="20">
        <v>1.1000000000000001</v>
      </c>
      <c r="BE693" s="20">
        <v>3.44</v>
      </c>
      <c r="BF693" s="20">
        <v>2.34</v>
      </c>
      <c r="BG693" s="20">
        <v>2.4544999999999999</v>
      </c>
      <c r="BH693">
        <v>2.4544999999999999</v>
      </c>
      <c r="BI693">
        <v>6.7229103308255</v>
      </c>
      <c r="BJ693" s="64"/>
      <c r="BK693" s="64"/>
      <c r="BL693" s="64"/>
      <c r="BM693">
        <v>2.7469267383651168E-2</v>
      </c>
      <c r="BQ693">
        <v>5.4938534767302337E-2</v>
      </c>
      <c r="BR693">
        <v>2.7469267383651168E-2</v>
      </c>
      <c r="BS693">
        <v>0</v>
      </c>
      <c r="BT693" s="68" t="s">
        <v>1264</v>
      </c>
      <c r="BU693" s="68">
        <f t="shared" si="188"/>
        <v>1098</v>
      </c>
      <c r="BV693" s="68">
        <v>12</v>
      </c>
      <c r="BX693" s="68" t="s">
        <v>464</v>
      </c>
      <c r="BY693" s="68" t="s">
        <v>464</v>
      </c>
      <c r="BZ693" s="68">
        <v>0</v>
      </c>
      <c r="CB693" s="68">
        <v>0.5</v>
      </c>
      <c r="CC693" s="68">
        <v>1</v>
      </c>
      <c r="CD693" s="77" t="s">
        <v>464</v>
      </c>
      <c r="CE693" s="77" t="s">
        <v>464</v>
      </c>
      <c r="CF693" s="77" t="s">
        <v>1266</v>
      </c>
      <c r="CG693" s="77">
        <v>125</v>
      </c>
      <c r="CH693" s="77">
        <v>220</v>
      </c>
      <c r="CI693" s="77" t="s">
        <v>1287</v>
      </c>
      <c r="CJ693" s="77">
        <f t="shared" si="189"/>
        <v>288</v>
      </c>
      <c r="CK693" s="70">
        <v>296</v>
      </c>
    </row>
    <row r="694" spans="1:89" x14ac:dyDescent="0.3">
      <c r="A694" t="s">
        <v>323</v>
      </c>
      <c r="B694" t="s">
        <v>318</v>
      </c>
      <c r="C694" t="s">
        <v>4229</v>
      </c>
      <c r="D694" s="12"/>
      <c r="E694">
        <v>3.61</v>
      </c>
      <c r="F694" t="s">
        <v>319</v>
      </c>
      <c r="G694" s="8" t="s">
        <v>2519</v>
      </c>
      <c r="H694">
        <v>-1</v>
      </c>
      <c r="M694" t="b">
        <v>1</v>
      </c>
      <c r="N694" t="b">
        <v>0</v>
      </c>
      <c r="O694" t="b">
        <v>0</v>
      </c>
      <c r="P694" t="b">
        <v>0</v>
      </c>
      <c r="Q694" t="s">
        <v>2519</v>
      </c>
      <c r="R694">
        <v>-1</v>
      </c>
      <c r="T694">
        <v>4</v>
      </c>
      <c r="U694" s="20">
        <v>0</v>
      </c>
      <c r="V694">
        <v>0</v>
      </c>
      <c r="W694">
        <v>0</v>
      </c>
      <c r="X694">
        <v>3.76</v>
      </c>
      <c r="Y694">
        <v>3.76</v>
      </c>
      <c r="Z694">
        <v>47.8</v>
      </c>
      <c r="AA694" t="s">
        <v>519</v>
      </c>
      <c r="AB694">
        <v>23.9</v>
      </c>
      <c r="AC694" s="20">
        <v>0</v>
      </c>
      <c r="AD694" s="20"/>
      <c r="AE694" s="20"/>
      <c r="AF694">
        <v>0</v>
      </c>
      <c r="AI694">
        <v>0</v>
      </c>
      <c r="AM694">
        <v>8</v>
      </c>
      <c r="AN694" s="44">
        <f t="shared" si="180"/>
        <v>675.77727999999991</v>
      </c>
      <c r="AO694" s="46">
        <v>0</v>
      </c>
      <c r="AP694" s="44">
        <v>0</v>
      </c>
      <c r="AQ694" s="44">
        <v>0</v>
      </c>
      <c r="AR694" s="41">
        <f t="shared" si="187"/>
        <v>4.7352879339181107E-2</v>
      </c>
      <c r="AS694" s="40"/>
      <c r="AT694" s="41"/>
      <c r="AU694" s="41"/>
      <c r="AV694" s="23">
        <v>1.4782608695652171</v>
      </c>
      <c r="AW694" s="23">
        <v>1.173913043478261</v>
      </c>
      <c r="AX694" s="23">
        <v>0.13043478260869559</v>
      </c>
      <c r="AY694" s="23">
        <v>0</v>
      </c>
      <c r="AZ694" s="23">
        <v>0.53125</v>
      </c>
      <c r="BA694" s="23">
        <v>0.42187500000000011</v>
      </c>
      <c r="BB694" s="23">
        <v>4.6875E-2</v>
      </c>
      <c r="BC694" s="23">
        <v>0</v>
      </c>
      <c r="BD694" s="20">
        <v>1.1000000000000001</v>
      </c>
      <c r="BE694" s="20">
        <v>3.44</v>
      </c>
      <c r="BF694" s="20">
        <v>2.34</v>
      </c>
      <c r="BG694" s="20">
        <v>2.436521739130435</v>
      </c>
      <c r="BH694">
        <v>2.436521739130435</v>
      </c>
      <c r="BI694">
        <v>6.7422800009657378</v>
      </c>
      <c r="BJ694" s="64"/>
      <c r="BK694" s="64"/>
      <c r="BL694" s="64"/>
      <c r="BM694">
        <v>2.367643966959055E-2</v>
      </c>
      <c r="BQ694">
        <v>4.7352879339181107E-2</v>
      </c>
      <c r="BR694">
        <v>2.367643966959055E-2</v>
      </c>
      <c r="BS694">
        <v>0</v>
      </c>
      <c r="BT694" s="68" t="s">
        <v>1264</v>
      </c>
      <c r="BU694" s="68">
        <f t="shared" si="188"/>
        <v>1098</v>
      </c>
      <c r="BV694" s="68">
        <v>12</v>
      </c>
      <c r="BX694" s="68" t="s">
        <v>464</v>
      </c>
      <c r="BY694" s="68" t="s">
        <v>464</v>
      </c>
      <c r="BZ694" s="68">
        <v>0</v>
      </c>
      <c r="CA694" s="68">
        <v>2.6</v>
      </c>
      <c r="CB694" s="68">
        <v>0.5</v>
      </c>
      <c r="CC694" s="68">
        <v>1</v>
      </c>
      <c r="CD694" s="77" t="s">
        <v>464</v>
      </c>
      <c r="CE694" s="77" t="s">
        <v>464</v>
      </c>
      <c r="CF694" s="77" t="s">
        <v>1266</v>
      </c>
      <c r="CG694" s="77">
        <v>125</v>
      </c>
      <c r="CH694" s="77">
        <v>220</v>
      </c>
      <c r="CI694" s="77" t="s">
        <v>1287</v>
      </c>
      <c r="CJ694" s="77">
        <f t="shared" si="189"/>
        <v>288</v>
      </c>
      <c r="CK694" s="70">
        <v>520</v>
      </c>
    </row>
    <row r="695" spans="1:89" x14ac:dyDescent="0.3">
      <c r="A695" t="s">
        <v>324</v>
      </c>
      <c r="B695" t="s">
        <v>318</v>
      </c>
      <c r="C695" t="s">
        <v>4230</v>
      </c>
      <c r="D695" s="12"/>
      <c r="E695">
        <v>3.47</v>
      </c>
      <c r="F695" t="s">
        <v>319</v>
      </c>
      <c r="G695" s="8" t="s">
        <v>2520</v>
      </c>
      <c r="H695">
        <v>-1</v>
      </c>
      <c r="M695" t="b">
        <v>1</v>
      </c>
      <c r="N695" t="b">
        <v>0</v>
      </c>
      <c r="O695" t="b">
        <v>0</v>
      </c>
      <c r="P695" t="b">
        <v>0</v>
      </c>
      <c r="Q695" t="s">
        <v>2520</v>
      </c>
      <c r="R695">
        <v>-1</v>
      </c>
      <c r="T695">
        <v>4</v>
      </c>
      <c r="U695" s="20">
        <v>0</v>
      </c>
      <c r="V695">
        <v>0</v>
      </c>
      <c r="W695">
        <v>0</v>
      </c>
      <c r="X695">
        <v>3.76</v>
      </c>
      <c r="Y695">
        <v>3.76</v>
      </c>
      <c r="Z695">
        <v>54.9</v>
      </c>
      <c r="AA695" t="s">
        <v>519</v>
      </c>
      <c r="AB695">
        <v>27.45</v>
      </c>
      <c r="AC695" s="20">
        <v>0</v>
      </c>
      <c r="AD695" s="20"/>
      <c r="AE695" s="20"/>
      <c r="AF695">
        <v>0</v>
      </c>
      <c r="AI695">
        <v>0</v>
      </c>
      <c r="AM695">
        <v>8</v>
      </c>
      <c r="AN695" s="44">
        <f t="shared" si="180"/>
        <v>776.15423999999996</v>
      </c>
      <c r="AO695" s="46">
        <v>0</v>
      </c>
      <c r="AP695" s="44">
        <v>0</v>
      </c>
      <c r="AQ695" s="44">
        <v>0</v>
      </c>
      <c r="AR695" s="41">
        <f t="shared" si="187"/>
        <v>4.1228918623185E-2</v>
      </c>
      <c r="AS695" s="40"/>
      <c r="AT695" s="41"/>
      <c r="AU695" s="41"/>
      <c r="AV695" s="23">
        <v>1.448275862068966</v>
      </c>
      <c r="AW695" s="23">
        <v>1.068965517241379</v>
      </c>
      <c r="AX695" s="23">
        <v>0.10344827586206901</v>
      </c>
      <c r="AY695" s="23">
        <v>0</v>
      </c>
      <c r="AZ695" s="23">
        <v>0.55263157894736847</v>
      </c>
      <c r="BA695" s="23">
        <v>0.40789473684210531</v>
      </c>
      <c r="BB695" s="23">
        <v>3.9473684210526307E-2</v>
      </c>
      <c r="BC695" s="23">
        <v>0</v>
      </c>
      <c r="BD695" s="20">
        <v>1.1000000000000001</v>
      </c>
      <c r="BE695" s="20">
        <v>3.44</v>
      </c>
      <c r="BF695" s="20">
        <v>2.34</v>
      </c>
      <c r="BG695" s="20">
        <v>2.411724137931035</v>
      </c>
      <c r="BH695">
        <v>2.4117241379310341</v>
      </c>
      <c r="BI695">
        <v>6.7689967873660688</v>
      </c>
      <c r="BJ695" s="64"/>
      <c r="BK695" s="64"/>
      <c r="BL695" s="64"/>
      <c r="BM695">
        <v>2.06144593115925E-2</v>
      </c>
      <c r="BQ695">
        <v>4.1228918623185E-2</v>
      </c>
      <c r="BR695">
        <v>2.06144593115925E-2</v>
      </c>
      <c r="BS695">
        <v>0</v>
      </c>
      <c r="BT695" s="68" t="s">
        <v>1264</v>
      </c>
      <c r="BU695" s="68">
        <f t="shared" si="188"/>
        <v>1098</v>
      </c>
      <c r="BV695" s="68">
        <v>12</v>
      </c>
      <c r="BX695" s="68" t="s">
        <v>464</v>
      </c>
      <c r="BY695" s="68" t="s">
        <v>464</v>
      </c>
      <c r="BZ695" s="68">
        <v>0</v>
      </c>
      <c r="CB695" s="68">
        <v>0.5</v>
      </c>
      <c r="CC695" s="68">
        <v>1</v>
      </c>
      <c r="CD695" s="77" t="s">
        <v>464</v>
      </c>
      <c r="CE695" s="77" t="s">
        <v>464</v>
      </c>
      <c r="CF695" s="77" t="s">
        <v>1266</v>
      </c>
      <c r="CG695" s="77">
        <v>125</v>
      </c>
      <c r="CH695" s="77">
        <v>220</v>
      </c>
      <c r="CI695" s="77" t="s">
        <v>1287</v>
      </c>
      <c r="CJ695" s="77">
        <f t="shared" si="189"/>
        <v>288</v>
      </c>
      <c r="CK695" s="70">
        <v>600</v>
      </c>
    </row>
    <row r="696" spans="1:89" x14ac:dyDescent="0.3">
      <c r="A696" t="s">
        <v>2527</v>
      </c>
      <c r="B696" t="s">
        <v>318</v>
      </c>
      <c r="C696" t="s">
        <v>4231</v>
      </c>
      <c r="D696" s="12"/>
      <c r="E696">
        <v>3.49</v>
      </c>
      <c r="F696" t="s">
        <v>319</v>
      </c>
      <c r="G696" s="110" t="s">
        <v>2528</v>
      </c>
      <c r="H696">
        <v>-1</v>
      </c>
      <c r="M696" t="b">
        <v>0</v>
      </c>
      <c r="N696" t="b">
        <v>0</v>
      </c>
      <c r="O696" t="b">
        <v>0</v>
      </c>
      <c r="P696" t="b">
        <v>1</v>
      </c>
      <c r="Q696" t="s">
        <v>2528</v>
      </c>
      <c r="R696">
        <v>-1</v>
      </c>
      <c r="T696">
        <v>4</v>
      </c>
      <c r="U696" s="20">
        <v>0</v>
      </c>
      <c r="V696">
        <v>0</v>
      </c>
      <c r="W696">
        <v>0</v>
      </c>
      <c r="X696">
        <v>3.78</v>
      </c>
      <c r="Y696">
        <v>3.78</v>
      </c>
      <c r="Z696">
        <v>66.3</v>
      </c>
      <c r="AA696" t="s">
        <v>519</v>
      </c>
      <c r="AB696">
        <v>33.15</v>
      </c>
      <c r="AC696" s="20">
        <v>0</v>
      </c>
      <c r="AD696" s="20"/>
      <c r="AE696" s="20"/>
      <c r="AF696">
        <v>0</v>
      </c>
      <c r="AI696">
        <v>0</v>
      </c>
      <c r="AM696">
        <v>8</v>
      </c>
      <c r="AN696" s="44">
        <f t="shared" si="180"/>
        <v>947.32091999999989</v>
      </c>
      <c r="AO696" s="46">
        <v>0</v>
      </c>
      <c r="AP696" s="44">
        <v>0</v>
      </c>
      <c r="AQ696" s="44">
        <v>0</v>
      </c>
      <c r="AR696" s="41">
        <f t="shared" si="187"/>
        <v>3.3779471480477816E-2</v>
      </c>
      <c r="AS696" s="40"/>
      <c r="AT696" s="41"/>
      <c r="AU696" s="41"/>
      <c r="AV696" s="23">
        <v>1.428571428571429</v>
      </c>
      <c r="AW696" s="23">
        <v>1</v>
      </c>
      <c r="AX696" s="23">
        <v>8.5714285714285715E-2</v>
      </c>
      <c r="AY696" s="23">
        <v>0</v>
      </c>
      <c r="AZ696" s="23">
        <v>0.56818181818181823</v>
      </c>
      <c r="BA696" s="23">
        <v>0.39772727272727282</v>
      </c>
      <c r="BB696" s="23">
        <v>3.4090909090909102E-2</v>
      </c>
      <c r="BC696" s="23">
        <v>0</v>
      </c>
      <c r="BD696" s="20">
        <v>1.1000000000000001</v>
      </c>
      <c r="BE696" s="20">
        <v>3.44</v>
      </c>
      <c r="BF696" s="20">
        <v>2.34</v>
      </c>
      <c r="BG696" s="20">
        <v>2.3954285714285719</v>
      </c>
      <c r="BH696">
        <v>2.395428571428571</v>
      </c>
      <c r="BI696">
        <v>6.7865535327148558</v>
      </c>
      <c r="BJ696" s="64"/>
      <c r="BK696" s="64"/>
      <c r="BL696" s="64"/>
      <c r="BM696">
        <v>1.6889735740238911E-2</v>
      </c>
      <c r="BQ696">
        <v>3.3779471480477823E-2</v>
      </c>
      <c r="BR696">
        <v>1.6889735740238911E-2</v>
      </c>
      <c r="BS696">
        <v>0</v>
      </c>
      <c r="BT696" s="68" t="s">
        <v>1264</v>
      </c>
      <c r="BU696" s="68">
        <f t="shared" si="188"/>
        <v>1098</v>
      </c>
      <c r="BV696" s="68">
        <v>12</v>
      </c>
      <c r="BX696" s="68" t="s">
        <v>464</v>
      </c>
      <c r="BY696" s="68" t="s">
        <v>464</v>
      </c>
      <c r="BZ696" s="68">
        <v>0</v>
      </c>
      <c r="CA696" s="68">
        <v>15</v>
      </c>
      <c r="CB696" s="68">
        <v>0.5</v>
      </c>
      <c r="CC696" s="68">
        <v>1</v>
      </c>
      <c r="CD696" s="77" t="s">
        <v>464</v>
      </c>
      <c r="CE696" s="77" t="s">
        <v>464</v>
      </c>
      <c r="CF696" s="77" t="s">
        <v>1266</v>
      </c>
      <c r="CG696" s="77">
        <v>125</v>
      </c>
      <c r="CH696" s="77">
        <v>220</v>
      </c>
      <c r="CI696" s="77" t="s">
        <v>1287</v>
      </c>
      <c r="CJ696" s="77">
        <f t="shared" si="189"/>
        <v>288</v>
      </c>
      <c r="CK696" s="70">
        <v>720</v>
      </c>
    </row>
    <row r="697" spans="1:89" x14ac:dyDescent="0.3">
      <c r="A697" t="s">
        <v>326</v>
      </c>
      <c r="B697" t="s">
        <v>318</v>
      </c>
      <c r="C697" t="s">
        <v>4232</v>
      </c>
      <c r="D697" s="12"/>
      <c r="E697">
        <v>3.47</v>
      </c>
      <c r="F697" t="s">
        <v>319</v>
      </c>
      <c r="G697" s="8" t="s">
        <v>2521</v>
      </c>
      <c r="H697">
        <v>-1</v>
      </c>
      <c r="M697" t="b">
        <v>1</v>
      </c>
      <c r="N697" t="b">
        <v>0</v>
      </c>
      <c r="O697" t="b">
        <v>0</v>
      </c>
      <c r="P697" t="b">
        <v>0</v>
      </c>
      <c r="Q697" t="s">
        <v>2521</v>
      </c>
      <c r="R697">
        <v>-1</v>
      </c>
      <c r="T697">
        <v>4</v>
      </c>
      <c r="U697" s="20">
        <v>0</v>
      </c>
      <c r="V697">
        <v>0</v>
      </c>
      <c r="W697">
        <v>0</v>
      </c>
      <c r="X697">
        <v>3.72</v>
      </c>
      <c r="Y697">
        <v>3.72</v>
      </c>
      <c r="Z697">
        <v>32.299999999999997</v>
      </c>
      <c r="AA697" t="s">
        <v>519</v>
      </c>
      <c r="AB697">
        <v>16.149999999999999</v>
      </c>
      <c r="AC697" s="20">
        <v>0</v>
      </c>
      <c r="AD697" s="20"/>
      <c r="AE697" s="20"/>
      <c r="AF697">
        <v>0</v>
      </c>
      <c r="AI697">
        <v>0</v>
      </c>
      <c r="AM697">
        <v>10</v>
      </c>
      <c r="AN697" s="44">
        <f t="shared" si="180"/>
        <v>446.98032000000001</v>
      </c>
      <c r="AO697" s="46">
        <v>0</v>
      </c>
      <c r="AP697" s="44">
        <v>0</v>
      </c>
      <c r="AQ697" s="44">
        <v>0</v>
      </c>
      <c r="AR697" s="41">
        <f t="shared" si="187"/>
        <v>8.9489398548911497E-2</v>
      </c>
      <c r="AS697" s="40"/>
      <c r="AT697" s="41"/>
      <c r="AU697" s="41"/>
      <c r="AV697" s="23">
        <v>1.615384615384615</v>
      </c>
      <c r="AW697" s="23">
        <v>1.6923076923076921</v>
      </c>
      <c r="AX697" s="23">
        <v>0.23076923076923081</v>
      </c>
      <c r="AY697" s="23">
        <v>0</v>
      </c>
      <c r="AZ697" s="23">
        <v>0.45652173913043481</v>
      </c>
      <c r="BA697" s="23">
        <v>0.47826086956521741</v>
      </c>
      <c r="BB697" s="23">
        <v>6.5217391304347838E-2</v>
      </c>
      <c r="BC697" s="23">
        <v>0</v>
      </c>
      <c r="BD697" s="20">
        <v>1.1000000000000001</v>
      </c>
      <c r="BE697" s="20">
        <v>3.44</v>
      </c>
      <c r="BF697" s="20">
        <v>2.34</v>
      </c>
      <c r="BG697" s="20">
        <v>2.568461538461539</v>
      </c>
      <c r="BH697">
        <v>2.568461538461539</v>
      </c>
      <c r="BI697">
        <v>6.6431337427119228</v>
      </c>
      <c r="BJ697" s="64"/>
      <c r="BK697" s="64"/>
      <c r="BL697" s="64"/>
      <c r="BM697">
        <v>4.4744699274455749E-2</v>
      </c>
      <c r="BQ697">
        <v>8.9489398548911497E-2</v>
      </c>
      <c r="BR697">
        <v>4.4744699274455749E-2</v>
      </c>
      <c r="BS697">
        <v>0</v>
      </c>
      <c r="BT697" s="68" t="s">
        <v>1264</v>
      </c>
      <c r="BU697" s="68">
        <f t="shared" si="188"/>
        <v>1098</v>
      </c>
      <c r="BV697" s="68">
        <v>12</v>
      </c>
      <c r="BX697" s="68" t="s">
        <v>464</v>
      </c>
      <c r="BY697" s="68" t="s">
        <v>464</v>
      </c>
      <c r="BZ697" s="68">
        <v>0</v>
      </c>
      <c r="CA697" s="68">
        <v>17</v>
      </c>
      <c r="CB697" s="68">
        <v>0.5</v>
      </c>
      <c r="CC697" s="68">
        <v>1</v>
      </c>
      <c r="CD697" s="77" t="s">
        <v>464</v>
      </c>
      <c r="CE697" s="77" t="s">
        <v>464</v>
      </c>
      <c r="CF697" s="77" t="s">
        <v>1266</v>
      </c>
      <c r="CG697" s="77">
        <v>125</v>
      </c>
      <c r="CH697" s="77">
        <v>220</v>
      </c>
      <c r="CI697" s="77" t="s">
        <v>1287</v>
      </c>
      <c r="CJ697" s="77">
        <f t="shared" si="189"/>
        <v>288</v>
      </c>
      <c r="CK697" s="70">
        <v>2000</v>
      </c>
    </row>
    <row r="698" spans="1:89" x14ac:dyDescent="0.3">
      <c r="A698" t="s">
        <v>327</v>
      </c>
      <c r="B698" t="s">
        <v>318</v>
      </c>
      <c r="C698" t="s">
        <v>4233</v>
      </c>
      <c r="D698" s="12"/>
      <c r="E698">
        <v>3.47</v>
      </c>
      <c r="F698" t="s">
        <v>319</v>
      </c>
      <c r="G698" s="8" t="s">
        <v>2522</v>
      </c>
      <c r="H698">
        <v>-1</v>
      </c>
      <c r="M698" t="b">
        <v>1</v>
      </c>
      <c r="N698" t="b">
        <v>0</v>
      </c>
      <c r="O698" t="b">
        <v>0</v>
      </c>
      <c r="P698" t="b">
        <v>0</v>
      </c>
      <c r="Q698" t="s">
        <v>2522</v>
      </c>
      <c r="R698">
        <v>-1</v>
      </c>
      <c r="T698">
        <v>4</v>
      </c>
      <c r="U698" s="20">
        <v>0</v>
      </c>
      <c r="V698">
        <v>0</v>
      </c>
      <c r="W698">
        <v>0</v>
      </c>
      <c r="X698">
        <v>3.72</v>
      </c>
      <c r="Y698">
        <v>3.72</v>
      </c>
      <c r="Z698">
        <v>36.6</v>
      </c>
      <c r="AA698" t="s">
        <v>519</v>
      </c>
      <c r="AB698">
        <v>18.3</v>
      </c>
      <c r="AC698" s="20">
        <v>0</v>
      </c>
      <c r="AF698">
        <v>0</v>
      </c>
      <c r="AI698">
        <v>0</v>
      </c>
      <c r="AM698">
        <v>10</v>
      </c>
      <c r="AN698" s="44">
        <f t="shared" si="180"/>
        <v>506.4854400000001</v>
      </c>
      <c r="AO698" s="46">
        <v>0</v>
      </c>
      <c r="AP698" s="44">
        <v>0</v>
      </c>
      <c r="AQ698" s="44">
        <v>0</v>
      </c>
      <c r="AR698" s="41">
        <f t="shared" si="187"/>
        <v>7.8975616752181454E-2</v>
      </c>
      <c r="AS698" s="41"/>
      <c r="AT698" s="41"/>
      <c r="AU698" s="41"/>
      <c r="AV698" s="23">
        <v>1.5625</v>
      </c>
      <c r="AW698" s="23">
        <v>1.5</v>
      </c>
      <c r="AX698" s="23">
        <v>0.1875</v>
      </c>
      <c r="AY698" s="23">
        <v>0</v>
      </c>
      <c r="AZ698" s="23">
        <v>0.48076923076923078</v>
      </c>
      <c r="BA698" s="23">
        <v>0.46153846153846162</v>
      </c>
      <c r="BB698" s="23">
        <v>5.7692307692307702E-2</v>
      </c>
      <c r="BC698" s="23">
        <v>0</v>
      </c>
      <c r="BD698" s="20">
        <v>1.1000000000000001</v>
      </c>
      <c r="BE698" s="20">
        <v>3.44</v>
      </c>
      <c r="BF698" s="20">
        <v>2.34</v>
      </c>
      <c r="BG698" s="20">
        <v>2.5212500000000002</v>
      </c>
      <c r="BH698">
        <v>2.5212500000000002</v>
      </c>
      <c r="BI698">
        <v>6.6859357538098134</v>
      </c>
      <c r="BJ698" s="64"/>
      <c r="BK698" s="64"/>
      <c r="BL698" s="64"/>
      <c r="BM698">
        <v>3.9487808376090727E-2</v>
      </c>
      <c r="BQ698">
        <v>7.8975616752181454E-2</v>
      </c>
      <c r="BR698">
        <v>3.9487808376090727E-2</v>
      </c>
      <c r="BS698">
        <v>0</v>
      </c>
      <c r="BT698" s="68" t="s">
        <v>1264</v>
      </c>
      <c r="BU698" s="68">
        <f t="shared" si="188"/>
        <v>1098</v>
      </c>
      <c r="BV698" s="68">
        <v>12</v>
      </c>
      <c r="BX698" s="68" t="s">
        <v>464</v>
      </c>
      <c r="BY698" s="68" t="s">
        <v>464</v>
      </c>
      <c r="BZ698" s="68">
        <v>0</v>
      </c>
      <c r="CB698" s="68">
        <v>0.5</v>
      </c>
      <c r="CC698" s="68">
        <v>1</v>
      </c>
      <c r="CD698" s="77" t="s">
        <v>464</v>
      </c>
      <c r="CE698" s="77" t="s">
        <v>464</v>
      </c>
      <c r="CF698" s="77" t="s">
        <v>1266</v>
      </c>
      <c r="CG698" s="77">
        <v>125</v>
      </c>
      <c r="CH698" s="77">
        <v>220</v>
      </c>
      <c r="CI698" s="77" t="s">
        <v>1287</v>
      </c>
      <c r="CJ698" s="77">
        <f t="shared" si="189"/>
        <v>288</v>
      </c>
      <c r="CK698" s="70">
        <v>520</v>
      </c>
    </row>
    <row r="699" spans="1:89" x14ac:dyDescent="0.3">
      <c r="A699" t="s">
        <v>2736</v>
      </c>
      <c r="B699" t="s">
        <v>318</v>
      </c>
      <c r="C699" t="s">
        <v>4234</v>
      </c>
      <c r="D699" s="12"/>
      <c r="E699">
        <v>3.45</v>
      </c>
      <c r="F699" t="s">
        <v>319</v>
      </c>
      <c r="G699" s="8" t="s">
        <v>2523</v>
      </c>
      <c r="H699">
        <v>-1</v>
      </c>
      <c r="M699" t="b">
        <v>1</v>
      </c>
      <c r="N699" t="b">
        <v>0</v>
      </c>
      <c r="O699" t="b">
        <v>0</v>
      </c>
      <c r="P699" t="b">
        <v>0</v>
      </c>
      <c r="Q699" t="s">
        <v>2523</v>
      </c>
      <c r="R699">
        <v>-1</v>
      </c>
      <c r="T699">
        <v>4</v>
      </c>
      <c r="U699" s="20">
        <v>0</v>
      </c>
      <c r="V699">
        <v>0</v>
      </c>
      <c r="W699">
        <v>0</v>
      </c>
      <c r="X699">
        <v>3.73</v>
      </c>
      <c r="Y699">
        <v>3.73</v>
      </c>
      <c r="Z699">
        <v>41.6</v>
      </c>
      <c r="AA699" t="s">
        <v>519</v>
      </c>
      <c r="AB699">
        <v>20.8</v>
      </c>
      <c r="AC699" s="20">
        <v>0</v>
      </c>
      <c r="AF699">
        <v>0</v>
      </c>
      <c r="AI699">
        <v>0</v>
      </c>
      <c r="AM699">
        <v>10</v>
      </c>
      <c r="AN699" s="44">
        <f t="shared" si="180"/>
        <v>578.77664000000004</v>
      </c>
      <c r="AO699" s="46">
        <v>0</v>
      </c>
      <c r="AP699" s="44">
        <v>0</v>
      </c>
      <c r="AQ699" s="44">
        <v>0</v>
      </c>
      <c r="AR699" s="41">
        <f t="shared" si="187"/>
        <v>6.9111289633251263E-2</v>
      </c>
      <c r="AS699" s="41"/>
      <c r="AT699" s="41"/>
      <c r="AU699" s="41"/>
      <c r="AV699" s="23">
        <v>1.5263157894736841</v>
      </c>
      <c r="AW699" s="23">
        <v>1.368421052631579</v>
      </c>
      <c r="AX699" s="23">
        <v>0.15789473684210531</v>
      </c>
      <c r="AY699" s="23">
        <v>0</v>
      </c>
      <c r="AZ699" s="23">
        <v>0.5</v>
      </c>
      <c r="BA699" s="23">
        <v>0.44827586206896552</v>
      </c>
      <c r="BB699" s="23">
        <v>5.1724137931034482E-2</v>
      </c>
      <c r="BC699" s="23">
        <v>0</v>
      </c>
      <c r="BD699" s="20">
        <v>1.1000000000000001</v>
      </c>
      <c r="BE699" s="20">
        <v>3.44</v>
      </c>
      <c r="BF699" s="20">
        <v>2.34</v>
      </c>
      <c r="BG699" s="20">
        <v>2.4889473684210528</v>
      </c>
      <c r="BH699">
        <v>2.4889473684210528</v>
      </c>
      <c r="BI699">
        <v>6.7152213403504719</v>
      </c>
      <c r="BJ699" s="64"/>
      <c r="BK699" s="64"/>
      <c r="BL699" s="64"/>
      <c r="BM699">
        <v>3.4555644816625632E-2</v>
      </c>
      <c r="BQ699">
        <v>6.9111289633251263E-2</v>
      </c>
      <c r="BR699">
        <v>3.4555644816625632E-2</v>
      </c>
      <c r="BS699">
        <v>0</v>
      </c>
      <c r="BT699" s="68" t="s">
        <v>1264</v>
      </c>
      <c r="BU699" s="68">
        <f t="shared" si="188"/>
        <v>1098</v>
      </c>
      <c r="BV699" s="68">
        <v>12</v>
      </c>
      <c r="BX699" s="68" t="s">
        <v>464</v>
      </c>
      <c r="BY699" s="68" t="s">
        <v>464</v>
      </c>
      <c r="BZ699" s="68">
        <v>0</v>
      </c>
      <c r="CB699" s="68">
        <v>0.5</v>
      </c>
      <c r="CC699" s="68">
        <v>1</v>
      </c>
      <c r="CD699" s="77" t="s">
        <v>464</v>
      </c>
      <c r="CE699" s="77" t="s">
        <v>464</v>
      </c>
      <c r="CF699" s="77" t="s">
        <v>1266</v>
      </c>
      <c r="CG699" s="77">
        <v>125</v>
      </c>
      <c r="CH699" s="77">
        <v>220</v>
      </c>
      <c r="CI699" s="77" t="s">
        <v>1287</v>
      </c>
      <c r="CJ699" s="77">
        <f t="shared" si="189"/>
        <v>288</v>
      </c>
      <c r="CK699" s="70">
        <v>196</v>
      </c>
    </row>
    <row r="700" spans="1:89" x14ac:dyDescent="0.3">
      <c r="A700" t="s">
        <v>329</v>
      </c>
      <c r="B700" t="s">
        <v>318</v>
      </c>
      <c r="C700" t="s">
        <v>4235</v>
      </c>
      <c r="D700" s="12"/>
      <c r="E700">
        <v>3.45</v>
      </c>
      <c r="F700" t="s">
        <v>319</v>
      </c>
      <c r="G700" s="8" t="s">
        <v>2524</v>
      </c>
      <c r="H700">
        <v>-1</v>
      </c>
      <c r="M700" t="b">
        <v>1</v>
      </c>
      <c r="N700" t="b">
        <v>0</v>
      </c>
      <c r="O700" t="b">
        <v>0</v>
      </c>
      <c r="P700" t="b">
        <v>0</v>
      </c>
      <c r="Q700" t="s">
        <v>2524</v>
      </c>
      <c r="R700">
        <v>-1</v>
      </c>
      <c r="T700">
        <v>4</v>
      </c>
      <c r="U700" s="20">
        <v>0</v>
      </c>
      <c r="V700">
        <v>0</v>
      </c>
      <c r="W700">
        <v>0</v>
      </c>
      <c r="X700">
        <v>3.73</v>
      </c>
      <c r="Y700">
        <v>3.73</v>
      </c>
      <c r="Z700">
        <v>45.6</v>
      </c>
      <c r="AA700" t="s">
        <v>519</v>
      </c>
      <c r="AB700">
        <v>22.8</v>
      </c>
      <c r="AC700" s="20">
        <v>0</v>
      </c>
      <c r="AF700">
        <v>0</v>
      </c>
      <c r="AI700">
        <v>0</v>
      </c>
      <c r="AM700">
        <v>10</v>
      </c>
      <c r="AN700" s="44">
        <f t="shared" si="180"/>
        <v>634.42824000000007</v>
      </c>
      <c r="AO700" s="46">
        <v>0</v>
      </c>
      <c r="AP700" s="44">
        <v>0</v>
      </c>
      <c r="AQ700" s="44">
        <v>0</v>
      </c>
      <c r="AR700" s="41">
        <f t="shared" si="187"/>
        <v>6.3048895805773081E-2</v>
      </c>
      <c r="AS700" s="41"/>
      <c r="AT700" s="41"/>
      <c r="AU700" s="41"/>
      <c r="AV700" s="23">
        <v>1.5</v>
      </c>
      <c r="AW700" s="23">
        <v>1.2727272727272729</v>
      </c>
      <c r="AX700" s="23">
        <v>0.13636363636363641</v>
      </c>
      <c r="AY700" s="23">
        <v>0</v>
      </c>
      <c r="AZ700" s="23">
        <v>0.515625</v>
      </c>
      <c r="BA700" s="23">
        <v>0.4375</v>
      </c>
      <c r="BB700" s="23">
        <v>4.6874999999999993E-2</v>
      </c>
      <c r="BC700" s="23">
        <v>0</v>
      </c>
      <c r="BD700" s="20">
        <v>1.1000000000000001</v>
      </c>
      <c r="BE700" s="20">
        <v>3.44</v>
      </c>
      <c r="BF700" s="20">
        <v>2.34</v>
      </c>
      <c r="BG700" s="20">
        <v>2.4654545454545449</v>
      </c>
      <c r="BH700">
        <v>2.4654545454545449</v>
      </c>
      <c r="BI700">
        <v>6.7365199487436813</v>
      </c>
      <c r="BJ700" s="64"/>
      <c r="BK700" s="64"/>
      <c r="BL700" s="64"/>
      <c r="BM700">
        <v>3.152444790288654E-2</v>
      </c>
      <c r="BQ700">
        <v>6.3048895805773081E-2</v>
      </c>
      <c r="BR700">
        <v>3.152444790288654E-2</v>
      </c>
      <c r="BS700">
        <v>0</v>
      </c>
      <c r="BT700" s="68" t="s">
        <v>1264</v>
      </c>
      <c r="BU700" s="68">
        <f t="shared" si="188"/>
        <v>1098</v>
      </c>
      <c r="BV700" s="68">
        <v>12</v>
      </c>
      <c r="BX700" s="68" t="s">
        <v>464</v>
      </c>
      <c r="BY700" s="68" t="s">
        <v>464</v>
      </c>
      <c r="BZ700" s="68">
        <v>0</v>
      </c>
      <c r="CA700" s="68">
        <v>1.6</v>
      </c>
      <c r="CB700" s="68">
        <v>0.5</v>
      </c>
      <c r="CC700" s="68">
        <v>1</v>
      </c>
      <c r="CD700" s="77" t="s">
        <v>464</v>
      </c>
      <c r="CE700" s="77" t="s">
        <v>464</v>
      </c>
      <c r="CF700" s="77" t="s">
        <v>1266</v>
      </c>
      <c r="CG700" s="77">
        <v>125</v>
      </c>
      <c r="CH700" s="77">
        <v>220</v>
      </c>
      <c r="CI700" s="77" t="s">
        <v>1287</v>
      </c>
      <c r="CJ700" s="77">
        <f t="shared" si="189"/>
        <v>288</v>
      </c>
      <c r="CK700" s="70">
        <v>203.99999999999997</v>
      </c>
    </row>
    <row r="701" spans="1:89" x14ac:dyDescent="0.3">
      <c r="A701" t="s">
        <v>330</v>
      </c>
      <c r="B701" t="s">
        <v>318</v>
      </c>
      <c r="C701" t="s">
        <v>4236</v>
      </c>
      <c r="D701" s="12"/>
      <c r="E701">
        <v>3.46</v>
      </c>
      <c r="F701" t="s">
        <v>319</v>
      </c>
      <c r="G701" s="8" t="s">
        <v>2525</v>
      </c>
      <c r="H701">
        <v>-1</v>
      </c>
      <c r="M701" t="b">
        <v>1</v>
      </c>
      <c r="N701" t="b">
        <v>0</v>
      </c>
      <c r="O701" t="b">
        <v>0</v>
      </c>
      <c r="P701" t="b">
        <v>0</v>
      </c>
      <c r="Q701" t="s">
        <v>2525</v>
      </c>
      <c r="R701">
        <v>-1</v>
      </c>
      <c r="T701">
        <v>4</v>
      </c>
      <c r="U701" s="20">
        <v>0</v>
      </c>
      <c r="V701">
        <v>0</v>
      </c>
      <c r="W701">
        <v>0</v>
      </c>
      <c r="X701">
        <v>3.74</v>
      </c>
      <c r="Y701">
        <v>3.74</v>
      </c>
      <c r="Z701">
        <v>55.4</v>
      </c>
      <c r="AA701" t="s">
        <v>519</v>
      </c>
      <c r="AB701">
        <v>27.7</v>
      </c>
      <c r="AC701" s="20">
        <v>0</v>
      </c>
      <c r="AF701">
        <v>0</v>
      </c>
      <c r="AI701">
        <v>0</v>
      </c>
      <c r="AM701">
        <v>10</v>
      </c>
      <c r="AN701" s="44">
        <f t="shared" si="180"/>
        <v>774.91304000000014</v>
      </c>
      <c r="AO701" s="46">
        <v>0</v>
      </c>
      <c r="AP701" s="44">
        <v>0</v>
      </c>
      <c r="AQ701" s="44">
        <v>0</v>
      </c>
      <c r="AR701" s="41">
        <f t="shared" si="187"/>
        <v>5.1618695176429079E-2</v>
      </c>
      <c r="AS701" s="41"/>
      <c r="AT701" s="41"/>
      <c r="AU701" s="41"/>
      <c r="AV701" s="23">
        <v>1.464285714285714</v>
      </c>
      <c r="AW701" s="23">
        <v>1.142857142857143</v>
      </c>
      <c r="AX701" s="23">
        <v>0.1071428571428571</v>
      </c>
      <c r="AY701" s="23">
        <v>0</v>
      </c>
      <c r="AZ701" s="23">
        <v>0.53947368421052622</v>
      </c>
      <c r="BA701" s="23">
        <v>0.42105263157894729</v>
      </c>
      <c r="BB701" s="23">
        <v>3.9473684210526307E-2</v>
      </c>
      <c r="BC701" s="23">
        <v>0</v>
      </c>
      <c r="BD701" s="20">
        <v>1.1000000000000001</v>
      </c>
      <c r="BE701" s="20">
        <v>3.44</v>
      </c>
      <c r="BF701" s="20">
        <v>2.34</v>
      </c>
      <c r="BG701" s="20">
        <v>2.4335714285714292</v>
      </c>
      <c r="BH701">
        <v>2.4335714285714292</v>
      </c>
      <c r="BI701">
        <v>6.7654252029916062</v>
      </c>
      <c r="BJ701" s="64"/>
      <c r="BK701" s="64"/>
      <c r="BL701" s="64"/>
      <c r="BM701">
        <v>2.5809347588214539E-2</v>
      </c>
      <c r="BQ701">
        <v>5.1618695176429079E-2</v>
      </c>
      <c r="BR701">
        <v>2.5809347588214539E-2</v>
      </c>
      <c r="BS701">
        <v>0</v>
      </c>
      <c r="BT701" s="68" t="s">
        <v>1264</v>
      </c>
      <c r="BU701" s="68">
        <f t="shared" si="188"/>
        <v>1098</v>
      </c>
      <c r="BV701" s="68">
        <v>12</v>
      </c>
      <c r="BX701" s="68" t="s">
        <v>464</v>
      </c>
      <c r="BY701" s="68" t="s">
        <v>464</v>
      </c>
      <c r="BZ701" s="68">
        <v>0</v>
      </c>
      <c r="CB701" s="68">
        <v>0.5</v>
      </c>
      <c r="CC701" s="68">
        <v>1</v>
      </c>
      <c r="CD701" s="77" t="s">
        <v>464</v>
      </c>
      <c r="CE701" s="77" t="s">
        <v>464</v>
      </c>
      <c r="CF701" s="77" t="s">
        <v>1266</v>
      </c>
      <c r="CG701" s="77">
        <v>125</v>
      </c>
      <c r="CH701" s="77">
        <v>220</v>
      </c>
      <c r="CI701" s="77" t="s">
        <v>1287</v>
      </c>
      <c r="CJ701" s="77">
        <f t="shared" si="189"/>
        <v>288</v>
      </c>
      <c r="CK701" s="70">
        <v>115.99999999999999</v>
      </c>
    </row>
    <row r="702" spans="1:89" x14ac:dyDescent="0.3">
      <c r="A702" t="s">
        <v>1453</v>
      </c>
      <c r="B702" t="s">
        <v>318</v>
      </c>
      <c r="C702" t="s">
        <v>4237</v>
      </c>
      <c r="D702" s="12"/>
      <c r="E702">
        <v>3.46</v>
      </c>
      <c r="F702" t="s">
        <v>319</v>
      </c>
      <c r="G702" s="8" t="s">
        <v>2526</v>
      </c>
      <c r="H702">
        <v>-1</v>
      </c>
      <c r="M702" t="b">
        <v>0</v>
      </c>
      <c r="N702" t="b">
        <v>0</v>
      </c>
      <c r="O702" t="b">
        <v>0</v>
      </c>
      <c r="P702" t="b">
        <v>1</v>
      </c>
      <c r="Q702" t="s">
        <v>2526</v>
      </c>
      <c r="R702">
        <v>-1</v>
      </c>
      <c r="T702">
        <v>4</v>
      </c>
      <c r="U702" s="20">
        <v>0</v>
      </c>
      <c r="V702">
        <v>0</v>
      </c>
      <c r="W702">
        <v>0</v>
      </c>
      <c r="X702">
        <v>3.73</v>
      </c>
      <c r="Y702">
        <v>3.73</v>
      </c>
      <c r="Z702">
        <v>56.8</v>
      </c>
      <c r="AA702" t="s">
        <v>519</v>
      </c>
      <c r="AB702">
        <v>28.4</v>
      </c>
      <c r="AC702" s="20">
        <v>0</v>
      </c>
      <c r="AF702">
        <v>0</v>
      </c>
      <c r="AI702">
        <v>0</v>
      </c>
      <c r="AM702">
        <v>10</v>
      </c>
      <c r="AN702" s="44">
        <f t="shared" si="180"/>
        <v>790.25271999999995</v>
      </c>
      <c r="AO702" s="46">
        <v>0</v>
      </c>
      <c r="AP702" s="44">
        <v>0</v>
      </c>
      <c r="AQ702" s="44">
        <v>0</v>
      </c>
      <c r="AR702" s="41">
        <f t="shared" si="187"/>
        <v>5.0616719168015016E-2</v>
      </c>
      <c r="AS702" s="41"/>
      <c r="AT702" s="41"/>
      <c r="AU702" s="41"/>
      <c r="AV702" s="23">
        <v>1.4411764705882351</v>
      </c>
      <c r="AW702" s="23">
        <v>1.0588235294117649</v>
      </c>
      <c r="AX702" s="23">
        <v>8.8235294117647065E-2</v>
      </c>
      <c r="AY702" s="23">
        <v>0</v>
      </c>
      <c r="AZ702" s="23">
        <v>0.55681818181818177</v>
      </c>
      <c r="BA702" s="23">
        <v>0.40909090909090912</v>
      </c>
      <c r="BB702" s="23">
        <v>3.4090909090909088E-2</v>
      </c>
      <c r="BC702" s="23">
        <v>0</v>
      </c>
      <c r="BD702" s="20">
        <v>1.1000000000000001</v>
      </c>
      <c r="BE702" s="20">
        <v>3.44</v>
      </c>
      <c r="BF702" s="20">
        <v>2.34</v>
      </c>
      <c r="BG702" s="20">
        <v>2.4129411764705879</v>
      </c>
      <c r="BH702">
        <v>2.4129411764705888</v>
      </c>
      <c r="BI702">
        <v>6.7841286027990879</v>
      </c>
      <c r="BJ702" s="64"/>
      <c r="BK702" s="64"/>
      <c r="BL702" s="64"/>
      <c r="BM702">
        <v>2.5308359584007512E-2</v>
      </c>
      <c r="BQ702">
        <v>5.0616719168015023E-2</v>
      </c>
      <c r="BR702">
        <v>2.5308359584007512E-2</v>
      </c>
      <c r="BS702">
        <v>0</v>
      </c>
      <c r="BT702" s="68" t="s">
        <v>1264</v>
      </c>
      <c r="BU702" s="68">
        <f t="shared" si="188"/>
        <v>1098</v>
      </c>
      <c r="BV702" s="68">
        <v>12</v>
      </c>
      <c r="BX702" s="68" t="s">
        <v>464</v>
      </c>
      <c r="BY702" s="68" t="s">
        <v>464</v>
      </c>
      <c r="BZ702" s="68">
        <v>0</v>
      </c>
      <c r="CA702" s="68">
        <v>6.4</v>
      </c>
      <c r="CB702" s="68">
        <v>0.5</v>
      </c>
      <c r="CC702" s="68">
        <v>1</v>
      </c>
      <c r="CD702" s="77" t="s">
        <v>464</v>
      </c>
      <c r="CE702" s="77" t="s">
        <v>464</v>
      </c>
      <c r="CF702" s="77" t="s">
        <v>1266</v>
      </c>
      <c r="CG702" s="77">
        <v>125</v>
      </c>
      <c r="CH702" s="77">
        <v>220</v>
      </c>
      <c r="CI702" s="77" t="s">
        <v>1287</v>
      </c>
      <c r="CJ702" s="77">
        <f t="shared" si="189"/>
        <v>288</v>
      </c>
      <c r="CK702" s="70">
        <v>131.99999999999997</v>
      </c>
    </row>
    <row r="703" spans="1:89" x14ac:dyDescent="0.3">
      <c r="A703" t="s">
        <v>332</v>
      </c>
      <c r="B703" t="s">
        <v>318</v>
      </c>
      <c r="C703" t="s">
        <v>4238</v>
      </c>
      <c r="D703" s="12"/>
      <c r="E703">
        <v>3.48</v>
      </c>
      <c r="F703" t="s">
        <v>319</v>
      </c>
      <c r="G703" t="s">
        <v>561</v>
      </c>
      <c r="H703">
        <v>-1</v>
      </c>
      <c r="I703" t="s">
        <v>1505</v>
      </c>
      <c r="J703" t="s">
        <v>1752</v>
      </c>
      <c r="M703" t="b">
        <v>1</v>
      </c>
      <c r="N703" t="b">
        <v>0</v>
      </c>
      <c r="O703" t="b">
        <v>0</v>
      </c>
      <c r="P703" t="b">
        <v>0</v>
      </c>
      <c r="Q703" t="s">
        <v>2225</v>
      </c>
      <c r="R703">
        <v>-1</v>
      </c>
      <c r="S703" t="s">
        <v>1505</v>
      </c>
      <c r="T703">
        <v>2</v>
      </c>
      <c r="U703" s="20">
        <v>0</v>
      </c>
      <c r="V703">
        <v>0</v>
      </c>
      <c r="W703">
        <v>2</v>
      </c>
      <c r="X703">
        <v>3.68</v>
      </c>
      <c r="Y703">
        <v>3.68</v>
      </c>
      <c r="Z703">
        <v>12.1</v>
      </c>
      <c r="AA703" t="s">
        <v>519</v>
      </c>
      <c r="AB703">
        <v>12.1</v>
      </c>
      <c r="AC703" s="20">
        <v>0</v>
      </c>
      <c r="AF703">
        <v>0</v>
      </c>
      <c r="AI703">
        <v>3.6970999999999998</v>
      </c>
      <c r="AJ703">
        <v>3.6970999999999998</v>
      </c>
      <c r="AK703">
        <v>12.0928</v>
      </c>
      <c r="AM703">
        <v>8</v>
      </c>
      <c r="AN703" s="44">
        <f t="shared" si="180"/>
        <v>163.86304000000001</v>
      </c>
      <c r="AO703" s="46">
        <v>0</v>
      </c>
      <c r="AP703" s="44">
        <v>0</v>
      </c>
      <c r="AQ703" s="44">
        <v>165.3</v>
      </c>
      <c r="AR703" s="41">
        <f t="shared" si="187"/>
        <v>9.7642519020762694E-2</v>
      </c>
      <c r="AS703" s="41"/>
      <c r="AT703" s="41"/>
      <c r="AU703" s="56">
        <f>W703*AM703/AQ703</f>
        <v>9.6793708408953405E-2</v>
      </c>
      <c r="AV703" s="23">
        <v>1.857142857142857</v>
      </c>
      <c r="AW703" s="23">
        <v>2.285714285714286</v>
      </c>
      <c r="AX703" s="23">
        <v>0.2857142857142857</v>
      </c>
      <c r="AY703" s="23">
        <v>0.5714285714285714</v>
      </c>
      <c r="AZ703" s="23">
        <v>0.37142857142857139</v>
      </c>
      <c r="BA703" s="23">
        <v>0.45714285714285707</v>
      </c>
      <c r="BB703" s="23">
        <v>5.7142857142857141E-2</v>
      </c>
      <c r="BC703" s="23">
        <v>0.1142857142857143</v>
      </c>
      <c r="BD703" s="20">
        <v>1.1399999999999999</v>
      </c>
      <c r="BE703" s="20">
        <v>3.44</v>
      </c>
      <c r="BF703" s="20">
        <v>2.2999999999999998</v>
      </c>
      <c r="BG703" s="20">
        <v>2.6628571428571428</v>
      </c>
      <c r="BH703">
        <v>2.6628571428571428</v>
      </c>
      <c r="BI703">
        <v>6.2282737214072856</v>
      </c>
      <c r="BJ703" s="64"/>
      <c r="BK703" s="64"/>
      <c r="BL703" s="64"/>
      <c r="BM703">
        <v>4.8821259510381347E-2</v>
      </c>
      <c r="BP703">
        <v>4.8396854204476702E-2</v>
      </c>
      <c r="BQ703">
        <v>9.7218113714858057E-2</v>
      </c>
      <c r="BR703">
        <v>4.8609056857429028E-2</v>
      </c>
      <c r="BS703">
        <v>0</v>
      </c>
      <c r="BT703" s="68" t="s">
        <v>1264</v>
      </c>
      <c r="BU703" s="68">
        <f t="shared" si="188"/>
        <v>1098</v>
      </c>
      <c r="BV703" s="68">
        <v>12</v>
      </c>
      <c r="BX703" s="68" t="s">
        <v>464</v>
      </c>
      <c r="BY703" s="68" t="s">
        <v>464</v>
      </c>
      <c r="BZ703" s="68">
        <v>0</v>
      </c>
      <c r="CA703" s="68">
        <v>8.5</v>
      </c>
      <c r="CB703" s="68">
        <v>0.5</v>
      </c>
      <c r="CC703" s="68">
        <v>1</v>
      </c>
      <c r="CD703" s="77" t="s">
        <v>464</v>
      </c>
      <c r="CE703" s="77" t="s">
        <v>464</v>
      </c>
      <c r="CF703" s="77" t="s">
        <v>1266</v>
      </c>
      <c r="CG703" s="77">
        <v>125</v>
      </c>
      <c r="CH703" s="77">
        <v>220</v>
      </c>
      <c r="CI703" s="77" t="s">
        <v>1287</v>
      </c>
      <c r="CJ703" s="77">
        <f t="shared" si="189"/>
        <v>288</v>
      </c>
      <c r="CK703" s="70">
        <v>29.2</v>
      </c>
    </row>
    <row r="704" spans="1:89" x14ac:dyDescent="0.3">
      <c r="A704" t="s">
        <v>333</v>
      </c>
      <c r="B704" t="s">
        <v>318</v>
      </c>
      <c r="C704" t="s">
        <v>4239</v>
      </c>
      <c r="D704" s="12"/>
      <c r="E704">
        <v>3.41</v>
      </c>
      <c r="F704" t="s">
        <v>319</v>
      </c>
      <c r="G704" s="8" t="s">
        <v>2516</v>
      </c>
      <c r="H704">
        <v>-1</v>
      </c>
      <c r="J704" t="s">
        <v>1792</v>
      </c>
      <c r="M704" t="b">
        <v>1</v>
      </c>
      <c r="N704" t="b">
        <v>0</v>
      </c>
      <c r="O704" t="b">
        <v>0</v>
      </c>
      <c r="P704" t="b">
        <v>0</v>
      </c>
      <c r="Q704" t="s">
        <v>2226</v>
      </c>
      <c r="R704">
        <v>-1</v>
      </c>
      <c r="T704">
        <v>4</v>
      </c>
      <c r="U704" s="20">
        <v>0</v>
      </c>
      <c r="V704">
        <v>0</v>
      </c>
      <c r="W704">
        <v>0</v>
      </c>
      <c r="X704">
        <v>3.74</v>
      </c>
      <c r="Y704">
        <v>3.74</v>
      </c>
      <c r="Z704">
        <v>33.1</v>
      </c>
      <c r="AA704" t="s">
        <v>519</v>
      </c>
      <c r="AB704">
        <v>16.55</v>
      </c>
      <c r="AC704" s="20">
        <v>0</v>
      </c>
      <c r="AF704">
        <v>0</v>
      </c>
      <c r="AI704">
        <v>0</v>
      </c>
      <c r="AM704">
        <v>8</v>
      </c>
      <c r="AN704" s="44">
        <f t="shared" si="180"/>
        <v>462.9895600000001</v>
      </c>
      <c r="AO704" s="46">
        <v>0</v>
      </c>
      <c r="AP704" s="44">
        <v>0</v>
      </c>
      <c r="AQ704" s="44">
        <v>0</v>
      </c>
      <c r="AR704" s="41">
        <f t="shared" si="187"/>
        <v>6.9116029311762431E-2</v>
      </c>
      <c r="AS704" s="41"/>
      <c r="AT704" s="41"/>
      <c r="AU704" s="41"/>
      <c r="AV704" s="23">
        <v>1.571428571428571</v>
      </c>
      <c r="AW704" s="23">
        <v>1.5</v>
      </c>
      <c r="AX704" s="23">
        <v>0.14285714285714279</v>
      </c>
      <c r="AY704" s="23">
        <v>0.2857142857142857</v>
      </c>
      <c r="AZ704" s="23">
        <v>0.44897959183673469</v>
      </c>
      <c r="BA704" s="23">
        <v>0.42857142857142849</v>
      </c>
      <c r="BB704" s="23">
        <v>4.0816326530612242E-2</v>
      </c>
      <c r="BC704" s="23">
        <v>8.1632653061224483E-2</v>
      </c>
      <c r="BD704" s="20">
        <v>1.1399999999999999</v>
      </c>
      <c r="BE704" s="20">
        <v>3.44</v>
      </c>
      <c r="BF704" s="20">
        <v>2.2999999999999998</v>
      </c>
      <c r="BG704" s="20">
        <v>2.516428571428571</v>
      </c>
      <c r="BH704">
        <v>2.516428571428571</v>
      </c>
      <c r="BI704">
        <v>6.6409830967932857</v>
      </c>
      <c r="BJ704" s="64"/>
      <c r="BK704" s="64"/>
      <c r="BL704" s="64"/>
      <c r="BM704">
        <v>3.4558014655881222E-2</v>
      </c>
      <c r="BQ704">
        <v>6.9116029311762431E-2</v>
      </c>
      <c r="BR704">
        <v>3.4558014655881222E-2</v>
      </c>
      <c r="BS704">
        <v>0</v>
      </c>
      <c r="BT704" s="68" t="s">
        <v>1264</v>
      </c>
      <c r="BU704" s="68">
        <f t="shared" si="188"/>
        <v>1098</v>
      </c>
      <c r="BV704" s="68">
        <v>12</v>
      </c>
      <c r="BX704" s="68" t="s">
        <v>464</v>
      </c>
      <c r="BY704" s="68" t="s">
        <v>464</v>
      </c>
      <c r="BZ704" s="68">
        <v>0</v>
      </c>
      <c r="CA704" s="68">
        <v>5.6</v>
      </c>
      <c r="CB704" s="68">
        <v>0.5</v>
      </c>
      <c r="CC704" s="68">
        <v>1</v>
      </c>
      <c r="CD704" s="77" t="s">
        <v>464</v>
      </c>
      <c r="CE704" s="77" t="s">
        <v>464</v>
      </c>
      <c r="CF704" s="77" t="s">
        <v>1266</v>
      </c>
      <c r="CG704" s="77">
        <v>125</v>
      </c>
      <c r="CH704" s="77">
        <v>220</v>
      </c>
      <c r="CI704" s="77" t="s">
        <v>1287</v>
      </c>
      <c r="CJ704" s="77">
        <f t="shared" si="189"/>
        <v>288</v>
      </c>
      <c r="CK704" s="70">
        <v>44</v>
      </c>
    </row>
    <row r="705" spans="1:89" x14ac:dyDescent="0.3">
      <c r="A705" t="s">
        <v>334</v>
      </c>
      <c r="B705" t="s">
        <v>318</v>
      </c>
      <c r="C705" t="s">
        <v>4240</v>
      </c>
      <c r="D705" s="12"/>
      <c r="E705">
        <v>3.5</v>
      </c>
      <c r="F705" t="s">
        <v>319</v>
      </c>
      <c r="G705" s="8" t="s">
        <v>2517</v>
      </c>
      <c r="H705">
        <v>-1</v>
      </c>
      <c r="J705" t="s">
        <v>1792</v>
      </c>
      <c r="M705" t="b">
        <v>1</v>
      </c>
      <c r="N705" t="b">
        <v>0</v>
      </c>
      <c r="O705" t="b">
        <v>0</v>
      </c>
      <c r="P705" t="b">
        <v>0</v>
      </c>
      <c r="Q705" t="s">
        <v>2228</v>
      </c>
      <c r="R705">
        <v>-1</v>
      </c>
      <c r="T705">
        <v>4</v>
      </c>
      <c r="U705" s="20">
        <v>0</v>
      </c>
      <c r="V705">
        <v>0</v>
      </c>
      <c r="W705">
        <v>0</v>
      </c>
      <c r="X705">
        <v>3.74</v>
      </c>
      <c r="Y705">
        <v>3.74</v>
      </c>
      <c r="Z705">
        <v>37.6</v>
      </c>
      <c r="AA705" t="s">
        <v>519</v>
      </c>
      <c r="AB705">
        <v>18.8</v>
      </c>
      <c r="AC705" s="20">
        <v>0</v>
      </c>
      <c r="AF705">
        <v>0</v>
      </c>
      <c r="AI705">
        <v>0</v>
      </c>
      <c r="AM705">
        <v>8</v>
      </c>
      <c r="AN705" s="44">
        <f t="shared" si="180"/>
        <v>525.93376000000012</v>
      </c>
      <c r="AO705" s="46">
        <v>0</v>
      </c>
      <c r="AP705" s="44">
        <v>0</v>
      </c>
      <c r="AQ705" s="44">
        <v>0</v>
      </c>
      <c r="AR705" s="41">
        <f t="shared" si="187"/>
        <v>6.0844164101578099E-2</v>
      </c>
      <c r="AS705" s="41"/>
      <c r="AT705" s="41"/>
      <c r="AU705" s="41"/>
      <c r="AV705" s="23">
        <v>1.529411764705882</v>
      </c>
      <c r="AW705" s="23">
        <v>1.3529411764705881</v>
      </c>
      <c r="AX705" s="23">
        <v>0.1176470588235294</v>
      </c>
      <c r="AY705" s="23">
        <v>0.23529411764705879</v>
      </c>
      <c r="AZ705" s="23">
        <v>0.47272727272727272</v>
      </c>
      <c r="BA705" s="23">
        <v>0.41818181818181821</v>
      </c>
      <c r="BB705" s="23">
        <v>3.6363636363636362E-2</v>
      </c>
      <c r="BC705" s="23">
        <v>7.2727272727272724E-2</v>
      </c>
      <c r="BD705" s="20">
        <v>1.1399999999999999</v>
      </c>
      <c r="BE705" s="20">
        <v>3.44</v>
      </c>
      <c r="BF705" s="20">
        <v>2.2999999999999998</v>
      </c>
      <c r="BG705" s="20">
        <v>2.4811764705882351</v>
      </c>
      <c r="BH705">
        <v>2.481176470588236</v>
      </c>
      <c r="BI705">
        <v>6.6816468682828232</v>
      </c>
      <c r="BJ705" s="64"/>
      <c r="BK705" s="64"/>
      <c r="BL705" s="64"/>
      <c r="BM705">
        <v>3.042208205078905E-2</v>
      </c>
      <c r="BQ705">
        <v>6.0844164101578099E-2</v>
      </c>
      <c r="BR705">
        <v>3.042208205078905E-2</v>
      </c>
      <c r="BS705">
        <v>0</v>
      </c>
      <c r="BT705" s="68" t="s">
        <v>1264</v>
      </c>
      <c r="BU705" s="68">
        <f t="shared" si="188"/>
        <v>1098</v>
      </c>
      <c r="BV705" s="68">
        <v>12</v>
      </c>
      <c r="BX705" s="68" t="s">
        <v>464</v>
      </c>
      <c r="BY705" s="68" t="s">
        <v>464</v>
      </c>
      <c r="BZ705" s="68">
        <v>0</v>
      </c>
      <c r="CB705" s="68">
        <v>0.5</v>
      </c>
      <c r="CC705" s="68">
        <v>1</v>
      </c>
      <c r="CD705" s="77" t="s">
        <v>464</v>
      </c>
      <c r="CE705" s="77" t="s">
        <v>464</v>
      </c>
      <c r="CF705" s="77" t="s">
        <v>1266</v>
      </c>
      <c r="CG705" s="77">
        <v>125</v>
      </c>
      <c r="CH705" s="77">
        <v>220</v>
      </c>
      <c r="CI705" s="77" t="s">
        <v>1287</v>
      </c>
      <c r="CJ705" s="77">
        <f t="shared" si="189"/>
        <v>288</v>
      </c>
      <c r="CK705" s="70">
        <v>44</v>
      </c>
    </row>
    <row r="706" spans="1:89" x14ac:dyDescent="0.3">
      <c r="A706" t="s">
        <v>2739</v>
      </c>
      <c r="B706" t="s">
        <v>318</v>
      </c>
      <c r="C706" t="s">
        <v>4241</v>
      </c>
      <c r="D706" s="12"/>
      <c r="E706">
        <v>3.43</v>
      </c>
      <c r="F706" t="s">
        <v>319</v>
      </c>
      <c r="G706" s="8" t="s">
        <v>2518</v>
      </c>
      <c r="H706">
        <v>-1</v>
      </c>
      <c r="J706" t="s">
        <v>1792</v>
      </c>
      <c r="M706" t="b">
        <v>1</v>
      </c>
      <c r="N706" t="b">
        <v>0</v>
      </c>
      <c r="O706" t="b">
        <v>0</v>
      </c>
      <c r="P706" t="b">
        <v>0</v>
      </c>
      <c r="Q706" t="s">
        <v>2230</v>
      </c>
      <c r="R706">
        <v>-1</v>
      </c>
      <c r="T706">
        <v>4</v>
      </c>
      <c r="U706" s="20">
        <v>0</v>
      </c>
      <c r="V706">
        <v>0</v>
      </c>
      <c r="W706">
        <v>0</v>
      </c>
      <c r="X706">
        <v>3.74</v>
      </c>
      <c r="Y706">
        <v>3.74</v>
      </c>
      <c r="Z706">
        <v>40.4</v>
      </c>
      <c r="AA706" t="s">
        <v>519</v>
      </c>
      <c r="AB706">
        <v>20.2</v>
      </c>
      <c r="AC706" s="20">
        <v>0</v>
      </c>
      <c r="AF706">
        <v>0</v>
      </c>
      <c r="AI706">
        <v>0</v>
      </c>
      <c r="AM706">
        <v>8</v>
      </c>
      <c r="AN706" s="44">
        <f t="shared" si="180"/>
        <v>565.09904000000006</v>
      </c>
      <c r="AO706" s="46">
        <v>0</v>
      </c>
      <c r="AP706" s="44">
        <v>0</v>
      </c>
      <c r="AQ706" s="44">
        <v>0</v>
      </c>
      <c r="AR706" s="41">
        <f t="shared" si="187"/>
        <v>5.6627241837112298E-2</v>
      </c>
      <c r="AS706" s="41"/>
      <c r="AT706" s="41"/>
      <c r="AU706" s="41"/>
      <c r="AV706" s="23">
        <v>1.5</v>
      </c>
      <c r="AW706" s="23">
        <v>1.25</v>
      </c>
      <c r="AX706" s="23">
        <v>0.1</v>
      </c>
      <c r="AY706" s="23">
        <v>0.2</v>
      </c>
      <c r="AZ706" s="23">
        <v>0.49180327868852458</v>
      </c>
      <c r="BA706" s="23">
        <v>0.4098360655737705</v>
      </c>
      <c r="BB706" s="23">
        <v>3.2786885245901641E-2</v>
      </c>
      <c r="BC706" s="23">
        <v>6.5573770491803282E-2</v>
      </c>
      <c r="BD706" s="20">
        <v>1.1399999999999999</v>
      </c>
      <c r="BE706" s="20">
        <v>3.44</v>
      </c>
      <c r="BF706" s="20">
        <v>2.2999999999999998</v>
      </c>
      <c r="BG706" s="20">
        <v>2.4565000000000001</v>
      </c>
      <c r="BH706">
        <v>2.4565000000000001</v>
      </c>
      <c r="BI706">
        <v>6.7101115083254994</v>
      </c>
      <c r="BJ706" s="64"/>
      <c r="BK706" s="64"/>
      <c r="BL706" s="64"/>
      <c r="BM706">
        <v>2.8313620918556149E-2</v>
      </c>
      <c r="BQ706">
        <v>5.6627241837112298E-2</v>
      </c>
      <c r="BR706">
        <v>2.8313620918556149E-2</v>
      </c>
      <c r="BS706">
        <v>0</v>
      </c>
      <c r="BT706" s="68" t="s">
        <v>1264</v>
      </c>
      <c r="BU706" s="68">
        <f t="shared" si="188"/>
        <v>1098</v>
      </c>
      <c r="BV706" s="68">
        <v>12</v>
      </c>
      <c r="BX706" s="68" t="s">
        <v>464</v>
      </c>
      <c r="BY706" s="68" t="s">
        <v>464</v>
      </c>
      <c r="BZ706" s="68">
        <v>0</v>
      </c>
      <c r="CB706" s="68">
        <v>0.5</v>
      </c>
      <c r="CC706" s="68">
        <v>1</v>
      </c>
      <c r="CD706" s="77" t="s">
        <v>464</v>
      </c>
      <c r="CE706" s="77" t="s">
        <v>464</v>
      </c>
      <c r="CF706" s="77" t="s">
        <v>1266</v>
      </c>
      <c r="CG706" s="77">
        <v>125</v>
      </c>
      <c r="CH706" s="77">
        <v>220</v>
      </c>
      <c r="CI706" s="77" t="s">
        <v>1287</v>
      </c>
      <c r="CJ706" s="77">
        <f t="shared" si="189"/>
        <v>288</v>
      </c>
      <c r="CK706" s="70">
        <v>88</v>
      </c>
    </row>
    <row r="707" spans="1:89" x14ac:dyDescent="0.3">
      <c r="A707" t="s">
        <v>336</v>
      </c>
      <c r="B707" t="s">
        <v>318</v>
      </c>
      <c r="C707" t="s">
        <v>4242</v>
      </c>
      <c r="D707" s="12"/>
      <c r="E707">
        <v>3.5</v>
      </c>
      <c r="F707" t="s">
        <v>319</v>
      </c>
      <c r="G707" s="8" t="s">
        <v>2519</v>
      </c>
      <c r="H707">
        <v>-1</v>
      </c>
      <c r="J707" t="s">
        <v>1792</v>
      </c>
      <c r="M707" t="b">
        <v>1</v>
      </c>
      <c r="N707" t="b">
        <v>0</v>
      </c>
      <c r="O707" t="b">
        <v>0</v>
      </c>
      <c r="P707" t="b">
        <v>0</v>
      </c>
      <c r="Q707" t="s">
        <v>2231</v>
      </c>
      <c r="R707">
        <v>-1</v>
      </c>
      <c r="T707">
        <v>4</v>
      </c>
      <c r="U707" s="20">
        <v>0</v>
      </c>
      <c r="V707">
        <v>0</v>
      </c>
      <c r="W707">
        <v>0</v>
      </c>
      <c r="X707">
        <v>3.74</v>
      </c>
      <c r="Y707">
        <v>3.74</v>
      </c>
      <c r="Z707">
        <v>47.7</v>
      </c>
      <c r="AA707" t="s">
        <v>519</v>
      </c>
      <c r="AB707">
        <v>23.85</v>
      </c>
      <c r="AC707" s="20">
        <v>0</v>
      </c>
      <c r="AF707">
        <v>0</v>
      </c>
      <c r="AI707">
        <v>0</v>
      </c>
      <c r="AM707">
        <v>8</v>
      </c>
      <c r="AN707" s="44">
        <f t="shared" si="180"/>
        <v>667.20852000000014</v>
      </c>
      <c r="AO707" s="46">
        <v>0</v>
      </c>
      <c r="AP707" s="44">
        <v>0</v>
      </c>
      <c r="AQ707" s="44">
        <v>0</v>
      </c>
      <c r="AR707" s="41">
        <f t="shared" si="187"/>
        <v>4.796101824359196E-2</v>
      </c>
      <c r="AS707" s="41"/>
      <c r="AT707" s="41"/>
      <c r="AU707" s="41"/>
      <c r="AV707" s="23">
        <v>1.4782608695652171</v>
      </c>
      <c r="AW707" s="23">
        <v>1.173913043478261</v>
      </c>
      <c r="AX707" s="23">
        <v>8.6956521739130432E-2</v>
      </c>
      <c r="AY707" s="23">
        <v>0.17391304347826089</v>
      </c>
      <c r="AZ707" s="23">
        <v>0.50746268656716409</v>
      </c>
      <c r="BA707" s="23">
        <v>0.40298507462686572</v>
      </c>
      <c r="BB707" s="23">
        <v>2.9850746268656719E-2</v>
      </c>
      <c r="BC707" s="23">
        <v>5.9701492537313432E-2</v>
      </c>
      <c r="BD707" s="20">
        <v>1.1399999999999999</v>
      </c>
      <c r="BE707" s="20">
        <v>3.44</v>
      </c>
      <c r="BF707" s="20">
        <v>2.2999999999999998</v>
      </c>
      <c r="BG707" s="20">
        <v>2.4382608695652168</v>
      </c>
      <c r="BH707">
        <v>2.4382608695652168</v>
      </c>
      <c r="BI707">
        <v>6.7311505900961732</v>
      </c>
      <c r="BJ707" s="64"/>
      <c r="BK707" s="64"/>
      <c r="BL707" s="64"/>
      <c r="BM707">
        <v>2.398050912179598E-2</v>
      </c>
      <c r="BQ707">
        <v>4.796101824359196E-2</v>
      </c>
      <c r="BR707">
        <v>2.398050912179598E-2</v>
      </c>
      <c r="BS707">
        <v>0</v>
      </c>
      <c r="BT707" s="68" t="s">
        <v>1264</v>
      </c>
      <c r="BU707" s="68">
        <f t="shared" si="188"/>
        <v>1098</v>
      </c>
      <c r="BV707" s="68">
        <v>12</v>
      </c>
      <c r="BX707" s="68" t="s">
        <v>464</v>
      </c>
      <c r="BY707" s="68" t="s">
        <v>464</v>
      </c>
      <c r="BZ707" s="68">
        <v>0</v>
      </c>
      <c r="CA707" s="68">
        <v>5.6</v>
      </c>
      <c r="CB707" s="68">
        <v>0.5</v>
      </c>
      <c r="CC707" s="68">
        <v>1</v>
      </c>
      <c r="CD707" s="77" t="s">
        <v>464</v>
      </c>
      <c r="CE707" s="77" t="s">
        <v>464</v>
      </c>
      <c r="CF707" s="77" t="s">
        <v>1266</v>
      </c>
      <c r="CG707" s="77">
        <v>125</v>
      </c>
      <c r="CH707" s="77">
        <v>220</v>
      </c>
      <c r="CI707" s="77" t="s">
        <v>1287</v>
      </c>
      <c r="CJ707" s="77">
        <f t="shared" si="189"/>
        <v>288</v>
      </c>
      <c r="CK707" s="70">
        <v>44</v>
      </c>
    </row>
    <row r="708" spans="1:89" x14ac:dyDescent="0.3">
      <c r="A708" t="s">
        <v>337</v>
      </c>
      <c r="B708" t="s">
        <v>318</v>
      </c>
      <c r="C708" t="s">
        <v>4243</v>
      </c>
      <c r="D708" s="12"/>
      <c r="E708">
        <v>3.42</v>
      </c>
      <c r="F708" t="s">
        <v>319</v>
      </c>
      <c r="G708" s="8" t="s">
        <v>2520</v>
      </c>
      <c r="H708">
        <v>-1</v>
      </c>
      <c r="J708" t="s">
        <v>1792</v>
      </c>
      <c r="M708" t="b">
        <v>1</v>
      </c>
      <c r="N708" t="b">
        <v>0</v>
      </c>
      <c r="O708" t="b">
        <v>0</v>
      </c>
      <c r="P708" t="b">
        <v>0</v>
      </c>
      <c r="Q708" t="s">
        <v>2232</v>
      </c>
      <c r="R708">
        <v>-1</v>
      </c>
      <c r="T708">
        <v>4</v>
      </c>
      <c r="U708" s="20">
        <v>0</v>
      </c>
      <c r="V708">
        <v>0</v>
      </c>
      <c r="W708">
        <v>0</v>
      </c>
      <c r="X708">
        <v>3.72</v>
      </c>
      <c r="Y708">
        <v>3.72</v>
      </c>
      <c r="Z708">
        <v>54</v>
      </c>
      <c r="AA708" t="s">
        <v>519</v>
      </c>
      <c r="AB708">
        <v>27</v>
      </c>
      <c r="AC708" s="20">
        <v>0</v>
      </c>
      <c r="AF708">
        <v>0</v>
      </c>
      <c r="AI708">
        <v>0</v>
      </c>
      <c r="AM708">
        <v>8</v>
      </c>
      <c r="AN708" s="44">
        <f t="shared" si="180"/>
        <v>747.2736000000001</v>
      </c>
      <c r="AO708" s="46">
        <v>0</v>
      </c>
      <c r="AP708" s="44">
        <v>0</v>
      </c>
      <c r="AQ708" s="44">
        <v>0</v>
      </c>
      <c r="AR708" s="41">
        <f t="shared" si="187"/>
        <v>4.282233441673839E-2</v>
      </c>
      <c r="AS708" s="41"/>
      <c r="AT708" s="41"/>
      <c r="AU708" s="41"/>
      <c r="AV708" s="23">
        <v>1.448275862068966</v>
      </c>
      <c r="AW708" s="23">
        <v>1.068965517241379</v>
      </c>
      <c r="AX708" s="23">
        <v>6.8965517241379309E-2</v>
      </c>
      <c r="AY708" s="23">
        <v>0.13793103448275859</v>
      </c>
      <c r="AZ708" s="23">
        <v>0.53164556962025322</v>
      </c>
      <c r="BA708" s="23">
        <v>0.39240506329113922</v>
      </c>
      <c r="BB708" s="23">
        <v>2.5316455696202531E-2</v>
      </c>
      <c r="BC708" s="23">
        <v>5.0632911392405063E-2</v>
      </c>
      <c r="BD708" s="20">
        <v>1.1399999999999999</v>
      </c>
      <c r="BE708" s="20">
        <v>3.44</v>
      </c>
      <c r="BF708" s="20">
        <v>2.2999999999999998</v>
      </c>
      <c r="BG708" s="20">
        <v>2.4131034482758622</v>
      </c>
      <c r="BH708">
        <v>2.4131034482758622</v>
      </c>
      <c r="BI708">
        <v>6.7601700132281373</v>
      </c>
      <c r="BJ708" s="64"/>
      <c r="BK708" s="64"/>
      <c r="BL708" s="64"/>
      <c r="BM708">
        <v>2.1411167208369199E-2</v>
      </c>
      <c r="BQ708">
        <v>4.282233441673839E-2</v>
      </c>
      <c r="BR708">
        <v>2.1411167208369199E-2</v>
      </c>
      <c r="BS708">
        <v>0</v>
      </c>
      <c r="BT708" s="68" t="s">
        <v>1264</v>
      </c>
      <c r="BU708" s="68">
        <f t="shared" si="188"/>
        <v>1098</v>
      </c>
      <c r="BV708" s="68">
        <v>12</v>
      </c>
      <c r="BX708" s="68" t="s">
        <v>464</v>
      </c>
      <c r="BY708" s="68" t="s">
        <v>464</v>
      </c>
      <c r="BZ708" s="68">
        <v>0</v>
      </c>
      <c r="CB708" s="68">
        <v>0.5</v>
      </c>
      <c r="CC708" s="68">
        <v>1</v>
      </c>
      <c r="CD708" s="77" t="s">
        <v>464</v>
      </c>
      <c r="CE708" s="77" t="s">
        <v>464</v>
      </c>
      <c r="CF708" s="77" t="s">
        <v>1266</v>
      </c>
      <c r="CG708" s="77">
        <v>125</v>
      </c>
      <c r="CH708" s="77">
        <v>220</v>
      </c>
      <c r="CI708" s="77" t="s">
        <v>1287</v>
      </c>
      <c r="CJ708" s="77">
        <f t="shared" si="189"/>
        <v>288</v>
      </c>
      <c r="CK708" s="70">
        <v>44</v>
      </c>
    </row>
    <row r="709" spans="1:89" x14ac:dyDescent="0.3">
      <c r="A709" t="s">
        <v>2529</v>
      </c>
      <c r="B709" t="s">
        <v>318</v>
      </c>
      <c r="C709" t="s">
        <v>4244</v>
      </c>
      <c r="D709" s="12"/>
      <c r="E709">
        <v>3.45</v>
      </c>
      <c r="F709" t="s">
        <v>319</v>
      </c>
      <c r="G709" s="109" t="s">
        <v>2528</v>
      </c>
      <c r="H709">
        <v>-1</v>
      </c>
      <c r="J709" t="s">
        <v>1792</v>
      </c>
      <c r="M709" t="b">
        <v>0</v>
      </c>
      <c r="N709" t="b">
        <v>0</v>
      </c>
      <c r="O709" t="b">
        <v>0</v>
      </c>
      <c r="P709" t="b">
        <v>1</v>
      </c>
      <c r="Q709" t="s">
        <v>2591</v>
      </c>
      <c r="R709">
        <v>-1</v>
      </c>
      <c r="T709">
        <v>4</v>
      </c>
      <c r="U709" s="20">
        <v>0</v>
      </c>
      <c r="V709">
        <v>0</v>
      </c>
      <c r="W709">
        <v>0</v>
      </c>
      <c r="X709">
        <v>3.81</v>
      </c>
      <c r="Y709">
        <v>3.81</v>
      </c>
      <c r="Z709">
        <v>65.400000000000006</v>
      </c>
      <c r="AA709" t="s">
        <v>519</v>
      </c>
      <c r="AB709">
        <v>32.700000000000003</v>
      </c>
      <c r="AC709" s="20">
        <v>0</v>
      </c>
      <c r="AF709">
        <v>0</v>
      </c>
      <c r="AI709">
        <v>0</v>
      </c>
      <c r="AM709">
        <v>8</v>
      </c>
      <c r="AN709" s="44">
        <f t="shared" si="180"/>
        <v>949.3529400000001</v>
      </c>
      <c r="AO709" s="46">
        <v>0</v>
      </c>
      <c r="AP709" s="44">
        <v>0</v>
      </c>
      <c r="AQ709" s="44">
        <v>0</v>
      </c>
      <c r="AR709" s="41">
        <f t="shared" si="187"/>
        <v>3.3707169011347876E-2</v>
      </c>
      <c r="AS709" s="41"/>
      <c r="AT709" s="41"/>
      <c r="AU709" s="41"/>
      <c r="AV709" s="23">
        <v>1.428571428571429</v>
      </c>
      <c r="AW709" s="23">
        <v>1</v>
      </c>
      <c r="AX709" s="23">
        <v>5.7142857142857141E-2</v>
      </c>
      <c r="AY709" s="23">
        <v>0.1142857142857143</v>
      </c>
      <c r="AZ709" s="23">
        <v>0.5494505494505495</v>
      </c>
      <c r="BA709" s="23">
        <v>0.38461538461538458</v>
      </c>
      <c r="BB709" s="23">
        <v>2.197802197802198E-2</v>
      </c>
      <c r="BC709" s="23">
        <v>4.3956043956043953E-2</v>
      </c>
      <c r="BD709" s="20">
        <v>1.1399999999999999</v>
      </c>
      <c r="BE709" s="20">
        <v>3.44</v>
      </c>
      <c r="BF709" s="20">
        <v>2.2999999999999998</v>
      </c>
      <c r="BG709" s="20">
        <v>2.3965714285714288</v>
      </c>
      <c r="BH709">
        <v>2.3965714285714279</v>
      </c>
      <c r="BI709">
        <v>6.7792399198577131</v>
      </c>
      <c r="BJ709" s="64"/>
      <c r="BK709" s="64"/>
      <c r="BL709" s="64"/>
      <c r="BM709">
        <v>1.6853584505673942E-2</v>
      </c>
      <c r="BQ709">
        <v>3.3707169011347883E-2</v>
      </c>
      <c r="BR709">
        <v>1.6853584505673942E-2</v>
      </c>
      <c r="BS709">
        <v>0</v>
      </c>
      <c r="BT709" s="68" t="s">
        <v>1264</v>
      </c>
      <c r="BU709" s="68">
        <f t="shared" si="188"/>
        <v>1098</v>
      </c>
      <c r="BV709" s="68">
        <v>12</v>
      </c>
      <c r="BX709" s="68" t="s">
        <v>464</v>
      </c>
      <c r="BY709" s="68" t="s">
        <v>464</v>
      </c>
      <c r="BZ709" s="68">
        <v>0</v>
      </c>
      <c r="CA709" s="68">
        <v>7.7</v>
      </c>
      <c r="CB709" s="68">
        <v>0.5</v>
      </c>
      <c r="CC709" s="68">
        <v>1</v>
      </c>
      <c r="CD709" s="77" t="s">
        <v>464</v>
      </c>
      <c r="CE709" s="77" t="s">
        <v>464</v>
      </c>
      <c r="CF709" s="77" t="s">
        <v>1266</v>
      </c>
      <c r="CG709" s="77">
        <v>125</v>
      </c>
      <c r="CH709" s="77">
        <v>220</v>
      </c>
      <c r="CI709" s="77" t="s">
        <v>1287</v>
      </c>
      <c r="CJ709" s="77">
        <f t="shared" si="189"/>
        <v>288</v>
      </c>
      <c r="CK709" s="70">
        <v>44</v>
      </c>
    </row>
    <row r="710" spans="1:89" x14ac:dyDescent="0.3">
      <c r="A710" t="s">
        <v>339</v>
      </c>
      <c r="B710" t="s">
        <v>318</v>
      </c>
      <c r="C710" t="s">
        <v>4245</v>
      </c>
      <c r="D710" s="12"/>
      <c r="E710">
        <v>3.42</v>
      </c>
      <c r="F710" t="s">
        <v>319</v>
      </c>
      <c r="G710" s="8" t="s">
        <v>2521</v>
      </c>
      <c r="H710">
        <v>-1</v>
      </c>
      <c r="J710" t="s">
        <v>1792</v>
      </c>
      <c r="M710" t="b">
        <v>1</v>
      </c>
      <c r="N710" t="b">
        <v>0</v>
      </c>
      <c r="O710" t="b">
        <v>0</v>
      </c>
      <c r="P710" t="b">
        <v>0</v>
      </c>
      <c r="Q710" t="s">
        <v>2310</v>
      </c>
      <c r="R710">
        <v>-1</v>
      </c>
      <c r="T710">
        <v>4</v>
      </c>
      <c r="U710" s="20">
        <v>0</v>
      </c>
      <c r="V710">
        <v>0</v>
      </c>
      <c r="W710">
        <v>0</v>
      </c>
      <c r="X710">
        <v>3.71</v>
      </c>
      <c r="Y710">
        <v>3.71</v>
      </c>
      <c r="Z710">
        <v>32</v>
      </c>
      <c r="AA710" t="s">
        <v>519</v>
      </c>
      <c r="AB710">
        <v>16</v>
      </c>
      <c r="AC710" s="20">
        <v>0</v>
      </c>
      <c r="AF710">
        <v>0</v>
      </c>
      <c r="AI710">
        <v>0</v>
      </c>
      <c r="AM710">
        <v>10</v>
      </c>
      <c r="AN710" s="44">
        <f t="shared" si="180"/>
        <v>440.45119999999997</v>
      </c>
      <c r="AO710" s="46">
        <v>0</v>
      </c>
      <c r="AP710" s="44">
        <v>0</v>
      </c>
      <c r="AQ710" s="44">
        <v>0</v>
      </c>
      <c r="AR710" s="41">
        <f t="shared" si="187"/>
        <v>9.0815963266759184E-2</v>
      </c>
      <c r="AS710" s="41"/>
      <c r="AT710" s="41"/>
      <c r="AU710" s="41"/>
      <c r="AV710" s="23">
        <v>1.615384615384615</v>
      </c>
      <c r="AW710" s="23">
        <v>1.6923076923076921</v>
      </c>
      <c r="AX710" s="23">
        <v>0.15384615384615391</v>
      </c>
      <c r="AY710" s="23">
        <v>0.30769230769230771</v>
      </c>
      <c r="AZ710" s="23">
        <v>0.4285714285714286</v>
      </c>
      <c r="BA710" s="23">
        <v>0.44897959183673469</v>
      </c>
      <c r="BB710" s="23">
        <v>4.0816326530612249E-2</v>
      </c>
      <c r="BC710" s="23">
        <v>8.1632653061224497E-2</v>
      </c>
      <c r="BD710" s="20">
        <v>1.1399999999999999</v>
      </c>
      <c r="BE710" s="20">
        <v>3.44</v>
      </c>
      <c r="BF710" s="20">
        <v>2.2999999999999998</v>
      </c>
      <c r="BG710" s="20">
        <v>2.571538461538462</v>
      </c>
      <c r="BH710">
        <v>2.571538461538462</v>
      </c>
      <c r="BI710">
        <v>6.623443246558077</v>
      </c>
      <c r="BJ710" s="64"/>
      <c r="BK710" s="64"/>
      <c r="BL710" s="64"/>
      <c r="BM710">
        <v>4.5407981633379592E-2</v>
      </c>
      <c r="BQ710">
        <v>9.0815963266759184E-2</v>
      </c>
      <c r="BR710">
        <v>4.5407981633379592E-2</v>
      </c>
      <c r="BS710">
        <v>0</v>
      </c>
      <c r="BT710" s="68" t="s">
        <v>1264</v>
      </c>
      <c r="BU710" s="68">
        <f t="shared" si="188"/>
        <v>1098</v>
      </c>
      <c r="BV710" s="68">
        <v>12</v>
      </c>
      <c r="BX710" s="68" t="s">
        <v>464</v>
      </c>
      <c r="BY710" s="68" t="s">
        <v>464</v>
      </c>
      <c r="BZ710" s="68">
        <v>0</v>
      </c>
      <c r="CA710" s="68">
        <v>5</v>
      </c>
      <c r="CB710" s="68">
        <v>0.5</v>
      </c>
      <c r="CC710" s="68">
        <v>1</v>
      </c>
      <c r="CD710" s="77" t="s">
        <v>464</v>
      </c>
      <c r="CE710" s="77" t="s">
        <v>464</v>
      </c>
      <c r="CF710" s="77" t="s">
        <v>1266</v>
      </c>
      <c r="CG710" s="77">
        <v>125</v>
      </c>
      <c r="CH710" s="77">
        <v>220</v>
      </c>
      <c r="CI710" s="77" t="s">
        <v>1287</v>
      </c>
      <c r="CJ710" s="77">
        <f t="shared" si="189"/>
        <v>288</v>
      </c>
      <c r="CK710" s="70">
        <v>520</v>
      </c>
    </row>
    <row r="711" spans="1:89" x14ac:dyDescent="0.3">
      <c r="A711" t="s">
        <v>340</v>
      </c>
      <c r="B711" t="s">
        <v>318</v>
      </c>
      <c r="C711" t="s">
        <v>4246</v>
      </c>
      <c r="D711" s="12"/>
      <c r="E711">
        <v>3.39</v>
      </c>
      <c r="F711" t="s">
        <v>319</v>
      </c>
      <c r="G711" s="8" t="s">
        <v>2522</v>
      </c>
      <c r="H711">
        <v>-1</v>
      </c>
      <c r="J711" t="s">
        <v>1792</v>
      </c>
      <c r="M711" t="b">
        <v>1</v>
      </c>
      <c r="N711" t="b">
        <v>0</v>
      </c>
      <c r="O711" t="b">
        <v>0</v>
      </c>
      <c r="P711" t="b">
        <v>0</v>
      </c>
      <c r="Q711" t="s">
        <v>2312</v>
      </c>
      <c r="R711">
        <v>-1</v>
      </c>
      <c r="T711">
        <v>4</v>
      </c>
      <c r="U711" s="20">
        <v>0</v>
      </c>
      <c r="V711">
        <v>0</v>
      </c>
      <c r="W711">
        <v>0</v>
      </c>
      <c r="X711">
        <v>3.7</v>
      </c>
      <c r="Y711">
        <v>3.7</v>
      </c>
      <c r="Z711">
        <v>36.4</v>
      </c>
      <c r="AA711" t="s">
        <v>519</v>
      </c>
      <c r="AB711">
        <v>18.2</v>
      </c>
      <c r="AC711" s="20">
        <v>0</v>
      </c>
      <c r="AF711">
        <v>0</v>
      </c>
      <c r="AI711">
        <v>0</v>
      </c>
      <c r="AM711">
        <v>10</v>
      </c>
      <c r="AN711" s="44">
        <f t="shared" si="180"/>
        <v>498.31600000000003</v>
      </c>
      <c r="AO711" s="46">
        <v>0</v>
      </c>
      <c r="AP711" s="44">
        <v>0</v>
      </c>
      <c r="AQ711" s="44">
        <v>0</v>
      </c>
      <c r="AR711" s="41">
        <f t="shared" si="187"/>
        <v>8.0270350540620802E-2</v>
      </c>
      <c r="AS711" s="41"/>
      <c r="AT711" s="41"/>
      <c r="AU711" s="41"/>
      <c r="AV711" s="23">
        <v>1.5625</v>
      </c>
      <c r="AW711" s="23">
        <v>1.5</v>
      </c>
      <c r="AX711" s="23">
        <v>0.125</v>
      </c>
      <c r="AY711" s="23">
        <v>0.25</v>
      </c>
      <c r="AZ711" s="23">
        <v>0.45454545454545447</v>
      </c>
      <c r="BA711" s="23">
        <v>0.43636363636363629</v>
      </c>
      <c r="BB711" s="23">
        <v>3.6363636363636362E-2</v>
      </c>
      <c r="BC711" s="23">
        <v>7.2727272727272724E-2</v>
      </c>
      <c r="BD711" s="20">
        <v>1.1399999999999999</v>
      </c>
      <c r="BE711" s="20">
        <v>3.44</v>
      </c>
      <c r="BF711" s="20">
        <v>2.2999999999999998</v>
      </c>
      <c r="BG711" s="20">
        <v>2.5237500000000002</v>
      </c>
      <c r="BH711">
        <v>2.5237500000000002</v>
      </c>
      <c r="BI711">
        <v>6.6699372256848122</v>
      </c>
      <c r="BJ711" s="64"/>
      <c r="BK711" s="64"/>
      <c r="BL711" s="64"/>
      <c r="BM711">
        <v>4.0135175270310401E-2</v>
      </c>
      <c r="BQ711">
        <v>8.0270350540620802E-2</v>
      </c>
      <c r="BR711">
        <v>4.0135175270310401E-2</v>
      </c>
      <c r="BS711">
        <v>0</v>
      </c>
      <c r="BT711" s="68" t="s">
        <v>1264</v>
      </c>
      <c r="BU711" s="68">
        <f t="shared" si="188"/>
        <v>1098</v>
      </c>
      <c r="BV711" s="68">
        <v>12</v>
      </c>
      <c r="BX711" s="68" t="s">
        <v>464</v>
      </c>
      <c r="BY711" s="68" t="s">
        <v>464</v>
      </c>
      <c r="BZ711" s="68">
        <v>0</v>
      </c>
      <c r="CB711" s="68">
        <v>0.5</v>
      </c>
      <c r="CC711" s="68">
        <v>1</v>
      </c>
      <c r="CD711" s="77" t="s">
        <v>464</v>
      </c>
      <c r="CE711" s="77" t="s">
        <v>464</v>
      </c>
      <c r="CF711" s="77" t="s">
        <v>1266</v>
      </c>
      <c r="CG711" s="77">
        <v>125</v>
      </c>
      <c r="CH711" s="77">
        <v>220</v>
      </c>
      <c r="CI711" s="77" t="s">
        <v>1287</v>
      </c>
      <c r="CJ711" s="77">
        <f t="shared" si="189"/>
        <v>288</v>
      </c>
      <c r="CK711" s="70">
        <v>268</v>
      </c>
    </row>
    <row r="712" spans="1:89" x14ac:dyDescent="0.3">
      <c r="A712" t="s">
        <v>2740</v>
      </c>
      <c r="B712" t="s">
        <v>318</v>
      </c>
      <c r="C712" t="s">
        <v>4247</v>
      </c>
      <c r="D712" s="12"/>
      <c r="E712">
        <v>3.45</v>
      </c>
      <c r="F712" t="s">
        <v>319</v>
      </c>
      <c r="G712" s="8" t="s">
        <v>2523</v>
      </c>
      <c r="H712">
        <v>-1</v>
      </c>
      <c r="J712" t="s">
        <v>1792</v>
      </c>
      <c r="M712" t="b">
        <v>1</v>
      </c>
      <c r="N712" t="b">
        <v>0</v>
      </c>
      <c r="O712" t="b">
        <v>0</v>
      </c>
      <c r="P712" t="b">
        <v>0</v>
      </c>
      <c r="Q712" t="s">
        <v>2314</v>
      </c>
      <c r="R712">
        <v>-1</v>
      </c>
      <c r="T712">
        <v>4</v>
      </c>
      <c r="U712" s="20">
        <v>0</v>
      </c>
      <c r="V712">
        <v>0</v>
      </c>
      <c r="W712">
        <v>0</v>
      </c>
      <c r="X712">
        <v>3.72</v>
      </c>
      <c r="Y712">
        <v>3.72</v>
      </c>
      <c r="Z712">
        <v>41.1</v>
      </c>
      <c r="AA712" t="s">
        <v>519</v>
      </c>
      <c r="AB712">
        <v>20.55</v>
      </c>
      <c r="AC712" s="20">
        <v>0</v>
      </c>
      <c r="AF712">
        <v>0</v>
      </c>
      <c r="AI712">
        <v>0</v>
      </c>
      <c r="AM712">
        <v>10</v>
      </c>
      <c r="AN712" s="44">
        <f t="shared" si="180"/>
        <v>568.75824000000011</v>
      </c>
      <c r="AO712" s="46">
        <v>0</v>
      </c>
      <c r="AP712" s="44">
        <v>0</v>
      </c>
      <c r="AQ712" s="44">
        <v>0</v>
      </c>
      <c r="AR712" s="41">
        <f t="shared" si="187"/>
        <v>7.0328651414351365E-2</v>
      </c>
      <c r="AS712" s="41"/>
      <c r="AT712" s="41"/>
      <c r="AU712" s="41"/>
      <c r="AV712" s="23">
        <v>1.5263157894736841</v>
      </c>
      <c r="AW712" s="23">
        <v>1.368421052631579</v>
      </c>
      <c r="AX712" s="23">
        <v>0.10526315789473679</v>
      </c>
      <c r="AY712" s="23">
        <v>0.2105263157894737</v>
      </c>
      <c r="AZ712" s="23">
        <v>0.47540983606557369</v>
      </c>
      <c r="BA712" s="23">
        <v>0.42622950819672129</v>
      </c>
      <c r="BB712" s="23">
        <v>3.2786885245901627E-2</v>
      </c>
      <c r="BC712" s="23">
        <v>6.5573770491803268E-2</v>
      </c>
      <c r="BD712" s="20">
        <v>1.1399999999999999</v>
      </c>
      <c r="BE712" s="20">
        <v>3.44</v>
      </c>
      <c r="BF712" s="20">
        <v>2.2999999999999998</v>
      </c>
      <c r="BG712" s="20">
        <v>2.4910526315789472</v>
      </c>
      <c r="BH712">
        <v>2.4910526315789481</v>
      </c>
      <c r="BI712">
        <v>6.7017488956136306</v>
      </c>
      <c r="BJ712" s="64"/>
      <c r="BK712" s="64"/>
      <c r="BL712" s="64"/>
      <c r="BM712">
        <v>3.5164325707175682E-2</v>
      </c>
      <c r="BQ712">
        <v>7.0328651414351365E-2</v>
      </c>
      <c r="BR712">
        <v>3.5164325707175682E-2</v>
      </c>
      <c r="BS712">
        <v>0</v>
      </c>
      <c r="BT712" s="68" t="s">
        <v>1264</v>
      </c>
      <c r="BU712" s="68">
        <f t="shared" si="188"/>
        <v>1098</v>
      </c>
      <c r="BV712" s="68">
        <v>12</v>
      </c>
      <c r="BX712" s="68" t="s">
        <v>464</v>
      </c>
      <c r="BY712" s="68" t="s">
        <v>464</v>
      </c>
      <c r="BZ712" s="68">
        <v>0</v>
      </c>
      <c r="CB712" s="68">
        <v>0.5</v>
      </c>
      <c r="CC712" s="68">
        <v>1</v>
      </c>
      <c r="CD712" s="77" t="s">
        <v>464</v>
      </c>
      <c r="CE712" s="77" t="s">
        <v>464</v>
      </c>
      <c r="CF712" s="77" t="s">
        <v>1266</v>
      </c>
      <c r="CG712" s="77">
        <v>125</v>
      </c>
      <c r="CH712" s="77">
        <v>220</v>
      </c>
      <c r="CI712" s="77" t="s">
        <v>1287</v>
      </c>
      <c r="CJ712" s="77">
        <f t="shared" si="189"/>
        <v>288</v>
      </c>
      <c r="CK712" s="70">
        <v>131.99999999999997</v>
      </c>
    </row>
    <row r="713" spans="1:89" x14ac:dyDescent="0.3">
      <c r="A713" t="s">
        <v>342</v>
      </c>
      <c r="B713" t="s">
        <v>318</v>
      </c>
      <c r="C713" t="s">
        <v>4248</v>
      </c>
      <c r="D713" s="12"/>
      <c r="E713">
        <v>3.45</v>
      </c>
      <c r="F713" t="s">
        <v>319</v>
      </c>
      <c r="G713" s="8" t="s">
        <v>2524</v>
      </c>
      <c r="H713">
        <v>-1</v>
      </c>
      <c r="J713" t="s">
        <v>1792</v>
      </c>
      <c r="M713" t="b">
        <v>1</v>
      </c>
      <c r="N713" t="b">
        <v>0</v>
      </c>
      <c r="O713" t="b">
        <v>0</v>
      </c>
      <c r="P713" t="b">
        <v>0</v>
      </c>
      <c r="Q713" t="s">
        <v>2316</v>
      </c>
      <c r="R713">
        <v>-1</v>
      </c>
      <c r="T713">
        <v>4</v>
      </c>
      <c r="U713" s="20">
        <v>0</v>
      </c>
      <c r="V713">
        <v>0</v>
      </c>
      <c r="W713">
        <v>0</v>
      </c>
      <c r="X713">
        <v>3.71</v>
      </c>
      <c r="Y713">
        <v>3.71</v>
      </c>
      <c r="Z713">
        <v>44.5</v>
      </c>
      <c r="AA713" t="s">
        <v>519</v>
      </c>
      <c r="AB713">
        <v>22.25</v>
      </c>
      <c r="AC713" s="20">
        <v>0</v>
      </c>
      <c r="AF713">
        <v>0</v>
      </c>
      <c r="AI713">
        <v>0</v>
      </c>
      <c r="AM713">
        <v>10</v>
      </c>
      <c r="AN713" s="44">
        <f t="shared" si="180"/>
        <v>612.50244999999995</v>
      </c>
      <c r="AO713" s="46">
        <v>0</v>
      </c>
      <c r="AP713" s="44">
        <v>0</v>
      </c>
      <c r="AQ713" s="44">
        <v>0</v>
      </c>
      <c r="AR713" s="41">
        <f t="shared" si="187"/>
        <v>6.5305861225534695E-2</v>
      </c>
      <c r="AS713" s="41"/>
      <c r="AT713" s="41"/>
      <c r="AU713" s="41"/>
      <c r="AV713" s="23">
        <v>1.5</v>
      </c>
      <c r="AW713" s="23">
        <v>1.2727272727272729</v>
      </c>
      <c r="AX713" s="23">
        <v>9.0909090909090912E-2</v>
      </c>
      <c r="AY713" s="23">
        <v>0.1818181818181818</v>
      </c>
      <c r="AZ713" s="23">
        <v>0.49253731343283591</v>
      </c>
      <c r="BA713" s="23">
        <v>0.41791044776119401</v>
      </c>
      <c r="BB713" s="23">
        <v>2.9850746268656719E-2</v>
      </c>
      <c r="BC713" s="23">
        <v>5.9701492537313439E-2</v>
      </c>
      <c r="BD713" s="20">
        <v>1.1399999999999999</v>
      </c>
      <c r="BE713" s="20">
        <v>3.44</v>
      </c>
      <c r="BF713" s="20">
        <v>2.2999999999999998</v>
      </c>
      <c r="BG713" s="20">
        <v>2.4672727272727282</v>
      </c>
      <c r="BH713">
        <v>2.4672727272727268</v>
      </c>
      <c r="BI713">
        <v>6.7248846555618629</v>
      </c>
      <c r="BJ713" s="64"/>
      <c r="BK713" s="64"/>
      <c r="BL713" s="64"/>
      <c r="BM713">
        <v>3.2652930612767347E-2</v>
      </c>
      <c r="BQ713">
        <v>6.5305861225534695E-2</v>
      </c>
      <c r="BR713">
        <v>3.2652930612767347E-2</v>
      </c>
      <c r="BS713">
        <v>0</v>
      </c>
      <c r="BT713" s="68" t="s">
        <v>1264</v>
      </c>
      <c r="BU713" s="68">
        <f t="shared" si="188"/>
        <v>1098</v>
      </c>
      <c r="BV713" s="68">
        <v>12</v>
      </c>
      <c r="BX713" s="68" t="s">
        <v>464</v>
      </c>
      <c r="BY713" s="68" t="s">
        <v>464</v>
      </c>
      <c r="BZ713" s="68">
        <v>0</v>
      </c>
      <c r="CA713" s="68">
        <v>4</v>
      </c>
      <c r="CB713" s="68">
        <v>0.5</v>
      </c>
      <c r="CC713" s="68">
        <v>1</v>
      </c>
      <c r="CD713" s="77" t="s">
        <v>464</v>
      </c>
      <c r="CE713" s="77" t="s">
        <v>464</v>
      </c>
      <c r="CF713" s="77" t="s">
        <v>1266</v>
      </c>
      <c r="CG713" s="77">
        <v>125</v>
      </c>
      <c r="CH713" s="77">
        <v>220</v>
      </c>
      <c r="CI713" s="77" t="s">
        <v>1287</v>
      </c>
      <c r="CJ713" s="77">
        <f t="shared" si="189"/>
        <v>288</v>
      </c>
      <c r="CK713" s="70">
        <v>120</v>
      </c>
    </row>
    <row r="714" spans="1:89" x14ac:dyDescent="0.3">
      <c r="A714" t="s">
        <v>343</v>
      </c>
      <c r="B714" t="s">
        <v>318</v>
      </c>
      <c r="C714" t="s">
        <v>4249</v>
      </c>
      <c r="D714" s="12"/>
      <c r="E714">
        <v>3.41</v>
      </c>
      <c r="F714" t="s">
        <v>319</v>
      </c>
      <c r="G714" s="8" t="s">
        <v>2525</v>
      </c>
      <c r="H714">
        <v>-1</v>
      </c>
      <c r="J714" t="s">
        <v>1792</v>
      </c>
      <c r="M714" t="b">
        <v>1</v>
      </c>
      <c r="N714" t="b">
        <v>0</v>
      </c>
      <c r="O714" t="b">
        <v>0</v>
      </c>
      <c r="P714" t="b">
        <v>0</v>
      </c>
      <c r="Q714" t="s">
        <v>2317</v>
      </c>
      <c r="R714">
        <v>-1</v>
      </c>
      <c r="T714">
        <v>4</v>
      </c>
      <c r="U714" s="20">
        <v>0</v>
      </c>
      <c r="V714">
        <v>0</v>
      </c>
      <c r="W714">
        <v>0</v>
      </c>
      <c r="X714">
        <v>3.71</v>
      </c>
      <c r="Y714">
        <v>3.71</v>
      </c>
      <c r="Z714">
        <v>54.9</v>
      </c>
      <c r="AA714" t="s">
        <v>519</v>
      </c>
      <c r="AB714">
        <v>27.45</v>
      </c>
      <c r="AC714" s="20">
        <v>0</v>
      </c>
      <c r="AD714" s="20"/>
      <c r="AE714" s="20"/>
      <c r="AF714">
        <v>0</v>
      </c>
      <c r="AI714">
        <v>0</v>
      </c>
      <c r="AM714">
        <v>10</v>
      </c>
      <c r="AN714" s="44">
        <f t="shared" si="180"/>
        <v>755.64908999999989</v>
      </c>
      <c r="AO714" s="46">
        <v>0</v>
      </c>
      <c r="AP714" s="44">
        <v>0</v>
      </c>
      <c r="AQ714" s="44">
        <v>0</v>
      </c>
      <c r="AR714" s="41">
        <f t="shared" si="187"/>
        <v>5.2934623397746704E-2</v>
      </c>
      <c r="AS714" s="40"/>
      <c r="AT714" s="41"/>
      <c r="AU714" s="41"/>
      <c r="AV714" s="23">
        <v>1.464285714285714</v>
      </c>
      <c r="AW714" s="23">
        <v>1.142857142857143</v>
      </c>
      <c r="AX714" s="23">
        <v>7.1428571428571425E-2</v>
      </c>
      <c r="AY714" s="23">
        <v>0.14285714285714279</v>
      </c>
      <c r="AZ714" s="23">
        <v>0.51898734177215178</v>
      </c>
      <c r="BA714" s="23">
        <v>0.40506329113924039</v>
      </c>
      <c r="BB714" s="23">
        <v>2.5316455696202531E-2</v>
      </c>
      <c r="BC714" s="23">
        <v>5.0632911392405063E-2</v>
      </c>
      <c r="BD714" s="20">
        <v>1.1399999999999999</v>
      </c>
      <c r="BE714" s="20">
        <v>3.44</v>
      </c>
      <c r="BF714" s="20">
        <v>2.2999999999999998</v>
      </c>
      <c r="BG714" s="20">
        <v>2.4350000000000001</v>
      </c>
      <c r="BH714">
        <v>2.4350000000000001</v>
      </c>
      <c r="BI714">
        <v>6.7562831869201787</v>
      </c>
      <c r="BJ714" s="64"/>
      <c r="BK714" s="64"/>
      <c r="BL714" s="64"/>
      <c r="BM714">
        <v>2.6467311698873348E-2</v>
      </c>
      <c r="BQ714">
        <v>5.2934623397746697E-2</v>
      </c>
      <c r="BR714">
        <v>2.6467311698873348E-2</v>
      </c>
      <c r="BS714">
        <v>0</v>
      </c>
      <c r="BT714" s="68" t="s">
        <v>1264</v>
      </c>
      <c r="BU714" s="68">
        <f t="shared" si="188"/>
        <v>1098</v>
      </c>
      <c r="BV714" s="68">
        <v>12</v>
      </c>
      <c r="BX714" s="68" t="s">
        <v>464</v>
      </c>
      <c r="BY714" s="68" t="s">
        <v>464</v>
      </c>
      <c r="BZ714" s="68">
        <v>0</v>
      </c>
      <c r="CB714" s="68">
        <v>0.5</v>
      </c>
      <c r="CC714" s="68">
        <v>1</v>
      </c>
      <c r="CD714" s="77" t="s">
        <v>464</v>
      </c>
      <c r="CE714" s="77" t="s">
        <v>464</v>
      </c>
      <c r="CF714" s="77" t="s">
        <v>1266</v>
      </c>
      <c r="CG714" s="77">
        <v>125</v>
      </c>
      <c r="CH714" s="77">
        <v>220</v>
      </c>
      <c r="CI714" s="77" t="s">
        <v>1287</v>
      </c>
      <c r="CJ714" s="77">
        <f t="shared" si="189"/>
        <v>288</v>
      </c>
      <c r="CK714" s="70">
        <v>60</v>
      </c>
    </row>
    <row r="715" spans="1:89" x14ac:dyDescent="0.3">
      <c r="A715" t="s">
        <v>2530</v>
      </c>
      <c r="B715" t="s">
        <v>318</v>
      </c>
      <c r="C715" t="s">
        <v>4250</v>
      </c>
      <c r="D715" s="12"/>
      <c r="E715">
        <v>3.41</v>
      </c>
      <c r="F715" t="s">
        <v>319</v>
      </c>
      <c r="G715" s="109" t="s">
        <v>2526</v>
      </c>
      <c r="H715">
        <v>-1</v>
      </c>
      <c r="J715" t="s">
        <v>1792</v>
      </c>
      <c r="M715" t="b">
        <v>0</v>
      </c>
      <c r="N715" t="b">
        <v>0</v>
      </c>
      <c r="O715" t="b">
        <v>0</v>
      </c>
      <c r="P715" t="b">
        <v>1</v>
      </c>
      <c r="Q715" t="s">
        <v>2318</v>
      </c>
      <c r="R715">
        <v>-1</v>
      </c>
      <c r="T715">
        <v>4</v>
      </c>
      <c r="U715" s="20">
        <v>0</v>
      </c>
      <c r="V715">
        <v>0</v>
      </c>
      <c r="W715">
        <v>0</v>
      </c>
      <c r="X715">
        <v>3.71</v>
      </c>
      <c r="Y715">
        <v>3.71</v>
      </c>
      <c r="Z715">
        <v>58</v>
      </c>
      <c r="AA715" t="s">
        <v>519</v>
      </c>
      <c r="AB715">
        <v>29</v>
      </c>
      <c r="AC715" s="20">
        <v>0</v>
      </c>
      <c r="AD715" s="20"/>
      <c r="AE715" s="20"/>
      <c r="AF715">
        <v>0</v>
      </c>
      <c r="AI715">
        <v>0</v>
      </c>
      <c r="AM715">
        <v>10</v>
      </c>
      <c r="AN715" s="44">
        <f t="shared" si="180"/>
        <v>798.31779999999992</v>
      </c>
      <c r="AO715" s="46">
        <v>0</v>
      </c>
      <c r="AP715" s="44">
        <v>0</v>
      </c>
      <c r="AQ715" s="44">
        <v>0</v>
      </c>
      <c r="AR715" s="41">
        <f t="shared" si="187"/>
        <v>5.010535904372921E-2</v>
      </c>
      <c r="AS715" s="40"/>
      <c r="AT715" s="41"/>
      <c r="AU715" s="41"/>
      <c r="AV715" s="23">
        <v>1.4411764705882351</v>
      </c>
      <c r="AW715" s="23">
        <v>1.0588235294117649</v>
      </c>
      <c r="AX715" s="23">
        <v>5.8823529411764712E-2</v>
      </c>
      <c r="AY715" s="23">
        <v>0.1176470588235294</v>
      </c>
      <c r="AZ715" s="23">
        <v>0.53846153846153855</v>
      </c>
      <c r="BA715" s="23">
        <v>0.39560439560439559</v>
      </c>
      <c r="BB715" s="23">
        <v>2.197802197802198E-2</v>
      </c>
      <c r="BC715" s="23">
        <v>4.3956043956043959E-2</v>
      </c>
      <c r="BD715" s="20">
        <v>1.1399999999999999</v>
      </c>
      <c r="BE715" s="20">
        <v>3.44</v>
      </c>
      <c r="BF715" s="20">
        <v>2.2999999999999998</v>
      </c>
      <c r="BG715" s="20">
        <v>2.4141176470588239</v>
      </c>
      <c r="BH715">
        <v>2.4141176470588239</v>
      </c>
      <c r="BI715">
        <v>6.776599883681441</v>
      </c>
      <c r="BJ715" s="64"/>
      <c r="BK715" s="64"/>
      <c r="BL715" s="64"/>
      <c r="BM715">
        <v>2.5052679521864601E-2</v>
      </c>
      <c r="BQ715">
        <v>5.010535904372921E-2</v>
      </c>
      <c r="BR715">
        <v>2.5052679521864601E-2</v>
      </c>
      <c r="BS715">
        <v>0</v>
      </c>
      <c r="BT715" s="68" t="s">
        <v>1264</v>
      </c>
      <c r="BU715" s="68">
        <f t="shared" si="188"/>
        <v>1098</v>
      </c>
      <c r="BV715" s="68">
        <v>12</v>
      </c>
      <c r="BX715" s="68" t="s">
        <v>464</v>
      </c>
      <c r="BY715" s="68" t="s">
        <v>464</v>
      </c>
      <c r="BZ715" s="68">
        <v>0</v>
      </c>
      <c r="CA715" s="68">
        <v>15</v>
      </c>
      <c r="CB715" s="68">
        <v>0.5</v>
      </c>
      <c r="CC715" s="68">
        <v>1</v>
      </c>
      <c r="CD715" s="77" t="s">
        <v>464</v>
      </c>
      <c r="CE715" s="77" t="s">
        <v>464</v>
      </c>
      <c r="CF715" s="77" t="s">
        <v>1266</v>
      </c>
      <c r="CG715" s="77">
        <v>125</v>
      </c>
      <c r="CH715" s="77">
        <v>220</v>
      </c>
      <c r="CI715" s="77" t="s">
        <v>1287</v>
      </c>
      <c r="CJ715" s="77">
        <f t="shared" si="189"/>
        <v>288</v>
      </c>
      <c r="CK715" s="70">
        <v>372</v>
      </c>
    </row>
    <row r="716" spans="1:89" x14ac:dyDescent="0.3">
      <c r="A716" t="s">
        <v>318</v>
      </c>
      <c r="B716" t="s">
        <v>318</v>
      </c>
      <c r="C716" t="s">
        <v>4225</v>
      </c>
      <c r="D716" s="12"/>
      <c r="E716">
        <v>3.45</v>
      </c>
      <c r="F716" t="s">
        <v>319</v>
      </c>
      <c r="G716" s="107" t="s">
        <v>561</v>
      </c>
      <c r="H716">
        <v>-1</v>
      </c>
      <c r="J716" t="s">
        <v>1726</v>
      </c>
      <c r="M716" t="b">
        <v>1</v>
      </c>
      <c r="N716" t="b">
        <v>0</v>
      </c>
      <c r="O716" t="b">
        <v>0</v>
      </c>
      <c r="P716" t="b">
        <v>0</v>
      </c>
      <c r="Q716" t="s">
        <v>2319</v>
      </c>
      <c r="R716">
        <v>-1</v>
      </c>
      <c r="T716">
        <v>2</v>
      </c>
      <c r="U716" s="20">
        <v>0</v>
      </c>
      <c r="V716">
        <v>0</v>
      </c>
      <c r="W716">
        <v>2</v>
      </c>
      <c r="X716" s="60">
        <v>3.71</v>
      </c>
      <c r="Y716" s="60">
        <v>3.71</v>
      </c>
      <c r="Z716" s="60">
        <v>12.2</v>
      </c>
      <c r="AA716" t="s">
        <v>519</v>
      </c>
      <c r="AB716">
        <v>12.2</v>
      </c>
      <c r="AC716" s="20">
        <v>0</v>
      </c>
      <c r="AD716" s="20"/>
      <c r="AE716" s="20"/>
      <c r="AF716">
        <v>0</v>
      </c>
      <c r="AI716">
        <v>3.72</v>
      </c>
      <c r="AJ716">
        <v>3.72</v>
      </c>
      <c r="AK716">
        <v>12.3012</v>
      </c>
      <c r="AM716">
        <v>8</v>
      </c>
      <c r="AN716" s="44">
        <f t="shared" ref="AN716:AN741" si="190">X716*Y716*Z716</f>
        <v>167.92201999999997</v>
      </c>
      <c r="AO716" s="46">
        <v>0</v>
      </c>
      <c r="AP716" s="44">
        <v>0</v>
      </c>
      <c r="AQ716" s="44">
        <v>170.2</v>
      </c>
      <c r="AR716" s="41">
        <f t="shared" ref="AR716:AR741" si="191">T716*AM716/AN716</f>
        <v>9.5282322115944076E-2</v>
      </c>
      <c r="AS716" s="40"/>
      <c r="AT716" s="41"/>
      <c r="AU716" s="56">
        <f>W716*AM716/AQ716</f>
        <v>9.400705052878966E-2</v>
      </c>
      <c r="AV716" s="23">
        <v>1.857142857142857</v>
      </c>
      <c r="AW716" s="23">
        <v>2.285714285714286</v>
      </c>
      <c r="AX716" s="23">
        <v>0.42857142857142849</v>
      </c>
      <c r="AY716" s="23">
        <v>0</v>
      </c>
      <c r="AZ716" s="23">
        <v>0.40625000000000011</v>
      </c>
      <c r="BA716" s="23">
        <v>0.5</v>
      </c>
      <c r="BB716" s="23">
        <v>9.375E-2</v>
      </c>
      <c r="BC716" s="23">
        <v>0</v>
      </c>
      <c r="BD716" s="20">
        <v>1.1000000000000001</v>
      </c>
      <c r="BE716" s="20">
        <v>3.44</v>
      </c>
      <c r="BF716" s="20">
        <v>2.34</v>
      </c>
      <c r="BG716" s="20">
        <v>2.657142857142857</v>
      </c>
      <c r="BH716">
        <v>2.657142857142857</v>
      </c>
      <c r="BI716">
        <v>6.2648417856930001</v>
      </c>
      <c r="BJ716" s="64"/>
      <c r="BK716" s="64"/>
      <c r="BL716" s="64">
        <v>0.51949166816826697</v>
      </c>
      <c r="BM716">
        <v>4.7641161057972038E-2</v>
      </c>
      <c r="BP716">
        <v>4.700352526439483E-2</v>
      </c>
      <c r="BQ716">
        <v>9.4644686322366861E-2</v>
      </c>
      <c r="BR716">
        <v>4.7322343161183431E-2</v>
      </c>
      <c r="BS716">
        <v>0.51949166816826697</v>
      </c>
      <c r="BT716" s="68" t="s">
        <v>1264</v>
      </c>
      <c r="BU716" s="68">
        <f t="shared" si="188"/>
        <v>1098</v>
      </c>
      <c r="BV716" s="68">
        <v>12</v>
      </c>
      <c r="BX716" s="68" t="s">
        <v>1268</v>
      </c>
      <c r="BY716" s="68" t="s">
        <v>863</v>
      </c>
      <c r="BZ716" s="68">
        <v>1</v>
      </c>
      <c r="CA716" s="68">
        <v>9.6999999999999993</v>
      </c>
      <c r="CB716" s="68">
        <v>0.5</v>
      </c>
      <c r="CC716" s="68">
        <v>1</v>
      </c>
      <c r="CD716" s="77" t="s">
        <v>464</v>
      </c>
      <c r="CE716" s="77" t="s">
        <v>464</v>
      </c>
      <c r="CF716" s="77" t="s">
        <v>1266</v>
      </c>
      <c r="CG716" s="77">
        <v>125</v>
      </c>
      <c r="CH716" s="77">
        <v>220</v>
      </c>
      <c r="CI716" s="77" t="s">
        <v>1287</v>
      </c>
      <c r="CJ716" s="77">
        <f>273+15</f>
        <v>288</v>
      </c>
      <c r="CK716" s="70">
        <v>560</v>
      </c>
    </row>
    <row r="717" spans="1:89" x14ac:dyDescent="0.3">
      <c r="A717" t="s">
        <v>320</v>
      </c>
      <c r="B717" t="s">
        <v>318</v>
      </c>
      <c r="C717" t="s">
        <v>4226</v>
      </c>
      <c r="D717" s="12"/>
      <c r="E717">
        <v>3.58</v>
      </c>
      <c r="F717" t="s">
        <v>319</v>
      </c>
      <c r="G717" s="8" t="s">
        <v>2516</v>
      </c>
      <c r="H717">
        <v>-1</v>
      </c>
      <c r="M717" t="b">
        <v>1</v>
      </c>
      <c r="N717" t="b">
        <v>0</v>
      </c>
      <c r="O717" t="b">
        <v>0</v>
      </c>
      <c r="P717" t="b">
        <v>0</v>
      </c>
      <c r="Q717" t="s">
        <v>2516</v>
      </c>
      <c r="R717">
        <v>-1</v>
      </c>
      <c r="T717">
        <v>4</v>
      </c>
      <c r="U717" s="20">
        <v>0</v>
      </c>
      <c r="V717">
        <v>0</v>
      </c>
      <c r="W717">
        <v>0</v>
      </c>
      <c r="X717">
        <v>3.77</v>
      </c>
      <c r="Y717">
        <v>3.77</v>
      </c>
      <c r="Z717">
        <v>33.299999999999997</v>
      </c>
      <c r="AA717" t="s">
        <v>519</v>
      </c>
      <c r="AB717">
        <v>16.649999999999999</v>
      </c>
      <c r="AC717" s="20">
        <v>0</v>
      </c>
      <c r="AD717" s="20"/>
      <c r="AE717" s="20"/>
      <c r="AF717">
        <v>0</v>
      </c>
      <c r="AI717">
        <v>0</v>
      </c>
      <c r="AM717">
        <v>8</v>
      </c>
      <c r="AN717" s="44">
        <f t="shared" si="190"/>
        <v>473.28956999999991</v>
      </c>
      <c r="AO717" s="46">
        <v>0</v>
      </c>
      <c r="AP717" s="44">
        <v>0</v>
      </c>
      <c r="AQ717" s="44">
        <v>0</v>
      </c>
      <c r="AR717" s="41">
        <f t="shared" si="191"/>
        <v>6.7611885045343392E-2</v>
      </c>
      <c r="AS717" s="40"/>
      <c r="AT717" s="41"/>
      <c r="AU717" s="41"/>
      <c r="AV717" s="23">
        <v>1.571428571428571</v>
      </c>
      <c r="AW717" s="23">
        <v>1.5</v>
      </c>
      <c r="AX717" s="23">
        <v>0.2142857142857143</v>
      </c>
      <c r="AY717" s="23">
        <v>0</v>
      </c>
      <c r="AZ717" s="23">
        <v>0.47826086956521741</v>
      </c>
      <c r="BA717" s="23">
        <v>0.45652173913043481</v>
      </c>
      <c r="BB717" s="23">
        <v>6.5217391304347824E-2</v>
      </c>
      <c r="BC717" s="23">
        <v>0</v>
      </c>
      <c r="BD717" s="20">
        <v>1.1000000000000001</v>
      </c>
      <c r="BE717" s="20">
        <v>3.44</v>
      </c>
      <c r="BF717" s="20">
        <v>2.34</v>
      </c>
      <c r="BG717" s="20">
        <v>2.5135714285714279</v>
      </c>
      <c r="BH717">
        <v>2.5135714285714279</v>
      </c>
      <c r="BI717">
        <v>6.6592671289361416</v>
      </c>
      <c r="BJ717" s="64"/>
      <c r="BK717" s="64"/>
      <c r="BL717" s="64"/>
      <c r="BM717">
        <v>3.3805942522671703E-2</v>
      </c>
      <c r="BQ717">
        <v>6.7611885045343392E-2</v>
      </c>
      <c r="BR717">
        <v>3.3805942522671703E-2</v>
      </c>
      <c r="BS717">
        <v>0</v>
      </c>
      <c r="BT717" s="68" t="s">
        <v>1264</v>
      </c>
      <c r="BU717" s="68">
        <f t="shared" si="188"/>
        <v>1098</v>
      </c>
      <c r="BV717" s="68">
        <v>12</v>
      </c>
      <c r="BX717" s="68" t="s">
        <v>1268</v>
      </c>
      <c r="BY717" s="68" t="s">
        <v>863</v>
      </c>
      <c r="BZ717" s="68">
        <v>1</v>
      </c>
      <c r="CA717" s="68">
        <v>4</v>
      </c>
      <c r="CB717" s="68">
        <v>0.5</v>
      </c>
      <c r="CC717" s="68">
        <v>1</v>
      </c>
      <c r="CD717" s="77" t="s">
        <v>464</v>
      </c>
      <c r="CE717" s="77" t="s">
        <v>464</v>
      </c>
      <c r="CF717" s="77" t="s">
        <v>1266</v>
      </c>
      <c r="CG717" s="77">
        <v>125</v>
      </c>
      <c r="CH717" s="77">
        <v>220</v>
      </c>
      <c r="CI717" s="77" t="s">
        <v>1287</v>
      </c>
      <c r="CJ717" s="77">
        <f t="shared" si="189"/>
        <v>288</v>
      </c>
      <c r="CK717" s="70">
        <v>1920</v>
      </c>
    </row>
    <row r="718" spans="1:89" x14ac:dyDescent="0.3">
      <c r="A718" t="s">
        <v>321</v>
      </c>
      <c r="B718" t="s">
        <v>318</v>
      </c>
      <c r="C718" t="s">
        <v>4227</v>
      </c>
      <c r="D718" s="12"/>
      <c r="E718">
        <v>3.48</v>
      </c>
      <c r="F718" t="s">
        <v>319</v>
      </c>
      <c r="G718" s="8" t="s">
        <v>2517</v>
      </c>
      <c r="H718">
        <v>-1</v>
      </c>
      <c r="M718" t="b">
        <v>1</v>
      </c>
      <c r="N718" t="b">
        <v>0</v>
      </c>
      <c r="O718" t="b">
        <v>0</v>
      </c>
      <c r="P718" t="b">
        <v>0</v>
      </c>
      <c r="Q718" t="s">
        <v>2517</v>
      </c>
      <c r="R718">
        <v>-1</v>
      </c>
      <c r="T718">
        <v>4</v>
      </c>
      <c r="U718" s="20">
        <v>0</v>
      </c>
      <c r="V718">
        <v>0</v>
      </c>
      <c r="W718">
        <v>0</v>
      </c>
      <c r="X718">
        <v>3.75</v>
      </c>
      <c r="Y718">
        <v>3.75</v>
      </c>
      <c r="Z718">
        <v>37.299999999999997</v>
      </c>
      <c r="AA718" t="s">
        <v>519</v>
      </c>
      <c r="AB718">
        <v>18.649999999999999</v>
      </c>
      <c r="AC718" s="20">
        <v>0</v>
      </c>
      <c r="AD718" s="20"/>
      <c r="AE718" s="20"/>
      <c r="AF718">
        <v>0</v>
      </c>
      <c r="AI718">
        <v>0</v>
      </c>
      <c r="AM718">
        <v>8</v>
      </c>
      <c r="AN718" s="44">
        <f t="shared" si="190"/>
        <v>524.53125</v>
      </c>
      <c r="AO718" s="46">
        <v>0</v>
      </c>
      <c r="AP718" s="44">
        <v>0</v>
      </c>
      <c r="AQ718" s="44">
        <v>0</v>
      </c>
      <c r="AR718" s="41">
        <f t="shared" si="191"/>
        <v>6.1006851355376826E-2</v>
      </c>
      <c r="AS718" s="40"/>
      <c r="AT718" s="41"/>
      <c r="AU718" s="41"/>
      <c r="AV718" s="23">
        <v>1.529411764705882</v>
      </c>
      <c r="AW718" s="23">
        <v>1.3529411764705881</v>
      </c>
      <c r="AX718" s="23">
        <v>0.1764705882352941</v>
      </c>
      <c r="AY718" s="23">
        <v>0</v>
      </c>
      <c r="AZ718" s="23">
        <v>0.5</v>
      </c>
      <c r="BA718" s="23">
        <v>0.44230769230769229</v>
      </c>
      <c r="BB718" s="23">
        <v>5.7692307692307702E-2</v>
      </c>
      <c r="BC718" s="23">
        <v>0</v>
      </c>
      <c r="BD718" s="20">
        <v>1.1000000000000001</v>
      </c>
      <c r="BE718" s="20">
        <v>3.44</v>
      </c>
      <c r="BF718" s="20">
        <v>2.34</v>
      </c>
      <c r="BG718" s="20">
        <v>2.4788235294117649</v>
      </c>
      <c r="BH718">
        <v>2.4788235294117649</v>
      </c>
      <c r="BI718">
        <v>6.6967043065181171</v>
      </c>
      <c r="BJ718" s="64"/>
      <c r="BK718" s="64"/>
      <c r="BL718" s="64"/>
      <c r="BM718">
        <v>3.050342567768841E-2</v>
      </c>
      <c r="BQ718">
        <v>6.1006851355376833E-2</v>
      </c>
      <c r="BR718">
        <v>3.050342567768841E-2</v>
      </c>
      <c r="BS718">
        <v>0</v>
      </c>
      <c r="BT718" s="68" t="s">
        <v>1264</v>
      </c>
      <c r="BU718" s="68">
        <f t="shared" si="188"/>
        <v>1098</v>
      </c>
      <c r="BV718" s="68">
        <v>12</v>
      </c>
      <c r="BX718" s="68" t="s">
        <v>1268</v>
      </c>
      <c r="BY718" s="68" t="s">
        <v>863</v>
      </c>
      <c r="BZ718" s="68">
        <v>1</v>
      </c>
      <c r="CB718" s="68">
        <v>0.5</v>
      </c>
      <c r="CC718" s="68">
        <v>1</v>
      </c>
      <c r="CD718" s="77" t="s">
        <v>464</v>
      </c>
      <c r="CE718" s="77" t="s">
        <v>464</v>
      </c>
      <c r="CF718" s="77" t="s">
        <v>1266</v>
      </c>
      <c r="CG718" s="77">
        <v>125</v>
      </c>
      <c r="CH718" s="77">
        <v>220</v>
      </c>
      <c r="CI718" s="77" t="s">
        <v>1287</v>
      </c>
      <c r="CJ718" s="77">
        <f t="shared" si="189"/>
        <v>288</v>
      </c>
      <c r="CK718" s="70">
        <v>3920</v>
      </c>
    </row>
    <row r="719" spans="1:89" x14ac:dyDescent="0.3">
      <c r="A719" t="s">
        <v>2735</v>
      </c>
      <c r="B719" t="s">
        <v>318</v>
      </c>
      <c r="C719" t="s">
        <v>4228</v>
      </c>
      <c r="D719" s="12"/>
      <c r="E719">
        <v>3.5</v>
      </c>
      <c r="F719" t="s">
        <v>319</v>
      </c>
      <c r="G719" s="8" t="s">
        <v>2518</v>
      </c>
      <c r="H719">
        <v>-1</v>
      </c>
      <c r="M719" t="b">
        <v>1</v>
      </c>
      <c r="N719" t="b">
        <v>0</v>
      </c>
      <c r="O719" t="b">
        <v>0</v>
      </c>
      <c r="P719" t="b">
        <v>0</v>
      </c>
      <c r="Q719" t="s">
        <v>2518</v>
      </c>
      <c r="R719">
        <v>-1</v>
      </c>
      <c r="T719">
        <v>4</v>
      </c>
      <c r="U719" s="20">
        <v>0</v>
      </c>
      <c r="V719">
        <v>0</v>
      </c>
      <c r="W719">
        <v>0</v>
      </c>
      <c r="X719">
        <v>3.76</v>
      </c>
      <c r="Y719">
        <v>3.76</v>
      </c>
      <c r="Z719">
        <v>41.2</v>
      </c>
      <c r="AA719" t="s">
        <v>519</v>
      </c>
      <c r="AB719">
        <v>20.6</v>
      </c>
      <c r="AC719" s="20">
        <v>0</v>
      </c>
      <c r="AD719" s="20"/>
      <c r="AE719" s="20"/>
      <c r="AF719">
        <v>0</v>
      </c>
      <c r="AI719">
        <v>0</v>
      </c>
      <c r="AM719">
        <v>8</v>
      </c>
      <c r="AN719" s="44">
        <f t="shared" si="190"/>
        <v>582.46911999999998</v>
      </c>
      <c r="AO719" s="46">
        <v>0</v>
      </c>
      <c r="AP719" s="44">
        <v>0</v>
      </c>
      <c r="AQ719" s="44">
        <v>0</v>
      </c>
      <c r="AR719" s="41">
        <f t="shared" si="191"/>
        <v>5.4938534767302344E-2</v>
      </c>
      <c r="AS719" s="40"/>
      <c r="AT719" s="41"/>
      <c r="AU719" s="41"/>
      <c r="AV719" s="23">
        <v>1.5</v>
      </c>
      <c r="AW719" s="23">
        <v>1.25</v>
      </c>
      <c r="AX719" s="23">
        <v>0.15</v>
      </c>
      <c r="AY719" s="23">
        <v>0</v>
      </c>
      <c r="AZ719" s="23">
        <v>0.51724137931034486</v>
      </c>
      <c r="BA719" s="23">
        <v>0.43103448275862072</v>
      </c>
      <c r="BB719" s="23">
        <v>5.1724137931034482E-2</v>
      </c>
      <c r="BC719" s="23">
        <v>0</v>
      </c>
      <c r="BD719" s="20">
        <v>1.1000000000000001</v>
      </c>
      <c r="BE719" s="20">
        <v>3.44</v>
      </c>
      <c r="BF719" s="20">
        <v>2.34</v>
      </c>
      <c r="BG719" s="20">
        <v>2.4544999999999999</v>
      </c>
      <c r="BH719">
        <v>2.4544999999999999</v>
      </c>
      <c r="BI719">
        <v>6.7229103308255</v>
      </c>
      <c r="BJ719" s="64"/>
      <c r="BK719" s="64"/>
      <c r="BL719" s="64"/>
      <c r="BM719">
        <v>2.7469267383651168E-2</v>
      </c>
      <c r="BQ719">
        <v>5.4938534767302337E-2</v>
      </c>
      <c r="BR719">
        <v>2.7469267383651168E-2</v>
      </c>
      <c r="BS719">
        <v>0</v>
      </c>
      <c r="BT719" s="68" t="s">
        <v>1264</v>
      </c>
      <c r="BU719" s="68">
        <f t="shared" si="188"/>
        <v>1098</v>
      </c>
      <c r="BV719" s="68">
        <v>12</v>
      </c>
      <c r="BX719" s="68" t="s">
        <v>1268</v>
      </c>
      <c r="BY719" s="68" t="s">
        <v>863</v>
      </c>
      <c r="BZ719" s="68">
        <v>1</v>
      </c>
      <c r="CB719" s="68">
        <v>0.5</v>
      </c>
      <c r="CC719" s="68">
        <v>1</v>
      </c>
      <c r="CD719" s="77" t="s">
        <v>464</v>
      </c>
      <c r="CE719" s="77" t="s">
        <v>464</v>
      </c>
      <c r="CF719" s="77" t="s">
        <v>1266</v>
      </c>
      <c r="CG719" s="77">
        <v>125</v>
      </c>
      <c r="CH719" s="77">
        <v>220</v>
      </c>
      <c r="CI719" s="77" t="s">
        <v>1287</v>
      </c>
      <c r="CJ719" s="77">
        <f t="shared" si="189"/>
        <v>288</v>
      </c>
      <c r="CK719" s="70">
        <v>2800</v>
      </c>
    </row>
    <row r="720" spans="1:89" x14ac:dyDescent="0.3">
      <c r="A720" t="s">
        <v>323</v>
      </c>
      <c r="B720" t="s">
        <v>318</v>
      </c>
      <c r="C720" t="s">
        <v>4229</v>
      </c>
      <c r="D720" s="12"/>
      <c r="E720">
        <v>3.61</v>
      </c>
      <c r="F720" t="s">
        <v>319</v>
      </c>
      <c r="G720" s="8" t="s">
        <v>2519</v>
      </c>
      <c r="H720">
        <v>-1</v>
      </c>
      <c r="M720" t="b">
        <v>1</v>
      </c>
      <c r="N720" t="b">
        <v>0</v>
      </c>
      <c r="O720" t="b">
        <v>0</v>
      </c>
      <c r="P720" t="b">
        <v>0</v>
      </c>
      <c r="Q720" t="s">
        <v>2519</v>
      </c>
      <c r="R720">
        <v>-1</v>
      </c>
      <c r="T720">
        <v>4</v>
      </c>
      <c r="U720" s="20">
        <v>0</v>
      </c>
      <c r="V720">
        <v>0</v>
      </c>
      <c r="W720">
        <v>0</v>
      </c>
      <c r="X720">
        <v>3.76</v>
      </c>
      <c r="Y720">
        <v>3.76</v>
      </c>
      <c r="Z720">
        <v>47.8</v>
      </c>
      <c r="AA720" t="s">
        <v>519</v>
      </c>
      <c r="AB720">
        <v>23.9</v>
      </c>
      <c r="AC720" s="20">
        <v>0</v>
      </c>
      <c r="AD720" s="20"/>
      <c r="AE720" s="20"/>
      <c r="AF720">
        <v>0</v>
      </c>
      <c r="AI720">
        <v>0</v>
      </c>
      <c r="AM720">
        <v>8</v>
      </c>
      <c r="AN720" s="44">
        <f t="shared" si="190"/>
        <v>675.77727999999991</v>
      </c>
      <c r="AO720" s="46">
        <v>0</v>
      </c>
      <c r="AP720" s="44">
        <v>0</v>
      </c>
      <c r="AQ720" s="44">
        <v>0</v>
      </c>
      <c r="AR720" s="41">
        <f t="shared" si="191"/>
        <v>4.7352879339181107E-2</v>
      </c>
      <c r="AS720" s="40"/>
      <c r="AT720" s="41"/>
      <c r="AU720" s="41"/>
      <c r="AV720" s="23">
        <v>1.4782608695652171</v>
      </c>
      <c r="AW720" s="23">
        <v>1.173913043478261</v>
      </c>
      <c r="AX720" s="23">
        <v>0.13043478260869559</v>
      </c>
      <c r="AY720" s="23">
        <v>0</v>
      </c>
      <c r="AZ720" s="23">
        <v>0.53125</v>
      </c>
      <c r="BA720" s="23">
        <v>0.42187500000000011</v>
      </c>
      <c r="BB720" s="23">
        <v>4.6875E-2</v>
      </c>
      <c r="BC720" s="23">
        <v>0</v>
      </c>
      <c r="BD720" s="20">
        <v>1.1000000000000001</v>
      </c>
      <c r="BE720" s="20">
        <v>3.44</v>
      </c>
      <c r="BF720" s="20">
        <v>2.34</v>
      </c>
      <c r="BG720" s="20">
        <v>2.436521739130435</v>
      </c>
      <c r="BH720">
        <v>2.436521739130435</v>
      </c>
      <c r="BI720">
        <v>6.7422800009657378</v>
      </c>
      <c r="BJ720" s="64"/>
      <c r="BK720" s="64"/>
      <c r="BL720" s="64"/>
      <c r="BM720">
        <v>2.367643966959055E-2</v>
      </c>
      <c r="BQ720">
        <v>4.7352879339181107E-2</v>
      </c>
      <c r="BR720">
        <v>2.367643966959055E-2</v>
      </c>
      <c r="BS720">
        <v>0</v>
      </c>
      <c r="BT720" s="68" t="s">
        <v>1264</v>
      </c>
      <c r="BU720" s="68">
        <f t="shared" si="188"/>
        <v>1098</v>
      </c>
      <c r="BV720" s="68">
        <v>12</v>
      </c>
      <c r="BX720" s="68" t="s">
        <v>1268</v>
      </c>
      <c r="BY720" s="68" t="s">
        <v>863</v>
      </c>
      <c r="BZ720" s="68">
        <v>1</v>
      </c>
      <c r="CA720" s="68">
        <v>2.6</v>
      </c>
      <c r="CB720" s="68">
        <v>0.5</v>
      </c>
      <c r="CC720" s="68">
        <v>1</v>
      </c>
      <c r="CD720" s="77" t="s">
        <v>464</v>
      </c>
      <c r="CE720" s="77" t="s">
        <v>464</v>
      </c>
      <c r="CF720" s="77" t="s">
        <v>1266</v>
      </c>
      <c r="CG720" s="77">
        <v>125</v>
      </c>
      <c r="CH720" s="77">
        <v>220</v>
      </c>
      <c r="CI720" s="77" t="s">
        <v>1287</v>
      </c>
      <c r="CJ720" s="77">
        <f t="shared" si="189"/>
        <v>288</v>
      </c>
      <c r="CK720" s="70">
        <v>2280</v>
      </c>
    </row>
    <row r="721" spans="1:89" x14ac:dyDescent="0.3">
      <c r="A721" t="s">
        <v>324</v>
      </c>
      <c r="B721" t="s">
        <v>318</v>
      </c>
      <c r="C721" t="s">
        <v>4230</v>
      </c>
      <c r="D721" s="12"/>
      <c r="E721">
        <v>3.47</v>
      </c>
      <c r="F721" t="s">
        <v>319</v>
      </c>
      <c r="G721" s="8" t="s">
        <v>2520</v>
      </c>
      <c r="H721">
        <v>-1</v>
      </c>
      <c r="M721" t="b">
        <v>1</v>
      </c>
      <c r="N721" t="b">
        <v>0</v>
      </c>
      <c r="O721" t="b">
        <v>0</v>
      </c>
      <c r="P721" t="b">
        <v>0</v>
      </c>
      <c r="Q721" t="s">
        <v>2520</v>
      </c>
      <c r="R721">
        <v>-1</v>
      </c>
      <c r="T721">
        <v>4</v>
      </c>
      <c r="U721" s="20">
        <v>0</v>
      </c>
      <c r="V721">
        <v>0</v>
      </c>
      <c r="W721">
        <v>0</v>
      </c>
      <c r="X721">
        <v>3.76</v>
      </c>
      <c r="Y721">
        <v>3.76</v>
      </c>
      <c r="Z721">
        <v>54.9</v>
      </c>
      <c r="AA721" t="s">
        <v>519</v>
      </c>
      <c r="AB721">
        <v>27.45</v>
      </c>
      <c r="AC721" s="20">
        <v>0</v>
      </c>
      <c r="AD721" s="20"/>
      <c r="AE721" s="20"/>
      <c r="AF721">
        <v>0</v>
      </c>
      <c r="AI721">
        <v>0</v>
      </c>
      <c r="AM721">
        <v>8</v>
      </c>
      <c r="AN721" s="44">
        <f t="shared" si="190"/>
        <v>776.15423999999996</v>
      </c>
      <c r="AO721" s="46">
        <v>0</v>
      </c>
      <c r="AP721" s="44">
        <v>0</v>
      </c>
      <c r="AQ721" s="44">
        <v>0</v>
      </c>
      <c r="AR721" s="41">
        <f t="shared" si="191"/>
        <v>4.1228918623185E-2</v>
      </c>
      <c r="AS721" s="40"/>
      <c r="AT721" s="41"/>
      <c r="AU721" s="41"/>
      <c r="AV721" s="23">
        <v>1.448275862068966</v>
      </c>
      <c r="AW721" s="23">
        <v>1.068965517241379</v>
      </c>
      <c r="AX721" s="23">
        <v>0.10344827586206901</v>
      </c>
      <c r="AY721" s="23">
        <v>0</v>
      </c>
      <c r="AZ721" s="23">
        <v>0.55263157894736847</v>
      </c>
      <c r="BA721" s="23">
        <v>0.40789473684210531</v>
      </c>
      <c r="BB721" s="23">
        <v>3.9473684210526307E-2</v>
      </c>
      <c r="BC721" s="23">
        <v>0</v>
      </c>
      <c r="BD721" s="20">
        <v>1.1000000000000001</v>
      </c>
      <c r="BE721" s="20">
        <v>3.44</v>
      </c>
      <c r="BF721" s="20">
        <v>2.34</v>
      </c>
      <c r="BG721" s="20">
        <v>2.411724137931035</v>
      </c>
      <c r="BH721">
        <v>2.4117241379310341</v>
      </c>
      <c r="BI721">
        <v>6.7689967873660688</v>
      </c>
      <c r="BJ721" s="64"/>
      <c r="BK721" s="64"/>
      <c r="BL721" s="64"/>
      <c r="BM721">
        <v>2.06144593115925E-2</v>
      </c>
      <c r="BQ721">
        <v>4.1228918623185E-2</v>
      </c>
      <c r="BR721">
        <v>2.06144593115925E-2</v>
      </c>
      <c r="BS721">
        <v>0</v>
      </c>
      <c r="BT721" s="68" t="s">
        <v>1264</v>
      </c>
      <c r="BU721" s="68">
        <f t="shared" si="188"/>
        <v>1098</v>
      </c>
      <c r="BV721" s="68">
        <v>12</v>
      </c>
      <c r="BX721" s="68" t="s">
        <v>1268</v>
      </c>
      <c r="BY721" s="68" t="s">
        <v>863</v>
      </c>
      <c r="BZ721" s="68">
        <v>1</v>
      </c>
      <c r="CB721" s="68">
        <v>0.5</v>
      </c>
      <c r="CC721" s="68">
        <v>1</v>
      </c>
      <c r="CD721" s="77" t="s">
        <v>464</v>
      </c>
      <c r="CE721" s="77" t="s">
        <v>464</v>
      </c>
      <c r="CF721" s="77" t="s">
        <v>1266</v>
      </c>
      <c r="CG721" s="77">
        <v>125</v>
      </c>
      <c r="CH721" s="77">
        <v>220</v>
      </c>
      <c r="CI721" s="77" t="s">
        <v>1287</v>
      </c>
      <c r="CJ721" s="77">
        <f t="shared" si="189"/>
        <v>288</v>
      </c>
      <c r="CK721" s="70">
        <v>3640</v>
      </c>
    </row>
    <row r="722" spans="1:89" x14ac:dyDescent="0.3">
      <c r="A722" t="s">
        <v>2527</v>
      </c>
      <c r="B722" t="s">
        <v>318</v>
      </c>
      <c r="C722" t="s">
        <v>4231</v>
      </c>
      <c r="D722" s="12"/>
      <c r="E722">
        <v>3.49</v>
      </c>
      <c r="F722" t="s">
        <v>319</v>
      </c>
      <c r="G722" s="109" t="s">
        <v>2528</v>
      </c>
      <c r="H722">
        <v>-1</v>
      </c>
      <c r="M722" t="b">
        <v>0</v>
      </c>
      <c r="N722" t="b">
        <v>0</v>
      </c>
      <c r="O722" t="b">
        <v>0</v>
      </c>
      <c r="P722" t="b">
        <v>1</v>
      </c>
      <c r="Q722" t="s">
        <v>2528</v>
      </c>
      <c r="R722">
        <v>-1</v>
      </c>
      <c r="T722">
        <v>4</v>
      </c>
      <c r="U722" s="20">
        <v>0</v>
      </c>
      <c r="V722">
        <v>0</v>
      </c>
      <c r="W722">
        <v>0</v>
      </c>
      <c r="X722">
        <v>3.78</v>
      </c>
      <c r="Y722">
        <v>3.78</v>
      </c>
      <c r="Z722">
        <v>66.3</v>
      </c>
      <c r="AA722" t="s">
        <v>519</v>
      </c>
      <c r="AB722">
        <v>33.15</v>
      </c>
      <c r="AC722" s="20">
        <v>0</v>
      </c>
      <c r="AD722" s="20"/>
      <c r="AE722" s="20"/>
      <c r="AF722">
        <v>0</v>
      </c>
      <c r="AI722">
        <v>0</v>
      </c>
      <c r="AM722">
        <v>8</v>
      </c>
      <c r="AN722" s="44">
        <f t="shared" si="190"/>
        <v>947.32091999999989</v>
      </c>
      <c r="AO722" s="46">
        <v>0</v>
      </c>
      <c r="AP722" s="44">
        <v>0</v>
      </c>
      <c r="AQ722" s="44">
        <v>0</v>
      </c>
      <c r="AR722" s="41">
        <f t="shared" si="191"/>
        <v>3.3779471480477816E-2</v>
      </c>
      <c r="AS722" s="40"/>
      <c r="AT722" s="41"/>
      <c r="AU722" s="41"/>
      <c r="AV722" s="23">
        <v>1.428571428571429</v>
      </c>
      <c r="AW722" s="23">
        <v>1</v>
      </c>
      <c r="AX722" s="23">
        <v>8.5714285714285715E-2</v>
      </c>
      <c r="AY722" s="23">
        <v>0</v>
      </c>
      <c r="AZ722" s="23">
        <v>0.56818181818181823</v>
      </c>
      <c r="BA722" s="23">
        <v>0.39772727272727282</v>
      </c>
      <c r="BB722" s="23">
        <v>3.4090909090909102E-2</v>
      </c>
      <c r="BC722" s="23">
        <v>0</v>
      </c>
      <c r="BD722" s="20">
        <v>1.1000000000000001</v>
      </c>
      <c r="BE722" s="20">
        <v>3.44</v>
      </c>
      <c r="BF722" s="20">
        <v>2.34</v>
      </c>
      <c r="BG722" s="20">
        <v>2.3954285714285719</v>
      </c>
      <c r="BH722">
        <v>2.395428571428571</v>
      </c>
      <c r="BI722">
        <v>6.7865535327148558</v>
      </c>
      <c r="BJ722" s="64"/>
      <c r="BK722" s="64"/>
      <c r="BL722" s="64"/>
      <c r="BM722">
        <v>1.6889735740238911E-2</v>
      </c>
      <c r="BQ722">
        <v>3.3779471480477823E-2</v>
      </c>
      <c r="BR722">
        <v>1.6889735740238911E-2</v>
      </c>
      <c r="BS722">
        <v>0</v>
      </c>
      <c r="BT722" s="68" t="s">
        <v>1264</v>
      </c>
      <c r="BU722" s="68">
        <f t="shared" si="188"/>
        <v>1098</v>
      </c>
      <c r="BV722" s="68">
        <v>12</v>
      </c>
      <c r="BX722" s="68" t="s">
        <v>1268</v>
      </c>
      <c r="BY722" s="68" t="s">
        <v>863</v>
      </c>
      <c r="BZ722" s="68">
        <v>1</v>
      </c>
      <c r="CA722" s="68">
        <v>15</v>
      </c>
      <c r="CB722" s="68">
        <v>0.5</v>
      </c>
      <c r="CC722" s="68">
        <v>1</v>
      </c>
      <c r="CD722" s="77" t="s">
        <v>464</v>
      </c>
      <c r="CE722" s="77" t="s">
        <v>464</v>
      </c>
      <c r="CF722" s="77" t="s">
        <v>1266</v>
      </c>
      <c r="CG722" s="77">
        <v>125</v>
      </c>
      <c r="CH722" s="77">
        <v>220</v>
      </c>
      <c r="CI722" s="77" t="s">
        <v>1287</v>
      </c>
      <c r="CJ722" s="77">
        <f t="shared" si="189"/>
        <v>288</v>
      </c>
      <c r="CK722" s="70">
        <v>2880</v>
      </c>
    </row>
    <row r="723" spans="1:89" x14ac:dyDescent="0.3">
      <c r="A723" t="s">
        <v>326</v>
      </c>
      <c r="B723" t="s">
        <v>318</v>
      </c>
      <c r="C723" t="s">
        <v>4232</v>
      </c>
      <c r="D723" s="12"/>
      <c r="E723">
        <v>3.47</v>
      </c>
      <c r="F723" t="s">
        <v>319</v>
      </c>
      <c r="G723" s="8" t="s">
        <v>2521</v>
      </c>
      <c r="H723">
        <v>-1</v>
      </c>
      <c r="M723" t="b">
        <v>1</v>
      </c>
      <c r="N723" t="b">
        <v>0</v>
      </c>
      <c r="O723" t="b">
        <v>0</v>
      </c>
      <c r="P723" t="b">
        <v>0</v>
      </c>
      <c r="Q723" t="s">
        <v>2521</v>
      </c>
      <c r="R723">
        <v>-1</v>
      </c>
      <c r="T723">
        <v>4</v>
      </c>
      <c r="U723" s="20">
        <v>0</v>
      </c>
      <c r="V723">
        <v>0</v>
      </c>
      <c r="W723">
        <v>0</v>
      </c>
      <c r="X723">
        <v>3.72</v>
      </c>
      <c r="Y723">
        <v>3.72</v>
      </c>
      <c r="Z723">
        <v>32.299999999999997</v>
      </c>
      <c r="AA723" t="s">
        <v>519</v>
      </c>
      <c r="AB723">
        <v>16.149999999999999</v>
      </c>
      <c r="AC723" s="20">
        <v>0</v>
      </c>
      <c r="AD723" s="20"/>
      <c r="AE723" s="20"/>
      <c r="AF723">
        <v>0</v>
      </c>
      <c r="AI723">
        <v>0</v>
      </c>
      <c r="AM723">
        <v>10</v>
      </c>
      <c r="AN723" s="44">
        <f t="shared" si="190"/>
        <v>446.98032000000001</v>
      </c>
      <c r="AO723" s="46">
        <v>0</v>
      </c>
      <c r="AP723" s="44">
        <v>0</v>
      </c>
      <c r="AQ723" s="44">
        <v>0</v>
      </c>
      <c r="AR723" s="41">
        <f t="shared" si="191"/>
        <v>8.9489398548911497E-2</v>
      </c>
      <c r="AS723" s="40"/>
      <c r="AT723" s="41"/>
      <c r="AU723" s="41"/>
      <c r="AV723" s="23">
        <v>1.615384615384615</v>
      </c>
      <c r="AW723" s="23">
        <v>1.6923076923076921</v>
      </c>
      <c r="AX723" s="23">
        <v>0.23076923076923081</v>
      </c>
      <c r="AY723" s="23">
        <v>0</v>
      </c>
      <c r="AZ723" s="23">
        <v>0.45652173913043481</v>
      </c>
      <c r="BA723" s="23">
        <v>0.47826086956521741</v>
      </c>
      <c r="BB723" s="23">
        <v>6.5217391304347838E-2</v>
      </c>
      <c r="BC723" s="23">
        <v>0</v>
      </c>
      <c r="BD723" s="20">
        <v>1.1000000000000001</v>
      </c>
      <c r="BE723" s="20">
        <v>3.44</v>
      </c>
      <c r="BF723" s="20">
        <v>2.34</v>
      </c>
      <c r="BG723" s="20">
        <v>2.568461538461539</v>
      </c>
      <c r="BH723">
        <v>2.568461538461539</v>
      </c>
      <c r="BI723">
        <v>6.6431337427119228</v>
      </c>
      <c r="BJ723" s="64"/>
      <c r="BK723" s="64"/>
      <c r="BL723" s="64"/>
      <c r="BM723">
        <v>4.4744699274455749E-2</v>
      </c>
      <c r="BQ723">
        <v>8.9489398548911497E-2</v>
      </c>
      <c r="BR723">
        <v>4.4744699274455749E-2</v>
      </c>
      <c r="BS723">
        <v>0</v>
      </c>
      <c r="BT723" s="68" t="s">
        <v>1264</v>
      </c>
      <c r="BU723" s="68">
        <f t="shared" si="188"/>
        <v>1098</v>
      </c>
      <c r="BV723" s="68">
        <v>12</v>
      </c>
      <c r="BX723" s="68" t="s">
        <v>1268</v>
      </c>
      <c r="BY723" s="68" t="s">
        <v>863</v>
      </c>
      <c r="BZ723" s="68">
        <v>1</v>
      </c>
      <c r="CA723" s="68">
        <v>17</v>
      </c>
      <c r="CB723" s="68">
        <v>0.5</v>
      </c>
      <c r="CC723" s="68">
        <v>1</v>
      </c>
      <c r="CD723" s="77" t="s">
        <v>464</v>
      </c>
      <c r="CE723" s="77" t="s">
        <v>464</v>
      </c>
      <c r="CF723" s="77" t="s">
        <v>1266</v>
      </c>
      <c r="CG723" s="77">
        <v>125</v>
      </c>
      <c r="CH723" s="77">
        <v>220</v>
      </c>
      <c r="CI723" s="77" t="s">
        <v>1287</v>
      </c>
      <c r="CJ723" s="77">
        <f t="shared" si="189"/>
        <v>288</v>
      </c>
      <c r="CK723" s="70">
        <v>4000</v>
      </c>
    </row>
    <row r="724" spans="1:89" x14ac:dyDescent="0.3">
      <c r="A724" t="s">
        <v>327</v>
      </c>
      <c r="B724" t="s">
        <v>318</v>
      </c>
      <c r="C724" t="s">
        <v>4233</v>
      </c>
      <c r="D724" s="12"/>
      <c r="E724">
        <v>3.47</v>
      </c>
      <c r="F724" t="s">
        <v>319</v>
      </c>
      <c r="G724" s="8" t="s">
        <v>2522</v>
      </c>
      <c r="H724">
        <v>-1</v>
      </c>
      <c r="M724" t="b">
        <v>1</v>
      </c>
      <c r="N724" t="b">
        <v>0</v>
      </c>
      <c r="O724" t="b">
        <v>0</v>
      </c>
      <c r="P724" t="b">
        <v>0</v>
      </c>
      <c r="Q724" t="s">
        <v>2522</v>
      </c>
      <c r="R724">
        <v>-1</v>
      </c>
      <c r="T724">
        <v>4</v>
      </c>
      <c r="U724" s="20">
        <v>0</v>
      </c>
      <c r="V724">
        <v>0</v>
      </c>
      <c r="W724">
        <v>0</v>
      </c>
      <c r="X724">
        <v>3.72</v>
      </c>
      <c r="Y724">
        <v>3.72</v>
      </c>
      <c r="Z724">
        <v>36.6</v>
      </c>
      <c r="AA724" t="s">
        <v>519</v>
      </c>
      <c r="AB724">
        <v>18.3</v>
      </c>
      <c r="AC724" s="20">
        <v>0</v>
      </c>
      <c r="AF724">
        <v>0</v>
      </c>
      <c r="AI724">
        <v>0</v>
      </c>
      <c r="AM724">
        <v>10</v>
      </c>
      <c r="AN724" s="44">
        <f t="shared" si="190"/>
        <v>506.4854400000001</v>
      </c>
      <c r="AO724" s="46">
        <v>0</v>
      </c>
      <c r="AP724" s="44">
        <v>0</v>
      </c>
      <c r="AQ724" s="44">
        <v>0</v>
      </c>
      <c r="AR724" s="41">
        <f t="shared" si="191"/>
        <v>7.8975616752181454E-2</v>
      </c>
      <c r="AS724" s="41"/>
      <c r="AT724" s="41"/>
      <c r="AU724" s="41"/>
      <c r="AV724" s="23">
        <v>1.5625</v>
      </c>
      <c r="AW724" s="23">
        <v>1.5</v>
      </c>
      <c r="AX724" s="23">
        <v>0.1875</v>
      </c>
      <c r="AY724" s="23">
        <v>0</v>
      </c>
      <c r="AZ724" s="23">
        <v>0.48076923076923078</v>
      </c>
      <c r="BA724" s="23">
        <v>0.46153846153846162</v>
      </c>
      <c r="BB724" s="23">
        <v>5.7692307692307702E-2</v>
      </c>
      <c r="BC724" s="23">
        <v>0</v>
      </c>
      <c r="BD724" s="20">
        <v>1.1000000000000001</v>
      </c>
      <c r="BE724" s="20">
        <v>3.44</v>
      </c>
      <c r="BF724" s="20">
        <v>2.34</v>
      </c>
      <c r="BG724" s="20">
        <v>2.5212500000000002</v>
      </c>
      <c r="BH724">
        <v>2.5212500000000002</v>
      </c>
      <c r="BI724">
        <v>6.6859357538098134</v>
      </c>
      <c r="BJ724" s="64"/>
      <c r="BK724" s="64"/>
      <c r="BL724" s="64"/>
      <c r="BM724">
        <v>3.9487808376090727E-2</v>
      </c>
      <c r="BQ724">
        <v>7.8975616752181454E-2</v>
      </c>
      <c r="BR724">
        <v>3.9487808376090727E-2</v>
      </c>
      <c r="BS724">
        <v>0</v>
      </c>
      <c r="BT724" s="68" t="s">
        <v>1264</v>
      </c>
      <c r="BU724" s="68">
        <f t="shared" si="188"/>
        <v>1098</v>
      </c>
      <c r="BV724" s="68">
        <v>12</v>
      </c>
      <c r="BX724" s="68" t="s">
        <v>1268</v>
      </c>
      <c r="BY724" s="68" t="s">
        <v>863</v>
      </c>
      <c r="BZ724" s="68">
        <v>1</v>
      </c>
      <c r="CB724" s="68">
        <v>0.5</v>
      </c>
      <c r="CC724" s="68">
        <v>1</v>
      </c>
      <c r="CD724" s="77" t="s">
        <v>464</v>
      </c>
      <c r="CE724" s="77" t="s">
        <v>464</v>
      </c>
      <c r="CF724" s="77" t="s">
        <v>1266</v>
      </c>
      <c r="CG724" s="77">
        <v>125</v>
      </c>
      <c r="CH724" s="77">
        <v>220</v>
      </c>
      <c r="CI724" s="77" t="s">
        <v>1287</v>
      </c>
      <c r="CJ724" s="77">
        <f t="shared" si="189"/>
        <v>288</v>
      </c>
      <c r="CK724" s="70">
        <v>1520</v>
      </c>
    </row>
    <row r="725" spans="1:89" x14ac:dyDescent="0.3">
      <c r="A725" t="s">
        <v>2736</v>
      </c>
      <c r="B725" t="s">
        <v>318</v>
      </c>
      <c r="C725" t="s">
        <v>4234</v>
      </c>
      <c r="D725" s="12"/>
      <c r="E725">
        <v>3.45</v>
      </c>
      <c r="F725" t="s">
        <v>319</v>
      </c>
      <c r="G725" s="8" t="s">
        <v>2523</v>
      </c>
      <c r="H725">
        <v>-1</v>
      </c>
      <c r="M725" t="b">
        <v>1</v>
      </c>
      <c r="N725" t="b">
        <v>0</v>
      </c>
      <c r="O725" t="b">
        <v>0</v>
      </c>
      <c r="P725" t="b">
        <v>0</v>
      </c>
      <c r="Q725" t="s">
        <v>2523</v>
      </c>
      <c r="R725">
        <v>-1</v>
      </c>
      <c r="T725">
        <v>4</v>
      </c>
      <c r="U725" s="20">
        <v>0</v>
      </c>
      <c r="V725">
        <v>0</v>
      </c>
      <c r="W725">
        <v>0</v>
      </c>
      <c r="X725">
        <v>3.73</v>
      </c>
      <c r="Y725">
        <v>3.73</v>
      </c>
      <c r="Z725">
        <v>41.6</v>
      </c>
      <c r="AA725" t="s">
        <v>519</v>
      </c>
      <c r="AB725">
        <v>20.8</v>
      </c>
      <c r="AC725" s="20">
        <v>0</v>
      </c>
      <c r="AF725">
        <v>0</v>
      </c>
      <c r="AI725">
        <v>0</v>
      </c>
      <c r="AM725">
        <v>10</v>
      </c>
      <c r="AN725" s="44">
        <f t="shared" si="190"/>
        <v>578.77664000000004</v>
      </c>
      <c r="AO725" s="46">
        <v>0</v>
      </c>
      <c r="AP725" s="44">
        <v>0</v>
      </c>
      <c r="AQ725" s="44">
        <v>0</v>
      </c>
      <c r="AR725" s="41">
        <f t="shared" si="191"/>
        <v>6.9111289633251263E-2</v>
      </c>
      <c r="AS725" s="41"/>
      <c r="AT725" s="41"/>
      <c r="AU725" s="41"/>
      <c r="AV725" s="23">
        <v>1.5263157894736841</v>
      </c>
      <c r="AW725" s="23">
        <v>1.368421052631579</v>
      </c>
      <c r="AX725" s="23">
        <v>0.15789473684210531</v>
      </c>
      <c r="AY725" s="23">
        <v>0</v>
      </c>
      <c r="AZ725" s="23">
        <v>0.5</v>
      </c>
      <c r="BA725" s="23">
        <v>0.44827586206896552</v>
      </c>
      <c r="BB725" s="23">
        <v>5.1724137931034482E-2</v>
      </c>
      <c r="BC725" s="23">
        <v>0</v>
      </c>
      <c r="BD725" s="20">
        <v>1.1000000000000001</v>
      </c>
      <c r="BE725" s="20">
        <v>3.44</v>
      </c>
      <c r="BF725" s="20">
        <v>2.34</v>
      </c>
      <c r="BG725" s="20">
        <v>2.4889473684210528</v>
      </c>
      <c r="BH725">
        <v>2.4889473684210528</v>
      </c>
      <c r="BI725">
        <v>6.7152213403504719</v>
      </c>
      <c r="BJ725" s="64"/>
      <c r="BK725" s="64"/>
      <c r="BL725" s="64"/>
      <c r="BM725">
        <v>3.4555644816625632E-2</v>
      </c>
      <c r="BQ725">
        <v>6.9111289633251263E-2</v>
      </c>
      <c r="BR725">
        <v>3.4555644816625632E-2</v>
      </c>
      <c r="BS725">
        <v>0</v>
      </c>
      <c r="BT725" s="68" t="s">
        <v>1264</v>
      </c>
      <c r="BU725" s="68">
        <f t="shared" si="188"/>
        <v>1098</v>
      </c>
      <c r="BV725" s="68">
        <v>12</v>
      </c>
      <c r="BX725" s="68" t="s">
        <v>1268</v>
      </c>
      <c r="BY725" s="68" t="s">
        <v>863</v>
      </c>
      <c r="BZ725" s="68">
        <v>1</v>
      </c>
      <c r="CB725" s="68">
        <v>0.5</v>
      </c>
      <c r="CC725" s="68">
        <v>1</v>
      </c>
      <c r="CD725" s="77" t="s">
        <v>464</v>
      </c>
      <c r="CE725" s="77" t="s">
        <v>464</v>
      </c>
      <c r="CF725" s="77" t="s">
        <v>1266</v>
      </c>
      <c r="CG725" s="77">
        <v>125</v>
      </c>
      <c r="CH725" s="77">
        <v>220</v>
      </c>
      <c r="CI725" s="77" t="s">
        <v>1287</v>
      </c>
      <c r="CJ725" s="77">
        <f t="shared" si="189"/>
        <v>288</v>
      </c>
      <c r="CK725" s="70">
        <v>2360</v>
      </c>
    </row>
    <row r="726" spans="1:89" x14ac:dyDescent="0.3">
      <c r="A726" t="s">
        <v>329</v>
      </c>
      <c r="B726" t="s">
        <v>318</v>
      </c>
      <c r="C726" t="s">
        <v>4235</v>
      </c>
      <c r="D726" s="12"/>
      <c r="E726">
        <v>3.45</v>
      </c>
      <c r="F726" t="s">
        <v>319</v>
      </c>
      <c r="G726" s="8" t="s">
        <v>2524</v>
      </c>
      <c r="H726">
        <v>-1</v>
      </c>
      <c r="M726" t="b">
        <v>1</v>
      </c>
      <c r="N726" t="b">
        <v>0</v>
      </c>
      <c r="O726" t="b">
        <v>0</v>
      </c>
      <c r="P726" t="b">
        <v>0</v>
      </c>
      <c r="Q726" t="s">
        <v>2524</v>
      </c>
      <c r="R726">
        <v>-1</v>
      </c>
      <c r="T726">
        <v>4</v>
      </c>
      <c r="U726" s="20">
        <v>0</v>
      </c>
      <c r="V726">
        <v>0</v>
      </c>
      <c r="W726">
        <v>0</v>
      </c>
      <c r="X726">
        <v>3.73</v>
      </c>
      <c r="Y726">
        <v>3.73</v>
      </c>
      <c r="Z726">
        <v>45.6</v>
      </c>
      <c r="AA726" t="s">
        <v>519</v>
      </c>
      <c r="AB726">
        <v>22.8</v>
      </c>
      <c r="AC726" s="20">
        <v>0</v>
      </c>
      <c r="AF726">
        <v>0</v>
      </c>
      <c r="AI726">
        <v>0</v>
      </c>
      <c r="AM726">
        <v>10</v>
      </c>
      <c r="AN726" s="44">
        <f t="shared" si="190"/>
        <v>634.42824000000007</v>
      </c>
      <c r="AO726" s="46">
        <v>0</v>
      </c>
      <c r="AP726" s="44">
        <v>0</v>
      </c>
      <c r="AQ726" s="44">
        <v>0</v>
      </c>
      <c r="AR726" s="41">
        <f t="shared" si="191"/>
        <v>6.3048895805773081E-2</v>
      </c>
      <c r="AS726" s="41"/>
      <c r="AT726" s="41"/>
      <c r="AU726" s="41"/>
      <c r="AV726" s="23">
        <v>1.5</v>
      </c>
      <c r="AW726" s="23">
        <v>1.2727272727272729</v>
      </c>
      <c r="AX726" s="23">
        <v>0.13636363636363641</v>
      </c>
      <c r="AY726" s="23">
        <v>0</v>
      </c>
      <c r="AZ726" s="23">
        <v>0.515625</v>
      </c>
      <c r="BA726" s="23">
        <v>0.4375</v>
      </c>
      <c r="BB726" s="23">
        <v>4.6874999999999993E-2</v>
      </c>
      <c r="BC726" s="23">
        <v>0</v>
      </c>
      <c r="BD726" s="20">
        <v>1.1000000000000001</v>
      </c>
      <c r="BE726" s="20">
        <v>3.44</v>
      </c>
      <c r="BF726" s="20">
        <v>2.34</v>
      </c>
      <c r="BG726" s="20">
        <v>2.4654545454545449</v>
      </c>
      <c r="BH726">
        <v>2.4654545454545449</v>
      </c>
      <c r="BI726">
        <v>6.7365199487436813</v>
      </c>
      <c r="BJ726" s="64"/>
      <c r="BK726" s="64"/>
      <c r="BL726" s="64"/>
      <c r="BM726">
        <v>3.152444790288654E-2</v>
      </c>
      <c r="BQ726">
        <v>6.3048895805773081E-2</v>
      </c>
      <c r="BR726">
        <v>3.152444790288654E-2</v>
      </c>
      <c r="BS726">
        <v>0</v>
      </c>
      <c r="BT726" s="68" t="s">
        <v>1264</v>
      </c>
      <c r="BU726" s="68">
        <f t="shared" si="188"/>
        <v>1098</v>
      </c>
      <c r="BV726" s="68">
        <v>12</v>
      </c>
      <c r="BX726" s="68" t="s">
        <v>1268</v>
      </c>
      <c r="BY726" s="68" t="s">
        <v>863</v>
      </c>
      <c r="BZ726" s="68">
        <v>1</v>
      </c>
      <c r="CA726" s="68">
        <v>1.6</v>
      </c>
      <c r="CB726" s="68">
        <v>0.5</v>
      </c>
      <c r="CC726" s="68">
        <v>1</v>
      </c>
      <c r="CD726" s="77" t="s">
        <v>464</v>
      </c>
      <c r="CE726" s="77" t="s">
        <v>464</v>
      </c>
      <c r="CF726" s="77" t="s">
        <v>1266</v>
      </c>
      <c r="CG726" s="77">
        <v>125</v>
      </c>
      <c r="CH726" s="77">
        <v>220</v>
      </c>
      <c r="CI726" s="77" t="s">
        <v>1287</v>
      </c>
      <c r="CJ726" s="77">
        <f t="shared" si="189"/>
        <v>288</v>
      </c>
      <c r="CK726" s="70">
        <v>2120</v>
      </c>
    </row>
    <row r="727" spans="1:89" x14ac:dyDescent="0.3">
      <c r="A727" t="s">
        <v>330</v>
      </c>
      <c r="B727" t="s">
        <v>318</v>
      </c>
      <c r="C727" t="s">
        <v>4236</v>
      </c>
      <c r="D727" s="12"/>
      <c r="E727">
        <v>3.46</v>
      </c>
      <c r="F727" t="s">
        <v>319</v>
      </c>
      <c r="G727" s="8" t="s">
        <v>2525</v>
      </c>
      <c r="H727">
        <v>-1</v>
      </c>
      <c r="M727" t="b">
        <v>1</v>
      </c>
      <c r="N727" t="b">
        <v>0</v>
      </c>
      <c r="O727" t="b">
        <v>0</v>
      </c>
      <c r="P727" t="b">
        <v>0</v>
      </c>
      <c r="Q727" t="s">
        <v>2525</v>
      </c>
      <c r="R727">
        <v>-1</v>
      </c>
      <c r="T727">
        <v>4</v>
      </c>
      <c r="U727" s="20">
        <v>0</v>
      </c>
      <c r="V727">
        <v>0</v>
      </c>
      <c r="W727">
        <v>0</v>
      </c>
      <c r="X727">
        <v>3.74</v>
      </c>
      <c r="Y727">
        <v>3.74</v>
      </c>
      <c r="Z727">
        <v>55.4</v>
      </c>
      <c r="AA727" t="s">
        <v>519</v>
      </c>
      <c r="AB727">
        <v>27.7</v>
      </c>
      <c r="AC727" s="20">
        <v>0</v>
      </c>
      <c r="AF727">
        <v>0</v>
      </c>
      <c r="AI727">
        <v>0</v>
      </c>
      <c r="AM727">
        <v>10</v>
      </c>
      <c r="AN727" s="44">
        <f t="shared" si="190"/>
        <v>774.91304000000014</v>
      </c>
      <c r="AO727" s="46">
        <v>0</v>
      </c>
      <c r="AP727" s="44">
        <v>0</v>
      </c>
      <c r="AQ727" s="44">
        <v>0</v>
      </c>
      <c r="AR727" s="41">
        <f t="shared" si="191"/>
        <v>5.1618695176429079E-2</v>
      </c>
      <c r="AS727" s="41"/>
      <c r="AT727" s="41"/>
      <c r="AU727" s="41"/>
      <c r="AV727" s="23">
        <v>1.464285714285714</v>
      </c>
      <c r="AW727" s="23">
        <v>1.142857142857143</v>
      </c>
      <c r="AX727" s="23">
        <v>0.1071428571428571</v>
      </c>
      <c r="AY727" s="23">
        <v>0</v>
      </c>
      <c r="AZ727" s="23">
        <v>0.53947368421052622</v>
      </c>
      <c r="BA727" s="23">
        <v>0.42105263157894729</v>
      </c>
      <c r="BB727" s="23">
        <v>3.9473684210526307E-2</v>
      </c>
      <c r="BC727" s="23">
        <v>0</v>
      </c>
      <c r="BD727" s="20">
        <v>1.1000000000000001</v>
      </c>
      <c r="BE727" s="20">
        <v>3.44</v>
      </c>
      <c r="BF727" s="20">
        <v>2.34</v>
      </c>
      <c r="BG727" s="20">
        <v>2.4335714285714292</v>
      </c>
      <c r="BH727">
        <v>2.4335714285714292</v>
      </c>
      <c r="BI727">
        <v>6.7654252029916062</v>
      </c>
      <c r="BJ727" s="64"/>
      <c r="BK727" s="64"/>
      <c r="BL727" s="64"/>
      <c r="BM727">
        <v>2.5809347588214539E-2</v>
      </c>
      <c r="BQ727">
        <v>5.1618695176429079E-2</v>
      </c>
      <c r="BR727">
        <v>2.5809347588214539E-2</v>
      </c>
      <c r="BS727">
        <v>0</v>
      </c>
      <c r="BT727" s="68" t="s">
        <v>1264</v>
      </c>
      <c r="BU727" s="68">
        <f t="shared" si="188"/>
        <v>1098</v>
      </c>
      <c r="BV727" s="68">
        <v>12</v>
      </c>
      <c r="BX727" s="68" t="s">
        <v>1268</v>
      </c>
      <c r="BY727" s="68" t="s">
        <v>863</v>
      </c>
      <c r="BZ727" s="68">
        <v>1</v>
      </c>
      <c r="CB727" s="68">
        <v>0.5</v>
      </c>
      <c r="CC727" s="68">
        <v>1</v>
      </c>
      <c r="CD727" s="77" t="s">
        <v>464</v>
      </c>
      <c r="CE727" s="77" t="s">
        <v>464</v>
      </c>
      <c r="CF727" s="77" t="s">
        <v>1266</v>
      </c>
      <c r="CG727" s="77">
        <v>125</v>
      </c>
      <c r="CH727" s="77">
        <v>220</v>
      </c>
      <c r="CI727" s="77" t="s">
        <v>1287</v>
      </c>
      <c r="CJ727" s="77">
        <f t="shared" si="189"/>
        <v>288</v>
      </c>
      <c r="CK727" s="70">
        <v>1880</v>
      </c>
    </row>
    <row r="728" spans="1:89" x14ac:dyDescent="0.3">
      <c r="A728" t="s">
        <v>1453</v>
      </c>
      <c r="B728" t="s">
        <v>318</v>
      </c>
      <c r="C728" t="s">
        <v>4237</v>
      </c>
      <c r="D728" s="12"/>
      <c r="E728">
        <v>3.46</v>
      </c>
      <c r="F728" t="s">
        <v>319</v>
      </c>
      <c r="G728" s="8" t="s">
        <v>2526</v>
      </c>
      <c r="H728">
        <v>-1</v>
      </c>
      <c r="M728" t="b">
        <v>0</v>
      </c>
      <c r="N728" t="b">
        <v>0</v>
      </c>
      <c r="O728" t="b">
        <v>0</v>
      </c>
      <c r="P728" t="b">
        <v>1</v>
      </c>
      <c r="Q728" t="s">
        <v>2526</v>
      </c>
      <c r="R728">
        <v>-1</v>
      </c>
      <c r="T728">
        <v>4</v>
      </c>
      <c r="U728" s="20">
        <v>0</v>
      </c>
      <c r="V728">
        <v>0</v>
      </c>
      <c r="W728">
        <v>0</v>
      </c>
      <c r="X728">
        <v>3.73</v>
      </c>
      <c r="Y728">
        <v>3.73</v>
      </c>
      <c r="Z728">
        <v>56.8</v>
      </c>
      <c r="AA728" t="s">
        <v>519</v>
      </c>
      <c r="AB728">
        <v>28.4</v>
      </c>
      <c r="AC728" s="20">
        <v>0</v>
      </c>
      <c r="AF728">
        <v>0</v>
      </c>
      <c r="AI728">
        <v>0</v>
      </c>
      <c r="AM728">
        <v>10</v>
      </c>
      <c r="AN728" s="44">
        <f t="shared" si="190"/>
        <v>790.25271999999995</v>
      </c>
      <c r="AO728" s="46">
        <v>0</v>
      </c>
      <c r="AP728" s="44">
        <v>0</v>
      </c>
      <c r="AQ728" s="44">
        <v>0</v>
      </c>
      <c r="AR728" s="41">
        <f t="shared" si="191"/>
        <v>5.0616719168015016E-2</v>
      </c>
      <c r="AS728" s="41"/>
      <c r="AT728" s="41"/>
      <c r="AU728" s="41"/>
      <c r="AV728" s="23">
        <v>1.4411764705882351</v>
      </c>
      <c r="AW728" s="23">
        <v>1.0588235294117649</v>
      </c>
      <c r="AX728" s="23">
        <v>8.8235294117647065E-2</v>
      </c>
      <c r="AY728" s="23">
        <v>0</v>
      </c>
      <c r="AZ728" s="23">
        <v>0.55681818181818177</v>
      </c>
      <c r="BA728" s="23">
        <v>0.40909090909090912</v>
      </c>
      <c r="BB728" s="23">
        <v>3.4090909090909088E-2</v>
      </c>
      <c r="BC728" s="23">
        <v>0</v>
      </c>
      <c r="BD728" s="20">
        <v>1.1000000000000001</v>
      </c>
      <c r="BE728" s="20">
        <v>3.44</v>
      </c>
      <c r="BF728" s="20">
        <v>2.34</v>
      </c>
      <c r="BG728" s="20">
        <v>2.4129411764705879</v>
      </c>
      <c r="BH728">
        <v>2.4129411764705888</v>
      </c>
      <c r="BI728">
        <v>6.7841286027990879</v>
      </c>
      <c r="BJ728" s="64"/>
      <c r="BK728" s="64"/>
      <c r="BL728" s="64"/>
      <c r="BM728">
        <v>2.5308359584007512E-2</v>
      </c>
      <c r="BQ728">
        <v>5.0616719168015023E-2</v>
      </c>
      <c r="BR728">
        <v>2.5308359584007512E-2</v>
      </c>
      <c r="BS728">
        <v>0</v>
      </c>
      <c r="BT728" s="68" t="s">
        <v>1264</v>
      </c>
      <c r="BU728" s="68">
        <f t="shared" si="188"/>
        <v>1098</v>
      </c>
      <c r="BV728" s="68">
        <v>12</v>
      </c>
      <c r="BX728" s="68" t="s">
        <v>1268</v>
      </c>
      <c r="BY728" s="68" t="s">
        <v>863</v>
      </c>
      <c r="BZ728" s="68">
        <v>1</v>
      </c>
      <c r="CA728" s="68">
        <v>6.4</v>
      </c>
      <c r="CB728" s="68">
        <v>0.5</v>
      </c>
      <c r="CC728" s="68">
        <v>1</v>
      </c>
      <c r="CD728" s="77" t="s">
        <v>464</v>
      </c>
      <c r="CE728" s="77" t="s">
        <v>464</v>
      </c>
      <c r="CF728" s="77" t="s">
        <v>1266</v>
      </c>
      <c r="CG728" s="77">
        <v>125</v>
      </c>
      <c r="CH728" s="77">
        <v>220</v>
      </c>
      <c r="CI728" s="77" t="s">
        <v>1287</v>
      </c>
      <c r="CJ728" s="77">
        <f t="shared" si="189"/>
        <v>288</v>
      </c>
      <c r="CK728" s="70">
        <v>1000</v>
      </c>
    </row>
    <row r="729" spans="1:89" x14ac:dyDescent="0.3">
      <c r="A729" t="s">
        <v>332</v>
      </c>
      <c r="B729" t="s">
        <v>318</v>
      </c>
      <c r="C729" t="s">
        <v>4238</v>
      </c>
      <c r="D729" s="12"/>
      <c r="E729">
        <v>3.48</v>
      </c>
      <c r="F729" t="s">
        <v>319</v>
      </c>
      <c r="G729" t="s">
        <v>561</v>
      </c>
      <c r="H729">
        <v>-1</v>
      </c>
      <c r="I729" t="s">
        <v>1505</v>
      </c>
      <c r="J729" t="s">
        <v>1752</v>
      </c>
      <c r="M729" t="b">
        <v>1</v>
      </c>
      <c r="N729" t="b">
        <v>0</v>
      </c>
      <c r="O729" t="b">
        <v>0</v>
      </c>
      <c r="P729" t="b">
        <v>0</v>
      </c>
      <c r="Q729" t="s">
        <v>2320</v>
      </c>
      <c r="R729">
        <v>-1</v>
      </c>
      <c r="S729" t="s">
        <v>1505</v>
      </c>
      <c r="T729">
        <v>2</v>
      </c>
      <c r="U729" s="20">
        <v>0</v>
      </c>
      <c r="V729">
        <v>0</v>
      </c>
      <c r="W729">
        <v>2</v>
      </c>
      <c r="X729">
        <v>3.68</v>
      </c>
      <c r="Y729">
        <v>3.68</v>
      </c>
      <c r="Z729">
        <v>12.1</v>
      </c>
      <c r="AA729" t="s">
        <v>519</v>
      </c>
      <c r="AB729">
        <v>12.1</v>
      </c>
      <c r="AC729" s="20">
        <v>0</v>
      </c>
      <c r="AF729">
        <v>0</v>
      </c>
      <c r="AI729">
        <v>3.6970999999999998</v>
      </c>
      <c r="AJ729">
        <v>3.6970999999999998</v>
      </c>
      <c r="AK729">
        <v>12.0928</v>
      </c>
      <c r="AM729">
        <v>8</v>
      </c>
      <c r="AN729" s="44">
        <f t="shared" si="190"/>
        <v>163.86304000000001</v>
      </c>
      <c r="AO729" s="46">
        <v>0</v>
      </c>
      <c r="AP729" s="44">
        <v>0</v>
      </c>
      <c r="AQ729" s="44">
        <v>165.3</v>
      </c>
      <c r="AR729" s="41">
        <f t="shared" si="191"/>
        <v>9.7642519020762694E-2</v>
      </c>
      <c r="AS729" s="41"/>
      <c r="AT729" s="41"/>
      <c r="AU729" s="56">
        <f>W729*AM729/AQ729</f>
        <v>9.6793708408953405E-2</v>
      </c>
      <c r="AV729" s="23">
        <v>1.857142857142857</v>
      </c>
      <c r="AW729" s="23">
        <v>2.285714285714286</v>
      </c>
      <c r="AX729" s="23">
        <v>0.2857142857142857</v>
      </c>
      <c r="AY729" s="23">
        <v>0.5714285714285714</v>
      </c>
      <c r="AZ729" s="23">
        <v>0.37142857142857139</v>
      </c>
      <c r="BA729" s="23">
        <v>0.45714285714285707</v>
      </c>
      <c r="BB729" s="23">
        <v>5.7142857142857141E-2</v>
      </c>
      <c r="BC729" s="23">
        <v>0.1142857142857143</v>
      </c>
      <c r="BD729" s="20">
        <v>1.1399999999999999</v>
      </c>
      <c r="BE729" s="20">
        <v>3.44</v>
      </c>
      <c r="BF729" s="20">
        <v>2.2999999999999998</v>
      </c>
      <c r="BG729" s="20">
        <v>2.6628571428571428</v>
      </c>
      <c r="BH729">
        <v>2.6628571428571428</v>
      </c>
      <c r="BI729">
        <v>6.2282737214072856</v>
      </c>
      <c r="BJ729" s="64"/>
      <c r="BK729" s="64"/>
      <c r="BL729" s="64"/>
      <c r="BM729">
        <v>4.8821259510381347E-2</v>
      </c>
      <c r="BP729">
        <v>4.8396854204476702E-2</v>
      </c>
      <c r="BQ729">
        <v>9.7218113714858057E-2</v>
      </c>
      <c r="BR729">
        <v>4.8609056857429028E-2</v>
      </c>
      <c r="BS729">
        <v>0</v>
      </c>
      <c r="BT729" s="68" t="s">
        <v>1264</v>
      </c>
      <c r="BU729" s="68">
        <f t="shared" si="188"/>
        <v>1098</v>
      </c>
      <c r="BV729" s="68">
        <v>12</v>
      </c>
      <c r="BX729" s="68" t="s">
        <v>1268</v>
      </c>
      <c r="BY729" s="68" t="s">
        <v>863</v>
      </c>
      <c r="BZ729" s="68">
        <v>1</v>
      </c>
      <c r="CA729" s="68">
        <v>8.5</v>
      </c>
      <c r="CB729" s="68">
        <v>0.5</v>
      </c>
      <c r="CC729" s="68">
        <v>1</v>
      </c>
      <c r="CD729" s="77" t="s">
        <v>464</v>
      </c>
      <c r="CE729" s="77" t="s">
        <v>464</v>
      </c>
      <c r="CF729" s="77" t="s">
        <v>1266</v>
      </c>
      <c r="CG729" s="77">
        <v>125</v>
      </c>
      <c r="CH729" s="77">
        <v>220</v>
      </c>
      <c r="CI729" s="77" t="s">
        <v>1287</v>
      </c>
      <c r="CJ729" s="77">
        <f t="shared" si="189"/>
        <v>288</v>
      </c>
      <c r="CK729" s="70">
        <v>248</v>
      </c>
    </row>
    <row r="730" spans="1:89" x14ac:dyDescent="0.3">
      <c r="A730" t="s">
        <v>333</v>
      </c>
      <c r="B730" t="s">
        <v>318</v>
      </c>
      <c r="C730" t="s">
        <v>4239</v>
      </c>
      <c r="D730" s="12"/>
      <c r="E730">
        <v>3.41</v>
      </c>
      <c r="F730" t="s">
        <v>319</v>
      </c>
      <c r="G730" s="8" t="s">
        <v>2516</v>
      </c>
      <c r="H730">
        <v>-1</v>
      </c>
      <c r="J730" t="s">
        <v>1792</v>
      </c>
      <c r="M730" t="b">
        <v>1</v>
      </c>
      <c r="N730" t="b">
        <v>0</v>
      </c>
      <c r="O730" t="b">
        <v>0</v>
      </c>
      <c r="P730" t="b">
        <v>0</v>
      </c>
      <c r="Q730" t="s">
        <v>2322</v>
      </c>
      <c r="R730">
        <v>-1</v>
      </c>
      <c r="T730">
        <v>4</v>
      </c>
      <c r="U730" s="20">
        <v>0</v>
      </c>
      <c r="V730">
        <v>0</v>
      </c>
      <c r="W730">
        <v>0</v>
      </c>
      <c r="X730">
        <v>3.74</v>
      </c>
      <c r="Y730">
        <v>3.74</v>
      </c>
      <c r="Z730">
        <v>33.1</v>
      </c>
      <c r="AA730" t="s">
        <v>519</v>
      </c>
      <c r="AB730">
        <v>16.55</v>
      </c>
      <c r="AC730" s="20">
        <v>0</v>
      </c>
      <c r="AF730">
        <v>0</v>
      </c>
      <c r="AI730">
        <v>0</v>
      </c>
      <c r="AM730">
        <v>8</v>
      </c>
      <c r="AN730" s="44">
        <f t="shared" si="190"/>
        <v>462.9895600000001</v>
      </c>
      <c r="AO730" s="46">
        <v>0</v>
      </c>
      <c r="AP730" s="44">
        <v>0</v>
      </c>
      <c r="AQ730" s="44">
        <v>0</v>
      </c>
      <c r="AR730" s="41">
        <f t="shared" si="191"/>
        <v>6.9116029311762431E-2</v>
      </c>
      <c r="AS730" s="41"/>
      <c r="AT730" s="41"/>
      <c r="AU730" s="41"/>
      <c r="AV730" s="23">
        <v>1.571428571428571</v>
      </c>
      <c r="AW730" s="23">
        <v>1.5</v>
      </c>
      <c r="AX730" s="23">
        <v>0.14285714285714279</v>
      </c>
      <c r="AY730" s="23">
        <v>0.2857142857142857</v>
      </c>
      <c r="AZ730" s="23">
        <v>0.44897959183673469</v>
      </c>
      <c r="BA730" s="23">
        <v>0.42857142857142849</v>
      </c>
      <c r="BB730" s="23">
        <v>4.0816326530612242E-2</v>
      </c>
      <c r="BC730" s="23">
        <v>8.1632653061224483E-2</v>
      </c>
      <c r="BD730" s="20">
        <v>1.1399999999999999</v>
      </c>
      <c r="BE730" s="20">
        <v>3.44</v>
      </c>
      <c r="BF730" s="20">
        <v>2.2999999999999998</v>
      </c>
      <c r="BG730" s="20">
        <v>2.516428571428571</v>
      </c>
      <c r="BH730">
        <v>2.516428571428571</v>
      </c>
      <c r="BI730">
        <v>6.6409830967932857</v>
      </c>
      <c r="BJ730" s="64"/>
      <c r="BK730" s="64"/>
      <c r="BL730" s="64"/>
      <c r="BM730">
        <v>3.4558014655881222E-2</v>
      </c>
      <c r="BQ730">
        <v>6.9116029311762431E-2</v>
      </c>
      <c r="BR730">
        <v>3.4558014655881222E-2</v>
      </c>
      <c r="BS730">
        <v>0</v>
      </c>
      <c r="BT730" s="68" t="s">
        <v>1264</v>
      </c>
      <c r="BU730" s="68">
        <f t="shared" si="188"/>
        <v>1098</v>
      </c>
      <c r="BV730" s="68">
        <v>12</v>
      </c>
      <c r="BX730" s="68" t="s">
        <v>1268</v>
      </c>
      <c r="BY730" s="68" t="s">
        <v>863</v>
      </c>
      <c r="BZ730" s="68">
        <v>1</v>
      </c>
      <c r="CA730" s="68">
        <v>5.6</v>
      </c>
      <c r="CB730" s="68">
        <v>0.5</v>
      </c>
      <c r="CC730" s="68">
        <v>1</v>
      </c>
      <c r="CD730" s="77" t="s">
        <v>464</v>
      </c>
      <c r="CE730" s="77" t="s">
        <v>464</v>
      </c>
      <c r="CF730" s="77" t="s">
        <v>1266</v>
      </c>
      <c r="CG730" s="77">
        <v>125</v>
      </c>
      <c r="CH730" s="77">
        <v>220</v>
      </c>
      <c r="CI730" s="77" t="s">
        <v>1287</v>
      </c>
      <c r="CJ730" s="77">
        <f t="shared" si="189"/>
        <v>288</v>
      </c>
      <c r="CK730" s="70">
        <v>640</v>
      </c>
    </row>
    <row r="731" spans="1:89" x14ac:dyDescent="0.3">
      <c r="A731" t="s">
        <v>334</v>
      </c>
      <c r="B731" t="s">
        <v>318</v>
      </c>
      <c r="C731" t="s">
        <v>4240</v>
      </c>
      <c r="D731" s="12"/>
      <c r="E731">
        <v>3.5</v>
      </c>
      <c r="F731" t="s">
        <v>319</v>
      </c>
      <c r="G731" s="8" t="s">
        <v>2517</v>
      </c>
      <c r="H731">
        <v>-1</v>
      </c>
      <c r="J731" t="s">
        <v>1792</v>
      </c>
      <c r="M731" t="b">
        <v>1</v>
      </c>
      <c r="N731" t="b">
        <v>0</v>
      </c>
      <c r="O731" t="b">
        <v>0</v>
      </c>
      <c r="P731" t="b">
        <v>0</v>
      </c>
      <c r="Q731" t="s">
        <v>2323</v>
      </c>
      <c r="R731">
        <v>-1</v>
      </c>
      <c r="T731">
        <v>4</v>
      </c>
      <c r="U731" s="20">
        <v>0</v>
      </c>
      <c r="V731">
        <v>0</v>
      </c>
      <c r="W731">
        <v>0</v>
      </c>
      <c r="X731">
        <v>3.74</v>
      </c>
      <c r="Y731">
        <v>3.74</v>
      </c>
      <c r="Z731">
        <v>37.6</v>
      </c>
      <c r="AA731" t="s">
        <v>519</v>
      </c>
      <c r="AB731">
        <v>18.8</v>
      </c>
      <c r="AC731" s="20">
        <v>0</v>
      </c>
      <c r="AF731">
        <v>0</v>
      </c>
      <c r="AI731">
        <v>0</v>
      </c>
      <c r="AM731">
        <v>8</v>
      </c>
      <c r="AN731" s="44">
        <f t="shared" si="190"/>
        <v>525.93376000000012</v>
      </c>
      <c r="AO731" s="46">
        <v>0</v>
      </c>
      <c r="AP731" s="44">
        <v>0</v>
      </c>
      <c r="AQ731" s="44">
        <v>0</v>
      </c>
      <c r="AR731" s="41">
        <f t="shared" si="191"/>
        <v>6.0844164101578099E-2</v>
      </c>
      <c r="AS731" s="41"/>
      <c r="AT731" s="41"/>
      <c r="AU731" s="41"/>
      <c r="AV731" s="23">
        <v>1.529411764705882</v>
      </c>
      <c r="AW731" s="23">
        <v>1.3529411764705881</v>
      </c>
      <c r="AX731" s="23">
        <v>0.1176470588235294</v>
      </c>
      <c r="AY731" s="23">
        <v>0.23529411764705879</v>
      </c>
      <c r="AZ731" s="23">
        <v>0.47272727272727272</v>
      </c>
      <c r="BA731" s="23">
        <v>0.41818181818181821</v>
      </c>
      <c r="BB731" s="23">
        <v>3.6363636363636362E-2</v>
      </c>
      <c r="BC731" s="23">
        <v>7.2727272727272724E-2</v>
      </c>
      <c r="BD731" s="20">
        <v>1.1399999999999999</v>
      </c>
      <c r="BE731" s="20">
        <v>3.44</v>
      </c>
      <c r="BF731" s="20">
        <v>2.2999999999999998</v>
      </c>
      <c r="BG731" s="20">
        <v>2.4811764705882351</v>
      </c>
      <c r="BH731">
        <v>2.481176470588236</v>
      </c>
      <c r="BI731">
        <v>6.6816468682828232</v>
      </c>
      <c r="BJ731" s="64"/>
      <c r="BK731" s="64"/>
      <c r="BL731" s="64"/>
      <c r="BM731">
        <v>3.042208205078905E-2</v>
      </c>
      <c r="BQ731">
        <v>6.0844164101578099E-2</v>
      </c>
      <c r="BR731">
        <v>3.042208205078905E-2</v>
      </c>
      <c r="BS731">
        <v>0</v>
      </c>
      <c r="BT731" s="68" t="s">
        <v>1264</v>
      </c>
      <c r="BU731" s="68">
        <f t="shared" si="188"/>
        <v>1098</v>
      </c>
      <c r="BV731" s="68">
        <v>12</v>
      </c>
      <c r="BX731" s="68" t="s">
        <v>1268</v>
      </c>
      <c r="BY731" s="68" t="s">
        <v>863</v>
      </c>
      <c r="BZ731" s="68">
        <v>1</v>
      </c>
      <c r="CB731" s="68">
        <v>0.5</v>
      </c>
      <c r="CC731" s="68">
        <v>1</v>
      </c>
      <c r="CD731" s="77" t="s">
        <v>464</v>
      </c>
      <c r="CE731" s="77" t="s">
        <v>464</v>
      </c>
      <c r="CF731" s="77" t="s">
        <v>1266</v>
      </c>
      <c r="CG731" s="77">
        <v>125</v>
      </c>
      <c r="CH731" s="77">
        <v>220</v>
      </c>
      <c r="CI731" s="77" t="s">
        <v>1287</v>
      </c>
      <c r="CJ731" s="77">
        <f t="shared" si="189"/>
        <v>288</v>
      </c>
      <c r="CK731" s="70">
        <v>440</v>
      </c>
    </row>
    <row r="732" spans="1:89" x14ac:dyDescent="0.3">
      <c r="A732" t="s">
        <v>2739</v>
      </c>
      <c r="B732" t="s">
        <v>318</v>
      </c>
      <c r="C732" t="s">
        <v>4241</v>
      </c>
      <c r="D732" s="12"/>
      <c r="E732">
        <v>3.43</v>
      </c>
      <c r="F732" t="s">
        <v>319</v>
      </c>
      <c r="G732" s="8" t="s">
        <v>2518</v>
      </c>
      <c r="H732">
        <v>-1</v>
      </c>
      <c r="J732" t="s">
        <v>1792</v>
      </c>
      <c r="M732" t="b">
        <v>1</v>
      </c>
      <c r="N732" t="b">
        <v>0</v>
      </c>
      <c r="O732" t="b">
        <v>0</v>
      </c>
      <c r="P732" t="b">
        <v>0</v>
      </c>
      <c r="Q732" t="s">
        <v>2325</v>
      </c>
      <c r="R732">
        <v>-1</v>
      </c>
      <c r="T732">
        <v>4</v>
      </c>
      <c r="U732" s="20">
        <v>0</v>
      </c>
      <c r="V732">
        <v>0</v>
      </c>
      <c r="W732">
        <v>0</v>
      </c>
      <c r="X732">
        <v>3.74</v>
      </c>
      <c r="Y732">
        <v>3.74</v>
      </c>
      <c r="Z732">
        <v>40.4</v>
      </c>
      <c r="AA732" t="s">
        <v>519</v>
      </c>
      <c r="AB732">
        <v>20.2</v>
      </c>
      <c r="AC732" s="20">
        <v>0</v>
      </c>
      <c r="AF732">
        <v>0</v>
      </c>
      <c r="AI732">
        <v>0</v>
      </c>
      <c r="AM732">
        <v>8</v>
      </c>
      <c r="AN732" s="44">
        <f t="shared" si="190"/>
        <v>565.09904000000006</v>
      </c>
      <c r="AO732" s="46">
        <v>0</v>
      </c>
      <c r="AP732" s="44">
        <v>0</v>
      </c>
      <c r="AQ732" s="44">
        <v>0</v>
      </c>
      <c r="AR732" s="41">
        <f t="shared" si="191"/>
        <v>5.6627241837112298E-2</v>
      </c>
      <c r="AS732" s="41"/>
      <c r="AT732" s="41"/>
      <c r="AU732" s="41"/>
      <c r="AV732" s="23">
        <v>1.5</v>
      </c>
      <c r="AW732" s="23">
        <v>1.25</v>
      </c>
      <c r="AX732" s="23">
        <v>0.1</v>
      </c>
      <c r="AY732" s="23">
        <v>0.2</v>
      </c>
      <c r="AZ732" s="23">
        <v>0.49180327868852458</v>
      </c>
      <c r="BA732" s="23">
        <v>0.4098360655737705</v>
      </c>
      <c r="BB732" s="23">
        <v>3.2786885245901641E-2</v>
      </c>
      <c r="BC732" s="23">
        <v>6.5573770491803282E-2</v>
      </c>
      <c r="BD732" s="20">
        <v>1.1399999999999999</v>
      </c>
      <c r="BE732" s="20">
        <v>3.44</v>
      </c>
      <c r="BF732" s="20">
        <v>2.2999999999999998</v>
      </c>
      <c r="BG732" s="20">
        <v>2.4565000000000001</v>
      </c>
      <c r="BH732">
        <v>2.4565000000000001</v>
      </c>
      <c r="BI732">
        <v>6.7101115083254994</v>
      </c>
      <c r="BJ732" s="64"/>
      <c r="BK732" s="64"/>
      <c r="BL732" s="64"/>
      <c r="BM732">
        <v>2.8313620918556149E-2</v>
      </c>
      <c r="BQ732">
        <v>5.6627241837112298E-2</v>
      </c>
      <c r="BR732">
        <v>2.8313620918556149E-2</v>
      </c>
      <c r="BS732">
        <v>0</v>
      </c>
      <c r="BT732" s="68" t="s">
        <v>1264</v>
      </c>
      <c r="BU732" s="68">
        <f t="shared" si="188"/>
        <v>1098</v>
      </c>
      <c r="BV732" s="68">
        <v>12</v>
      </c>
      <c r="BX732" s="68" t="s">
        <v>1268</v>
      </c>
      <c r="BY732" s="68" t="s">
        <v>863</v>
      </c>
      <c r="BZ732" s="68">
        <v>1</v>
      </c>
      <c r="CB732" s="68">
        <v>0.5</v>
      </c>
      <c r="CC732" s="68">
        <v>1</v>
      </c>
      <c r="CD732" s="77" t="s">
        <v>464</v>
      </c>
      <c r="CE732" s="77" t="s">
        <v>464</v>
      </c>
      <c r="CF732" s="77" t="s">
        <v>1266</v>
      </c>
      <c r="CG732" s="77">
        <v>125</v>
      </c>
      <c r="CH732" s="77">
        <v>220</v>
      </c>
      <c r="CI732" s="77" t="s">
        <v>1287</v>
      </c>
      <c r="CJ732" s="77">
        <f t="shared" si="189"/>
        <v>288</v>
      </c>
      <c r="CK732" s="70">
        <v>920</v>
      </c>
    </row>
    <row r="733" spans="1:89" x14ac:dyDescent="0.3">
      <c r="A733" t="s">
        <v>336</v>
      </c>
      <c r="B733" t="s">
        <v>318</v>
      </c>
      <c r="C733" t="s">
        <v>4242</v>
      </c>
      <c r="D733" s="12"/>
      <c r="E733">
        <v>3.5</v>
      </c>
      <c r="F733" t="s">
        <v>319</v>
      </c>
      <c r="G733" s="8" t="s">
        <v>2519</v>
      </c>
      <c r="H733">
        <v>-1</v>
      </c>
      <c r="J733" t="s">
        <v>1792</v>
      </c>
      <c r="M733" t="b">
        <v>1</v>
      </c>
      <c r="N733" t="b">
        <v>0</v>
      </c>
      <c r="O733" t="b">
        <v>0</v>
      </c>
      <c r="P733" t="b">
        <v>0</v>
      </c>
      <c r="Q733" t="s">
        <v>2326</v>
      </c>
      <c r="R733">
        <v>-1</v>
      </c>
      <c r="T733">
        <v>4</v>
      </c>
      <c r="U733" s="20">
        <v>0</v>
      </c>
      <c r="V733">
        <v>0</v>
      </c>
      <c r="W733">
        <v>0</v>
      </c>
      <c r="X733">
        <v>3.74</v>
      </c>
      <c r="Y733">
        <v>3.74</v>
      </c>
      <c r="Z733">
        <v>47.7</v>
      </c>
      <c r="AA733" t="s">
        <v>519</v>
      </c>
      <c r="AB733">
        <v>23.85</v>
      </c>
      <c r="AC733" s="20">
        <v>0</v>
      </c>
      <c r="AF733">
        <v>0</v>
      </c>
      <c r="AI733">
        <v>0</v>
      </c>
      <c r="AM733">
        <v>8</v>
      </c>
      <c r="AN733" s="44">
        <f t="shared" si="190"/>
        <v>667.20852000000014</v>
      </c>
      <c r="AO733" s="46">
        <v>0</v>
      </c>
      <c r="AP733" s="44">
        <v>0</v>
      </c>
      <c r="AQ733" s="44">
        <v>0</v>
      </c>
      <c r="AR733" s="41">
        <f t="shared" si="191"/>
        <v>4.796101824359196E-2</v>
      </c>
      <c r="AS733" s="41"/>
      <c r="AT733" s="41"/>
      <c r="AU733" s="41"/>
      <c r="AV733" s="23">
        <v>1.4782608695652171</v>
      </c>
      <c r="AW733" s="23">
        <v>1.173913043478261</v>
      </c>
      <c r="AX733" s="23">
        <v>8.6956521739130432E-2</v>
      </c>
      <c r="AY733" s="23">
        <v>0.17391304347826089</v>
      </c>
      <c r="AZ733" s="23">
        <v>0.50746268656716409</v>
      </c>
      <c r="BA733" s="23">
        <v>0.40298507462686572</v>
      </c>
      <c r="BB733" s="23">
        <v>2.9850746268656719E-2</v>
      </c>
      <c r="BC733" s="23">
        <v>5.9701492537313432E-2</v>
      </c>
      <c r="BD733" s="20">
        <v>1.1399999999999999</v>
      </c>
      <c r="BE733" s="20">
        <v>3.44</v>
      </c>
      <c r="BF733" s="20">
        <v>2.2999999999999998</v>
      </c>
      <c r="BG733" s="20">
        <v>2.4382608695652168</v>
      </c>
      <c r="BH733">
        <v>2.4382608695652168</v>
      </c>
      <c r="BI733">
        <v>6.7311505900961732</v>
      </c>
      <c r="BJ733" s="64"/>
      <c r="BK733" s="64"/>
      <c r="BL733" s="64"/>
      <c r="BM733">
        <v>2.398050912179598E-2</v>
      </c>
      <c r="BQ733">
        <v>4.796101824359196E-2</v>
      </c>
      <c r="BR733">
        <v>2.398050912179598E-2</v>
      </c>
      <c r="BS733">
        <v>0</v>
      </c>
      <c r="BT733" s="68" t="s">
        <v>1264</v>
      </c>
      <c r="BU733" s="68">
        <f t="shared" si="188"/>
        <v>1098</v>
      </c>
      <c r="BV733" s="68">
        <v>12</v>
      </c>
      <c r="BX733" s="68" t="s">
        <v>1268</v>
      </c>
      <c r="BY733" s="68" t="s">
        <v>863</v>
      </c>
      <c r="BZ733" s="68">
        <v>1</v>
      </c>
      <c r="CA733" s="68">
        <v>5.6</v>
      </c>
      <c r="CB733" s="68">
        <v>0.5</v>
      </c>
      <c r="CC733" s="68">
        <v>1</v>
      </c>
      <c r="CD733" s="77" t="s">
        <v>464</v>
      </c>
      <c r="CE733" s="77" t="s">
        <v>464</v>
      </c>
      <c r="CF733" s="77" t="s">
        <v>1266</v>
      </c>
      <c r="CG733" s="77">
        <v>125</v>
      </c>
      <c r="CH733" s="77">
        <v>220</v>
      </c>
      <c r="CI733" s="77" t="s">
        <v>1287</v>
      </c>
      <c r="CJ733" s="77">
        <f t="shared" si="189"/>
        <v>288</v>
      </c>
      <c r="CK733" s="70">
        <v>480</v>
      </c>
    </row>
    <row r="734" spans="1:89" x14ac:dyDescent="0.3">
      <c r="A734" t="s">
        <v>337</v>
      </c>
      <c r="B734" t="s">
        <v>318</v>
      </c>
      <c r="C734" t="s">
        <v>4243</v>
      </c>
      <c r="D734" s="12"/>
      <c r="E734">
        <v>3.42</v>
      </c>
      <c r="F734" t="s">
        <v>319</v>
      </c>
      <c r="G734" s="8" t="s">
        <v>2520</v>
      </c>
      <c r="H734">
        <v>-1</v>
      </c>
      <c r="J734" t="s">
        <v>1792</v>
      </c>
      <c r="M734" t="b">
        <v>1</v>
      </c>
      <c r="N734" t="b">
        <v>0</v>
      </c>
      <c r="O734" t="b">
        <v>0</v>
      </c>
      <c r="P734" t="b">
        <v>0</v>
      </c>
      <c r="Q734" t="s">
        <v>2327</v>
      </c>
      <c r="R734">
        <v>-1</v>
      </c>
      <c r="T734">
        <v>4</v>
      </c>
      <c r="U734" s="20">
        <v>0</v>
      </c>
      <c r="V734">
        <v>0</v>
      </c>
      <c r="W734">
        <v>0</v>
      </c>
      <c r="X734">
        <v>3.72</v>
      </c>
      <c r="Y734">
        <v>3.72</v>
      </c>
      <c r="Z734">
        <v>54</v>
      </c>
      <c r="AA734" t="s">
        <v>519</v>
      </c>
      <c r="AB734">
        <v>27</v>
      </c>
      <c r="AC734" s="20">
        <v>0</v>
      </c>
      <c r="AF734">
        <v>0</v>
      </c>
      <c r="AI734">
        <v>0</v>
      </c>
      <c r="AM734">
        <v>8</v>
      </c>
      <c r="AN734" s="44">
        <f t="shared" si="190"/>
        <v>747.2736000000001</v>
      </c>
      <c r="AO734" s="46">
        <v>0</v>
      </c>
      <c r="AP734" s="44">
        <v>0</v>
      </c>
      <c r="AQ734" s="44">
        <v>0</v>
      </c>
      <c r="AR734" s="41">
        <f t="shared" si="191"/>
        <v>4.282233441673839E-2</v>
      </c>
      <c r="AS734" s="41"/>
      <c r="AT734" s="41"/>
      <c r="AU734" s="41"/>
      <c r="AV734" s="23">
        <v>1.448275862068966</v>
      </c>
      <c r="AW734" s="23">
        <v>1.068965517241379</v>
      </c>
      <c r="AX734" s="23">
        <v>6.8965517241379309E-2</v>
      </c>
      <c r="AY734" s="23">
        <v>0.13793103448275859</v>
      </c>
      <c r="AZ734" s="23">
        <v>0.53164556962025322</v>
      </c>
      <c r="BA734" s="23">
        <v>0.39240506329113922</v>
      </c>
      <c r="BB734" s="23">
        <v>2.5316455696202531E-2</v>
      </c>
      <c r="BC734" s="23">
        <v>5.0632911392405063E-2</v>
      </c>
      <c r="BD734" s="20">
        <v>1.1399999999999999</v>
      </c>
      <c r="BE734" s="20">
        <v>3.44</v>
      </c>
      <c r="BF734" s="20">
        <v>2.2999999999999998</v>
      </c>
      <c r="BG734" s="20">
        <v>2.4131034482758622</v>
      </c>
      <c r="BH734">
        <v>2.4131034482758622</v>
      </c>
      <c r="BI734">
        <v>6.7601700132281373</v>
      </c>
      <c r="BJ734" s="64"/>
      <c r="BK734" s="64"/>
      <c r="BL734" s="64"/>
      <c r="BM734">
        <v>2.1411167208369199E-2</v>
      </c>
      <c r="BQ734">
        <v>4.282233441673839E-2</v>
      </c>
      <c r="BR734">
        <v>2.1411167208369199E-2</v>
      </c>
      <c r="BS734">
        <v>0</v>
      </c>
      <c r="BT734" s="68" t="s">
        <v>1264</v>
      </c>
      <c r="BU734" s="68">
        <f t="shared" si="188"/>
        <v>1098</v>
      </c>
      <c r="BV734" s="68">
        <v>12</v>
      </c>
      <c r="BX734" s="68" t="s">
        <v>1268</v>
      </c>
      <c r="BY734" s="68" t="s">
        <v>863</v>
      </c>
      <c r="BZ734" s="68">
        <v>1</v>
      </c>
      <c r="CB734" s="68">
        <v>0.5</v>
      </c>
      <c r="CC734" s="68">
        <v>1</v>
      </c>
      <c r="CD734" s="77" t="s">
        <v>464</v>
      </c>
      <c r="CE734" s="77" t="s">
        <v>464</v>
      </c>
      <c r="CF734" s="77" t="s">
        <v>1266</v>
      </c>
      <c r="CG734" s="77">
        <v>125</v>
      </c>
      <c r="CH734" s="77">
        <v>220</v>
      </c>
      <c r="CI734" s="77" t="s">
        <v>1287</v>
      </c>
      <c r="CJ734" s="77">
        <f t="shared" si="189"/>
        <v>288</v>
      </c>
      <c r="CK734" s="70">
        <v>880</v>
      </c>
    </row>
    <row r="735" spans="1:89" x14ac:dyDescent="0.3">
      <c r="A735" t="s">
        <v>2529</v>
      </c>
      <c r="B735" t="s">
        <v>318</v>
      </c>
      <c r="C735" t="s">
        <v>4244</v>
      </c>
      <c r="D735" s="12"/>
      <c r="E735">
        <v>3.45</v>
      </c>
      <c r="F735" t="s">
        <v>319</v>
      </c>
      <c r="G735" s="109" t="s">
        <v>2528</v>
      </c>
      <c r="H735">
        <v>-1</v>
      </c>
      <c r="J735" t="s">
        <v>1792</v>
      </c>
      <c r="M735" t="b">
        <v>0</v>
      </c>
      <c r="N735" t="b">
        <v>0</v>
      </c>
      <c r="O735" t="b">
        <v>0</v>
      </c>
      <c r="P735" t="b">
        <v>1</v>
      </c>
      <c r="Q735" t="s">
        <v>2591</v>
      </c>
      <c r="R735">
        <v>-1</v>
      </c>
      <c r="T735">
        <v>4</v>
      </c>
      <c r="U735" s="20">
        <v>0</v>
      </c>
      <c r="V735">
        <v>0</v>
      </c>
      <c r="W735">
        <v>0</v>
      </c>
      <c r="X735">
        <v>3.81</v>
      </c>
      <c r="Y735">
        <v>3.81</v>
      </c>
      <c r="Z735">
        <v>65.400000000000006</v>
      </c>
      <c r="AA735" t="s">
        <v>519</v>
      </c>
      <c r="AB735">
        <v>32.700000000000003</v>
      </c>
      <c r="AC735" s="20">
        <v>0</v>
      </c>
      <c r="AF735">
        <v>0</v>
      </c>
      <c r="AI735">
        <v>0</v>
      </c>
      <c r="AM735">
        <v>8</v>
      </c>
      <c r="AN735" s="44">
        <f t="shared" si="190"/>
        <v>949.3529400000001</v>
      </c>
      <c r="AO735" s="46">
        <v>0</v>
      </c>
      <c r="AP735" s="44">
        <v>0</v>
      </c>
      <c r="AQ735" s="44">
        <v>0</v>
      </c>
      <c r="AR735" s="41">
        <f t="shared" si="191"/>
        <v>3.3707169011347876E-2</v>
      </c>
      <c r="AS735" s="41"/>
      <c r="AT735" s="41"/>
      <c r="AU735" s="41"/>
      <c r="AV735" s="23">
        <v>1.428571428571429</v>
      </c>
      <c r="AW735" s="23">
        <v>1</v>
      </c>
      <c r="AX735" s="23">
        <v>5.7142857142857141E-2</v>
      </c>
      <c r="AY735" s="23">
        <v>0.1142857142857143</v>
      </c>
      <c r="AZ735" s="23">
        <v>0.5494505494505495</v>
      </c>
      <c r="BA735" s="23">
        <v>0.38461538461538458</v>
      </c>
      <c r="BB735" s="23">
        <v>2.197802197802198E-2</v>
      </c>
      <c r="BC735" s="23">
        <v>4.3956043956043953E-2</v>
      </c>
      <c r="BD735" s="20">
        <v>1.1399999999999999</v>
      </c>
      <c r="BE735" s="20">
        <v>3.44</v>
      </c>
      <c r="BF735" s="20">
        <v>2.2999999999999998</v>
      </c>
      <c r="BG735" s="20">
        <v>2.3965714285714288</v>
      </c>
      <c r="BH735">
        <v>2.3965714285714279</v>
      </c>
      <c r="BI735">
        <v>6.7792399198577131</v>
      </c>
      <c r="BJ735" s="64"/>
      <c r="BK735" s="64"/>
      <c r="BL735" s="64"/>
      <c r="BM735">
        <v>1.6853584505673942E-2</v>
      </c>
      <c r="BQ735">
        <v>3.3707169011347883E-2</v>
      </c>
      <c r="BR735">
        <v>1.6853584505673942E-2</v>
      </c>
      <c r="BS735">
        <v>0</v>
      </c>
      <c r="BT735" s="68" t="s">
        <v>1264</v>
      </c>
      <c r="BU735" s="68">
        <f t="shared" si="188"/>
        <v>1098</v>
      </c>
      <c r="BV735" s="68">
        <v>12</v>
      </c>
      <c r="BX735" s="68" t="s">
        <v>1268</v>
      </c>
      <c r="BY735" s="68" t="s">
        <v>863</v>
      </c>
      <c r="BZ735" s="68">
        <v>1</v>
      </c>
      <c r="CA735" s="68">
        <v>7.7</v>
      </c>
      <c r="CB735" s="68">
        <v>0.5</v>
      </c>
      <c r="CC735" s="68">
        <v>1</v>
      </c>
      <c r="CD735" s="77" t="s">
        <v>464</v>
      </c>
      <c r="CE735" s="77" t="s">
        <v>464</v>
      </c>
      <c r="CF735" s="77" t="s">
        <v>1266</v>
      </c>
      <c r="CG735" s="77">
        <v>125</v>
      </c>
      <c r="CH735" s="77">
        <v>220</v>
      </c>
      <c r="CI735" s="77" t="s">
        <v>1287</v>
      </c>
      <c r="CJ735" s="77">
        <f t="shared" si="189"/>
        <v>288</v>
      </c>
      <c r="CK735" s="70">
        <v>1120</v>
      </c>
    </row>
    <row r="736" spans="1:89" x14ac:dyDescent="0.3">
      <c r="A736" t="s">
        <v>339</v>
      </c>
      <c r="B736" t="s">
        <v>318</v>
      </c>
      <c r="C736" t="s">
        <v>4245</v>
      </c>
      <c r="D736" s="12"/>
      <c r="E736">
        <v>3.42</v>
      </c>
      <c r="F736" t="s">
        <v>319</v>
      </c>
      <c r="G736" s="8" t="s">
        <v>2521</v>
      </c>
      <c r="H736">
        <v>-1</v>
      </c>
      <c r="J736" t="s">
        <v>1792</v>
      </c>
      <c r="M736" t="b">
        <v>1</v>
      </c>
      <c r="N736" t="b">
        <v>0</v>
      </c>
      <c r="O736" t="b">
        <v>0</v>
      </c>
      <c r="P736" t="b">
        <v>0</v>
      </c>
      <c r="Q736" t="s">
        <v>2328</v>
      </c>
      <c r="R736">
        <v>-1</v>
      </c>
      <c r="T736">
        <v>4</v>
      </c>
      <c r="U736" s="20">
        <v>0</v>
      </c>
      <c r="V736">
        <v>0</v>
      </c>
      <c r="W736">
        <v>0</v>
      </c>
      <c r="X736">
        <v>3.71</v>
      </c>
      <c r="Y736">
        <v>3.71</v>
      </c>
      <c r="Z736">
        <v>32</v>
      </c>
      <c r="AA736" t="s">
        <v>519</v>
      </c>
      <c r="AB736">
        <v>16</v>
      </c>
      <c r="AC736" s="20">
        <v>0</v>
      </c>
      <c r="AF736">
        <v>0</v>
      </c>
      <c r="AI736">
        <v>0</v>
      </c>
      <c r="AM736">
        <v>10</v>
      </c>
      <c r="AN736" s="44">
        <f t="shared" si="190"/>
        <v>440.45119999999997</v>
      </c>
      <c r="AO736" s="46">
        <v>0</v>
      </c>
      <c r="AP736" s="44">
        <v>0</v>
      </c>
      <c r="AQ736" s="44">
        <v>0</v>
      </c>
      <c r="AR736" s="41">
        <f t="shared" si="191"/>
        <v>9.0815963266759184E-2</v>
      </c>
      <c r="AS736" s="41"/>
      <c r="AT736" s="41"/>
      <c r="AU736" s="41"/>
      <c r="AV736" s="23">
        <v>1.615384615384615</v>
      </c>
      <c r="AW736" s="23">
        <v>1.6923076923076921</v>
      </c>
      <c r="AX736" s="23">
        <v>0.15384615384615391</v>
      </c>
      <c r="AY736" s="23">
        <v>0.30769230769230771</v>
      </c>
      <c r="AZ736" s="23">
        <v>0.4285714285714286</v>
      </c>
      <c r="BA736" s="23">
        <v>0.44897959183673469</v>
      </c>
      <c r="BB736" s="23">
        <v>4.0816326530612249E-2</v>
      </c>
      <c r="BC736" s="23">
        <v>8.1632653061224497E-2</v>
      </c>
      <c r="BD736" s="20">
        <v>1.1399999999999999</v>
      </c>
      <c r="BE736" s="20">
        <v>3.44</v>
      </c>
      <c r="BF736" s="20">
        <v>2.2999999999999998</v>
      </c>
      <c r="BG736" s="20">
        <v>2.571538461538462</v>
      </c>
      <c r="BH736">
        <v>2.571538461538462</v>
      </c>
      <c r="BI736">
        <v>6.623443246558077</v>
      </c>
      <c r="BJ736" s="64"/>
      <c r="BK736" s="64"/>
      <c r="BL736" s="64"/>
      <c r="BM736">
        <v>4.5407981633379592E-2</v>
      </c>
      <c r="BQ736">
        <v>9.0815963266759184E-2</v>
      </c>
      <c r="BR736">
        <v>4.5407981633379592E-2</v>
      </c>
      <c r="BS736">
        <v>0</v>
      </c>
      <c r="BT736" s="68" t="s">
        <v>1264</v>
      </c>
      <c r="BU736" s="68">
        <f t="shared" si="188"/>
        <v>1098</v>
      </c>
      <c r="BV736" s="68">
        <v>12</v>
      </c>
      <c r="BX736" s="68" t="s">
        <v>1268</v>
      </c>
      <c r="BY736" s="68" t="s">
        <v>863</v>
      </c>
      <c r="BZ736" s="68">
        <v>1</v>
      </c>
      <c r="CA736" s="68">
        <v>5</v>
      </c>
      <c r="CB736" s="68">
        <v>0.5</v>
      </c>
      <c r="CC736" s="68">
        <v>1</v>
      </c>
      <c r="CD736" s="77" t="s">
        <v>464</v>
      </c>
      <c r="CE736" s="77" t="s">
        <v>464</v>
      </c>
      <c r="CF736" s="77" t="s">
        <v>1266</v>
      </c>
      <c r="CG736" s="77">
        <v>125</v>
      </c>
      <c r="CH736" s="77">
        <v>220</v>
      </c>
      <c r="CI736" s="77" t="s">
        <v>1287</v>
      </c>
      <c r="CJ736" s="77">
        <f t="shared" si="189"/>
        <v>288</v>
      </c>
      <c r="CK736" s="70">
        <v>1600</v>
      </c>
    </row>
    <row r="737" spans="1:89" x14ac:dyDescent="0.3">
      <c r="A737" t="s">
        <v>340</v>
      </c>
      <c r="B737" t="s">
        <v>318</v>
      </c>
      <c r="C737" t="s">
        <v>4246</v>
      </c>
      <c r="D737" s="12"/>
      <c r="E737">
        <v>3.39</v>
      </c>
      <c r="F737" t="s">
        <v>319</v>
      </c>
      <c r="G737" s="8" t="s">
        <v>2522</v>
      </c>
      <c r="H737">
        <v>-1</v>
      </c>
      <c r="J737" t="s">
        <v>1792</v>
      </c>
      <c r="M737" t="b">
        <v>1</v>
      </c>
      <c r="N737" t="b">
        <v>0</v>
      </c>
      <c r="O737" t="b">
        <v>0</v>
      </c>
      <c r="P737" t="b">
        <v>0</v>
      </c>
      <c r="Q737" t="s">
        <v>2329</v>
      </c>
      <c r="R737">
        <v>-1</v>
      </c>
      <c r="T737">
        <v>4</v>
      </c>
      <c r="U737" s="20">
        <v>0</v>
      </c>
      <c r="V737">
        <v>0</v>
      </c>
      <c r="W737">
        <v>0</v>
      </c>
      <c r="X737">
        <v>3.7</v>
      </c>
      <c r="Y737">
        <v>3.7</v>
      </c>
      <c r="Z737">
        <v>36.4</v>
      </c>
      <c r="AA737" t="s">
        <v>519</v>
      </c>
      <c r="AB737">
        <v>18.2</v>
      </c>
      <c r="AC737" s="20">
        <v>0</v>
      </c>
      <c r="AF737">
        <v>0</v>
      </c>
      <c r="AI737">
        <v>0</v>
      </c>
      <c r="AM737">
        <v>10</v>
      </c>
      <c r="AN737" s="44">
        <f t="shared" si="190"/>
        <v>498.31600000000003</v>
      </c>
      <c r="AO737" s="46">
        <v>0</v>
      </c>
      <c r="AP737" s="44">
        <v>0</v>
      </c>
      <c r="AQ737" s="44">
        <v>0</v>
      </c>
      <c r="AR737" s="41">
        <f t="shared" si="191"/>
        <v>8.0270350540620802E-2</v>
      </c>
      <c r="AS737" s="41"/>
      <c r="AT737" s="41"/>
      <c r="AU737" s="41"/>
      <c r="AV737" s="23">
        <v>1.5625</v>
      </c>
      <c r="AW737" s="23">
        <v>1.5</v>
      </c>
      <c r="AX737" s="23">
        <v>0.125</v>
      </c>
      <c r="AY737" s="23">
        <v>0.25</v>
      </c>
      <c r="AZ737" s="23">
        <v>0.45454545454545447</v>
      </c>
      <c r="BA737" s="23">
        <v>0.43636363636363629</v>
      </c>
      <c r="BB737" s="23">
        <v>3.6363636363636362E-2</v>
      </c>
      <c r="BC737" s="23">
        <v>7.2727272727272724E-2</v>
      </c>
      <c r="BD737" s="20">
        <v>1.1399999999999999</v>
      </c>
      <c r="BE737" s="20">
        <v>3.44</v>
      </c>
      <c r="BF737" s="20">
        <v>2.2999999999999998</v>
      </c>
      <c r="BG737" s="20">
        <v>2.5237500000000002</v>
      </c>
      <c r="BH737">
        <v>2.5237500000000002</v>
      </c>
      <c r="BI737">
        <v>6.6699372256848122</v>
      </c>
      <c r="BJ737" s="64"/>
      <c r="BK737" s="64"/>
      <c r="BL737" s="64"/>
      <c r="BM737">
        <v>4.0135175270310401E-2</v>
      </c>
      <c r="BQ737">
        <v>8.0270350540620802E-2</v>
      </c>
      <c r="BR737">
        <v>4.0135175270310401E-2</v>
      </c>
      <c r="BS737">
        <v>0</v>
      </c>
      <c r="BT737" s="68" t="s">
        <v>1264</v>
      </c>
      <c r="BU737" s="68">
        <f t="shared" si="188"/>
        <v>1098</v>
      </c>
      <c r="BV737" s="68">
        <v>12</v>
      </c>
      <c r="BX737" s="68" t="s">
        <v>1268</v>
      </c>
      <c r="BY737" s="68" t="s">
        <v>863</v>
      </c>
      <c r="BZ737" s="68">
        <v>1</v>
      </c>
      <c r="CB737" s="68">
        <v>0.5</v>
      </c>
      <c r="CC737" s="68">
        <v>1</v>
      </c>
      <c r="CD737" s="77" t="s">
        <v>464</v>
      </c>
      <c r="CE737" s="77" t="s">
        <v>464</v>
      </c>
      <c r="CF737" s="77" t="s">
        <v>1266</v>
      </c>
      <c r="CG737" s="77">
        <v>125</v>
      </c>
      <c r="CH737" s="77">
        <v>220</v>
      </c>
      <c r="CI737" s="77" t="s">
        <v>1287</v>
      </c>
      <c r="CJ737" s="77">
        <f t="shared" si="189"/>
        <v>288</v>
      </c>
      <c r="CK737" s="70">
        <v>640</v>
      </c>
    </row>
    <row r="738" spans="1:89" x14ac:dyDescent="0.3">
      <c r="A738" t="s">
        <v>2740</v>
      </c>
      <c r="B738" t="s">
        <v>318</v>
      </c>
      <c r="C738" t="s">
        <v>4247</v>
      </c>
      <c r="D738" s="12"/>
      <c r="E738">
        <v>3.45</v>
      </c>
      <c r="F738" t="s">
        <v>319</v>
      </c>
      <c r="G738" s="8" t="s">
        <v>2523</v>
      </c>
      <c r="H738">
        <v>-1</v>
      </c>
      <c r="J738" t="s">
        <v>1792</v>
      </c>
      <c r="M738" t="b">
        <v>1</v>
      </c>
      <c r="N738" t="b">
        <v>0</v>
      </c>
      <c r="O738" t="b">
        <v>0</v>
      </c>
      <c r="P738" t="b">
        <v>0</v>
      </c>
      <c r="Q738" t="s">
        <v>2330</v>
      </c>
      <c r="R738">
        <v>-1</v>
      </c>
      <c r="T738">
        <v>4</v>
      </c>
      <c r="U738" s="20">
        <v>0</v>
      </c>
      <c r="V738">
        <v>0</v>
      </c>
      <c r="W738">
        <v>0</v>
      </c>
      <c r="X738">
        <v>3.72</v>
      </c>
      <c r="Y738">
        <v>3.72</v>
      </c>
      <c r="Z738">
        <v>41.1</v>
      </c>
      <c r="AA738" t="s">
        <v>519</v>
      </c>
      <c r="AB738">
        <v>20.55</v>
      </c>
      <c r="AC738" s="20">
        <v>0</v>
      </c>
      <c r="AF738">
        <v>0</v>
      </c>
      <c r="AI738">
        <v>0</v>
      </c>
      <c r="AM738">
        <v>10</v>
      </c>
      <c r="AN738" s="44">
        <f t="shared" si="190"/>
        <v>568.75824000000011</v>
      </c>
      <c r="AO738" s="46">
        <v>0</v>
      </c>
      <c r="AP738" s="44">
        <v>0</v>
      </c>
      <c r="AQ738" s="44">
        <v>0</v>
      </c>
      <c r="AR738" s="41">
        <f t="shared" si="191"/>
        <v>7.0328651414351365E-2</v>
      </c>
      <c r="AS738" s="41"/>
      <c r="AT738" s="41"/>
      <c r="AU738" s="41"/>
      <c r="AV738" s="23">
        <v>1.5263157894736841</v>
      </c>
      <c r="AW738" s="23">
        <v>1.368421052631579</v>
      </c>
      <c r="AX738" s="23">
        <v>0.10526315789473679</v>
      </c>
      <c r="AY738" s="23">
        <v>0.2105263157894737</v>
      </c>
      <c r="AZ738" s="23">
        <v>0.47540983606557369</v>
      </c>
      <c r="BA738" s="23">
        <v>0.42622950819672129</v>
      </c>
      <c r="BB738" s="23">
        <v>3.2786885245901627E-2</v>
      </c>
      <c r="BC738" s="23">
        <v>6.5573770491803268E-2</v>
      </c>
      <c r="BD738" s="20">
        <v>1.1399999999999999</v>
      </c>
      <c r="BE738" s="20">
        <v>3.44</v>
      </c>
      <c r="BF738" s="20">
        <v>2.2999999999999998</v>
      </c>
      <c r="BG738" s="20">
        <v>2.4910526315789472</v>
      </c>
      <c r="BH738">
        <v>2.4910526315789481</v>
      </c>
      <c r="BI738">
        <v>6.7017488956136306</v>
      </c>
      <c r="BJ738" s="64"/>
      <c r="BK738" s="64"/>
      <c r="BL738" s="64"/>
      <c r="BM738">
        <v>3.5164325707175682E-2</v>
      </c>
      <c r="BQ738">
        <v>7.0328651414351365E-2</v>
      </c>
      <c r="BR738">
        <v>3.5164325707175682E-2</v>
      </c>
      <c r="BS738">
        <v>0</v>
      </c>
      <c r="BT738" s="68" t="s">
        <v>1264</v>
      </c>
      <c r="BU738" s="68">
        <f t="shared" si="188"/>
        <v>1098</v>
      </c>
      <c r="BV738" s="68">
        <v>12</v>
      </c>
      <c r="BX738" s="68" t="s">
        <v>1268</v>
      </c>
      <c r="BY738" s="68" t="s">
        <v>863</v>
      </c>
      <c r="BZ738" s="68">
        <v>1</v>
      </c>
      <c r="CB738" s="68">
        <v>0.5</v>
      </c>
      <c r="CC738" s="68">
        <v>1</v>
      </c>
      <c r="CD738" s="77" t="s">
        <v>464</v>
      </c>
      <c r="CE738" s="77" t="s">
        <v>464</v>
      </c>
      <c r="CF738" s="77" t="s">
        <v>1266</v>
      </c>
      <c r="CG738" s="77">
        <v>125</v>
      </c>
      <c r="CH738" s="77">
        <v>220</v>
      </c>
      <c r="CI738" s="77" t="s">
        <v>1287</v>
      </c>
      <c r="CJ738" s="77">
        <f t="shared" si="189"/>
        <v>288</v>
      </c>
      <c r="CK738" s="70">
        <v>1400</v>
      </c>
    </row>
    <row r="739" spans="1:89" x14ac:dyDescent="0.3">
      <c r="A739" t="s">
        <v>342</v>
      </c>
      <c r="B739" t="s">
        <v>318</v>
      </c>
      <c r="C739" t="s">
        <v>4248</v>
      </c>
      <c r="D739" s="12"/>
      <c r="E739">
        <v>3.45</v>
      </c>
      <c r="F739" t="s">
        <v>319</v>
      </c>
      <c r="G739" s="8" t="s">
        <v>2524</v>
      </c>
      <c r="H739">
        <v>-1</v>
      </c>
      <c r="J739" t="s">
        <v>1792</v>
      </c>
      <c r="M739" t="b">
        <v>1</v>
      </c>
      <c r="N739" t="b">
        <v>0</v>
      </c>
      <c r="O739" t="b">
        <v>0</v>
      </c>
      <c r="P739" t="b">
        <v>0</v>
      </c>
      <c r="Q739" t="s">
        <v>2331</v>
      </c>
      <c r="R739">
        <v>-1</v>
      </c>
      <c r="T739">
        <v>4</v>
      </c>
      <c r="U739" s="20">
        <v>0</v>
      </c>
      <c r="V739">
        <v>0</v>
      </c>
      <c r="W739">
        <v>0</v>
      </c>
      <c r="X739">
        <v>3.71</v>
      </c>
      <c r="Y739">
        <v>3.71</v>
      </c>
      <c r="Z739">
        <v>44.5</v>
      </c>
      <c r="AA739" t="s">
        <v>519</v>
      </c>
      <c r="AB739">
        <v>22.25</v>
      </c>
      <c r="AC739" s="20">
        <v>0</v>
      </c>
      <c r="AF739">
        <v>0</v>
      </c>
      <c r="AI739">
        <v>0</v>
      </c>
      <c r="AM739">
        <v>10</v>
      </c>
      <c r="AN739" s="44">
        <f t="shared" si="190"/>
        <v>612.50244999999995</v>
      </c>
      <c r="AO739" s="46">
        <v>0</v>
      </c>
      <c r="AP739" s="44">
        <v>0</v>
      </c>
      <c r="AQ739" s="44">
        <v>0</v>
      </c>
      <c r="AR739" s="41">
        <f t="shared" si="191"/>
        <v>6.5305861225534695E-2</v>
      </c>
      <c r="AS739" s="41"/>
      <c r="AT739" s="41"/>
      <c r="AU739" s="41"/>
      <c r="AV739" s="23">
        <v>1.5</v>
      </c>
      <c r="AW739" s="23">
        <v>1.2727272727272729</v>
      </c>
      <c r="AX739" s="23">
        <v>9.0909090909090912E-2</v>
      </c>
      <c r="AY739" s="23">
        <v>0.1818181818181818</v>
      </c>
      <c r="AZ739" s="23">
        <v>0.49253731343283591</v>
      </c>
      <c r="BA739" s="23">
        <v>0.41791044776119401</v>
      </c>
      <c r="BB739" s="23">
        <v>2.9850746268656719E-2</v>
      </c>
      <c r="BC739" s="23">
        <v>5.9701492537313439E-2</v>
      </c>
      <c r="BD739" s="20">
        <v>1.1399999999999999</v>
      </c>
      <c r="BE739" s="20">
        <v>3.44</v>
      </c>
      <c r="BF739" s="20">
        <v>2.2999999999999998</v>
      </c>
      <c r="BG739" s="20">
        <v>2.4672727272727282</v>
      </c>
      <c r="BH739">
        <v>2.4672727272727268</v>
      </c>
      <c r="BI739">
        <v>6.7248846555618629</v>
      </c>
      <c r="BJ739" s="64"/>
      <c r="BK739" s="64"/>
      <c r="BL739" s="64"/>
      <c r="BM739">
        <v>3.2652930612767347E-2</v>
      </c>
      <c r="BQ739">
        <v>6.5305861225534695E-2</v>
      </c>
      <c r="BR739">
        <v>3.2652930612767347E-2</v>
      </c>
      <c r="BS739">
        <v>0</v>
      </c>
      <c r="BT739" s="68" t="s">
        <v>1264</v>
      </c>
      <c r="BU739" s="68">
        <f t="shared" si="188"/>
        <v>1098</v>
      </c>
      <c r="BV739" s="68">
        <v>12</v>
      </c>
      <c r="BX739" s="68" t="s">
        <v>1268</v>
      </c>
      <c r="BY739" s="68" t="s">
        <v>863</v>
      </c>
      <c r="BZ739" s="68">
        <v>1</v>
      </c>
      <c r="CA739" s="68">
        <v>4</v>
      </c>
      <c r="CB739" s="68">
        <v>0.5</v>
      </c>
      <c r="CC739" s="68">
        <v>1</v>
      </c>
      <c r="CD739" s="77" t="s">
        <v>464</v>
      </c>
      <c r="CE739" s="77" t="s">
        <v>464</v>
      </c>
      <c r="CF739" s="77" t="s">
        <v>1266</v>
      </c>
      <c r="CG739" s="77">
        <v>125</v>
      </c>
      <c r="CH739" s="77">
        <v>220</v>
      </c>
      <c r="CI739" s="77" t="s">
        <v>1287</v>
      </c>
      <c r="CJ739" s="77">
        <f t="shared" si="189"/>
        <v>288</v>
      </c>
      <c r="CK739" s="70">
        <v>1080</v>
      </c>
    </row>
    <row r="740" spans="1:89" x14ac:dyDescent="0.3">
      <c r="A740" t="s">
        <v>343</v>
      </c>
      <c r="B740" t="s">
        <v>318</v>
      </c>
      <c r="C740" t="s">
        <v>4249</v>
      </c>
      <c r="D740" s="12"/>
      <c r="E740">
        <v>3.41</v>
      </c>
      <c r="F740" t="s">
        <v>319</v>
      </c>
      <c r="G740" s="8" t="s">
        <v>2525</v>
      </c>
      <c r="H740">
        <v>-1</v>
      </c>
      <c r="J740" t="s">
        <v>1792</v>
      </c>
      <c r="M740" t="b">
        <v>1</v>
      </c>
      <c r="N740" t="b">
        <v>0</v>
      </c>
      <c r="O740" t="b">
        <v>0</v>
      </c>
      <c r="P740" t="b">
        <v>0</v>
      </c>
      <c r="Q740" t="s">
        <v>2332</v>
      </c>
      <c r="R740">
        <v>-1</v>
      </c>
      <c r="T740">
        <v>4</v>
      </c>
      <c r="U740" s="20">
        <v>0</v>
      </c>
      <c r="V740">
        <v>0</v>
      </c>
      <c r="W740">
        <v>0</v>
      </c>
      <c r="X740">
        <v>3.71</v>
      </c>
      <c r="Y740">
        <v>3.71</v>
      </c>
      <c r="Z740">
        <v>54.9</v>
      </c>
      <c r="AA740" t="s">
        <v>519</v>
      </c>
      <c r="AB740">
        <v>27.45</v>
      </c>
      <c r="AC740" s="20">
        <v>0</v>
      </c>
      <c r="AD740" s="20"/>
      <c r="AE740" s="20"/>
      <c r="AF740">
        <v>0</v>
      </c>
      <c r="AI740">
        <v>0</v>
      </c>
      <c r="AM740">
        <v>10</v>
      </c>
      <c r="AN740" s="44">
        <f t="shared" si="190"/>
        <v>755.64908999999989</v>
      </c>
      <c r="AO740" s="46">
        <v>0</v>
      </c>
      <c r="AP740" s="44">
        <v>0</v>
      </c>
      <c r="AQ740" s="44">
        <v>0</v>
      </c>
      <c r="AR740" s="41">
        <f t="shared" si="191"/>
        <v>5.2934623397746704E-2</v>
      </c>
      <c r="AS740" s="40"/>
      <c r="AT740" s="41"/>
      <c r="AU740" s="41"/>
      <c r="AV740" s="23">
        <v>1.464285714285714</v>
      </c>
      <c r="AW740" s="23">
        <v>1.142857142857143</v>
      </c>
      <c r="AX740" s="23">
        <v>7.1428571428571425E-2</v>
      </c>
      <c r="AY740" s="23">
        <v>0.14285714285714279</v>
      </c>
      <c r="AZ740" s="23">
        <v>0.51898734177215178</v>
      </c>
      <c r="BA740" s="23">
        <v>0.40506329113924039</v>
      </c>
      <c r="BB740" s="23">
        <v>2.5316455696202531E-2</v>
      </c>
      <c r="BC740" s="23">
        <v>5.0632911392405063E-2</v>
      </c>
      <c r="BD740" s="20">
        <v>1.1399999999999999</v>
      </c>
      <c r="BE740" s="20">
        <v>3.44</v>
      </c>
      <c r="BF740" s="20">
        <v>2.2999999999999998</v>
      </c>
      <c r="BG740" s="20">
        <v>2.4350000000000001</v>
      </c>
      <c r="BH740">
        <v>2.4350000000000001</v>
      </c>
      <c r="BI740">
        <v>6.7562831869201787</v>
      </c>
      <c r="BJ740" s="64"/>
      <c r="BK740" s="64"/>
      <c r="BL740" s="64"/>
      <c r="BM740">
        <v>2.6467311698873348E-2</v>
      </c>
      <c r="BQ740">
        <v>5.2934623397746697E-2</v>
      </c>
      <c r="BR740">
        <v>2.6467311698873348E-2</v>
      </c>
      <c r="BS740">
        <v>0</v>
      </c>
      <c r="BT740" s="68" t="s">
        <v>1264</v>
      </c>
      <c r="BU740" s="68">
        <f t="shared" si="188"/>
        <v>1098</v>
      </c>
      <c r="BV740" s="68">
        <v>12</v>
      </c>
      <c r="BX740" s="68" t="s">
        <v>1268</v>
      </c>
      <c r="BY740" s="68" t="s">
        <v>863</v>
      </c>
      <c r="BZ740" s="68">
        <v>1</v>
      </c>
      <c r="CB740" s="68">
        <v>0.5</v>
      </c>
      <c r="CC740" s="68">
        <v>1</v>
      </c>
      <c r="CD740" s="77" t="s">
        <v>464</v>
      </c>
      <c r="CE740" s="77" t="s">
        <v>464</v>
      </c>
      <c r="CF740" s="77" t="s">
        <v>1266</v>
      </c>
      <c r="CG740" s="77">
        <v>125</v>
      </c>
      <c r="CH740" s="77">
        <v>220</v>
      </c>
      <c r="CI740" s="77" t="s">
        <v>1287</v>
      </c>
      <c r="CJ740" s="77">
        <f t="shared" si="189"/>
        <v>288</v>
      </c>
      <c r="CK740" s="70">
        <v>840</v>
      </c>
    </row>
    <row r="741" spans="1:89" x14ac:dyDescent="0.3">
      <c r="A741" t="s">
        <v>2530</v>
      </c>
      <c r="B741" t="s">
        <v>318</v>
      </c>
      <c r="C741" t="s">
        <v>4250</v>
      </c>
      <c r="D741" s="12"/>
      <c r="E741">
        <v>3.41</v>
      </c>
      <c r="F741" t="s">
        <v>319</v>
      </c>
      <c r="G741" s="8" t="s">
        <v>2526</v>
      </c>
      <c r="H741">
        <v>-1</v>
      </c>
      <c r="J741" t="s">
        <v>1792</v>
      </c>
      <c r="M741" t="b">
        <v>0</v>
      </c>
      <c r="N741" t="b">
        <v>0</v>
      </c>
      <c r="O741" t="b">
        <v>0</v>
      </c>
      <c r="P741" t="b">
        <v>1</v>
      </c>
      <c r="Q741" t="s">
        <v>2333</v>
      </c>
      <c r="R741">
        <v>-1</v>
      </c>
      <c r="T741">
        <v>4</v>
      </c>
      <c r="U741" s="20">
        <v>0</v>
      </c>
      <c r="V741">
        <v>0</v>
      </c>
      <c r="W741">
        <v>0</v>
      </c>
      <c r="X741">
        <v>3.71</v>
      </c>
      <c r="Y741">
        <v>3.71</v>
      </c>
      <c r="Z741">
        <v>58</v>
      </c>
      <c r="AA741" t="s">
        <v>519</v>
      </c>
      <c r="AB741">
        <v>29</v>
      </c>
      <c r="AC741" s="20">
        <v>0</v>
      </c>
      <c r="AD741" s="20"/>
      <c r="AE741" s="20"/>
      <c r="AF741">
        <v>0</v>
      </c>
      <c r="AI741">
        <v>0</v>
      </c>
      <c r="AM741">
        <v>10</v>
      </c>
      <c r="AN741" s="44">
        <f t="shared" si="190"/>
        <v>798.31779999999992</v>
      </c>
      <c r="AO741" s="46">
        <v>0</v>
      </c>
      <c r="AP741" s="44">
        <v>0</v>
      </c>
      <c r="AQ741" s="44">
        <v>0</v>
      </c>
      <c r="AR741" s="41">
        <f t="shared" si="191"/>
        <v>5.010535904372921E-2</v>
      </c>
      <c r="AS741" s="40"/>
      <c r="AT741" s="41"/>
      <c r="AU741" s="41"/>
      <c r="AV741" s="23">
        <v>1.4411764705882351</v>
      </c>
      <c r="AW741" s="23">
        <v>1.0588235294117649</v>
      </c>
      <c r="AX741" s="23">
        <v>5.8823529411764712E-2</v>
      </c>
      <c r="AY741" s="23">
        <v>0.1176470588235294</v>
      </c>
      <c r="AZ741" s="23">
        <v>0.53846153846153855</v>
      </c>
      <c r="BA741" s="23">
        <v>0.39560439560439559</v>
      </c>
      <c r="BB741" s="23">
        <v>2.197802197802198E-2</v>
      </c>
      <c r="BC741" s="23">
        <v>4.3956043956043959E-2</v>
      </c>
      <c r="BD741" s="20">
        <v>1.1399999999999999</v>
      </c>
      <c r="BE741" s="20">
        <v>3.44</v>
      </c>
      <c r="BF741" s="20">
        <v>2.2999999999999998</v>
      </c>
      <c r="BG741" s="20">
        <v>2.4141176470588239</v>
      </c>
      <c r="BH741">
        <v>2.4141176470588239</v>
      </c>
      <c r="BI741">
        <v>6.776599883681441</v>
      </c>
      <c r="BJ741" s="64"/>
      <c r="BK741" s="64"/>
      <c r="BL741" s="64"/>
      <c r="BM741">
        <v>2.5052679521864601E-2</v>
      </c>
      <c r="BQ741">
        <v>5.010535904372921E-2</v>
      </c>
      <c r="BR741">
        <v>2.5052679521864601E-2</v>
      </c>
      <c r="BS741">
        <v>0</v>
      </c>
      <c r="BT741" s="68" t="s">
        <v>1264</v>
      </c>
      <c r="BU741" s="68">
        <f t="shared" si="188"/>
        <v>1098</v>
      </c>
      <c r="BV741" s="68">
        <v>12</v>
      </c>
      <c r="BX741" s="68" t="s">
        <v>1268</v>
      </c>
      <c r="BY741" s="68" t="s">
        <v>863</v>
      </c>
      <c r="BZ741" s="68">
        <v>1</v>
      </c>
      <c r="CA741" s="68">
        <v>15</v>
      </c>
      <c r="CB741" s="68">
        <v>0.5</v>
      </c>
      <c r="CC741" s="68">
        <v>1</v>
      </c>
      <c r="CD741" s="77" t="s">
        <v>464</v>
      </c>
      <c r="CE741" s="77" t="s">
        <v>464</v>
      </c>
      <c r="CF741" s="77" t="s">
        <v>1266</v>
      </c>
      <c r="CG741" s="77">
        <v>125</v>
      </c>
      <c r="CH741" s="77">
        <v>220</v>
      </c>
      <c r="CI741" s="77" t="s">
        <v>1287</v>
      </c>
      <c r="CJ741" s="77">
        <f t="shared" si="189"/>
        <v>288</v>
      </c>
      <c r="CK741" s="70">
        <v>1400</v>
      </c>
    </row>
    <row r="742" spans="1:89" x14ac:dyDescent="0.3">
      <c r="A742" t="s">
        <v>151</v>
      </c>
      <c r="B742" t="s">
        <v>4</v>
      </c>
      <c r="C742" t="s">
        <v>3929</v>
      </c>
      <c r="D742" s="12"/>
      <c r="E742">
        <v>3.26</v>
      </c>
      <c r="F742" s="78" t="s">
        <v>345</v>
      </c>
      <c r="G742" s="99" t="s">
        <v>587</v>
      </c>
      <c r="H742" s="58">
        <v>1522043</v>
      </c>
      <c r="J742" t="s">
        <v>1730</v>
      </c>
      <c r="K742" t="s">
        <v>1730</v>
      </c>
      <c r="M742" t="b">
        <v>1</v>
      </c>
      <c r="N742" t="b">
        <v>1</v>
      </c>
      <c r="O742" t="b">
        <v>0</v>
      </c>
      <c r="P742" t="b">
        <v>0</v>
      </c>
      <c r="Q742" t="s">
        <v>2334</v>
      </c>
      <c r="R742" t="s">
        <v>2295</v>
      </c>
      <c r="T742">
        <v>1</v>
      </c>
      <c r="U742" s="20">
        <v>0</v>
      </c>
      <c r="V742">
        <v>0</v>
      </c>
      <c r="W742">
        <v>0</v>
      </c>
      <c r="X742">
        <v>3.89</v>
      </c>
      <c r="Y742">
        <v>3.89</v>
      </c>
      <c r="Z742">
        <v>16.399999999999999</v>
      </c>
      <c r="AB742">
        <v>16.399999999999999</v>
      </c>
      <c r="AC742" s="20">
        <v>0</v>
      </c>
      <c r="AD742" s="20"/>
      <c r="AE742" s="20"/>
      <c r="AF742">
        <v>0</v>
      </c>
      <c r="AI742">
        <v>0</v>
      </c>
      <c r="AM742">
        <v>20</v>
      </c>
      <c r="AN742" s="44">
        <f t="shared" si="180"/>
        <v>248.16643999999999</v>
      </c>
      <c r="AO742" s="46">
        <v>0</v>
      </c>
      <c r="AP742" s="44">
        <v>0</v>
      </c>
      <c r="AQ742" s="44">
        <v>0</v>
      </c>
      <c r="AR742" s="41"/>
      <c r="AS742" s="40"/>
      <c r="AT742" s="41"/>
      <c r="AU742" s="41"/>
      <c r="AV742" s="23">
        <v>1.75</v>
      </c>
      <c r="AW742" s="23">
        <v>2.5</v>
      </c>
      <c r="AX742" s="23">
        <v>0.75</v>
      </c>
      <c r="AY742" s="23">
        <v>0</v>
      </c>
      <c r="AZ742" s="23">
        <v>0.35</v>
      </c>
      <c r="BA742" s="23">
        <v>0.5</v>
      </c>
      <c r="BB742" s="23">
        <v>0.15</v>
      </c>
      <c r="BC742" s="23">
        <v>0</v>
      </c>
      <c r="BD742" s="20">
        <v>0.95</v>
      </c>
      <c r="BE742" s="20">
        <v>3.44</v>
      </c>
      <c r="BF742" s="20">
        <v>2.4900000000000002</v>
      </c>
      <c r="BG742" s="20">
        <v>2.7062499999999998</v>
      </c>
      <c r="BH742">
        <v>2.7062499999999998</v>
      </c>
      <c r="BI742">
        <v>6.2396022968656872</v>
      </c>
      <c r="BJ742" s="64"/>
      <c r="BK742" s="64"/>
      <c r="BL742" s="64"/>
      <c r="BQ742">
        <v>0</v>
      </c>
      <c r="BR742">
        <v>0</v>
      </c>
      <c r="BS742">
        <v>0</v>
      </c>
      <c r="BT742" s="68" t="s">
        <v>1264</v>
      </c>
      <c r="BU742" s="68">
        <v>1573</v>
      </c>
      <c r="BV742" s="68">
        <v>10</v>
      </c>
      <c r="BX742" s="68" t="s">
        <v>464</v>
      </c>
      <c r="BY742" s="68" t="s">
        <v>464</v>
      </c>
      <c r="BZ742" s="68">
        <v>0</v>
      </c>
      <c r="CA742" s="68">
        <v>3.1</v>
      </c>
      <c r="CB742" s="68">
        <v>0.5</v>
      </c>
      <c r="CC742" s="68">
        <v>1</v>
      </c>
      <c r="CD742" s="77" t="s">
        <v>464</v>
      </c>
      <c r="CE742" s="77" t="s">
        <v>464</v>
      </c>
      <c r="CF742" s="77" t="s">
        <v>1266</v>
      </c>
      <c r="CG742" s="77">
        <v>125</v>
      </c>
      <c r="CH742" s="77">
        <v>220</v>
      </c>
      <c r="CI742" s="77" t="s">
        <v>1287</v>
      </c>
      <c r="CJ742" s="77">
        <f t="shared" si="189"/>
        <v>288</v>
      </c>
      <c r="CK742" s="70">
        <v>1400</v>
      </c>
    </row>
    <row r="743" spans="1:89" x14ac:dyDescent="0.3">
      <c r="A743" t="s">
        <v>63</v>
      </c>
      <c r="B743" t="s">
        <v>4</v>
      </c>
      <c r="C743" t="s">
        <v>3928</v>
      </c>
      <c r="D743" s="12"/>
      <c r="E743">
        <v>3.5</v>
      </c>
      <c r="F743" s="78" t="s">
        <v>345</v>
      </c>
      <c r="G743" s="99" t="s">
        <v>587</v>
      </c>
      <c r="H743" s="58">
        <v>1522043</v>
      </c>
      <c r="J743" t="s">
        <v>1729</v>
      </c>
      <c r="K743" t="s">
        <v>1729</v>
      </c>
      <c r="M743" t="b">
        <v>1</v>
      </c>
      <c r="N743" t="b">
        <v>1</v>
      </c>
      <c r="O743" t="b">
        <v>0</v>
      </c>
      <c r="P743" t="b">
        <v>0</v>
      </c>
      <c r="Q743" t="s">
        <v>2335</v>
      </c>
      <c r="R743" t="s">
        <v>2296</v>
      </c>
      <c r="T743">
        <v>1</v>
      </c>
      <c r="U743" s="20">
        <v>0</v>
      </c>
      <c r="V743">
        <v>0</v>
      </c>
      <c r="W743">
        <v>0</v>
      </c>
      <c r="X743">
        <v>3.82</v>
      </c>
      <c r="Y743">
        <v>3.82</v>
      </c>
      <c r="Z743">
        <v>16</v>
      </c>
      <c r="AB743">
        <v>16</v>
      </c>
      <c r="AC743" s="20">
        <v>0</v>
      </c>
      <c r="AD743" s="20"/>
      <c r="AE743" s="20"/>
      <c r="AF743">
        <v>0</v>
      </c>
      <c r="AI743">
        <v>0</v>
      </c>
      <c r="AM743">
        <v>20</v>
      </c>
      <c r="AN743" s="44">
        <f t="shared" si="180"/>
        <v>233.47839999999999</v>
      </c>
      <c r="AO743" s="46">
        <v>0</v>
      </c>
      <c r="AP743" s="44">
        <v>0</v>
      </c>
      <c r="AQ743" s="44">
        <v>0</v>
      </c>
      <c r="AR743" s="41">
        <f t="shared" si="187"/>
        <v>8.5661029028809524E-2</v>
      </c>
      <c r="AS743" s="40"/>
      <c r="AT743" s="41"/>
      <c r="AU743" s="41"/>
      <c r="AV743" s="23">
        <v>1.75</v>
      </c>
      <c r="AW743" s="23">
        <v>2.5</v>
      </c>
      <c r="AX743" s="23">
        <v>0.75</v>
      </c>
      <c r="AY743" s="23">
        <v>0</v>
      </c>
      <c r="AZ743" s="23">
        <v>0.35</v>
      </c>
      <c r="BA743" s="23">
        <v>0.5</v>
      </c>
      <c r="BB743" s="23">
        <v>0.15</v>
      </c>
      <c r="BC743" s="23">
        <v>0</v>
      </c>
      <c r="BD743" s="20">
        <v>1</v>
      </c>
      <c r="BE743" s="20">
        <v>3.44</v>
      </c>
      <c r="BF743" s="20">
        <v>2.44</v>
      </c>
      <c r="BG743" s="20">
        <v>2.7124999999999999</v>
      </c>
      <c r="BH743">
        <v>2.7124999999999999</v>
      </c>
      <c r="BI743">
        <v>6.264025610615688</v>
      </c>
      <c r="BJ743" s="64"/>
      <c r="BK743" s="64"/>
      <c r="BL743" s="64"/>
      <c r="BM743">
        <v>4.2830514514404762E-2</v>
      </c>
      <c r="BQ743">
        <v>8.5661029028809524E-2</v>
      </c>
      <c r="BR743">
        <v>4.2830514514404762E-2</v>
      </c>
      <c r="BS743">
        <v>0</v>
      </c>
      <c r="BT743" s="68" t="s">
        <v>1264</v>
      </c>
      <c r="BU743" s="68">
        <v>1373</v>
      </c>
      <c r="BV743" s="68">
        <v>24</v>
      </c>
      <c r="BX743" s="68" t="s">
        <v>464</v>
      </c>
      <c r="BY743" s="68" t="s">
        <v>464</v>
      </c>
      <c r="BZ743" s="68">
        <v>0</v>
      </c>
      <c r="CA743" s="68">
        <v>7.6</v>
      </c>
      <c r="CB743" s="68">
        <v>0.5</v>
      </c>
      <c r="CC743" s="68">
        <v>1</v>
      </c>
      <c r="CD743" s="77" t="s">
        <v>464</v>
      </c>
      <c r="CE743" s="77" t="s">
        <v>464</v>
      </c>
      <c r="CF743" s="77" t="s">
        <v>1266</v>
      </c>
      <c r="CG743" s="77">
        <v>125</v>
      </c>
      <c r="CH743" s="77">
        <v>220</v>
      </c>
      <c r="CI743" s="77" t="s">
        <v>1287</v>
      </c>
      <c r="CJ743" s="77">
        <f t="shared" si="189"/>
        <v>288</v>
      </c>
      <c r="CK743" s="70">
        <v>520</v>
      </c>
    </row>
    <row r="744" spans="1:89" x14ac:dyDescent="0.3">
      <c r="A744" t="s">
        <v>151</v>
      </c>
      <c r="B744" t="s">
        <v>4</v>
      </c>
      <c r="C744" t="s">
        <v>3929</v>
      </c>
      <c r="D744" s="12"/>
      <c r="E744">
        <v>3.26</v>
      </c>
      <c r="F744" s="78" t="s">
        <v>345</v>
      </c>
      <c r="G744" s="99" t="s">
        <v>587</v>
      </c>
      <c r="H744" s="58">
        <v>1522043</v>
      </c>
      <c r="J744" t="s">
        <v>1730</v>
      </c>
      <c r="K744" t="s">
        <v>1730</v>
      </c>
      <c r="M744" t="b">
        <v>1</v>
      </c>
      <c r="N744" t="b">
        <v>1</v>
      </c>
      <c r="O744" t="b">
        <v>0</v>
      </c>
      <c r="P744" t="b">
        <v>0</v>
      </c>
      <c r="Q744" t="s">
        <v>2338</v>
      </c>
      <c r="R744" t="s">
        <v>2297</v>
      </c>
      <c r="T744">
        <v>1</v>
      </c>
      <c r="U744" s="20">
        <v>0</v>
      </c>
      <c r="V744">
        <v>0</v>
      </c>
      <c r="W744">
        <v>0</v>
      </c>
      <c r="X744">
        <v>3.89</v>
      </c>
      <c r="Y744">
        <v>3.89</v>
      </c>
      <c r="Z744">
        <v>16.399999999999999</v>
      </c>
      <c r="AB744">
        <v>16.399999999999999</v>
      </c>
      <c r="AC744" s="20">
        <v>0</v>
      </c>
      <c r="AD744" s="20"/>
      <c r="AE744" s="20"/>
      <c r="AF744">
        <v>0</v>
      </c>
      <c r="AI744">
        <v>0</v>
      </c>
      <c r="AM744">
        <v>20</v>
      </c>
      <c r="AN744" s="44">
        <f t="shared" ref="AN744:AN747" si="192">X744*Y744*Z744</f>
        <v>248.16643999999999</v>
      </c>
      <c r="AO744" s="46">
        <v>0</v>
      </c>
      <c r="AP744" s="44">
        <v>0</v>
      </c>
      <c r="AQ744" s="44">
        <v>0</v>
      </c>
      <c r="AR744" s="41"/>
      <c r="AS744" s="40"/>
      <c r="AT744" s="41"/>
      <c r="AU744" s="41"/>
      <c r="AV744" s="23">
        <v>1.75</v>
      </c>
      <c r="AW744" s="23">
        <v>2.5</v>
      </c>
      <c r="AX744" s="23">
        <v>0.75</v>
      </c>
      <c r="AY744" s="23">
        <v>0</v>
      </c>
      <c r="AZ744" s="23">
        <v>0.35</v>
      </c>
      <c r="BA744" s="23">
        <v>0.5</v>
      </c>
      <c r="BB744" s="23">
        <v>0.15</v>
      </c>
      <c r="BC744" s="23">
        <v>0</v>
      </c>
      <c r="BD744" s="20">
        <v>0.95</v>
      </c>
      <c r="BE744" s="20">
        <v>3.44</v>
      </c>
      <c r="BF744" s="20">
        <v>2.4900000000000002</v>
      </c>
      <c r="BG744" s="20">
        <v>2.7062499999999998</v>
      </c>
      <c r="BH744">
        <v>2.7062499999999998</v>
      </c>
      <c r="BI744">
        <v>6.2396022968656872</v>
      </c>
      <c r="BJ744" s="64"/>
      <c r="BK744" s="64"/>
      <c r="BL744" s="64"/>
      <c r="BQ744">
        <v>0</v>
      </c>
      <c r="BR744">
        <v>0</v>
      </c>
      <c r="BS744">
        <v>0</v>
      </c>
      <c r="BT744" s="68" t="s">
        <v>1264</v>
      </c>
      <c r="BU744" s="68">
        <v>1573</v>
      </c>
      <c r="BV744" s="68">
        <v>10</v>
      </c>
      <c r="BX744" s="68" t="s">
        <v>464</v>
      </c>
      <c r="BY744" s="68" t="s">
        <v>464</v>
      </c>
      <c r="BZ744" s="68">
        <v>0</v>
      </c>
      <c r="CA744" s="68">
        <v>103</v>
      </c>
      <c r="CB744" s="68">
        <v>0.5</v>
      </c>
      <c r="CC744" s="68">
        <v>1</v>
      </c>
      <c r="CD744" s="77" t="s">
        <v>464</v>
      </c>
      <c r="CE744" s="77" t="s">
        <v>464</v>
      </c>
      <c r="CF744" s="77" t="s">
        <v>1266</v>
      </c>
      <c r="CG744" s="77">
        <v>125</v>
      </c>
      <c r="CH744" s="77">
        <v>220</v>
      </c>
      <c r="CI744" s="77" t="s">
        <v>1287</v>
      </c>
      <c r="CJ744" s="77">
        <f t="shared" si="189"/>
        <v>288</v>
      </c>
      <c r="CK744" s="70">
        <v>380</v>
      </c>
    </row>
    <row r="745" spans="1:89" x14ac:dyDescent="0.3">
      <c r="A745" t="s">
        <v>63</v>
      </c>
      <c r="B745" t="s">
        <v>4</v>
      </c>
      <c r="C745" t="s">
        <v>3928</v>
      </c>
      <c r="D745" s="12"/>
      <c r="E745">
        <v>3.38</v>
      </c>
      <c r="F745" s="78" t="s">
        <v>345</v>
      </c>
      <c r="G745" s="99" t="s">
        <v>587</v>
      </c>
      <c r="H745" s="58">
        <v>1522043</v>
      </c>
      <c r="J745" t="s">
        <v>1729</v>
      </c>
      <c r="K745" t="s">
        <v>1729</v>
      </c>
      <c r="M745" t="b">
        <v>1</v>
      </c>
      <c r="N745" t="b">
        <v>1</v>
      </c>
      <c r="O745" t="b">
        <v>0</v>
      </c>
      <c r="P745" t="b">
        <v>0</v>
      </c>
      <c r="Q745" t="s">
        <v>2340</v>
      </c>
      <c r="R745" t="s">
        <v>2298</v>
      </c>
      <c r="T745">
        <v>1</v>
      </c>
      <c r="U745" s="20">
        <v>0</v>
      </c>
      <c r="V745">
        <v>0</v>
      </c>
      <c r="W745">
        <v>0</v>
      </c>
      <c r="X745">
        <v>3.82</v>
      </c>
      <c r="Y745">
        <v>3.82</v>
      </c>
      <c r="Z745">
        <v>16</v>
      </c>
      <c r="AB745">
        <v>16</v>
      </c>
      <c r="AC745" s="20">
        <v>0</v>
      </c>
      <c r="AD745" s="20"/>
      <c r="AE745" s="20"/>
      <c r="AF745">
        <v>0</v>
      </c>
      <c r="AI745">
        <v>0</v>
      </c>
      <c r="AM745">
        <v>20</v>
      </c>
      <c r="AN745" s="44">
        <f t="shared" si="192"/>
        <v>233.47839999999999</v>
      </c>
      <c r="AO745" s="46">
        <v>0</v>
      </c>
      <c r="AP745" s="44">
        <v>0</v>
      </c>
      <c r="AQ745" s="44">
        <v>0</v>
      </c>
      <c r="AR745" s="41">
        <f t="shared" ref="AR745" si="193">T745*AM745/AN745</f>
        <v>8.5661029028809524E-2</v>
      </c>
      <c r="AS745" s="40"/>
      <c r="AT745" s="41"/>
      <c r="AU745" s="41"/>
      <c r="AV745" s="23">
        <v>1.75</v>
      </c>
      <c r="AW745" s="23">
        <v>2.5</v>
      </c>
      <c r="AX745" s="23">
        <v>0.75</v>
      </c>
      <c r="AY745" s="23">
        <v>0</v>
      </c>
      <c r="AZ745" s="23">
        <v>0.35</v>
      </c>
      <c r="BA745" s="23">
        <v>0.5</v>
      </c>
      <c r="BB745" s="23">
        <v>0.15</v>
      </c>
      <c r="BC745" s="23">
        <v>0</v>
      </c>
      <c r="BD745" s="20">
        <v>1</v>
      </c>
      <c r="BE745" s="20">
        <v>3.44</v>
      </c>
      <c r="BF745" s="20">
        <v>2.44</v>
      </c>
      <c r="BG745" s="20">
        <v>2.7124999999999999</v>
      </c>
      <c r="BH745">
        <v>2.7124999999999999</v>
      </c>
      <c r="BI745">
        <v>6.264025610615688</v>
      </c>
      <c r="BJ745" s="64"/>
      <c r="BK745" s="64"/>
      <c r="BL745" s="64"/>
      <c r="BM745">
        <v>4.2830514514404762E-2</v>
      </c>
      <c r="BQ745">
        <v>8.5661029028809524E-2</v>
      </c>
      <c r="BR745">
        <v>4.2830514514404762E-2</v>
      </c>
      <c r="BS745">
        <v>0</v>
      </c>
      <c r="BT745" s="68" t="s">
        <v>1264</v>
      </c>
      <c r="BU745" s="68">
        <v>1373</v>
      </c>
      <c r="BV745" s="68">
        <v>24</v>
      </c>
      <c r="BX745" s="68" t="s">
        <v>464</v>
      </c>
      <c r="BY745" s="68" t="s">
        <v>464</v>
      </c>
      <c r="BZ745" s="68">
        <v>0</v>
      </c>
      <c r="CA745" s="68">
        <v>76.3</v>
      </c>
      <c r="CB745" s="68">
        <v>0.5</v>
      </c>
      <c r="CC745" s="68">
        <v>1</v>
      </c>
      <c r="CD745" s="77" t="s">
        <v>464</v>
      </c>
      <c r="CE745" s="77" t="s">
        <v>464</v>
      </c>
      <c r="CF745" s="77" t="s">
        <v>1266</v>
      </c>
      <c r="CG745" s="77">
        <v>125</v>
      </c>
      <c r="CH745" s="77">
        <v>220</v>
      </c>
      <c r="CI745" s="77" t="s">
        <v>1287</v>
      </c>
      <c r="CJ745" s="77">
        <f t="shared" si="189"/>
        <v>288</v>
      </c>
      <c r="CK745" s="70">
        <v>296</v>
      </c>
    </row>
    <row r="746" spans="1:89" x14ac:dyDescent="0.3">
      <c r="A746" t="s">
        <v>151</v>
      </c>
      <c r="B746" t="s">
        <v>4</v>
      </c>
      <c r="C746" t="s">
        <v>3929</v>
      </c>
      <c r="D746" s="12"/>
      <c r="E746">
        <v>3.26</v>
      </c>
      <c r="F746" s="78" t="s">
        <v>345</v>
      </c>
      <c r="G746" s="99" t="s">
        <v>587</v>
      </c>
      <c r="H746" s="58">
        <v>1522043</v>
      </c>
      <c r="J746" t="s">
        <v>1730</v>
      </c>
      <c r="K746" t="s">
        <v>1730</v>
      </c>
      <c r="M746" t="b">
        <v>1</v>
      </c>
      <c r="N746" t="b">
        <v>1</v>
      </c>
      <c r="O746" t="b">
        <v>0</v>
      </c>
      <c r="P746" t="b">
        <v>0</v>
      </c>
      <c r="Q746" t="s">
        <v>2342</v>
      </c>
      <c r="R746" t="s">
        <v>2299</v>
      </c>
      <c r="T746">
        <v>1</v>
      </c>
      <c r="U746" s="20">
        <v>0</v>
      </c>
      <c r="V746">
        <v>0</v>
      </c>
      <c r="W746">
        <v>0</v>
      </c>
      <c r="X746">
        <v>3.89</v>
      </c>
      <c r="Y746">
        <v>3.89</v>
      </c>
      <c r="Z746">
        <v>16.399999999999999</v>
      </c>
      <c r="AB746">
        <v>16.399999999999999</v>
      </c>
      <c r="AC746" s="20">
        <v>0</v>
      </c>
      <c r="AD746" s="20"/>
      <c r="AE746" s="20"/>
      <c r="AF746">
        <v>0</v>
      </c>
      <c r="AI746">
        <v>0</v>
      </c>
      <c r="AM746">
        <v>20</v>
      </c>
      <c r="AN746" s="44">
        <f t="shared" si="192"/>
        <v>248.16643999999999</v>
      </c>
      <c r="AO746" s="46">
        <v>0</v>
      </c>
      <c r="AP746" s="44">
        <v>0</v>
      </c>
      <c r="AQ746" s="44">
        <v>0</v>
      </c>
      <c r="AR746" s="41"/>
      <c r="AS746" s="40"/>
      <c r="AT746" s="41"/>
      <c r="AU746" s="41"/>
      <c r="AV746" s="23">
        <v>1.75</v>
      </c>
      <c r="AW746" s="23">
        <v>2.5</v>
      </c>
      <c r="AX746" s="23">
        <v>0.75</v>
      </c>
      <c r="AY746" s="23">
        <v>0</v>
      </c>
      <c r="AZ746" s="23">
        <v>0.35</v>
      </c>
      <c r="BA746" s="23">
        <v>0.5</v>
      </c>
      <c r="BB746" s="23">
        <v>0.15</v>
      </c>
      <c r="BC746" s="23">
        <v>0</v>
      </c>
      <c r="BD746" s="20">
        <v>0.95</v>
      </c>
      <c r="BE746" s="20">
        <v>3.44</v>
      </c>
      <c r="BF746" s="20">
        <v>2.4900000000000002</v>
      </c>
      <c r="BG746" s="20">
        <v>2.7062499999999998</v>
      </c>
      <c r="BH746">
        <v>2.7062499999999998</v>
      </c>
      <c r="BI746">
        <v>6.2396022968656872</v>
      </c>
      <c r="BJ746" s="64"/>
      <c r="BK746" s="64"/>
      <c r="BL746" s="64"/>
      <c r="BQ746">
        <v>0</v>
      </c>
      <c r="BR746">
        <v>0</v>
      </c>
      <c r="BS746">
        <v>0</v>
      </c>
      <c r="BT746" s="68" t="s">
        <v>1264</v>
      </c>
      <c r="BU746" s="68">
        <v>1573</v>
      </c>
      <c r="BV746" s="68">
        <v>10</v>
      </c>
      <c r="BX746" s="68" t="s">
        <v>1268</v>
      </c>
      <c r="BY746" s="68" t="s">
        <v>863</v>
      </c>
      <c r="BZ746" s="68">
        <v>1</v>
      </c>
      <c r="CA746" s="68">
        <v>3.1</v>
      </c>
      <c r="CB746" s="68">
        <v>0.5</v>
      </c>
      <c r="CC746" s="68">
        <v>1</v>
      </c>
      <c r="CD746" s="77" t="s">
        <v>464</v>
      </c>
      <c r="CE746" s="77" t="s">
        <v>464</v>
      </c>
      <c r="CF746" s="77" t="s">
        <v>1266</v>
      </c>
      <c r="CG746" s="77">
        <v>125</v>
      </c>
      <c r="CH746" s="77">
        <v>220</v>
      </c>
      <c r="CI746" s="77" t="s">
        <v>1287</v>
      </c>
      <c r="CJ746" s="77">
        <f t="shared" si="189"/>
        <v>288</v>
      </c>
      <c r="CK746" s="70">
        <v>15200</v>
      </c>
    </row>
    <row r="747" spans="1:89" x14ac:dyDescent="0.3">
      <c r="A747" t="s">
        <v>63</v>
      </c>
      <c r="B747" t="s">
        <v>4</v>
      </c>
      <c r="C747" t="s">
        <v>3928</v>
      </c>
      <c r="D747" s="12"/>
      <c r="E747">
        <v>3.5</v>
      </c>
      <c r="F747" s="78" t="s">
        <v>345</v>
      </c>
      <c r="G747" s="99" t="s">
        <v>587</v>
      </c>
      <c r="H747" s="58">
        <v>1522043</v>
      </c>
      <c r="J747" t="s">
        <v>1729</v>
      </c>
      <c r="K747" t="s">
        <v>1729</v>
      </c>
      <c r="M747" t="b">
        <v>1</v>
      </c>
      <c r="N747" t="b">
        <v>1</v>
      </c>
      <c r="O747" t="b">
        <v>0</v>
      </c>
      <c r="P747" t="b">
        <v>0</v>
      </c>
      <c r="Q747" t="s">
        <v>2344</v>
      </c>
      <c r="R747" t="s">
        <v>2300</v>
      </c>
      <c r="T747">
        <v>1</v>
      </c>
      <c r="U747" s="20">
        <v>0</v>
      </c>
      <c r="V747">
        <v>0</v>
      </c>
      <c r="W747">
        <v>0</v>
      </c>
      <c r="X747">
        <v>3.82</v>
      </c>
      <c r="Y747">
        <v>3.82</v>
      </c>
      <c r="Z747">
        <v>16</v>
      </c>
      <c r="AB747">
        <v>16</v>
      </c>
      <c r="AC747" s="20">
        <v>0</v>
      </c>
      <c r="AD747" s="20"/>
      <c r="AE747" s="20"/>
      <c r="AF747">
        <v>0</v>
      </c>
      <c r="AI747">
        <v>0</v>
      </c>
      <c r="AM747">
        <v>20</v>
      </c>
      <c r="AN747" s="44">
        <f t="shared" si="192"/>
        <v>233.47839999999999</v>
      </c>
      <c r="AO747" s="46">
        <v>0</v>
      </c>
      <c r="AP747" s="44">
        <v>0</v>
      </c>
      <c r="AQ747" s="44">
        <v>0</v>
      </c>
      <c r="AR747" s="41">
        <f t="shared" ref="AR747" si="194">T747*AM747/AN747</f>
        <v>8.5661029028809524E-2</v>
      </c>
      <c r="AS747" s="40"/>
      <c r="AT747" s="41"/>
      <c r="AU747" s="41"/>
      <c r="AV747" s="23">
        <v>1.75</v>
      </c>
      <c r="AW747" s="23">
        <v>2.5</v>
      </c>
      <c r="AX747" s="23">
        <v>0.75</v>
      </c>
      <c r="AY747" s="23">
        <v>0</v>
      </c>
      <c r="AZ747" s="23">
        <v>0.35</v>
      </c>
      <c r="BA747" s="23">
        <v>0.5</v>
      </c>
      <c r="BB747" s="23">
        <v>0.15</v>
      </c>
      <c r="BC747" s="23">
        <v>0</v>
      </c>
      <c r="BD747" s="20">
        <v>1</v>
      </c>
      <c r="BE747" s="20">
        <v>3.44</v>
      </c>
      <c r="BF747" s="20">
        <v>2.44</v>
      </c>
      <c r="BG747" s="20">
        <v>2.7124999999999999</v>
      </c>
      <c r="BH747">
        <v>2.7124999999999999</v>
      </c>
      <c r="BI747">
        <v>6.264025610615688</v>
      </c>
      <c r="BJ747" s="64"/>
      <c r="BK747" s="64"/>
      <c r="BL747" s="64"/>
      <c r="BM747">
        <v>4.2830514514404762E-2</v>
      </c>
      <c r="BQ747">
        <v>8.5661029028809524E-2</v>
      </c>
      <c r="BR747">
        <v>4.2830514514404762E-2</v>
      </c>
      <c r="BS747">
        <v>0</v>
      </c>
      <c r="BT747" s="68" t="s">
        <v>1264</v>
      </c>
      <c r="BU747" s="68">
        <v>1373</v>
      </c>
      <c r="BV747" s="68">
        <v>24</v>
      </c>
      <c r="BX747" s="68" t="s">
        <v>1268</v>
      </c>
      <c r="BY747" s="68" t="s">
        <v>863</v>
      </c>
      <c r="BZ747" s="68">
        <v>1</v>
      </c>
      <c r="CA747" s="68">
        <v>7.6</v>
      </c>
      <c r="CB747" s="68">
        <v>0.5</v>
      </c>
      <c r="CC747" s="68">
        <v>1</v>
      </c>
      <c r="CD747" s="77" t="s">
        <v>464</v>
      </c>
      <c r="CE747" s="77" t="s">
        <v>464</v>
      </c>
      <c r="CF747" s="77" t="s">
        <v>1266</v>
      </c>
      <c r="CG747" s="77">
        <v>125</v>
      </c>
      <c r="CH747" s="77">
        <v>220</v>
      </c>
      <c r="CI747" s="77" t="s">
        <v>1287</v>
      </c>
      <c r="CJ747" s="77">
        <f t="shared" si="189"/>
        <v>288</v>
      </c>
      <c r="CK747" s="70">
        <v>23600</v>
      </c>
    </row>
    <row r="748" spans="1:89" x14ac:dyDescent="0.3">
      <c r="A748" t="s">
        <v>151</v>
      </c>
      <c r="B748" t="s">
        <v>4</v>
      </c>
      <c r="C748" t="s">
        <v>3929</v>
      </c>
      <c r="D748" s="12"/>
      <c r="E748">
        <v>3.26</v>
      </c>
      <c r="F748" s="78" t="s">
        <v>345</v>
      </c>
      <c r="G748" s="99" t="s">
        <v>587</v>
      </c>
      <c r="H748" s="58">
        <v>1522043</v>
      </c>
      <c r="J748" t="s">
        <v>1730</v>
      </c>
      <c r="K748" t="s">
        <v>1730</v>
      </c>
      <c r="M748" t="b">
        <v>1</v>
      </c>
      <c r="N748" t="b">
        <v>1</v>
      </c>
      <c r="O748" t="b">
        <v>0</v>
      </c>
      <c r="P748" t="b">
        <v>0</v>
      </c>
      <c r="Q748" t="s">
        <v>2346</v>
      </c>
      <c r="R748" t="s">
        <v>2301</v>
      </c>
      <c r="T748">
        <v>1</v>
      </c>
      <c r="U748" s="20">
        <v>0</v>
      </c>
      <c r="V748">
        <v>0</v>
      </c>
      <c r="W748">
        <v>0</v>
      </c>
      <c r="X748">
        <v>3.89</v>
      </c>
      <c r="Y748">
        <v>3.89</v>
      </c>
      <c r="Z748">
        <v>16.399999999999999</v>
      </c>
      <c r="AB748">
        <v>16.399999999999999</v>
      </c>
      <c r="AC748" s="20">
        <v>0</v>
      </c>
      <c r="AD748" s="20"/>
      <c r="AE748" s="20"/>
      <c r="AF748">
        <v>0</v>
      </c>
      <c r="AI748">
        <v>0</v>
      </c>
      <c r="AM748">
        <v>20</v>
      </c>
      <c r="AN748" s="44">
        <f t="shared" ref="AN748:AN755" si="195">X748*Y748*Z748</f>
        <v>248.16643999999999</v>
      </c>
      <c r="AO748" s="46">
        <v>0</v>
      </c>
      <c r="AP748" s="44">
        <v>0</v>
      </c>
      <c r="AQ748" s="44">
        <v>0</v>
      </c>
      <c r="AR748" s="41"/>
      <c r="AS748" s="40"/>
      <c r="AT748" s="41"/>
      <c r="AU748" s="41"/>
      <c r="AV748" s="23">
        <v>1.75</v>
      </c>
      <c r="AW748" s="23">
        <v>2.5</v>
      </c>
      <c r="AX748" s="23">
        <v>0.75</v>
      </c>
      <c r="AY748" s="23">
        <v>0</v>
      </c>
      <c r="AZ748" s="23">
        <v>0.35</v>
      </c>
      <c r="BA748" s="23">
        <v>0.5</v>
      </c>
      <c r="BB748" s="23">
        <v>0.15</v>
      </c>
      <c r="BC748" s="23">
        <v>0</v>
      </c>
      <c r="BD748" s="20">
        <v>0.95</v>
      </c>
      <c r="BE748" s="20">
        <v>3.44</v>
      </c>
      <c r="BF748" s="20">
        <v>2.4900000000000002</v>
      </c>
      <c r="BG748" s="20">
        <v>2.7062499999999998</v>
      </c>
      <c r="BH748">
        <v>2.7062499999999998</v>
      </c>
      <c r="BI748">
        <v>6.2396022968656872</v>
      </c>
      <c r="BJ748" s="64"/>
      <c r="BK748" s="64"/>
      <c r="BL748" s="64"/>
      <c r="BQ748">
        <v>0</v>
      </c>
      <c r="BR748">
        <v>0</v>
      </c>
      <c r="BS748">
        <v>0</v>
      </c>
      <c r="BT748" s="68" t="s">
        <v>1264</v>
      </c>
      <c r="BU748" s="68">
        <v>1573</v>
      </c>
      <c r="BV748" s="68">
        <v>10</v>
      </c>
      <c r="BX748" s="68" t="s">
        <v>1268</v>
      </c>
      <c r="BY748" s="68" t="s">
        <v>863</v>
      </c>
      <c r="BZ748" s="68">
        <v>1</v>
      </c>
      <c r="CA748" s="68">
        <v>103</v>
      </c>
      <c r="CB748" s="68">
        <v>0.5</v>
      </c>
      <c r="CC748" s="68">
        <v>1</v>
      </c>
      <c r="CD748" s="77" t="s">
        <v>464</v>
      </c>
      <c r="CE748" s="77" t="s">
        <v>464</v>
      </c>
      <c r="CF748" s="77" t="s">
        <v>1266</v>
      </c>
      <c r="CG748" s="77">
        <v>125</v>
      </c>
      <c r="CH748" s="77">
        <v>220</v>
      </c>
      <c r="CI748" s="77" t="s">
        <v>1287</v>
      </c>
      <c r="CJ748" s="77">
        <f t="shared" si="189"/>
        <v>288</v>
      </c>
      <c r="CK748" s="70">
        <v>36000</v>
      </c>
    </row>
    <row r="749" spans="1:89" x14ac:dyDescent="0.3">
      <c r="A749" t="s">
        <v>63</v>
      </c>
      <c r="B749" t="s">
        <v>4</v>
      </c>
      <c r="C749" t="s">
        <v>3928</v>
      </c>
      <c r="D749" s="12"/>
      <c r="E749">
        <v>3.38</v>
      </c>
      <c r="F749" s="78" t="s">
        <v>345</v>
      </c>
      <c r="G749" s="99" t="s">
        <v>587</v>
      </c>
      <c r="H749" s="58">
        <v>1522043</v>
      </c>
      <c r="J749" t="s">
        <v>1729</v>
      </c>
      <c r="K749" t="s">
        <v>1729</v>
      </c>
      <c r="M749" t="b">
        <v>1</v>
      </c>
      <c r="N749" t="b">
        <v>1</v>
      </c>
      <c r="O749" t="b">
        <v>0</v>
      </c>
      <c r="P749" t="b">
        <v>0</v>
      </c>
      <c r="Q749" t="s">
        <v>2347</v>
      </c>
      <c r="R749" t="s">
        <v>2302</v>
      </c>
      <c r="T749">
        <v>1</v>
      </c>
      <c r="U749" s="20">
        <v>0</v>
      </c>
      <c r="V749">
        <v>0</v>
      </c>
      <c r="W749">
        <v>0</v>
      </c>
      <c r="X749">
        <v>3.82</v>
      </c>
      <c r="Y749">
        <v>3.82</v>
      </c>
      <c r="Z749">
        <v>16</v>
      </c>
      <c r="AB749">
        <v>16</v>
      </c>
      <c r="AC749" s="20">
        <v>0</v>
      </c>
      <c r="AD749" s="20"/>
      <c r="AE749" s="20"/>
      <c r="AF749">
        <v>0</v>
      </c>
      <c r="AI749">
        <v>0</v>
      </c>
      <c r="AM749">
        <v>20</v>
      </c>
      <c r="AN749" s="44">
        <f t="shared" si="195"/>
        <v>233.47839999999999</v>
      </c>
      <c r="AO749" s="46">
        <v>0</v>
      </c>
      <c r="AP749" s="44">
        <v>0</v>
      </c>
      <c r="AQ749" s="44">
        <v>0</v>
      </c>
      <c r="AR749" s="41">
        <f t="shared" ref="AR749" si="196">T749*AM749/AN749</f>
        <v>8.5661029028809524E-2</v>
      </c>
      <c r="AS749" s="40"/>
      <c r="AT749" s="41"/>
      <c r="AU749" s="41"/>
      <c r="AV749" s="23">
        <v>1.75</v>
      </c>
      <c r="AW749" s="23">
        <v>2.5</v>
      </c>
      <c r="AX749" s="23">
        <v>0.75</v>
      </c>
      <c r="AY749" s="23">
        <v>0</v>
      </c>
      <c r="AZ749" s="23">
        <v>0.35</v>
      </c>
      <c r="BA749" s="23">
        <v>0.5</v>
      </c>
      <c r="BB749" s="23">
        <v>0.15</v>
      </c>
      <c r="BC749" s="23">
        <v>0</v>
      </c>
      <c r="BD749" s="20">
        <v>1</v>
      </c>
      <c r="BE749" s="20">
        <v>3.44</v>
      </c>
      <c r="BF749" s="20">
        <v>2.44</v>
      </c>
      <c r="BG749" s="20">
        <v>2.7124999999999999</v>
      </c>
      <c r="BH749">
        <v>2.7124999999999999</v>
      </c>
      <c r="BI749">
        <v>6.264025610615688</v>
      </c>
      <c r="BJ749" s="64"/>
      <c r="BK749" s="64"/>
      <c r="BL749" s="64"/>
      <c r="BM749">
        <v>4.2830514514404762E-2</v>
      </c>
      <c r="BQ749">
        <v>8.5661029028809524E-2</v>
      </c>
      <c r="BR749">
        <v>4.2830514514404762E-2</v>
      </c>
      <c r="BS749">
        <v>0</v>
      </c>
      <c r="BT749" s="68" t="s">
        <v>1264</v>
      </c>
      <c r="BU749" s="68">
        <v>1373</v>
      </c>
      <c r="BV749" s="68">
        <v>24</v>
      </c>
      <c r="BX749" s="68" t="s">
        <v>1268</v>
      </c>
      <c r="BY749" s="68" t="s">
        <v>863</v>
      </c>
      <c r="BZ749" s="68">
        <v>1</v>
      </c>
      <c r="CA749" s="68">
        <v>76.3</v>
      </c>
      <c r="CB749" s="68">
        <v>0.5</v>
      </c>
      <c r="CC749" s="68">
        <v>1</v>
      </c>
      <c r="CD749" s="77" t="s">
        <v>464</v>
      </c>
      <c r="CE749" s="77" t="s">
        <v>464</v>
      </c>
      <c r="CF749" s="77" t="s">
        <v>1266</v>
      </c>
      <c r="CG749" s="77">
        <v>125</v>
      </c>
      <c r="CH749" s="77">
        <v>220</v>
      </c>
      <c r="CI749" s="77" t="s">
        <v>1287</v>
      </c>
      <c r="CJ749" s="77">
        <f t="shared" si="189"/>
        <v>288</v>
      </c>
      <c r="CK749" s="70">
        <v>37600</v>
      </c>
    </row>
    <row r="750" spans="1:89" x14ac:dyDescent="0.3">
      <c r="A750" t="s">
        <v>151</v>
      </c>
      <c r="B750" t="s">
        <v>4</v>
      </c>
      <c r="C750" t="s">
        <v>3929</v>
      </c>
      <c r="D750" s="12"/>
      <c r="E750">
        <v>3.26</v>
      </c>
      <c r="F750" s="78" t="s">
        <v>345</v>
      </c>
      <c r="G750" s="99" t="s">
        <v>587</v>
      </c>
      <c r="H750" s="58">
        <v>1522043</v>
      </c>
      <c r="J750" t="s">
        <v>1730</v>
      </c>
      <c r="K750" t="s">
        <v>1730</v>
      </c>
      <c r="M750" t="b">
        <v>1</v>
      </c>
      <c r="N750" t="b">
        <v>1</v>
      </c>
      <c r="O750" t="b">
        <v>0</v>
      </c>
      <c r="P750" t="b">
        <v>0</v>
      </c>
      <c r="Q750" t="s">
        <v>2348</v>
      </c>
      <c r="R750" t="s">
        <v>2303</v>
      </c>
      <c r="T750">
        <v>1</v>
      </c>
      <c r="U750" s="20">
        <v>0</v>
      </c>
      <c r="V750">
        <v>0</v>
      </c>
      <c r="W750">
        <v>0</v>
      </c>
      <c r="X750">
        <v>3.89</v>
      </c>
      <c r="Y750">
        <v>3.89</v>
      </c>
      <c r="Z750">
        <v>16.399999999999999</v>
      </c>
      <c r="AB750">
        <v>16.399999999999999</v>
      </c>
      <c r="AC750" s="20">
        <v>0</v>
      </c>
      <c r="AD750" s="20"/>
      <c r="AE750" s="20"/>
      <c r="AF750">
        <v>0</v>
      </c>
      <c r="AI750">
        <v>0</v>
      </c>
      <c r="AM750">
        <v>20</v>
      </c>
      <c r="AN750" s="44">
        <f t="shared" si="195"/>
        <v>248.16643999999999</v>
      </c>
      <c r="AO750" s="46">
        <v>0</v>
      </c>
      <c r="AP750" s="44">
        <v>0</v>
      </c>
      <c r="AQ750" s="44">
        <v>0</v>
      </c>
      <c r="AR750" s="41"/>
      <c r="AS750" s="40"/>
      <c r="AT750" s="41"/>
      <c r="AU750" s="41"/>
      <c r="AV750" s="23">
        <v>1.75</v>
      </c>
      <c r="AW750" s="23">
        <v>2.5</v>
      </c>
      <c r="AX750" s="23">
        <v>0.75</v>
      </c>
      <c r="AY750" s="23">
        <v>0</v>
      </c>
      <c r="AZ750" s="23">
        <v>0.35</v>
      </c>
      <c r="BA750" s="23">
        <v>0.5</v>
      </c>
      <c r="BB750" s="23">
        <v>0.15</v>
      </c>
      <c r="BC750" s="23">
        <v>0</v>
      </c>
      <c r="BD750" s="20">
        <v>0.95</v>
      </c>
      <c r="BE750" s="20">
        <v>3.44</v>
      </c>
      <c r="BF750" s="20">
        <v>2.4900000000000002</v>
      </c>
      <c r="BG750" s="20">
        <v>2.7062499999999998</v>
      </c>
      <c r="BH750">
        <v>2.7062499999999998</v>
      </c>
      <c r="BI750">
        <v>6.2396022968656872</v>
      </c>
      <c r="BJ750" s="64"/>
      <c r="BK750" s="64"/>
      <c r="BL750" s="64"/>
      <c r="BQ750">
        <v>0</v>
      </c>
      <c r="BR750">
        <v>0</v>
      </c>
      <c r="BS750">
        <v>0</v>
      </c>
      <c r="BT750" s="68" t="s">
        <v>1264</v>
      </c>
      <c r="BU750" s="68">
        <v>1573</v>
      </c>
      <c r="BV750" s="68">
        <v>10</v>
      </c>
      <c r="BX750" s="68" t="s">
        <v>464</v>
      </c>
      <c r="BY750" s="68" t="s">
        <v>464</v>
      </c>
      <c r="BZ750" s="68">
        <v>0</v>
      </c>
      <c r="CA750" s="68">
        <v>3.1</v>
      </c>
      <c r="CB750" s="68">
        <v>0.5</v>
      </c>
      <c r="CC750" s="68">
        <v>0</v>
      </c>
      <c r="CD750" s="77" t="s">
        <v>464</v>
      </c>
      <c r="CE750" s="77" t="s">
        <v>464</v>
      </c>
      <c r="CF750" s="77" t="s">
        <v>1266</v>
      </c>
      <c r="CG750" s="77">
        <v>125</v>
      </c>
      <c r="CH750" s="77">
        <v>220</v>
      </c>
      <c r="CI750" s="77" t="s">
        <v>1287</v>
      </c>
      <c r="CJ750" s="77">
        <f t="shared" si="189"/>
        <v>288</v>
      </c>
      <c r="CK750" s="70">
        <v>23.199999999999996</v>
      </c>
    </row>
    <row r="751" spans="1:89" x14ac:dyDescent="0.3">
      <c r="A751" t="s">
        <v>63</v>
      </c>
      <c r="B751" t="s">
        <v>4</v>
      </c>
      <c r="C751" t="s">
        <v>3928</v>
      </c>
      <c r="D751" s="12"/>
      <c r="E751">
        <v>3.5</v>
      </c>
      <c r="F751" s="78" t="s">
        <v>345</v>
      </c>
      <c r="G751" s="99" t="s">
        <v>587</v>
      </c>
      <c r="H751" s="58">
        <v>1522043</v>
      </c>
      <c r="J751" t="s">
        <v>1729</v>
      </c>
      <c r="K751" t="s">
        <v>1729</v>
      </c>
      <c r="M751" t="b">
        <v>1</v>
      </c>
      <c r="N751" t="b">
        <v>1</v>
      </c>
      <c r="O751" t="b">
        <v>0</v>
      </c>
      <c r="P751" t="b">
        <v>0</v>
      </c>
      <c r="Q751" t="s">
        <v>2349</v>
      </c>
      <c r="R751" t="s">
        <v>2304</v>
      </c>
      <c r="T751">
        <v>1</v>
      </c>
      <c r="U751" s="20">
        <v>0</v>
      </c>
      <c r="V751">
        <v>0</v>
      </c>
      <c r="W751">
        <v>0</v>
      </c>
      <c r="X751">
        <v>3.82</v>
      </c>
      <c r="Y751">
        <v>3.82</v>
      </c>
      <c r="Z751">
        <v>16</v>
      </c>
      <c r="AB751">
        <v>16</v>
      </c>
      <c r="AC751" s="20">
        <v>0</v>
      </c>
      <c r="AD751" s="20"/>
      <c r="AE751" s="20"/>
      <c r="AF751">
        <v>0</v>
      </c>
      <c r="AI751">
        <v>0</v>
      </c>
      <c r="AM751">
        <v>20</v>
      </c>
      <c r="AN751" s="44">
        <f t="shared" si="195"/>
        <v>233.47839999999999</v>
      </c>
      <c r="AO751" s="46">
        <v>0</v>
      </c>
      <c r="AP751" s="44">
        <v>0</v>
      </c>
      <c r="AQ751" s="44">
        <v>0</v>
      </c>
      <c r="AR751" s="41">
        <f t="shared" ref="AR751" si="197">T751*AM751/AN751</f>
        <v>8.5661029028809524E-2</v>
      </c>
      <c r="AS751" s="40"/>
      <c r="AT751" s="41"/>
      <c r="AU751" s="41"/>
      <c r="AV751" s="23">
        <v>1.75</v>
      </c>
      <c r="AW751" s="23">
        <v>2.5</v>
      </c>
      <c r="AX751" s="23">
        <v>0.75</v>
      </c>
      <c r="AY751" s="23">
        <v>0</v>
      </c>
      <c r="AZ751" s="23">
        <v>0.35</v>
      </c>
      <c r="BA751" s="23">
        <v>0.5</v>
      </c>
      <c r="BB751" s="23">
        <v>0.15</v>
      </c>
      <c r="BC751" s="23">
        <v>0</v>
      </c>
      <c r="BD751" s="20">
        <v>1</v>
      </c>
      <c r="BE751" s="20">
        <v>3.44</v>
      </c>
      <c r="BF751" s="20">
        <v>2.44</v>
      </c>
      <c r="BG751" s="20">
        <v>2.7124999999999999</v>
      </c>
      <c r="BH751">
        <v>2.7124999999999999</v>
      </c>
      <c r="BI751">
        <v>6.264025610615688</v>
      </c>
      <c r="BJ751" s="64"/>
      <c r="BK751" s="64"/>
      <c r="BL751" s="64"/>
      <c r="BM751">
        <v>4.2830514514404762E-2</v>
      </c>
      <c r="BQ751">
        <v>8.5661029028809524E-2</v>
      </c>
      <c r="BR751">
        <v>4.2830514514404762E-2</v>
      </c>
      <c r="BS751">
        <v>0</v>
      </c>
      <c r="BT751" s="68" t="s">
        <v>1264</v>
      </c>
      <c r="BU751" s="68">
        <v>1373</v>
      </c>
      <c r="BV751" s="68">
        <v>24</v>
      </c>
      <c r="BX751" s="68" t="s">
        <v>464</v>
      </c>
      <c r="BY751" s="68" t="s">
        <v>464</v>
      </c>
      <c r="BZ751" s="68">
        <v>0</v>
      </c>
      <c r="CA751" s="68">
        <v>7.6</v>
      </c>
      <c r="CB751" s="68">
        <v>0.5</v>
      </c>
      <c r="CC751" s="68">
        <v>0</v>
      </c>
      <c r="CD751" s="77" t="s">
        <v>464</v>
      </c>
      <c r="CE751" s="77" t="s">
        <v>464</v>
      </c>
      <c r="CF751" s="77" t="s">
        <v>1266</v>
      </c>
      <c r="CG751" s="77">
        <v>125</v>
      </c>
      <c r="CH751" s="77">
        <v>220</v>
      </c>
      <c r="CI751" s="77" t="s">
        <v>1287</v>
      </c>
      <c r="CJ751" s="77">
        <f t="shared" si="189"/>
        <v>288</v>
      </c>
      <c r="CK751" s="70">
        <v>160</v>
      </c>
    </row>
    <row r="752" spans="1:89" x14ac:dyDescent="0.3">
      <c r="A752" t="s">
        <v>151</v>
      </c>
      <c r="B752" t="s">
        <v>4</v>
      </c>
      <c r="C752" t="s">
        <v>3929</v>
      </c>
      <c r="D752" s="12"/>
      <c r="E752">
        <v>3.26</v>
      </c>
      <c r="F752" s="78" t="s">
        <v>345</v>
      </c>
      <c r="G752" s="99" t="s">
        <v>587</v>
      </c>
      <c r="H752" s="58">
        <v>1522043</v>
      </c>
      <c r="J752" t="s">
        <v>1730</v>
      </c>
      <c r="K752" t="s">
        <v>1730</v>
      </c>
      <c r="M752" t="b">
        <v>1</v>
      </c>
      <c r="N752" t="b">
        <v>1</v>
      </c>
      <c r="O752" t="b">
        <v>0</v>
      </c>
      <c r="P752" t="b">
        <v>0</v>
      </c>
      <c r="Q752" t="s">
        <v>2350</v>
      </c>
      <c r="R752" t="s">
        <v>2305</v>
      </c>
      <c r="T752">
        <v>1</v>
      </c>
      <c r="U752" s="20">
        <v>0</v>
      </c>
      <c r="V752">
        <v>0</v>
      </c>
      <c r="W752">
        <v>0</v>
      </c>
      <c r="X752">
        <v>3.89</v>
      </c>
      <c r="Y752">
        <v>3.89</v>
      </c>
      <c r="Z752">
        <v>16.399999999999999</v>
      </c>
      <c r="AB752">
        <v>16.399999999999999</v>
      </c>
      <c r="AC752" s="20">
        <v>0</v>
      </c>
      <c r="AD752" s="20"/>
      <c r="AE752" s="20"/>
      <c r="AF752">
        <v>0</v>
      </c>
      <c r="AI752">
        <v>0</v>
      </c>
      <c r="AM752">
        <v>20</v>
      </c>
      <c r="AN752" s="44">
        <f t="shared" si="195"/>
        <v>248.16643999999999</v>
      </c>
      <c r="AO752" s="46">
        <v>0</v>
      </c>
      <c r="AP752" s="44">
        <v>0</v>
      </c>
      <c r="AQ752" s="44">
        <v>0</v>
      </c>
      <c r="AR752" s="41"/>
      <c r="AS752" s="40"/>
      <c r="AT752" s="41"/>
      <c r="AU752" s="41"/>
      <c r="AV752" s="23">
        <v>1.75</v>
      </c>
      <c r="AW752" s="23">
        <v>2.5</v>
      </c>
      <c r="AX752" s="23">
        <v>0.75</v>
      </c>
      <c r="AY752" s="23">
        <v>0</v>
      </c>
      <c r="AZ752" s="23">
        <v>0.35</v>
      </c>
      <c r="BA752" s="23">
        <v>0.5</v>
      </c>
      <c r="BB752" s="23">
        <v>0.15</v>
      </c>
      <c r="BC752" s="23">
        <v>0</v>
      </c>
      <c r="BD752" s="20">
        <v>0.95</v>
      </c>
      <c r="BE752" s="20">
        <v>3.44</v>
      </c>
      <c r="BF752" s="20">
        <v>2.4900000000000002</v>
      </c>
      <c r="BG752" s="20">
        <v>2.7062499999999998</v>
      </c>
      <c r="BH752">
        <v>2.7062499999999998</v>
      </c>
      <c r="BI752">
        <v>6.2396022968656872</v>
      </c>
      <c r="BJ752" s="64"/>
      <c r="BK752" s="64"/>
      <c r="BL752" s="64"/>
      <c r="BQ752">
        <v>0</v>
      </c>
      <c r="BR752">
        <v>0</v>
      </c>
      <c r="BS752">
        <v>0</v>
      </c>
      <c r="BT752" s="68" t="s">
        <v>1264</v>
      </c>
      <c r="BU752" s="68">
        <v>1573</v>
      </c>
      <c r="BV752" s="68">
        <v>10</v>
      </c>
      <c r="BX752" s="68" t="s">
        <v>464</v>
      </c>
      <c r="BY752" s="68" t="s">
        <v>464</v>
      </c>
      <c r="BZ752" s="68">
        <v>0</v>
      </c>
      <c r="CA752" s="68">
        <v>103</v>
      </c>
      <c r="CB752" s="68">
        <v>0.5</v>
      </c>
      <c r="CC752" s="68">
        <v>0</v>
      </c>
      <c r="CD752" s="77" t="s">
        <v>464</v>
      </c>
      <c r="CE752" s="77" t="s">
        <v>464</v>
      </c>
      <c r="CF752" s="77" t="s">
        <v>1266</v>
      </c>
      <c r="CG752" s="77">
        <v>125</v>
      </c>
      <c r="CH752" s="77">
        <v>220</v>
      </c>
      <c r="CI752" s="77" t="s">
        <v>1287</v>
      </c>
      <c r="CJ752" s="77">
        <f t="shared" si="189"/>
        <v>288</v>
      </c>
      <c r="CK752" s="70">
        <v>84</v>
      </c>
    </row>
    <row r="753" spans="1:89" x14ac:dyDescent="0.3">
      <c r="A753" t="s">
        <v>63</v>
      </c>
      <c r="B753" t="s">
        <v>4</v>
      </c>
      <c r="C753" t="s">
        <v>3928</v>
      </c>
      <c r="D753" s="12"/>
      <c r="E753">
        <v>3.38</v>
      </c>
      <c r="F753" s="78" t="s">
        <v>345</v>
      </c>
      <c r="G753" s="99" t="s">
        <v>587</v>
      </c>
      <c r="H753" s="58">
        <v>1522043</v>
      </c>
      <c r="J753" t="s">
        <v>1729</v>
      </c>
      <c r="K753" t="s">
        <v>1729</v>
      </c>
      <c r="M753" t="b">
        <v>1</v>
      </c>
      <c r="N753" t="b">
        <v>1</v>
      </c>
      <c r="O753" t="b">
        <v>0</v>
      </c>
      <c r="P753" t="b">
        <v>0</v>
      </c>
      <c r="Q753" t="s">
        <v>2351</v>
      </c>
      <c r="R753" t="s">
        <v>2306</v>
      </c>
      <c r="T753">
        <v>1</v>
      </c>
      <c r="U753" s="20">
        <v>0</v>
      </c>
      <c r="V753">
        <v>0</v>
      </c>
      <c r="W753">
        <v>0</v>
      </c>
      <c r="X753">
        <v>3.82</v>
      </c>
      <c r="Y753">
        <v>3.82</v>
      </c>
      <c r="Z753">
        <v>16</v>
      </c>
      <c r="AB753">
        <v>16</v>
      </c>
      <c r="AC753" s="20">
        <v>0</v>
      </c>
      <c r="AD753" s="20"/>
      <c r="AE753" s="20"/>
      <c r="AF753">
        <v>0</v>
      </c>
      <c r="AI753">
        <v>0</v>
      </c>
      <c r="AM753">
        <v>20</v>
      </c>
      <c r="AN753" s="44">
        <f t="shared" si="195"/>
        <v>233.47839999999999</v>
      </c>
      <c r="AO753" s="46">
        <v>0</v>
      </c>
      <c r="AP753" s="44">
        <v>0</v>
      </c>
      <c r="AQ753" s="44">
        <v>0</v>
      </c>
      <c r="AR753" s="41">
        <f t="shared" ref="AR753" si="198">T753*AM753/AN753</f>
        <v>8.5661029028809524E-2</v>
      </c>
      <c r="AS753" s="40"/>
      <c r="AT753" s="41"/>
      <c r="AU753" s="41"/>
      <c r="AV753" s="23">
        <v>1.75</v>
      </c>
      <c r="AW753" s="23">
        <v>2.5</v>
      </c>
      <c r="AX753" s="23">
        <v>0.75</v>
      </c>
      <c r="AY753" s="23">
        <v>0</v>
      </c>
      <c r="AZ753" s="23">
        <v>0.35</v>
      </c>
      <c r="BA753" s="23">
        <v>0.5</v>
      </c>
      <c r="BB753" s="23">
        <v>0.15</v>
      </c>
      <c r="BC753" s="23">
        <v>0</v>
      </c>
      <c r="BD753" s="20">
        <v>1</v>
      </c>
      <c r="BE753" s="20">
        <v>3.44</v>
      </c>
      <c r="BF753" s="20">
        <v>2.44</v>
      </c>
      <c r="BG753" s="20">
        <v>2.7124999999999999</v>
      </c>
      <c r="BH753">
        <v>2.7124999999999999</v>
      </c>
      <c r="BI753">
        <v>6.264025610615688</v>
      </c>
      <c r="BJ753" s="64"/>
      <c r="BK753" s="64"/>
      <c r="BL753" s="64"/>
      <c r="BM753">
        <v>4.2830514514404762E-2</v>
      </c>
      <c r="BQ753">
        <v>8.5661029028809524E-2</v>
      </c>
      <c r="BR753">
        <v>4.2830514514404762E-2</v>
      </c>
      <c r="BS753">
        <v>0</v>
      </c>
      <c r="BT753" s="68" t="s">
        <v>1264</v>
      </c>
      <c r="BU753" s="68">
        <v>1373</v>
      </c>
      <c r="BV753" s="68">
        <v>24</v>
      </c>
      <c r="BX753" s="68" t="s">
        <v>464</v>
      </c>
      <c r="BY753" s="68" t="s">
        <v>464</v>
      </c>
      <c r="BZ753" s="68">
        <v>0</v>
      </c>
      <c r="CA753" s="68">
        <v>76.3</v>
      </c>
      <c r="CB753" s="68">
        <v>0.5</v>
      </c>
      <c r="CC753" s="68">
        <v>0</v>
      </c>
      <c r="CD753" s="77" t="s">
        <v>464</v>
      </c>
      <c r="CE753" s="77" t="s">
        <v>464</v>
      </c>
      <c r="CF753" s="77" t="s">
        <v>1266</v>
      </c>
      <c r="CG753" s="77">
        <v>125</v>
      </c>
      <c r="CH753" s="77">
        <v>220</v>
      </c>
      <c r="CI753" s="77" t="s">
        <v>1287</v>
      </c>
      <c r="CJ753" s="77">
        <f t="shared" si="189"/>
        <v>288</v>
      </c>
      <c r="CK753" s="70">
        <v>55.999999999999993</v>
      </c>
    </row>
    <row r="754" spans="1:89" x14ac:dyDescent="0.3">
      <c r="A754" t="s">
        <v>151</v>
      </c>
      <c r="B754" t="s">
        <v>4</v>
      </c>
      <c r="C754" t="s">
        <v>3929</v>
      </c>
      <c r="D754" s="12"/>
      <c r="E754">
        <v>3.26</v>
      </c>
      <c r="F754" s="78" t="s">
        <v>345</v>
      </c>
      <c r="G754" s="99" t="s">
        <v>587</v>
      </c>
      <c r="H754" s="58">
        <v>1522043</v>
      </c>
      <c r="J754" t="s">
        <v>1730</v>
      </c>
      <c r="K754" t="s">
        <v>1730</v>
      </c>
      <c r="M754" t="b">
        <v>1</v>
      </c>
      <c r="N754" t="b">
        <v>1</v>
      </c>
      <c r="O754" t="b">
        <v>0</v>
      </c>
      <c r="P754" t="b">
        <v>0</v>
      </c>
      <c r="Q754" t="s">
        <v>2352</v>
      </c>
      <c r="R754" t="s">
        <v>2307</v>
      </c>
      <c r="T754">
        <v>1</v>
      </c>
      <c r="U754" s="20">
        <v>0</v>
      </c>
      <c r="V754">
        <v>0</v>
      </c>
      <c r="W754">
        <v>0</v>
      </c>
      <c r="X754">
        <v>3.89</v>
      </c>
      <c r="Y754">
        <v>3.89</v>
      </c>
      <c r="Z754">
        <v>16.399999999999999</v>
      </c>
      <c r="AB754">
        <v>16.399999999999999</v>
      </c>
      <c r="AC754" s="20">
        <v>0</v>
      </c>
      <c r="AD754" s="20"/>
      <c r="AE754" s="20"/>
      <c r="AF754">
        <v>0</v>
      </c>
      <c r="AI754">
        <v>0</v>
      </c>
      <c r="AM754">
        <v>20</v>
      </c>
      <c r="AN754" s="44">
        <f t="shared" si="195"/>
        <v>248.16643999999999</v>
      </c>
      <c r="AO754" s="46">
        <v>0</v>
      </c>
      <c r="AP754" s="44">
        <v>0</v>
      </c>
      <c r="AQ754" s="44">
        <v>0</v>
      </c>
      <c r="AR754" s="41"/>
      <c r="AS754" s="40"/>
      <c r="AT754" s="41"/>
      <c r="AU754" s="41"/>
      <c r="AV754" s="23">
        <v>1.75</v>
      </c>
      <c r="AW754" s="23">
        <v>2.5</v>
      </c>
      <c r="AX754" s="23">
        <v>0.75</v>
      </c>
      <c r="AY754" s="23">
        <v>0</v>
      </c>
      <c r="AZ754" s="23">
        <v>0.35</v>
      </c>
      <c r="BA754" s="23">
        <v>0.5</v>
      </c>
      <c r="BB754" s="23">
        <v>0.15</v>
      </c>
      <c r="BC754" s="23">
        <v>0</v>
      </c>
      <c r="BD754" s="20">
        <v>0.95</v>
      </c>
      <c r="BE754" s="20">
        <v>3.44</v>
      </c>
      <c r="BF754" s="20">
        <v>2.4900000000000002</v>
      </c>
      <c r="BG754" s="20">
        <v>2.7062499999999998</v>
      </c>
      <c r="BH754">
        <v>2.7062499999999998</v>
      </c>
      <c r="BI754">
        <v>6.2396022968656872</v>
      </c>
      <c r="BJ754" s="64"/>
      <c r="BK754" s="64"/>
      <c r="BL754" s="64"/>
      <c r="BQ754">
        <v>0</v>
      </c>
      <c r="BR754">
        <v>0</v>
      </c>
      <c r="BS754">
        <v>0</v>
      </c>
      <c r="BT754" s="68" t="s">
        <v>1264</v>
      </c>
      <c r="BU754" s="68">
        <v>1573</v>
      </c>
      <c r="BV754" s="68">
        <v>10</v>
      </c>
      <c r="BX754" s="68" t="s">
        <v>1268</v>
      </c>
      <c r="BY754" s="68" t="s">
        <v>863</v>
      </c>
      <c r="BZ754" s="68">
        <v>1</v>
      </c>
      <c r="CA754" s="68">
        <v>3.1</v>
      </c>
      <c r="CB754" s="68">
        <v>0.5</v>
      </c>
      <c r="CC754" s="68">
        <v>0</v>
      </c>
      <c r="CD754" s="77" t="s">
        <v>464</v>
      </c>
      <c r="CE754" s="77" t="s">
        <v>464</v>
      </c>
      <c r="CF754" s="77" t="s">
        <v>1266</v>
      </c>
      <c r="CG754" s="77">
        <v>125</v>
      </c>
      <c r="CH754" s="77">
        <v>220</v>
      </c>
      <c r="CI754" s="77" t="s">
        <v>1287</v>
      </c>
      <c r="CJ754" s="77">
        <f t="shared" si="189"/>
        <v>288</v>
      </c>
      <c r="CK754" s="70">
        <v>72</v>
      </c>
    </row>
    <row r="755" spans="1:89" x14ac:dyDescent="0.3">
      <c r="A755" t="s">
        <v>63</v>
      </c>
      <c r="B755" t="s">
        <v>4</v>
      </c>
      <c r="C755" t="s">
        <v>3928</v>
      </c>
      <c r="D755" s="12"/>
      <c r="E755">
        <v>3.5</v>
      </c>
      <c r="F755" s="78" t="s">
        <v>345</v>
      </c>
      <c r="G755" s="99" t="s">
        <v>587</v>
      </c>
      <c r="H755" s="58">
        <v>1522043</v>
      </c>
      <c r="J755" t="s">
        <v>1729</v>
      </c>
      <c r="K755" t="s">
        <v>1729</v>
      </c>
      <c r="M755" t="b">
        <v>1</v>
      </c>
      <c r="N755" t="b">
        <v>1</v>
      </c>
      <c r="O755" t="b">
        <v>0</v>
      </c>
      <c r="P755" t="b">
        <v>0</v>
      </c>
      <c r="Q755" t="s">
        <v>2353</v>
      </c>
      <c r="R755" t="s">
        <v>2308</v>
      </c>
      <c r="T755">
        <v>1</v>
      </c>
      <c r="U755" s="20">
        <v>0</v>
      </c>
      <c r="V755">
        <v>0</v>
      </c>
      <c r="W755">
        <v>0</v>
      </c>
      <c r="X755">
        <v>3.82</v>
      </c>
      <c r="Y755">
        <v>3.82</v>
      </c>
      <c r="Z755">
        <v>16</v>
      </c>
      <c r="AB755">
        <v>16</v>
      </c>
      <c r="AC755" s="20">
        <v>0</v>
      </c>
      <c r="AD755" s="20"/>
      <c r="AE755" s="20"/>
      <c r="AF755">
        <v>0</v>
      </c>
      <c r="AI755">
        <v>0</v>
      </c>
      <c r="AM755">
        <v>20</v>
      </c>
      <c r="AN755" s="44">
        <f t="shared" si="195"/>
        <v>233.47839999999999</v>
      </c>
      <c r="AO755" s="46">
        <v>0</v>
      </c>
      <c r="AP755" s="44">
        <v>0</v>
      </c>
      <c r="AQ755" s="44">
        <v>0</v>
      </c>
      <c r="AR755" s="41">
        <f t="shared" ref="AR755" si="199">T755*AM755/AN755</f>
        <v>8.5661029028809524E-2</v>
      </c>
      <c r="AS755" s="40"/>
      <c r="AT755" s="41"/>
      <c r="AU755" s="41"/>
      <c r="AV755" s="23">
        <v>1.75</v>
      </c>
      <c r="AW755" s="23">
        <v>2.5</v>
      </c>
      <c r="AX755" s="23">
        <v>0.75</v>
      </c>
      <c r="AY755" s="23">
        <v>0</v>
      </c>
      <c r="AZ755" s="23">
        <v>0.35</v>
      </c>
      <c r="BA755" s="23">
        <v>0.5</v>
      </c>
      <c r="BB755" s="23">
        <v>0.15</v>
      </c>
      <c r="BC755" s="23">
        <v>0</v>
      </c>
      <c r="BD755" s="20">
        <v>1</v>
      </c>
      <c r="BE755" s="20">
        <v>3.44</v>
      </c>
      <c r="BF755" s="20">
        <v>2.44</v>
      </c>
      <c r="BG755" s="20">
        <v>2.7124999999999999</v>
      </c>
      <c r="BH755">
        <v>2.7124999999999999</v>
      </c>
      <c r="BI755">
        <v>6.264025610615688</v>
      </c>
      <c r="BJ755" s="64"/>
      <c r="BK755" s="64"/>
      <c r="BL755" s="64"/>
      <c r="BM755">
        <v>4.2830514514404762E-2</v>
      </c>
      <c r="BQ755">
        <v>8.5661029028809524E-2</v>
      </c>
      <c r="BR755">
        <v>4.2830514514404762E-2</v>
      </c>
      <c r="BS755">
        <v>0</v>
      </c>
      <c r="BT755" s="68" t="s">
        <v>1264</v>
      </c>
      <c r="BU755" s="68">
        <v>1373</v>
      </c>
      <c r="BV755" s="68">
        <v>24</v>
      </c>
      <c r="BX755" s="68" t="s">
        <v>1268</v>
      </c>
      <c r="BY755" s="68" t="s">
        <v>863</v>
      </c>
      <c r="BZ755" s="68">
        <v>1</v>
      </c>
      <c r="CA755" s="68">
        <v>7.6</v>
      </c>
      <c r="CB755" s="68">
        <v>0.5</v>
      </c>
      <c r="CC755" s="68">
        <v>0</v>
      </c>
      <c r="CD755" s="77" t="s">
        <v>464</v>
      </c>
      <c r="CE755" s="77" t="s">
        <v>464</v>
      </c>
      <c r="CF755" s="77" t="s">
        <v>1266</v>
      </c>
      <c r="CG755" s="77">
        <v>125</v>
      </c>
      <c r="CH755" s="77">
        <v>220</v>
      </c>
      <c r="CI755" s="77" t="s">
        <v>1287</v>
      </c>
      <c r="CJ755" s="77">
        <f t="shared" ref="CJ755:CJ784" si="200">273+15</f>
        <v>288</v>
      </c>
      <c r="CK755" s="70">
        <v>440</v>
      </c>
    </row>
    <row r="756" spans="1:89" x14ac:dyDescent="0.3">
      <c r="A756" t="s">
        <v>151</v>
      </c>
      <c r="B756" t="s">
        <v>4</v>
      </c>
      <c r="C756" t="s">
        <v>3929</v>
      </c>
      <c r="D756" s="12"/>
      <c r="E756">
        <v>3.26</v>
      </c>
      <c r="F756" s="78" t="s">
        <v>345</v>
      </c>
      <c r="G756" s="99" t="s">
        <v>587</v>
      </c>
      <c r="H756" s="58">
        <v>1522043</v>
      </c>
      <c r="J756" t="s">
        <v>1730</v>
      </c>
      <c r="K756" t="s">
        <v>1730</v>
      </c>
      <c r="M756" t="b">
        <v>1</v>
      </c>
      <c r="N756" t="b">
        <v>1</v>
      </c>
      <c r="O756" t="b">
        <v>0</v>
      </c>
      <c r="P756" t="b">
        <v>0</v>
      </c>
      <c r="Q756" t="s">
        <v>2354</v>
      </c>
      <c r="R756" t="s">
        <v>2309</v>
      </c>
      <c r="T756">
        <v>1</v>
      </c>
      <c r="U756" s="20">
        <v>0</v>
      </c>
      <c r="V756">
        <v>0</v>
      </c>
      <c r="W756">
        <v>0</v>
      </c>
      <c r="X756">
        <v>3.89</v>
      </c>
      <c r="Y756">
        <v>3.89</v>
      </c>
      <c r="Z756">
        <v>16.399999999999999</v>
      </c>
      <c r="AB756">
        <v>16.399999999999999</v>
      </c>
      <c r="AC756" s="20">
        <v>0</v>
      </c>
      <c r="AD756" s="20"/>
      <c r="AE756" s="20"/>
      <c r="AF756">
        <v>0</v>
      </c>
      <c r="AI756">
        <v>0</v>
      </c>
      <c r="AM756">
        <v>20</v>
      </c>
      <c r="AN756" s="44">
        <f t="shared" ref="AN756:AN757" si="201">X756*Y756*Z756</f>
        <v>248.16643999999999</v>
      </c>
      <c r="AO756" s="46">
        <v>0</v>
      </c>
      <c r="AP756" s="44">
        <v>0</v>
      </c>
      <c r="AQ756" s="44">
        <v>0</v>
      </c>
      <c r="AR756" s="41"/>
      <c r="AS756" s="40"/>
      <c r="AT756" s="41"/>
      <c r="AU756" s="41"/>
      <c r="AV756" s="23">
        <v>1.75</v>
      </c>
      <c r="AW756" s="23">
        <v>2.5</v>
      </c>
      <c r="AX756" s="23">
        <v>0.75</v>
      </c>
      <c r="AY756" s="23">
        <v>0</v>
      </c>
      <c r="AZ756" s="23">
        <v>0.35</v>
      </c>
      <c r="BA756" s="23">
        <v>0.5</v>
      </c>
      <c r="BB756" s="23">
        <v>0.15</v>
      </c>
      <c r="BC756" s="23">
        <v>0</v>
      </c>
      <c r="BD756" s="20">
        <v>0.95</v>
      </c>
      <c r="BE756" s="20">
        <v>3.44</v>
      </c>
      <c r="BF756" s="20">
        <v>2.4900000000000002</v>
      </c>
      <c r="BG756" s="20">
        <v>2.7062499999999998</v>
      </c>
      <c r="BH756">
        <v>2.7062499999999998</v>
      </c>
      <c r="BI756">
        <v>6.2396022968656872</v>
      </c>
      <c r="BJ756" s="64"/>
      <c r="BK756" s="64"/>
      <c r="BL756" s="64"/>
      <c r="BQ756">
        <v>0</v>
      </c>
      <c r="BR756">
        <v>0</v>
      </c>
      <c r="BS756">
        <v>0</v>
      </c>
      <c r="BT756" s="68" t="s">
        <v>1264</v>
      </c>
      <c r="BU756" s="68">
        <v>1573</v>
      </c>
      <c r="BV756" s="68">
        <v>10</v>
      </c>
      <c r="BX756" s="68" t="s">
        <v>1268</v>
      </c>
      <c r="BY756" s="68" t="s">
        <v>863</v>
      </c>
      <c r="BZ756" s="68">
        <v>1</v>
      </c>
      <c r="CA756" s="68">
        <v>103</v>
      </c>
      <c r="CB756" s="68">
        <v>0.5</v>
      </c>
      <c r="CC756" s="68">
        <v>0</v>
      </c>
      <c r="CD756" s="77" t="s">
        <v>464</v>
      </c>
      <c r="CE756" s="77" t="s">
        <v>464</v>
      </c>
      <c r="CF756" s="77" t="s">
        <v>1266</v>
      </c>
      <c r="CG756" s="77">
        <v>125</v>
      </c>
      <c r="CH756" s="77">
        <v>220</v>
      </c>
      <c r="CI756" s="77" t="s">
        <v>1287</v>
      </c>
      <c r="CJ756" s="77">
        <f t="shared" si="200"/>
        <v>288</v>
      </c>
      <c r="CK756" s="70">
        <v>2000</v>
      </c>
    </row>
    <row r="757" spans="1:89" x14ac:dyDescent="0.3">
      <c r="A757" t="s">
        <v>63</v>
      </c>
      <c r="B757" t="s">
        <v>4</v>
      </c>
      <c r="C757" t="s">
        <v>3928</v>
      </c>
      <c r="D757" s="12"/>
      <c r="E757">
        <v>3.38</v>
      </c>
      <c r="F757" s="78" t="s">
        <v>345</v>
      </c>
      <c r="G757" s="99" t="s">
        <v>587</v>
      </c>
      <c r="H757" s="58">
        <v>1522043</v>
      </c>
      <c r="J757" t="s">
        <v>1729</v>
      </c>
      <c r="K757" t="s">
        <v>1729</v>
      </c>
      <c r="M757" t="b">
        <v>1</v>
      </c>
      <c r="N757" t="b">
        <v>1</v>
      </c>
      <c r="O757" t="b">
        <v>0</v>
      </c>
      <c r="P757" t="b">
        <v>0</v>
      </c>
      <c r="Q757" t="s">
        <v>2355</v>
      </c>
      <c r="R757" t="s">
        <v>2311</v>
      </c>
      <c r="T757">
        <v>1</v>
      </c>
      <c r="U757" s="20">
        <v>0</v>
      </c>
      <c r="V757">
        <v>0</v>
      </c>
      <c r="W757">
        <v>0</v>
      </c>
      <c r="X757">
        <v>3.82</v>
      </c>
      <c r="Y757">
        <v>3.82</v>
      </c>
      <c r="Z757">
        <v>16</v>
      </c>
      <c r="AB757">
        <v>16</v>
      </c>
      <c r="AC757" s="20">
        <v>0</v>
      </c>
      <c r="AD757" s="20"/>
      <c r="AE757" s="20"/>
      <c r="AF757">
        <v>0</v>
      </c>
      <c r="AI757">
        <v>0</v>
      </c>
      <c r="AM757">
        <v>20</v>
      </c>
      <c r="AN757" s="44">
        <f t="shared" si="201"/>
        <v>233.47839999999999</v>
      </c>
      <c r="AO757" s="46">
        <v>0</v>
      </c>
      <c r="AP757" s="44">
        <v>0</v>
      </c>
      <c r="AQ757" s="44">
        <v>0</v>
      </c>
      <c r="AR757" s="41">
        <f t="shared" ref="AR757" si="202">T757*AM757/AN757</f>
        <v>8.5661029028809524E-2</v>
      </c>
      <c r="AS757" s="40"/>
      <c r="AT757" s="41"/>
      <c r="AU757" s="41"/>
      <c r="AV757" s="23">
        <v>1.75</v>
      </c>
      <c r="AW757" s="23">
        <v>2.5</v>
      </c>
      <c r="AX757" s="23">
        <v>0.75</v>
      </c>
      <c r="AY757" s="23">
        <v>0</v>
      </c>
      <c r="AZ757" s="23">
        <v>0.35</v>
      </c>
      <c r="BA757" s="23">
        <v>0.5</v>
      </c>
      <c r="BB757" s="23">
        <v>0.15</v>
      </c>
      <c r="BC757" s="23">
        <v>0</v>
      </c>
      <c r="BD757" s="20">
        <v>1</v>
      </c>
      <c r="BE757" s="20">
        <v>3.44</v>
      </c>
      <c r="BF757" s="20">
        <v>2.44</v>
      </c>
      <c r="BG757" s="20">
        <v>2.7124999999999999</v>
      </c>
      <c r="BH757">
        <v>2.7124999999999999</v>
      </c>
      <c r="BI757">
        <v>6.264025610615688</v>
      </c>
      <c r="BJ757" s="64"/>
      <c r="BK757" s="64"/>
      <c r="BL757" s="64"/>
      <c r="BM757">
        <v>4.2830514514404762E-2</v>
      </c>
      <c r="BQ757">
        <v>8.5661029028809524E-2</v>
      </c>
      <c r="BR757">
        <v>4.2830514514404762E-2</v>
      </c>
      <c r="BS757">
        <v>0</v>
      </c>
      <c r="BT757" s="68" t="s">
        <v>1264</v>
      </c>
      <c r="BU757" s="68">
        <v>1373</v>
      </c>
      <c r="BV757" s="68">
        <v>24</v>
      </c>
      <c r="BX757" s="68" t="s">
        <v>1268</v>
      </c>
      <c r="BY757" s="68" t="s">
        <v>863</v>
      </c>
      <c r="BZ757" s="68">
        <v>1</v>
      </c>
      <c r="CA757" s="68">
        <v>76.3</v>
      </c>
      <c r="CB757" s="68">
        <v>0.5</v>
      </c>
      <c r="CC757" s="68">
        <v>0</v>
      </c>
      <c r="CD757" s="77" t="s">
        <v>464</v>
      </c>
      <c r="CE757" s="77" t="s">
        <v>464</v>
      </c>
      <c r="CF757" s="77" t="s">
        <v>1266</v>
      </c>
      <c r="CG757" s="77">
        <v>125</v>
      </c>
      <c r="CH757" s="77">
        <v>220</v>
      </c>
      <c r="CI757" s="77" t="s">
        <v>1287</v>
      </c>
      <c r="CJ757" s="77">
        <f t="shared" si="200"/>
        <v>288</v>
      </c>
      <c r="CK757" s="70">
        <v>4000</v>
      </c>
    </row>
    <row r="758" spans="1:89" x14ac:dyDescent="0.3">
      <c r="A758" t="s">
        <v>4</v>
      </c>
      <c r="B758" t="s">
        <v>4</v>
      </c>
      <c r="C758" t="s">
        <v>3921</v>
      </c>
      <c r="D758" s="12"/>
      <c r="E758">
        <v>3.54</v>
      </c>
      <c r="F758" s="79" t="s">
        <v>352</v>
      </c>
      <c r="G758" s="8" t="s">
        <v>527</v>
      </c>
      <c r="H758" t="s">
        <v>609</v>
      </c>
      <c r="M758" t="b">
        <v>1</v>
      </c>
      <c r="N758" t="b">
        <v>1</v>
      </c>
      <c r="O758" t="b">
        <v>0</v>
      </c>
      <c r="P758" t="b">
        <v>0</v>
      </c>
      <c r="Q758" t="s">
        <v>527</v>
      </c>
      <c r="R758" t="s">
        <v>609</v>
      </c>
      <c r="T758">
        <v>2</v>
      </c>
      <c r="U758" s="20">
        <v>4</v>
      </c>
      <c r="V758">
        <v>4</v>
      </c>
      <c r="W758">
        <v>0</v>
      </c>
      <c r="X758">
        <v>3.86</v>
      </c>
      <c r="Y758">
        <v>3.86</v>
      </c>
      <c r="Z758">
        <v>29.4</v>
      </c>
      <c r="AB758">
        <v>14.7</v>
      </c>
      <c r="AC758" s="20">
        <v>7.8084429999999996</v>
      </c>
      <c r="AD758" s="20">
        <v>7.8548809999999998</v>
      </c>
      <c r="AE758" s="20">
        <v>15.19056011</v>
      </c>
      <c r="AF758">
        <v>3.8801999999999999</v>
      </c>
      <c r="AG758">
        <v>29.507999999999999</v>
      </c>
      <c r="AH758">
        <v>7.7140000000000004</v>
      </c>
      <c r="AI758">
        <v>0</v>
      </c>
      <c r="AM758">
        <v>20</v>
      </c>
      <c r="AN758" s="44">
        <f t="shared" si="180"/>
        <v>438.04823999999996</v>
      </c>
      <c r="AO758" s="46">
        <v>924.74694800021894</v>
      </c>
      <c r="AP758" s="44">
        <v>883.22940750240002</v>
      </c>
      <c r="AQ758" s="44">
        <v>0</v>
      </c>
      <c r="AR758" s="41">
        <f t="shared" si="187"/>
        <v>9.1314143848631832E-2</v>
      </c>
      <c r="AS758" s="40">
        <v>8.6510153045653584E-2</v>
      </c>
      <c r="AT758" s="41">
        <v>9.0576694254581439E-2</v>
      </c>
      <c r="AU758" s="41"/>
      <c r="AV758" s="23">
        <v>1.75</v>
      </c>
      <c r="AW758" s="23">
        <v>2.5</v>
      </c>
      <c r="AX758" s="23">
        <v>0.75</v>
      </c>
      <c r="AY758" s="23">
        <v>0</v>
      </c>
      <c r="AZ758" s="23">
        <v>0.35</v>
      </c>
      <c r="BA758" s="23">
        <v>0.5</v>
      </c>
      <c r="BB758" s="23">
        <v>0.15</v>
      </c>
      <c r="BC758" s="23">
        <v>0</v>
      </c>
      <c r="BD758" s="20">
        <v>0.82</v>
      </c>
      <c r="BE758" s="20">
        <v>3.44</v>
      </c>
      <c r="BF758" s="20">
        <v>2.62</v>
      </c>
      <c r="BG758" s="20">
        <v>2.6262500000000002</v>
      </c>
      <c r="BH758">
        <v>2.6262500000000002</v>
      </c>
      <c r="BI758">
        <v>5.96680968125</v>
      </c>
      <c r="BJ758" s="64">
        <v>0.50555206026575039</v>
      </c>
      <c r="BK758" s="64">
        <v>0</v>
      </c>
      <c r="BL758" s="64"/>
      <c r="BM758">
        <v>4.5657071924315923E-2</v>
      </c>
      <c r="BN758">
        <v>4.3255076522826792E-2</v>
      </c>
      <c r="BO758">
        <v>4.5288347127290719E-2</v>
      </c>
      <c r="BQ758">
        <v>8.9466997049622285E-2</v>
      </c>
      <c r="BR758">
        <v>4.4733498524811142E-2</v>
      </c>
      <c r="BS758">
        <v>0.2527760301328752</v>
      </c>
      <c r="BT758" s="68" t="s">
        <v>1264</v>
      </c>
      <c r="BU758" s="68">
        <v>1373</v>
      </c>
      <c r="BV758" s="68">
        <v>24</v>
      </c>
      <c r="BX758" s="68" t="s">
        <v>464</v>
      </c>
      <c r="BY758" s="68" t="s">
        <v>464</v>
      </c>
      <c r="BZ758" s="68">
        <v>0</v>
      </c>
      <c r="CA758" s="68">
        <v>3.8</v>
      </c>
      <c r="CB758" s="68">
        <v>0.5</v>
      </c>
      <c r="CC758" s="68">
        <v>0</v>
      </c>
      <c r="CD758" s="77" t="s">
        <v>464</v>
      </c>
      <c r="CE758" s="77" t="s">
        <v>464</v>
      </c>
      <c r="CF758" s="77" t="s">
        <v>1266</v>
      </c>
      <c r="CG758" s="77">
        <v>125</v>
      </c>
      <c r="CH758" s="77">
        <v>220</v>
      </c>
      <c r="CI758" s="77" t="s">
        <v>1287</v>
      </c>
      <c r="CJ758" s="77">
        <f t="shared" si="200"/>
        <v>288</v>
      </c>
      <c r="CK758" s="70">
        <v>37.599999999999994</v>
      </c>
    </row>
    <row r="759" spans="1:89" x14ac:dyDescent="0.3">
      <c r="A759" t="s">
        <v>63</v>
      </c>
      <c r="B759" t="s">
        <v>4</v>
      </c>
      <c r="C759" t="s">
        <v>3928</v>
      </c>
      <c r="D759" s="12"/>
      <c r="E759">
        <v>3.5</v>
      </c>
      <c r="F759" s="79" t="s">
        <v>352</v>
      </c>
      <c r="G759" s="104" t="s">
        <v>587</v>
      </c>
      <c r="H759" s="58">
        <v>1522043</v>
      </c>
      <c r="J759" t="s">
        <v>1729</v>
      </c>
      <c r="K759" t="s">
        <v>1729</v>
      </c>
      <c r="M759" t="b">
        <v>1</v>
      </c>
      <c r="N759" t="b">
        <v>1</v>
      </c>
      <c r="O759" t="b">
        <v>0</v>
      </c>
      <c r="P759" t="b">
        <v>0</v>
      </c>
      <c r="Q759" t="s">
        <v>2356</v>
      </c>
      <c r="R759" t="s">
        <v>2313</v>
      </c>
      <c r="T759">
        <v>1</v>
      </c>
      <c r="U759" s="20">
        <v>0</v>
      </c>
      <c r="V759">
        <v>0</v>
      </c>
      <c r="W759">
        <v>0</v>
      </c>
      <c r="X759">
        <v>3.82</v>
      </c>
      <c r="Y759">
        <v>3.82</v>
      </c>
      <c r="Z759">
        <v>16</v>
      </c>
      <c r="AB759">
        <v>16</v>
      </c>
      <c r="AC759" s="20">
        <v>0</v>
      </c>
      <c r="AD759" s="20"/>
      <c r="AE759" s="20"/>
      <c r="AF759">
        <v>0</v>
      </c>
      <c r="AI759">
        <v>0</v>
      </c>
      <c r="AM759">
        <v>20</v>
      </c>
      <c r="AN759" s="44">
        <f t="shared" si="180"/>
        <v>233.47839999999999</v>
      </c>
      <c r="AO759" s="46">
        <v>0</v>
      </c>
      <c r="AP759" s="44">
        <v>0</v>
      </c>
      <c r="AQ759" s="44">
        <v>0</v>
      </c>
      <c r="AR759" s="41">
        <f t="shared" si="187"/>
        <v>8.5661029028809524E-2</v>
      </c>
      <c r="AS759" s="40"/>
      <c r="AT759" s="41"/>
      <c r="AU759" s="41"/>
      <c r="AV759" s="23">
        <v>1.75</v>
      </c>
      <c r="AW759" s="23">
        <v>2.5</v>
      </c>
      <c r="AX759" s="23">
        <v>0.75</v>
      </c>
      <c r="AY759" s="23">
        <v>0</v>
      </c>
      <c r="AZ759" s="23">
        <v>0.35</v>
      </c>
      <c r="BA759" s="23">
        <v>0.5</v>
      </c>
      <c r="BB759" s="23">
        <v>0.15</v>
      </c>
      <c r="BC759" s="23">
        <v>0</v>
      </c>
      <c r="BD759" s="20">
        <v>1</v>
      </c>
      <c r="BE759" s="20">
        <v>3.44</v>
      </c>
      <c r="BF759" s="20">
        <v>2.44</v>
      </c>
      <c r="BG759" s="20">
        <v>2.7124999999999999</v>
      </c>
      <c r="BH759">
        <v>2.7124999999999999</v>
      </c>
      <c r="BI759">
        <v>6.264025610615688</v>
      </c>
      <c r="BJ759" s="64"/>
      <c r="BK759" s="64"/>
      <c r="BL759" s="64"/>
      <c r="BM759">
        <v>4.2830514514404762E-2</v>
      </c>
      <c r="BQ759">
        <v>8.5661029028809524E-2</v>
      </c>
      <c r="BR759">
        <v>4.2830514514404762E-2</v>
      </c>
      <c r="BS759">
        <v>0</v>
      </c>
      <c r="BT759" s="68" t="s">
        <v>1264</v>
      </c>
      <c r="BU759" s="68">
        <v>1373</v>
      </c>
      <c r="BV759" s="68">
        <v>24</v>
      </c>
      <c r="BX759" s="68" t="s">
        <v>464</v>
      </c>
      <c r="BY759" s="68" t="s">
        <v>464</v>
      </c>
      <c r="BZ759" s="68">
        <v>0</v>
      </c>
      <c r="CA759" s="68">
        <v>5.6</v>
      </c>
      <c r="CB759" s="68">
        <v>0.5</v>
      </c>
      <c r="CC759" s="68">
        <v>0</v>
      </c>
      <c r="CD759" s="77" t="s">
        <v>464</v>
      </c>
      <c r="CE759" s="77" t="s">
        <v>464</v>
      </c>
      <c r="CF759" s="77" t="s">
        <v>1266</v>
      </c>
      <c r="CG759" s="77">
        <v>125</v>
      </c>
      <c r="CH759" s="77">
        <v>220</v>
      </c>
      <c r="CI759" s="77" t="s">
        <v>1287</v>
      </c>
      <c r="CJ759" s="77">
        <f t="shared" si="200"/>
        <v>288</v>
      </c>
      <c r="CK759" s="70">
        <v>520</v>
      </c>
    </row>
    <row r="760" spans="1:89" x14ac:dyDescent="0.3">
      <c r="A760" t="s">
        <v>2560</v>
      </c>
      <c r="B760" t="s">
        <v>4</v>
      </c>
      <c r="C760" t="s">
        <v>4251</v>
      </c>
      <c r="D760" s="12"/>
      <c r="E760">
        <v>3.45</v>
      </c>
      <c r="F760" s="79" t="s">
        <v>352</v>
      </c>
      <c r="G760" s="109" t="s">
        <v>2509</v>
      </c>
      <c r="H760">
        <v>-1</v>
      </c>
      <c r="J760" t="s">
        <v>1756</v>
      </c>
      <c r="M760" t="b">
        <v>1</v>
      </c>
      <c r="N760" t="b">
        <v>0</v>
      </c>
      <c r="O760" t="b">
        <v>0</v>
      </c>
      <c r="P760" t="b">
        <v>0</v>
      </c>
      <c r="Q760" t="s">
        <v>2357</v>
      </c>
      <c r="R760">
        <v>-1</v>
      </c>
      <c r="T760">
        <v>1</v>
      </c>
      <c r="U760" s="20">
        <v>0</v>
      </c>
      <c r="V760">
        <v>0</v>
      </c>
      <c r="W760">
        <v>0</v>
      </c>
      <c r="X760">
        <v>3.86</v>
      </c>
      <c r="Y760">
        <v>3.86</v>
      </c>
      <c r="Z760">
        <v>20.9</v>
      </c>
      <c r="AB760">
        <v>20.9</v>
      </c>
      <c r="AC760" s="20">
        <v>0</v>
      </c>
      <c r="AD760" s="20"/>
      <c r="AE760" s="20"/>
      <c r="AF760">
        <v>0</v>
      </c>
      <c r="AI760">
        <v>0</v>
      </c>
      <c r="AM760">
        <v>20</v>
      </c>
      <c r="AN760" s="44">
        <f t="shared" si="180"/>
        <v>311.40163999999999</v>
      </c>
      <c r="AO760" s="46">
        <v>0</v>
      </c>
      <c r="AP760" s="44">
        <v>0</v>
      </c>
      <c r="AQ760" s="44">
        <v>0</v>
      </c>
      <c r="AR760" s="41">
        <f t="shared" si="187"/>
        <v>6.4225737539468322E-2</v>
      </c>
      <c r="AS760" s="40"/>
      <c r="AT760" s="41"/>
      <c r="AU760" s="41"/>
      <c r="AV760" s="23">
        <v>1.6190476190476191</v>
      </c>
      <c r="AW760" s="23">
        <v>2</v>
      </c>
      <c r="AX760" s="23">
        <v>0.5714285714285714</v>
      </c>
      <c r="AY760" s="23">
        <v>0</v>
      </c>
      <c r="AZ760" s="23">
        <v>0.38636363636363641</v>
      </c>
      <c r="BA760" s="23">
        <v>0.47727272727272718</v>
      </c>
      <c r="BB760" s="23">
        <v>0.13636363636363641</v>
      </c>
      <c r="BC760" s="23">
        <v>0</v>
      </c>
      <c r="BD760" s="20">
        <v>1</v>
      </c>
      <c r="BE760" s="20">
        <v>3.44</v>
      </c>
      <c r="BF760" s="20">
        <v>2.44</v>
      </c>
      <c r="BG760" s="20">
        <v>2.6071428571428572</v>
      </c>
      <c r="BH760">
        <v>2.6071428571428572</v>
      </c>
      <c r="BI760">
        <v>6.4376988464407141</v>
      </c>
      <c r="BJ760" s="64"/>
      <c r="BK760" s="64"/>
      <c r="BL760" s="64"/>
      <c r="BM760">
        <v>3.2112868769734161E-2</v>
      </c>
      <c r="BQ760">
        <v>6.4225737539468322E-2</v>
      </c>
      <c r="BR760">
        <v>3.2112868769734161E-2</v>
      </c>
      <c r="BS760">
        <v>0</v>
      </c>
      <c r="BT760" s="68" t="s">
        <v>1264</v>
      </c>
      <c r="BU760" s="68">
        <v>1373</v>
      </c>
      <c r="BV760" s="68">
        <v>24</v>
      </c>
      <c r="BX760" s="68" t="s">
        <v>464</v>
      </c>
      <c r="BY760" s="68" t="s">
        <v>464</v>
      </c>
      <c r="BZ760" s="68">
        <v>0</v>
      </c>
      <c r="CA760" s="68">
        <v>2.4</v>
      </c>
      <c r="CB760" s="68">
        <v>0.5</v>
      </c>
      <c r="CC760" s="68">
        <v>0</v>
      </c>
      <c r="CD760" s="77" t="s">
        <v>464</v>
      </c>
      <c r="CE760" s="77" t="s">
        <v>464</v>
      </c>
      <c r="CF760" s="77" t="s">
        <v>1266</v>
      </c>
      <c r="CG760" s="77">
        <v>125</v>
      </c>
      <c r="CH760" s="77">
        <v>220</v>
      </c>
      <c r="CI760" s="77" t="s">
        <v>1287</v>
      </c>
      <c r="CJ760" s="77">
        <f t="shared" si="200"/>
        <v>288</v>
      </c>
      <c r="CK760" s="70">
        <v>3200</v>
      </c>
    </row>
    <row r="761" spans="1:89" x14ac:dyDescent="0.3">
      <c r="A761" t="s">
        <v>2561</v>
      </c>
      <c r="B761" t="s">
        <v>4</v>
      </c>
      <c r="C761" t="s">
        <v>4252</v>
      </c>
      <c r="D761" s="12"/>
      <c r="E761">
        <v>3.5</v>
      </c>
      <c r="F761" s="79" t="s">
        <v>352</v>
      </c>
      <c r="G761" s="109" t="s">
        <v>2510</v>
      </c>
      <c r="H761">
        <v>-1</v>
      </c>
      <c r="J761" t="s">
        <v>1756</v>
      </c>
      <c r="M761" t="b">
        <v>1</v>
      </c>
      <c r="N761" t="b">
        <v>0</v>
      </c>
      <c r="O761" t="b">
        <v>0</v>
      </c>
      <c r="P761" t="b">
        <v>0</v>
      </c>
      <c r="Q761" t="s">
        <v>2358</v>
      </c>
      <c r="R761">
        <v>-1</v>
      </c>
      <c r="T761">
        <v>1</v>
      </c>
      <c r="U761" s="20">
        <v>0</v>
      </c>
      <c r="V761">
        <v>0</v>
      </c>
      <c r="W761">
        <v>0</v>
      </c>
      <c r="X761">
        <v>3.86</v>
      </c>
      <c r="Y761">
        <v>3.86</v>
      </c>
      <c r="Z761">
        <v>17.899999999999999</v>
      </c>
      <c r="AB761">
        <v>17.899999999999999</v>
      </c>
      <c r="AC761" s="20">
        <v>0</v>
      </c>
      <c r="AD761" s="20"/>
      <c r="AE761" s="20"/>
      <c r="AF761">
        <v>0</v>
      </c>
      <c r="AI761">
        <v>0</v>
      </c>
      <c r="AM761">
        <v>20</v>
      </c>
      <c r="AN761" s="44">
        <f t="shared" si="180"/>
        <v>266.70283999999998</v>
      </c>
      <c r="AO761" s="46">
        <v>0</v>
      </c>
      <c r="AP761" s="44">
        <v>0</v>
      </c>
      <c r="AQ761" s="44">
        <v>0</v>
      </c>
      <c r="AR761" s="41">
        <f t="shared" si="187"/>
        <v>7.4989827629882017E-2</v>
      </c>
      <c r="AS761" s="40"/>
      <c r="AT761" s="41"/>
      <c r="AU761" s="41"/>
      <c r="AV761" s="23">
        <v>1.583333333333333</v>
      </c>
      <c r="AW761" s="23">
        <v>1.833333333333333</v>
      </c>
      <c r="AX761" s="23">
        <v>0.5</v>
      </c>
      <c r="AY761" s="23">
        <v>0</v>
      </c>
      <c r="AZ761" s="23">
        <v>0.40425531914893609</v>
      </c>
      <c r="BA761" s="23">
        <v>0.46808510638297868</v>
      </c>
      <c r="BB761" s="23">
        <v>0.1276595744680851</v>
      </c>
      <c r="BC761" s="23">
        <v>0</v>
      </c>
      <c r="BD761" s="20">
        <v>1</v>
      </c>
      <c r="BE761" s="20">
        <v>3.44</v>
      </c>
      <c r="BF761" s="20">
        <v>2.44</v>
      </c>
      <c r="BG761" s="20">
        <v>2.5708333333333329</v>
      </c>
      <c r="BH761">
        <v>2.5708333333333329</v>
      </c>
      <c r="BI761">
        <v>6.4919128825398751</v>
      </c>
      <c r="BJ761" s="64"/>
      <c r="BK761" s="64"/>
      <c r="BL761" s="64"/>
      <c r="BM761">
        <v>3.7494913814941008E-2</v>
      </c>
      <c r="BQ761">
        <v>7.4989827629882017E-2</v>
      </c>
      <c r="BR761">
        <v>3.7494913814941008E-2</v>
      </c>
      <c r="BS761">
        <v>0</v>
      </c>
      <c r="BT761" s="68" t="s">
        <v>1264</v>
      </c>
      <c r="BU761" s="68">
        <v>1373</v>
      </c>
      <c r="BV761" s="68">
        <v>24</v>
      </c>
      <c r="BX761" s="68" t="s">
        <v>464</v>
      </c>
      <c r="BY761" s="68" t="s">
        <v>464</v>
      </c>
      <c r="BZ761" s="68">
        <v>0</v>
      </c>
      <c r="CA761" s="68">
        <v>4.7</v>
      </c>
      <c r="CB761" s="68">
        <v>0.5</v>
      </c>
      <c r="CC761" s="68">
        <v>0</v>
      </c>
      <c r="CD761" s="77" t="s">
        <v>464</v>
      </c>
      <c r="CE761" s="77" t="s">
        <v>464</v>
      </c>
      <c r="CF761" s="77" t="s">
        <v>1266</v>
      </c>
      <c r="CG761" s="77">
        <v>125</v>
      </c>
      <c r="CH761" s="77">
        <v>220</v>
      </c>
      <c r="CI761" s="77" t="s">
        <v>1287</v>
      </c>
      <c r="CJ761" s="77">
        <f t="shared" si="200"/>
        <v>288</v>
      </c>
      <c r="CK761" s="70">
        <v>4200</v>
      </c>
    </row>
    <row r="762" spans="1:89" x14ac:dyDescent="0.3">
      <c r="A762" t="s">
        <v>2741</v>
      </c>
      <c r="B762" t="s">
        <v>4</v>
      </c>
      <c r="C762" t="s">
        <v>4253</v>
      </c>
      <c r="D762" s="12"/>
      <c r="E762">
        <v>3.53</v>
      </c>
      <c r="F762" s="79" t="s">
        <v>352</v>
      </c>
      <c r="G762" s="109" t="s">
        <v>2511</v>
      </c>
      <c r="H762">
        <v>-1</v>
      </c>
      <c r="J762" t="s">
        <v>1756</v>
      </c>
      <c r="M762" t="b">
        <v>1</v>
      </c>
      <c r="N762" t="b">
        <v>0</v>
      </c>
      <c r="O762" t="b">
        <v>0</v>
      </c>
      <c r="P762" t="b">
        <v>0</v>
      </c>
      <c r="Q762" t="s">
        <v>2359</v>
      </c>
      <c r="R762">
        <v>-1</v>
      </c>
      <c r="T762">
        <v>1</v>
      </c>
      <c r="U762" s="20">
        <v>0</v>
      </c>
      <c r="V762">
        <v>0</v>
      </c>
      <c r="W762">
        <v>0</v>
      </c>
      <c r="X762">
        <v>3.86</v>
      </c>
      <c r="Y762">
        <v>3.86</v>
      </c>
      <c r="Z762">
        <v>19.899999999999999</v>
      </c>
      <c r="AB762">
        <v>19.899999999999999</v>
      </c>
      <c r="AC762" s="20">
        <v>0</v>
      </c>
      <c r="AD762" s="20"/>
      <c r="AE762" s="20"/>
      <c r="AF762">
        <v>0</v>
      </c>
      <c r="AI762">
        <v>0</v>
      </c>
      <c r="AM762">
        <v>20</v>
      </c>
      <c r="AN762" s="44">
        <f t="shared" si="180"/>
        <v>296.50203999999997</v>
      </c>
      <c r="AO762" s="46">
        <v>0</v>
      </c>
      <c r="AP762" s="44">
        <v>0</v>
      </c>
      <c r="AQ762" s="44">
        <v>0</v>
      </c>
      <c r="AR762" s="41">
        <f t="shared" si="187"/>
        <v>6.745316153642654E-2</v>
      </c>
      <c r="AS762" s="40"/>
      <c r="AT762" s="41"/>
      <c r="AU762" s="41"/>
      <c r="AV762" s="23">
        <v>1.555555555555556</v>
      </c>
      <c r="AW762" s="23">
        <v>1.7037037037037039</v>
      </c>
      <c r="AX762" s="23">
        <v>0.44444444444444442</v>
      </c>
      <c r="AY762" s="23">
        <v>0</v>
      </c>
      <c r="AZ762" s="23">
        <v>0.42</v>
      </c>
      <c r="BA762" s="23">
        <v>0.46</v>
      </c>
      <c r="BB762" s="23">
        <v>0.12</v>
      </c>
      <c r="BC762" s="23">
        <v>0</v>
      </c>
      <c r="BD762" s="20">
        <v>1</v>
      </c>
      <c r="BE762" s="20">
        <v>3.44</v>
      </c>
      <c r="BF762" s="20">
        <v>2.44</v>
      </c>
      <c r="BG762" s="20">
        <v>2.5425925925925932</v>
      </c>
      <c r="BH762">
        <v>2.5425925925925932</v>
      </c>
      <c r="BI762">
        <v>6.5340793550614444</v>
      </c>
      <c r="BJ762" s="64"/>
      <c r="BK762" s="64"/>
      <c r="BL762" s="64"/>
      <c r="BM762">
        <v>3.372658076821327E-2</v>
      </c>
      <c r="BQ762">
        <v>6.745316153642654E-2</v>
      </c>
      <c r="BR762">
        <v>3.372658076821327E-2</v>
      </c>
      <c r="BS762">
        <v>0</v>
      </c>
      <c r="BT762" s="68" t="s">
        <v>1264</v>
      </c>
      <c r="BU762" s="68">
        <v>1373</v>
      </c>
      <c r="BV762" s="68">
        <v>24</v>
      </c>
      <c r="BX762" s="68" t="s">
        <v>464</v>
      </c>
      <c r="BY762" s="68" t="s">
        <v>464</v>
      </c>
      <c r="BZ762" s="68">
        <v>0</v>
      </c>
      <c r="CA762" s="68">
        <v>6.4</v>
      </c>
      <c r="CB762" s="68">
        <v>0.5</v>
      </c>
      <c r="CC762" s="68">
        <v>0</v>
      </c>
      <c r="CD762" s="77" t="s">
        <v>464</v>
      </c>
      <c r="CE762" s="77" t="s">
        <v>464</v>
      </c>
      <c r="CF762" s="77" t="s">
        <v>1266</v>
      </c>
      <c r="CG762" s="77">
        <v>125</v>
      </c>
      <c r="CH762" s="77">
        <v>220</v>
      </c>
      <c r="CI762" s="77" t="s">
        <v>1287</v>
      </c>
      <c r="CJ762" s="77">
        <f t="shared" si="200"/>
        <v>288</v>
      </c>
      <c r="CK762" s="70">
        <v>3520</v>
      </c>
    </row>
    <row r="763" spans="1:89" x14ac:dyDescent="0.3">
      <c r="A763" t="s">
        <v>2562</v>
      </c>
      <c r="B763" t="s">
        <v>4</v>
      </c>
      <c r="C763" t="s">
        <v>4254</v>
      </c>
      <c r="D763" s="12"/>
      <c r="E763">
        <v>3.5</v>
      </c>
      <c r="F763" s="79" t="s">
        <v>352</v>
      </c>
      <c r="G763" s="109" t="s">
        <v>2512</v>
      </c>
      <c r="H763">
        <v>-1</v>
      </c>
      <c r="J763" t="s">
        <v>1756</v>
      </c>
      <c r="M763" t="b">
        <v>1</v>
      </c>
      <c r="N763" t="b">
        <v>0</v>
      </c>
      <c r="O763" t="b">
        <v>0</v>
      </c>
      <c r="P763" t="b">
        <v>0</v>
      </c>
      <c r="Q763" t="s">
        <v>2360</v>
      </c>
      <c r="R763">
        <v>-1</v>
      </c>
      <c r="T763">
        <v>1</v>
      </c>
      <c r="U763" s="20">
        <v>0</v>
      </c>
      <c r="V763">
        <v>0</v>
      </c>
      <c r="W763">
        <v>0</v>
      </c>
      <c r="X763">
        <v>3.87</v>
      </c>
      <c r="Y763">
        <v>3.87</v>
      </c>
      <c r="Z763">
        <v>22.1</v>
      </c>
      <c r="AB763">
        <v>22.1</v>
      </c>
      <c r="AC763" s="20">
        <v>0</v>
      </c>
      <c r="AD763" s="20"/>
      <c r="AE763" s="20"/>
      <c r="AF763">
        <v>0</v>
      </c>
      <c r="AI763">
        <v>0</v>
      </c>
      <c r="AM763">
        <v>20</v>
      </c>
      <c r="AN763" s="44">
        <f t="shared" si="180"/>
        <v>330.98949000000005</v>
      </c>
      <c r="AO763" s="46">
        <v>0</v>
      </c>
      <c r="AP763" s="44">
        <v>0</v>
      </c>
      <c r="AQ763" s="44">
        <v>0</v>
      </c>
      <c r="AR763" s="41">
        <f t="shared" si="187"/>
        <v>6.0424879351909322E-2</v>
      </c>
      <c r="AS763" s="40"/>
      <c r="AT763" s="41"/>
      <c r="AU763" s="41"/>
      <c r="AV763" s="23">
        <v>1.533333333333333</v>
      </c>
      <c r="AW763" s="23">
        <v>1.6</v>
      </c>
      <c r="AX763" s="23">
        <v>0.4</v>
      </c>
      <c r="AY763" s="23">
        <v>0</v>
      </c>
      <c r="AZ763" s="23">
        <v>0.43396226415094352</v>
      </c>
      <c r="BA763" s="23">
        <v>0.45283018867924529</v>
      </c>
      <c r="BB763" s="23">
        <v>0.1132075471698113</v>
      </c>
      <c r="BC763" s="23">
        <v>0</v>
      </c>
      <c r="BD763" s="20">
        <v>1</v>
      </c>
      <c r="BE763" s="20">
        <v>3.44</v>
      </c>
      <c r="BF763" s="20">
        <v>2.44</v>
      </c>
      <c r="BG763" s="20">
        <v>2.52</v>
      </c>
      <c r="BH763">
        <v>2.52</v>
      </c>
      <c r="BI763">
        <v>6.5678125330786994</v>
      </c>
      <c r="BJ763" s="64"/>
      <c r="BK763" s="64"/>
      <c r="BL763" s="64"/>
      <c r="BM763">
        <v>3.0212439675954661E-2</v>
      </c>
      <c r="BQ763">
        <v>6.0424879351909322E-2</v>
      </c>
      <c r="BR763">
        <v>3.0212439675954661E-2</v>
      </c>
      <c r="BS763">
        <v>0</v>
      </c>
      <c r="BT763" s="68" t="s">
        <v>1264</v>
      </c>
      <c r="BU763" s="68">
        <v>1373</v>
      </c>
      <c r="BV763" s="68">
        <v>24</v>
      </c>
      <c r="BX763" s="68" t="s">
        <v>464</v>
      </c>
      <c r="BY763" s="68" t="s">
        <v>464</v>
      </c>
      <c r="BZ763" s="68">
        <v>0</v>
      </c>
      <c r="CA763" s="68">
        <v>7.3</v>
      </c>
      <c r="CB763" s="68">
        <v>0.5</v>
      </c>
      <c r="CC763" s="68">
        <v>0</v>
      </c>
      <c r="CD763" s="77" t="s">
        <v>464</v>
      </c>
      <c r="CE763" s="77" t="s">
        <v>464</v>
      </c>
      <c r="CF763" s="77" t="s">
        <v>1266</v>
      </c>
      <c r="CG763" s="77">
        <v>125</v>
      </c>
      <c r="CH763" s="77">
        <v>220</v>
      </c>
      <c r="CI763" s="77" t="s">
        <v>1287</v>
      </c>
      <c r="CJ763" s="77">
        <f t="shared" si="200"/>
        <v>288</v>
      </c>
      <c r="CK763" s="70">
        <v>4840</v>
      </c>
    </row>
    <row r="764" spans="1:89" x14ac:dyDescent="0.3">
      <c r="A764" t="s">
        <v>2564</v>
      </c>
      <c r="B764" t="s">
        <v>4</v>
      </c>
      <c r="C764" t="s">
        <v>4255</v>
      </c>
      <c r="D764" s="12"/>
      <c r="E764">
        <v>3.47</v>
      </c>
      <c r="F764" s="79" t="s">
        <v>352</v>
      </c>
      <c r="G764" s="109" t="s">
        <v>2513</v>
      </c>
      <c r="H764">
        <v>-1</v>
      </c>
      <c r="J764" t="s">
        <v>1756</v>
      </c>
      <c r="M764" t="b">
        <v>1</v>
      </c>
      <c r="N764" t="b">
        <v>0</v>
      </c>
      <c r="O764" t="b">
        <v>0</v>
      </c>
      <c r="P764" t="b">
        <v>0</v>
      </c>
      <c r="Q764" t="s">
        <v>2361</v>
      </c>
      <c r="R764">
        <v>-1</v>
      </c>
      <c r="T764">
        <v>1</v>
      </c>
      <c r="U764" s="20">
        <v>0</v>
      </c>
      <c r="V764">
        <v>0</v>
      </c>
      <c r="W764">
        <v>0</v>
      </c>
      <c r="X764">
        <v>3.87</v>
      </c>
      <c r="Y764">
        <v>3.87</v>
      </c>
      <c r="Z764">
        <v>26.4</v>
      </c>
      <c r="AB764">
        <v>26.4</v>
      </c>
      <c r="AC764" s="20">
        <v>0</v>
      </c>
      <c r="AD764" s="20"/>
      <c r="AE764" s="20"/>
      <c r="AF764">
        <v>0</v>
      </c>
      <c r="AI764">
        <v>0</v>
      </c>
      <c r="AM764">
        <v>20</v>
      </c>
      <c r="AN764" s="44">
        <f t="shared" si="180"/>
        <v>395.39015999999998</v>
      </c>
      <c r="AO764" s="46">
        <v>0</v>
      </c>
      <c r="AP764" s="44">
        <v>0</v>
      </c>
      <c r="AQ764" s="44">
        <v>0</v>
      </c>
      <c r="AR764" s="41">
        <f t="shared" si="187"/>
        <v>5.0582948245348341E-2</v>
      </c>
      <c r="AS764" s="40"/>
      <c r="AT764" s="41"/>
      <c r="AU764" s="41"/>
      <c r="AV764" s="23">
        <v>1.5</v>
      </c>
      <c r="AW764" s="23">
        <v>1.444444444444444</v>
      </c>
      <c r="AX764" s="23">
        <v>0.33333333333333331</v>
      </c>
      <c r="AY764" s="23">
        <v>0</v>
      </c>
      <c r="AZ764" s="23">
        <v>0.4576271186440678</v>
      </c>
      <c r="BA764" s="23">
        <v>0.44067796610169491</v>
      </c>
      <c r="BB764" s="23">
        <v>0.10169491525423729</v>
      </c>
      <c r="BC764" s="23">
        <v>0</v>
      </c>
      <c r="BD764" s="20">
        <v>1</v>
      </c>
      <c r="BE764" s="20">
        <v>3.44</v>
      </c>
      <c r="BF764" s="20">
        <v>2.44</v>
      </c>
      <c r="BG764" s="20">
        <v>2.4861111111111112</v>
      </c>
      <c r="BH764">
        <v>2.4861111111111112</v>
      </c>
      <c r="BI764">
        <v>6.6184123001045831</v>
      </c>
      <c r="BJ764" s="64"/>
      <c r="BK764" s="64"/>
      <c r="BL764" s="64"/>
      <c r="BM764">
        <v>2.5291474122674171E-2</v>
      </c>
      <c r="BQ764">
        <v>5.0582948245348341E-2</v>
      </c>
      <c r="BR764">
        <v>2.5291474122674171E-2</v>
      </c>
      <c r="BS764">
        <v>0</v>
      </c>
      <c r="BT764" s="68" t="s">
        <v>1264</v>
      </c>
      <c r="BU764" s="68">
        <v>1373</v>
      </c>
      <c r="BV764" s="68">
        <v>24</v>
      </c>
      <c r="BX764" s="68" t="s">
        <v>464</v>
      </c>
      <c r="BY764" s="68" t="s">
        <v>464</v>
      </c>
      <c r="BZ764" s="68">
        <v>0</v>
      </c>
      <c r="CA764" s="68">
        <v>10.7</v>
      </c>
      <c r="CB764" s="68">
        <v>0.5</v>
      </c>
      <c r="CC764" s="68">
        <v>0</v>
      </c>
      <c r="CD764" s="77" t="s">
        <v>464</v>
      </c>
      <c r="CE764" s="77" t="s">
        <v>464</v>
      </c>
      <c r="CF764" s="77" t="s">
        <v>1266</v>
      </c>
      <c r="CG764" s="77">
        <v>125</v>
      </c>
      <c r="CH764" s="77">
        <v>220</v>
      </c>
      <c r="CI764" s="77" t="s">
        <v>1287</v>
      </c>
      <c r="CJ764" s="77">
        <f t="shared" si="200"/>
        <v>288</v>
      </c>
      <c r="CK764" s="70">
        <v>5240</v>
      </c>
    </row>
    <row r="765" spans="1:89" x14ac:dyDescent="0.3">
      <c r="A765" t="s">
        <v>2563</v>
      </c>
      <c r="B765" t="s">
        <v>4</v>
      </c>
      <c r="C765" t="s">
        <v>4256</v>
      </c>
      <c r="D765" s="12"/>
      <c r="E765">
        <v>3.51</v>
      </c>
      <c r="F765" s="79" t="s">
        <v>352</v>
      </c>
      <c r="G765" s="109" t="s">
        <v>2531</v>
      </c>
      <c r="H765">
        <v>-1</v>
      </c>
      <c r="J765" t="s">
        <v>1756</v>
      </c>
      <c r="M765" t="b">
        <v>1</v>
      </c>
      <c r="N765" t="b">
        <v>0</v>
      </c>
      <c r="O765" t="b">
        <v>0</v>
      </c>
      <c r="P765" t="b">
        <v>0</v>
      </c>
      <c r="Q765" t="s">
        <v>2362</v>
      </c>
      <c r="R765">
        <v>-1</v>
      </c>
      <c r="T765">
        <v>1</v>
      </c>
      <c r="U765" s="20">
        <v>0</v>
      </c>
      <c r="V765">
        <v>0</v>
      </c>
      <c r="W765">
        <v>0</v>
      </c>
      <c r="X765">
        <v>3.87</v>
      </c>
      <c r="Y765">
        <v>3.87</v>
      </c>
      <c r="Z765">
        <v>34.799999999999997</v>
      </c>
      <c r="AB765">
        <v>34.799999999999997</v>
      </c>
      <c r="AC765" s="20">
        <v>0</v>
      </c>
      <c r="AD765" s="20"/>
      <c r="AE765" s="20"/>
      <c r="AF765">
        <v>0</v>
      </c>
      <c r="AI765">
        <v>0</v>
      </c>
      <c r="AM765">
        <v>20</v>
      </c>
      <c r="AN765" s="44">
        <f t="shared" si="180"/>
        <v>521.19611999999995</v>
      </c>
      <c r="AO765" s="46">
        <v>0</v>
      </c>
      <c r="AP765" s="44">
        <v>0</v>
      </c>
      <c r="AQ765" s="44">
        <v>0</v>
      </c>
      <c r="AR765" s="41">
        <f t="shared" si="187"/>
        <v>3.8373271082678052E-2</v>
      </c>
      <c r="AS765" s="40"/>
      <c r="AT765" s="41"/>
      <c r="AU765" s="41"/>
      <c r="AV765" s="23">
        <v>1.4761904761904761</v>
      </c>
      <c r="AW765" s="23">
        <v>1.333333333333333</v>
      </c>
      <c r="AX765" s="23">
        <v>0.2857142857142857</v>
      </c>
      <c r="AY765" s="23">
        <v>0</v>
      </c>
      <c r="AZ765" s="23">
        <v>0.47692307692307689</v>
      </c>
      <c r="BA765" s="23">
        <v>0.43076923076923068</v>
      </c>
      <c r="BB765" s="23">
        <v>9.2307692307692299E-2</v>
      </c>
      <c r="BC765" s="23">
        <v>0</v>
      </c>
      <c r="BD765" s="20">
        <v>1</v>
      </c>
      <c r="BE765" s="20">
        <v>3.44</v>
      </c>
      <c r="BF765" s="20">
        <v>2.44</v>
      </c>
      <c r="BG765" s="20">
        <v>2.461904761904762</v>
      </c>
      <c r="BH765">
        <v>2.461904761904762</v>
      </c>
      <c r="BI765">
        <v>6.6545549908373571</v>
      </c>
      <c r="BJ765" s="64"/>
      <c r="BK765" s="64"/>
      <c r="BL765" s="64"/>
      <c r="BM765">
        <v>1.918663554133903E-2</v>
      </c>
      <c r="BQ765">
        <v>3.8373271082678052E-2</v>
      </c>
      <c r="BR765">
        <v>1.918663554133903E-2</v>
      </c>
      <c r="BS765">
        <v>0</v>
      </c>
      <c r="BT765" s="68" t="s">
        <v>1264</v>
      </c>
      <c r="BU765" s="68">
        <v>1373</v>
      </c>
      <c r="BV765" s="68">
        <v>24</v>
      </c>
      <c r="BX765" s="68" t="s">
        <v>464</v>
      </c>
      <c r="BY765" s="68" t="s">
        <v>464</v>
      </c>
      <c r="BZ765" s="68">
        <v>0</v>
      </c>
      <c r="CA765" s="68">
        <v>10.199999999999999</v>
      </c>
      <c r="CB765" s="68">
        <v>0.5</v>
      </c>
      <c r="CC765" s="68">
        <v>0</v>
      </c>
      <c r="CD765" s="77" t="s">
        <v>464</v>
      </c>
      <c r="CE765" s="77" t="s">
        <v>464</v>
      </c>
      <c r="CF765" s="77" t="s">
        <v>1266</v>
      </c>
      <c r="CG765" s="77">
        <v>125</v>
      </c>
      <c r="CH765" s="77">
        <v>220</v>
      </c>
      <c r="CI765" s="77" t="s">
        <v>1287</v>
      </c>
      <c r="CJ765" s="77">
        <f t="shared" si="200"/>
        <v>288</v>
      </c>
      <c r="CK765" s="70">
        <v>5120</v>
      </c>
    </row>
    <row r="766" spans="1:89" x14ac:dyDescent="0.3">
      <c r="A766" t="s">
        <v>4</v>
      </c>
      <c r="B766" t="s">
        <v>4</v>
      </c>
      <c r="C766" t="s">
        <v>3921</v>
      </c>
      <c r="D766" s="12"/>
      <c r="E766">
        <v>3.54</v>
      </c>
      <c r="F766" s="79" t="s">
        <v>352</v>
      </c>
      <c r="G766" s="8" t="s">
        <v>527</v>
      </c>
      <c r="H766" t="s">
        <v>609</v>
      </c>
      <c r="M766" t="b">
        <v>1</v>
      </c>
      <c r="N766" t="b">
        <v>1</v>
      </c>
      <c r="O766" t="b">
        <v>0</v>
      </c>
      <c r="P766" t="b">
        <v>0</v>
      </c>
      <c r="Q766" t="s">
        <v>527</v>
      </c>
      <c r="R766" t="s">
        <v>609</v>
      </c>
      <c r="T766">
        <v>2</v>
      </c>
      <c r="U766" s="20">
        <v>4</v>
      </c>
      <c r="V766">
        <v>4</v>
      </c>
      <c r="W766">
        <v>0</v>
      </c>
      <c r="X766">
        <v>3.86</v>
      </c>
      <c r="Y766">
        <v>3.86</v>
      </c>
      <c r="Z766">
        <v>29.4</v>
      </c>
      <c r="AB766">
        <v>14.7</v>
      </c>
      <c r="AC766" s="20">
        <v>7.8084429999999996</v>
      </c>
      <c r="AD766" s="20">
        <v>7.8548809999999998</v>
      </c>
      <c r="AE766" s="20">
        <v>15.19056011</v>
      </c>
      <c r="AF766">
        <v>3.8801999999999999</v>
      </c>
      <c r="AG766">
        <v>29.507999999999999</v>
      </c>
      <c r="AH766">
        <v>7.7140000000000004</v>
      </c>
      <c r="AI766">
        <v>0</v>
      </c>
      <c r="AM766">
        <v>20</v>
      </c>
      <c r="AN766" s="44">
        <f t="shared" ref="AN766:AN773" si="203">X766*Y766*Z766</f>
        <v>438.04823999999996</v>
      </c>
      <c r="AO766" s="46">
        <v>924.74694800021894</v>
      </c>
      <c r="AP766" s="44">
        <v>883.22940750240002</v>
      </c>
      <c r="AQ766" s="44">
        <v>0</v>
      </c>
      <c r="AR766" s="41">
        <f t="shared" ref="AR766:AR773" si="204">T766*AM766/AN766</f>
        <v>9.1314143848631832E-2</v>
      </c>
      <c r="AS766" s="40">
        <v>8.6510153045653584E-2</v>
      </c>
      <c r="AT766" s="41">
        <v>9.0576694254581439E-2</v>
      </c>
      <c r="AU766" s="41"/>
      <c r="AV766" s="23">
        <v>1.75</v>
      </c>
      <c r="AW766" s="23">
        <v>2.5</v>
      </c>
      <c r="AX766" s="23">
        <v>0.75</v>
      </c>
      <c r="AY766" s="23">
        <v>0</v>
      </c>
      <c r="AZ766" s="23">
        <v>0.35</v>
      </c>
      <c r="BA766" s="23">
        <v>0.5</v>
      </c>
      <c r="BB766" s="23">
        <v>0.15</v>
      </c>
      <c r="BC766" s="23">
        <v>0</v>
      </c>
      <c r="BD766" s="20">
        <v>0.82</v>
      </c>
      <c r="BE766" s="20">
        <v>3.44</v>
      </c>
      <c r="BF766" s="20">
        <v>2.62</v>
      </c>
      <c r="BG766" s="20">
        <v>2.6262500000000002</v>
      </c>
      <c r="BH766">
        <v>2.6262500000000002</v>
      </c>
      <c r="BI766">
        <v>5.96680968125</v>
      </c>
      <c r="BJ766" s="64">
        <v>0.50555206026575039</v>
      </c>
      <c r="BK766" s="64">
        <v>0</v>
      </c>
      <c r="BL766" s="64"/>
      <c r="BM766">
        <v>4.5657071924315923E-2</v>
      </c>
      <c r="BN766">
        <v>4.3255076522826792E-2</v>
      </c>
      <c r="BO766">
        <v>4.5288347127290719E-2</v>
      </c>
      <c r="BQ766">
        <v>8.9466997049622285E-2</v>
      </c>
      <c r="BR766">
        <v>4.4733498524811142E-2</v>
      </c>
      <c r="BS766">
        <v>0.2527760301328752</v>
      </c>
      <c r="BT766" s="68" t="s">
        <v>1264</v>
      </c>
      <c r="BU766" s="68">
        <v>1373</v>
      </c>
      <c r="BV766" s="68">
        <v>24</v>
      </c>
      <c r="BX766" s="68" t="s">
        <v>1268</v>
      </c>
      <c r="BY766" s="68" t="s">
        <v>863</v>
      </c>
      <c r="BZ766" s="68">
        <v>1</v>
      </c>
      <c r="CA766" s="68">
        <v>3.8</v>
      </c>
      <c r="CB766" s="68">
        <v>0.5</v>
      </c>
      <c r="CC766" s="68">
        <v>0</v>
      </c>
      <c r="CD766" s="77" t="s">
        <v>464</v>
      </c>
      <c r="CE766" s="77" t="s">
        <v>464</v>
      </c>
      <c r="CF766" s="77" t="s">
        <v>1266</v>
      </c>
      <c r="CG766" s="77">
        <v>125</v>
      </c>
      <c r="CH766" s="77">
        <v>220</v>
      </c>
      <c r="CI766" s="77" t="s">
        <v>1287</v>
      </c>
      <c r="CJ766" s="77">
        <f t="shared" si="200"/>
        <v>288</v>
      </c>
      <c r="CK766" s="70">
        <v>312</v>
      </c>
    </row>
    <row r="767" spans="1:89" x14ac:dyDescent="0.3">
      <c r="A767" t="s">
        <v>63</v>
      </c>
      <c r="B767" t="s">
        <v>4</v>
      </c>
      <c r="C767" t="s">
        <v>3928</v>
      </c>
      <c r="D767" s="12"/>
      <c r="E767">
        <v>3.5</v>
      </c>
      <c r="F767" s="79" t="s">
        <v>352</v>
      </c>
      <c r="G767" s="99" t="s">
        <v>587</v>
      </c>
      <c r="H767" s="58">
        <v>1522043</v>
      </c>
      <c r="J767" t="s">
        <v>1729</v>
      </c>
      <c r="K767" t="s">
        <v>1729</v>
      </c>
      <c r="M767" t="b">
        <v>1</v>
      </c>
      <c r="N767" t="b">
        <v>1</v>
      </c>
      <c r="O767" t="b">
        <v>0</v>
      </c>
      <c r="P767" t="b">
        <v>0</v>
      </c>
      <c r="Q767" t="s">
        <v>2363</v>
      </c>
      <c r="R767" t="s">
        <v>2315</v>
      </c>
      <c r="T767">
        <v>1</v>
      </c>
      <c r="U767" s="20">
        <v>0</v>
      </c>
      <c r="V767">
        <v>0</v>
      </c>
      <c r="W767">
        <v>0</v>
      </c>
      <c r="X767">
        <v>3.82</v>
      </c>
      <c r="Y767">
        <v>3.82</v>
      </c>
      <c r="Z767">
        <v>16</v>
      </c>
      <c r="AB767">
        <v>16</v>
      </c>
      <c r="AC767" s="20">
        <v>0</v>
      </c>
      <c r="AD767" s="20"/>
      <c r="AE767" s="20"/>
      <c r="AF767">
        <v>0</v>
      </c>
      <c r="AI767">
        <v>0</v>
      </c>
      <c r="AM767">
        <v>20</v>
      </c>
      <c r="AN767" s="44">
        <f t="shared" si="203"/>
        <v>233.47839999999999</v>
      </c>
      <c r="AO767" s="46">
        <v>0</v>
      </c>
      <c r="AP767" s="44">
        <v>0</v>
      </c>
      <c r="AQ767" s="44">
        <v>0</v>
      </c>
      <c r="AR767" s="41">
        <f t="shared" si="204"/>
        <v>8.5661029028809524E-2</v>
      </c>
      <c r="AS767" s="40"/>
      <c r="AT767" s="41"/>
      <c r="AU767" s="41"/>
      <c r="AV767" s="23">
        <v>1.75</v>
      </c>
      <c r="AW767" s="23">
        <v>2.5</v>
      </c>
      <c r="AX767" s="23">
        <v>0.75</v>
      </c>
      <c r="AY767" s="23">
        <v>0</v>
      </c>
      <c r="AZ767" s="23">
        <v>0.35</v>
      </c>
      <c r="BA767" s="23">
        <v>0.5</v>
      </c>
      <c r="BB767" s="23">
        <v>0.15</v>
      </c>
      <c r="BC767" s="23">
        <v>0</v>
      </c>
      <c r="BD767" s="20">
        <v>1</v>
      </c>
      <c r="BE767" s="20">
        <v>3.44</v>
      </c>
      <c r="BF767" s="20">
        <v>2.44</v>
      </c>
      <c r="BG767" s="20">
        <v>2.7124999999999999</v>
      </c>
      <c r="BH767">
        <v>2.7124999999999999</v>
      </c>
      <c r="BI767">
        <v>6.264025610615688</v>
      </c>
      <c r="BJ767" s="64"/>
      <c r="BK767" s="64"/>
      <c r="BL767" s="64"/>
      <c r="BM767">
        <v>4.2830514514404762E-2</v>
      </c>
      <c r="BQ767">
        <v>8.5661029028809524E-2</v>
      </c>
      <c r="BR767">
        <v>4.2830514514404762E-2</v>
      </c>
      <c r="BS767">
        <v>0</v>
      </c>
      <c r="BT767" s="68" t="s">
        <v>1264</v>
      </c>
      <c r="BU767" s="68">
        <v>1373</v>
      </c>
      <c r="BV767" s="68">
        <v>24</v>
      </c>
      <c r="BX767" s="68" t="s">
        <v>1268</v>
      </c>
      <c r="BY767" s="68" t="s">
        <v>863</v>
      </c>
      <c r="BZ767" s="68">
        <v>1</v>
      </c>
      <c r="CA767" s="68">
        <v>5.6</v>
      </c>
      <c r="CB767" s="68">
        <v>0.5</v>
      </c>
      <c r="CC767" s="68">
        <v>0</v>
      </c>
      <c r="CD767" s="77" t="s">
        <v>464</v>
      </c>
      <c r="CE767" s="77" t="s">
        <v>464</v>
      </c>
      <c r="CF767" s="77" t="s">
        <v>1266</v>
      </c>
      <c r="CG767" s="77">
        <v>125</v>
      </c>
      <c r="CH767" s="77">
        <v>220</v>
      </c>
      <c r="CI767" s="77" t="s">
        <v>1287</v>
      </c>
      <c r="CJ767" s="77">
        <f t="shared" si="200"/>
        <v>288</v>
      </c>
      <c r="CK767" s="70">
        <v>23440</v>
      </c>
    </row>
    <row r="768" spans="1:89" x14ac:dyDescent="0.3">
      <c r="A768" t="s">
        <v>2560</v>
      </c>
      <c r="B768" t="s">
        <v>4</v>
      </c>
      <c r="C768" t="s">
        <v>4251</v>
      </c>
      <c r="D768" s="12"/>
      <c r="E768">
        <v>3.45</v>
      </c>
      <c r="F768" s="79" t="s">
        <v>352</v>
      </c>
      <c r="G768" s="109" t="s">
        <v>2509</v>
      </c>
      <c r="H768">
        <v>-1</v>
      </c>
      <c r="J768" t="s">
        <v>1756</v>
      </c>
      <c r="M768" t="b">
        <v>1</v>
      </c>
      <c r="N768" t="b">
        <v>0</v>
      </c>
      <c r="O768" t="b">
        <v>0</v>
      </c>
      <c r="P768" t="b">
        <v>0</v>
      </c>
      <c r="Q768" t="s">
        <v>2365</v>
      </c>
      <c r="R768">
        <v>-1</v>
      </c>
      <c r="T768">
        <v>1</v>
      </c>
      <c r="U768" s="20">
        <v>0</v>
      </c>
      <c r="V768">
        <v>0</v>
      </c>
      <c r="W768">
        <v>0</v>
      </c>
      <c r="X768">
        <v>3.86</v>
      </c>
      <c r="Y768">
        <v>3.86</v>
      </c>
      <c r="Z768">
        <v>20.9</v>
      </c>
      <c r="AB768">
        <v>20.9</v>
      </c>
      <c r="AC768" s="20">
        <v>0</v>
      </c>
      <c r="AD768" s="20"/>
      <c r="AE768" s="20"/>
      <c r="AF768">
        <v>0</v>
      </c>
      <c r="AI768">
        <v>0</v>
      </c>
      <c r="AM768">
        <v>20</v>
      </c>
      <c r="AN768" s="44">
        <f t="shared" si="203"/>
        <v>311.40163999999999</v>
      </c>
      <c r="AO768" s="46">
        <v>0</v>
      </c>
      <c r="AP768" s="44">
        <v>0</v>
      </c>
      <c r="AQ768" s="44">
        <v>0</v>
      </c>
      <c r="AR768" s="41">
        <f t="shared" si="204"/>
        <v>6.4225737539468322E-2</v>
      </c>
      <c r="AS768" s="40"/>
      <c r="AT768" s="41"/>
      <c r="AU768" s="41"/>
      <c r="AV768" s="23">
        <v>1.6190476190476191</v>
      </c>
      <c r="AW768" s="23">
        <v>2</v>
      </c>
      <c r="AX768" s="23">
        <v>0.5714285714285714</v>
      </c>
      <c r="AY768" s="23">
        <v>0</v>
      </c>
      <c r="AZ768" s="23">
        <v>0.38636363636363641</v>
      </c>
      <c r="BA768" s="23">
        <v>0.47727272727272718</v>
      </c>
      <c r="BB768" s="23">
        <v>0.13636363636363641</v>
      </c>
      <c r="BC768" s="23">
        <v>0</v>
      </c>
      <c r="BD768" s="20">
        <v>1</v>
      </c>
      <c r="BE768" s="20">
        <v>3.44</v>
      </c>
      <c r="BF768" s="20">
        <v>2.44</v>
      </c>
      <c r="BG768" s="20">
        <v>2.6071428571428572</v>
      </c>
      <c r="BH768">
        <v>2.6071428571428572</v>
      </c>
      <c r="BI768">
        <v>6.4376988464407141</v>
      </c>
      <c r="BJ768" s="64"/>
      <c r="BK768" s="64"/>
      <c r="BL768" s="64"/>
      <c r="BM768">
        <v>3.2112868769734161E-2</v>
      </c>
      <c r="BQ768">
        <v>6.4225737539468322E-2</v>
      </c>
      <c r="BR768">
        <v>3.2112868769734161E-2</v>
      </c>
      <c r="BS768">
        <v>0</v>
      </c>
      <c r="BT768" s="68" t="s">
        <v>1264</v>
      </c>
      <c r="BU768" s="68">
        <v>1373</v>
      </c>
      <c r="BV768" s="68">
        <v>24</v>
      </c>
      <c r="BX768" s="68" t="s">
        <v>1268</v>
      </c>
      <c r="BY768" s="68" t="s">
        <v>863</v>
      </c>
      <c r="BZ768" s="68">
        <v>1</v>
      </c>
      <c r="CA768" s="68">
        <v>2.4</v>
      </c>
      <c r="CB768" s="68">
        <v>0.5</v>
      </c>
      <c r="CC768" s="68">
        <v>0</v>
      </c>
      <c r="CD768" s="77" t="s">
        <v>464</v>
      </c>
      <c r="CE768" s="77" t="s">
        <v>464</v>
      </c>
      <c r="CF768" s="77" t="s">
        <v>1266</v>
      </c>
      <c r="CG768" s="77">
        <v>125</v>
      </c>
      <c r="CH768" s="77">
        <v>220</v>
      </c>
      <c r="CI768" s="77" t="s">
        <v>1287</v>
      </c>
      <c r="CJ768" s="77">
        <f t="shared" si="200"/>
        <v>288</v>
      </c>
      <c r="CK768" s="70">
        <v>31840</v>
      </c>
    </row>
    <row r="769" spans="1:89" x14ac:dyDescent="0.3">
      <c r="A769" t="s">
        <v>2561</v>
      </c>
      <c r="B769" t="s">
        <v>4</v>
      </c>
      <c r="C769" t="s">
        <v>4252</v>
      </c>
      <c r="D769" s="12"/>
      <c r="E769">
        <v>3.5</v>
      </c>
      <c r="F769" s="79" t="s">
        <v>352</v>
      </c>
      <c r="G769" s="109" t="s">
        <v>2510</v>
      </c>
      <c r="H769">
        <v>-1</v>
      </c>
      <c r="J769" t="s">
        <v>1756</v>
      </c>
      <c r="M769" t="b">
        <v>1</v>
      </c>
      <c r="N769" t="b">
        <v>0</v>
      </c>
      <c r="O769" t="b">
        <v>0</v>
      </c>
      <c r="P769" t="b">
        <v>0</v>
      </c>
      <c r="Q769" t="s">
        <v>2367</v>
      </c>
      <c r="R769">
        <v>-1</v>
      </c>
      <c r="T769">
        <v>1</v>
      </c>
      <c r="U769" s="20">
        <v>0</v>
      </c>
      <c r="V769">
        <v>0</v>
      </c>
      <c r="W769">
        <v>0</v>
      </c>
      <c r="X769">
        <v>3.86</v>
      </c>
      <c r="Y769">
        <v>3.86</v>
      </c>
      <c r="Z769">
        <v>17.899999999999999</v>
      </c>
      <c r="AB769">
        <v>17.899999999999999</v>
      </c>
      <c r="AC769" s="20">
        <v>0</v>
      </c>
      <c r="AD769" s="20"/>
      <c r="AE769" s="20"/>
      <c r="AF769">
        <v>0</v>
      </c>
      <c r="AI769">
        <v>0</v>
      </c>
      <c r="AM769">
        <v>20</v>
      </c>
      <c r="AN769" s="44">
        <f t="shared" si="203"/>
        <v>266.70283999999998</v>
      </c>
      <c r="AO769" s="46">
        <v>0</v>
      </c>
      <c r="AP769" s="44">
        <v>0</v>
      </c>
      <c r="AQ769" s="44">
        <v>0</v>
      </c>
      <c r="AR769" s="41">
        <f t="shared" si="204"/>
        <v>7.4989827629882017E-2</v>
      </c>
      <c r="AS769" s="40"/>
      <c r="AT769" s="41"/>
      <c r="AU769" s="41"/>
      <c r="AV769" s="23">
        <v>1.583333333333333</v>
      </c>
      <c r="AW769" s="23">
        <v>1.833333333333333</v>
      </c>
      <c r="AX769" s="23">
        <v>0.5</v>
      </c>
      <c r="AY769" s="23">
        <v>0</v>
      </c>
      <c r="AZ769" s="23">
        <v>0.40425531914893609</v>
      </c>
      <c r="BA769" s="23">
        <v>0.46808510638297868</v>
      </c>
      <c r="BB769" s="23">
        <v>0.1276595744680851</v>
      </c>
      <c r="BC769" s="23">
        <v>0</v>
      </c>
      <c r="BD769" s="20">
        <v>1</v>
      </c>
      <c r="BE769" s="20">
        <v>3.44</v>
      </c>
      <c r="BF769" s="20">
        <v>2.44</v>
      </c>
      <c r="BG769" s="20">
        <v>2.5708333333333329</v>
      </c>
      <c r="BH769">
        <v>2.5708333333333329</v>
      </c>
      <c r="BI769">
        <v>6.4919128825398751</v>
      </c>
      <c r="BJ769" s="64"/>
      <c r="BK769" s="64"/>
      <c r="BL769" s="64"/>
      <c r="BM769">
        <v>3.7494913814941008E-2</v>
      </c>
      <c r="BQ769">
        <v>7.4989827629882017E-2</v>
      </c>
      <c r="BR769">
        <v>3.7494913814941008E-2</v>
      </c>
      <c r="BS769">
        <v>0</v>
      </c>
      <c r="BT769" s="68" t="s">
        <v>1264</v>
      </c>
      <c r="BU769" s="68">
        <v>1373</v>
      </c>
      <c r="BV769" s="68">
        <v>24</v>
      </c>
      <c r="BX769" s="68" t="s">
        <v>1268</v>
      </c>
      <c r="BY769" s="68" t="s">
        <v>863</v>
      </c>
      <c r="BZ769" s="68">
        <v>1</v>
      </c>
      <c r="CA769" s="68">
        <v>4.7</v>
      </c>
      <c r="CB769" s="68">
        <v>0.5</v>
      </c>
      <c r="CC769" s="68">
        <v>0</v>
      </c>
      <c r="CD769" s="77" t="s">
        <v>464</v>
      </c>
      <c r="CE769" s="77" t="s">
        <v>464</v>
      </c>
      <c r="CF769" s="77" t="s">
        <v>1266</v>
      </c>
      <c r="CG769" s="77">
        <v>125</v>
      </c>
      <c r="CH769" s="77">
        <v>220</v>
      </c>
      <c r="CI769" s="77" t="s">
        <v>1287</v>
      </c>
      <c r="CJ769" s="77">
        <f t="shared" si="200"/>
        <v>288</v>
      </c>
      <c r="CK769" s="70">
        <v>61760</v>
      </c>
    </row>
    <row r="770" spans="1:89" x14ac:dyDescent="0.3">
      <c r="A770" t="s">
        <v>2741</v>
      </c>
      <c r="B770" t="s">
        <v>4</v>
      </c>
      <c r="C770" t="s">
        <v>4253</v>
      </c>
      <c r="D770" s="12"/>
      <c r="E770">
        <v>3.53</v>
      </c>
      <c r="F770" s="79" t="s">
        <v>352</v>
      </c>
      <c r="G770" s="109" t="s">
        <v>2511</v>
      </c>
      <c r="H770">
        <v>-1</v>
      </c>
      <c r="J770" t="s">
        <v>1756</v>
      </c>
      <c r="M770" t="b">
        <v>1</v>
      </c>
      <c r="N770" t="b">
        <v>0</v>
      </c>
      <c r="O770" t="b">
        <v>0</v>
      </c>
      <c r="P770" t="b">
        <v>0</v>
      </c>
      <c r="Q770" t="s">
        <v>2370</v>
      </c>
      <c r="R770">
        <v>-1</v>
      </c>
      <c r="T770">
        <v>1</v>
      </c>
      <c r="U770" s="20">
        <v>0</v>
      </c>
      <c r="V770">
        <v>0</v>
      </c>
      <c r="W770">
        <v>0</v>
      </c>
      <c r="X770">
        <v>3.86</v>
      </c>
      <c r="Y770">
        <v>3.86</v>
      </c>
      <c r="Z770">
        <v>19.899999999999999</v>
      </c>
      <c r="AB770">
        <v>19.899999999999999</v>
      </c>
      <c r="AC770" s="20">
        <v>0</v>
      </c>
      <c r="AD770" s="20"/>
      <c r="AE770" s="20"/>
      <c r="AF770">
        <v>0</v>
      </c>
      <c r="AI770">
        <v>0</v>
      </c>
      <c r="AM770">
        <v>20</v>
      </c>
      <c r="AN770" s="44">
        <f t="shared" si="203"/>
        <v>296.50203999999997</v>
      </c>
      <c r="AO770" s="46">
        <v>0</v>
      </c>
      <c r="AP770" s="44">
        <v>0</v>
      </c>
      <c r="AQ770" s="44">
        <v>0</v>
      </c>
      <c r="AR770" s="41">
        <f t="shared" si="204"/>
        <v>6.745316153642654E-2</v>
      </c>
      <c r="AS770" s="40"/>
      <c r="AT770" s="41"/>
      <c r="AU770" s="41"/>
      <c r="AV770" s="23">
        <v>1.555555555555556</v>
      </c>
      <c r="AW770" s="23">
        <v>1.7037037037037039</v>
      </c>
      <c r="AX770" s="23">
        <v>0.44444444444444442</v>
      </c>
      <c r="AY770" s="23">
        <v>0</v>
      </c>
      <c r="AZ770" s="23">
        <v>0.42</v>
      </c>
      <c r="BA770" s="23">
        <v>0.46</v>
      </c>
      <c r="BB770" s="23">
        <v>0.12</v>
      </c>
      <c r="BC770" s="23">
        <v>0</v>
      </c>
      <c r="BD770" s="20">
        <v>1</v>
      </c>
      <c r="BE770" s="20">
        <v>3.44</v>
      </c>
      <c r="BF770" s="20">
        <v>2.44</v>
      </c>
      <c r="BG770" s="20">
        <v>2.5425925925925932</v>
      </c>
      <c r="BH770">
        <v>2.5425925925925932</v>
      </c>
      <c r="BI770">
        <v>6.5340793550614444</v>
      </c>
      <c r="BJ770" s="64"/>
      <c r="BK770" s="64"/>
      <c r="BL770" s="64"/>
      <c r="BM770">
        <v>3.372658076821327E-2</v>
      </c>
      <c r="BQ770">
        <v>6.745316153642654E-2</v>
      </c>
      <c r="BR770">
        <v>3.372658076821327E-2</v>
      </c>
      <c r="BS770">
        <v>0</v>
      </c>
      <c r="BT770" s="68" t="s">
        <v>1264</v>
      </c>
      <c r="BU770" s="68">
        <v>1373</v>
      </c>
      <c r="BV770" s="68">
        <v>24</v>
      </c>
      <c r="BX770" s="68" t="s">
        <v>1268</v>
      </c>
      <c r="BY770" s="68" t="s">
        <v>863</v>
      </c>
      <c r="BZ770" s="68">
        <v>1</v>
      </c>
      <c r="CA770" s="68">
        <v>6.4</v>
      </c>
      <c r="CB770" s="68">
        <v>0.5</v>
      </c>
      <c r="CC770" s="68">
        <v>0</v>
      </c>
      <c r="CD770" s="77" t="s">
        <v>464</v>
      </c>
      <c r="CE770" s="77" t="s">
        <v>464</v>
      </c>
      <c r="CF770" s="77" t="s">
        <v>1266</v>
      </c>
      <c r="CG770" s="77">
        <v>125</v>
      </c>
      <c r="CH770" s="77">
        <v>220</v>
      </c>
      <c r="CI770" s="77" t="s">
        <v>1287</v>
      </c>
      <c r="CJ770" s="77">
        <f t="shared" si="200"/>
        <v>288</v>
      </c>
      <c r="CK770" s="70">
        <v>40360</v>
      </c>
    </row>
    <row r="771" spans="1:89" x14ac:dyDescent="0.3">
      <c r="A771" t="s">
        <v>2562</v>
      </c>
      <c r="B771" t="s">
        <v>4</v>
      </c>
      <c r="C771" t="s">
        <v>4254</v>
      </c>
      <c r="D771" s="12"/>
      <c r="E771">
        <v>3.5</v>
      </c>
      <c r="F771" s="79" t="s">
        <v>352</v>
      </c>
      <c r="G771" s="109" t="s">
        <v>2512</v>
      </c>
      <c r="H771">
        <v>-1</v>
      </c>
      <c r="J771" t="s">
        <v>1756</v>
      </c>
      <c r="M771" t="b">
        <v>1</v>
      </c>
      <c r="N771" t="b">
        <v>0</v>
      </c>
      <c r="O771" t="b">
        <v>0</v>
      </c>
      <c r="P771" t="b">
        <v>0</v>
      </c>
      <c r="Q771" t="s">
        <v>2372</v>
      </c>
      <c r="R771">
        <v>-1</v>
      </c>
      <c r="T771">
        <v>1</v>
      </c>
      <c r="U771" s="20">
        <v>0</v>
      </c>
      <c r="V771">
        <v>0</v>
      </c>
      <c r="W771">
        <v>0</v>
      </c>
      <c r="X771">
        <v>3.87</v>
      </c>
      <c r="Y771">
        <v>3.87</v>
      </c>
      <c r="Z771">
        <v>22.1</v>
      </c>
      <c r="AB771">
        <v>22.1</v>
      </c>
      <c r="AC771" s="20">
        <v>0</v>
      </c>
      <c r="AD771" s="20"/>
      <c r="AE771" s="20"/>
      <c r="AF771">
        <v>0</v>
      </c>
      <c r="AI771">
        <v>0</v>
      </c>
      <c r="AM771">
        <v>20</v>
      </c>
      <c r="AN771" s="44">
        <f t="shared" si="203"/>
        <v>330.98949000000005</v>
      </c>
      <c r="AO771" s="46">
        <v>0</v>
      </c>
      <c r="AP771" s="44">
        <v>0</v>
      </c>
      <c r="AQ771" s="44">
        <v>0</v>
      </c>
      <c r="AR771" s="41">
        <f t="shared" si="204"/>
        <v>6.0424879351909322E-2</v>
      </c>
      <c r="AS771" s="40"/>
      <c r="AT771" s="41"/>
      <c r="AU771" s="41"/>
      <c r="AV771" s="23">
        <v>1.533333333333333</v>
      </c>
      <c r="AW771" s="23">
        <v>1.6</v>
      </c>
      <c r="AX771" s="23">
        <v>0.4</v>
      </c>
      <c r="AY771" s="23">
        <v>0</v>
      </c>
      <c r="AZ771" s="23">
        <v>0.43396226415094352</v>
      </c>
      <c r="BA771" s="23">
        <v>0.45283018867924529</v>
      </c>
      <c r="BB771" s="23">
        <v>0.1132075471698113</v>
      </c>
      <c r="BC771" s="23">
        <v>0</v>
      </c>
      <c r="BD771" s="20">
        <v>1</v>
      </c>
      <c r="BE771" s="20">
        <v>3.44</v>
      </c>
      <c r="BF771" s="20">
        <v>2.44</v>
      </c>
      <c r="BG771" s="20">
        <v>2.52</v>
      </c>
      <c r="BH771">
        <v>2.52</v>
      </c>
      <c r="BI771">
        <v>6.5678125330786994</v>
      </c>
      <c r="BJ771" s="64"/>
      <c r="BK771" s="64"/>
      <c r="BL771" s="64"/>
      <c r="BM771">
        <v>3.0212439675954661E-2</v>
      </c>
      <c r="BQ771">
        <v>6.0424879351909322E-2</v>
      </c>
      <c r="BR771">
        <v>3.0212439675954661E-2</v>
      </c>
      <c r="BS771">
        <v>0</v>
      </c>
      <c r="BT771" s="68" t="s">
        <v>1264</v>
      </c>
      <c r="BU771" s="68">
        <v>1373</v>
      </c>
      <c r="BV771" s="68">
        <v>24</v>
      </c>
      <c r="BX771" s="68" t="s">
        <v>1268</v>
      </c>
      <c r="BY771" s="68" t="s">
        <v>863</v>
      </c>
      <c r="BZ771" s="68">
        <v>1</v>
      </c>
      <c r="CA771" s="68">
        <v>7.3</v>
      </c>
      <c r="CB771" s="68">
        <v>0.5</v>
      </c>
      <c r="CC771" s="68">
        <v>0</v>
      </c>
      <c r="CD771" s="77" t="s">
        <v>464</v>
      </c>
      <c r="CE771" s="77" t="s">
        <v>464</v>
      </c>
      <c r="CF771" s="77" t="s">
        <v>1266</v>
      </c>
      <c r="CG771" s="77">
        <v>125</v>
      </c>
      <c r="CH771" s="77">
        <v>220</v>
      </c>
      <c r="CI771" s="77" t="s">
        <v>1287</v>
      </c>
      <c r="CJ771" s="77">
        <f t="shared" si="200"/>
        <v>288</v>
      </c>
      <c r="CK771" s="70">
        <v>46040</v>
      </c>
    </row>
    <row r="772" spans="1:89" x14ac:dyDescent="0.3">
      <c r="A772" t="s">
        <v>2564</v>
      </c>
      <c r="B772" t="s">
        <v>4</v>
      </c>
      <c r="C772" t="s">
        <v>4255</v>
      </c>
      <c r="D772" s="12"/>
      <c r="E772">
        <v>3.47</v>
      </c>
      <c r="F772" s="79" t="s">
        <v>352</v>
      </c>
      <c r="G772" s="109" t="s">
        <v>2513</v>
      </c>
      <c r="H772">
        <v>-1</v>
      </c>
      <c r="J772" t="s">
        <v>1756</v>
      </c>
      <c r="M772" t="b">
        <v>1</v>
      </c>
      <c r="N772" t="b">
        <v>0</v>
      </c>
      <c r="O772" t="b">
        <v>0</v>
      </c>
      <c r="P772" t="b">
        <v>0</v>
      </c>
      <c r="Q772" t="s">
        <v>2374</v>
      </c>
      <c r="R772">
        <v>-1</v>
      </c>
      <c r="T772">
        <v>1</v>
      </c>
      <c r="U772" s="20">
        <v>0</v>
      </c>
      <c r="V772">
        <v>0</v>
      </c>
      <c r="W772">
        <v>0</v>
      </c>
      <c r="X772">
        <v>3.87</v>
      </c>
      <c r="Y772">
        <v>3.87</v>
      </c>
      <c r="Z772">
        <v>26.4</v>
      </c>
      <c r="AB772">
        <v>26.4</v>
      </c>
      <c r="AC772" s="20">
        <v>0</v>
      </c>
      <c r="AD772" s="20"/>
      <c r="AE772" s="20"/>
      <c r="AF772">
        <v>0</v>
      </c>
      <c r="AI772">
        <v>0</v>
      </c>
      <c r="AM772">
        <v>20</v>
      </c>
      <c r="AN772" s="44">
        <f t="shared" si="203"/>
        <v>395.39015999999998</v>
      </c>
      <c r="AO772" s="46">
        <v>0</v>
      </c>
      <c r="AP772" s="44">
        <v>0</v>
      </c>
      <c r="AQ772" s="44">
        <v>0</v>
      </c>
      <c r="AR772" s="41">
        <f t="shared" si="204"/>
        <v>5.0582948245348341E-2</v>
      </c>
      <c r="AS772" s="40"/>
      <c r="AT772" s="41"/>
      <c r="AU772" s="41"/>
      <c r="AV772" s="23">
        <v>1.5</v>
      </c>
      <c r="AW772" s="23">
        <v>1.444444444444444</v>
      </c>
      <c r="AX772" s="23">
        <v>0.33333333333333331</v>
      </c>
      <c r="AY772" s="23">
        <v>0</v>
      </c>
      <c r="AZ772" s="23">
        <v>0.4576271186440678</v>
      </c>
      <c r="BA772" s="23">
        <v>0.44067796610169491</v>
      </c>
      <c r="BB772" s="23">
        <v>0.10169491525423729</v>
      </c>
      <c r="BC772" s="23">
        <v>0</v>
      </c>
      <c r="BD772" s="20">
        <v>1</v>
      </c>
      <c r="BE772" s="20">
        <v>3.44</v>
      </c>
      <c r="BF772" s="20">
        <v>2.44</v>
      </c>
      <c r="BG772" s="20">
        <v>2.4861111111111112</v>
      </c>
      <c r="BH772">
        <v>2.4861111111111112</v>
      </c>
      <c r="BI772">
        <v>6.6184123001045831</v>
      </c>
      <c r="BJ772" s="64"/>
      <c r="BK772" s="64"/>
      <c r="BL772" s="64"/>
      <c r="BM772">
        <v>2.5291474122674171E-2</v>
      </c>
      <c r="BQ772">
        <v>5.0582948245348341E-2</v>
      </c>
      <c r="BR772">
        <v>2.5291474122674171E-2</v>
      </c>
      <c r="BS772">
        <v>0</v>
      </c>
      <c r="BT772" s="68" t="s">
        <v>1264</v>
      </c>
      <c r="BU772" s="68">
        <v>1373</v>
      </c>
      <c r="BV772" s="68">
        <v>24</v>
      </c>
      <c r="BX772" s="68" t="s">
        <v>1268</v>
      </c>
      <c r="BY772" s="68" t="s">
        <v>863</v>
      </c>
      <c r="BZ772" s="68">
        <v>1</v>
      </c>
      <c r="CA772" s="68">
        <v>10.7</v>
      </c>
      <c r="CB772" s="68">
        <v>0.5</v>
      </c>
      <c r="CC772" s="68">
        <v>0</v>
      </c>
      <c r="CD772" s="77" t="s">
        <v>464</v>
      </c>
      <c r="CE772" s="77" t="s">
        <v>464</v>
      </c>
      <c r="CF772" s="77" t="s">
        <v>1266</v>
      </c>
      <c r="CG772" s="77">
        <v>125</v>
      </c>
      <c r="CH772" s="77">
        <v>220</v>
      </c>
      <c r="CI772" s="77" t="s">
        <v>1287</v>
      </c>
      <c r="CJ772" s="77">
        <f t="shared" si="200"/>
        <v>288</v>
      </c>
      <c r="CK772" s="70">
        <v>37520</v>
      </c>
    </row>
    <row r="773" spans="1:89" x14ac:dyDescent="0.3">
      <c r="A773" t="s">
        <v>2563</v>
      </c>
      <c r="B773" t="s">
        <v>4</v>
      </c>
      <c r="C773" t="s">
        <v>4256</v>
      </c>
      <c r="D773" s="12"/>
      <c r="E773">
        <v>3.51</v>
      </c>
      <c r="F773" s="79" t="s">
        <v>352</v>
      </c>
      <c r="G773" s="109" t="s">
        <v>2531</v>
      </c>
      <c r="H773">
        <v>-1</v>
      </c>
      <c r="J773" t="s">
        <v>1756</v>
      </c>
      <c r="M773" t="b">
        <v>1</v>
      </c>
      <c r="N773" t="b">
        <v>0</v>
      </c>
      <c r="O773" t="b">
        <v>0</v>
      </c>
      <c r="P773" t="b">
        <v>0</v>
      </c>
      <c r="Q773" t="s">
        <v>2376</v>
      </c>
      <c r="R773">
        <v>-1</v>
      </c>
      <c r="T773">
        <v>1</v>
      </c>
      <c r="U773" s="20">
        <v>0</v>
      </c>
      <c r="V773">
        <v>0</v>
      </c>
      <c r="W773">
        <v>0</v>
      </c>
      <c r="X773">
        <v>3.87</v>
      </c>
      <c r="Y773">
        <v>3.87</v>
      </c>
      <c r="Z773">
        <v>34.799999999999997</v>
      </c>
      <c r="AB773">
        <v>34.799999999999997</v>
      </c>
      <c r="AC773" s="20">
        <v>0</v>
      </c>
      <c r="AD773" s="20"/>
      <c r="AE773" s="20"/>
      <c r="AF773">
        <v>0</v>
      </c>
      <c r="AI773">
        <v>0</v>
      </c>
      <c r="AM773">
        <v>20</v>
      </c>
      <c r="AN773" s="44">
        <f t="shared" si="203"/>
        <v>521.19611999999995</v>
      </c>
      <c r="AO773" s="46">
        <v>0</v>
      </c>
      <c r="AP773" s="44">
        <v>0</v>
      </c>
      <c r="AQ773" s="44">
        <v>0</v>
      </c>
      <c r="AR773" s="41">
        <f t="shared" si="204"/>
        <v>3.8373271082678052E-2</v>
      </c>
      <c r="AS773" s="40"/>
      <c r="AT773" s="41"/>
      <c r="AU773" s="41"/>
      <c r="AV773" s="23">
        <v>1.4761904761904761</v>
      </c>
      <c r="AW773" s="23">
        <v>1.333333333333333</v>
      </c>
      <c r="AX773" s="23">
        <v>0.2857142857142857</v>
      </c>
      <c r="AY773" s="23">
        <v>0</v>
      </c>
      <c r="AZ773" s="23">
        <v>0.47692307692307689</v>
      </c>
      <c r="BA773" s="23">
        <v>0.43076923076923068</v>
      </c>
      <c r="BB773" s="23">
        <v>9.2307692307692299E-2</v>
      </c>
      <c r="BC773" s="23">
        <v>0</v>
      </c>
      <c r="BD773" s="20">
        <v>1</v>
      </c>
      <c r="BE773" s="20">
        <v>3.44</v>
      </c>
      <c r="BF773" s="20">
        <v>2.44</v>
      </c>
      <c r="BG773" s="20">
        <v>2.461904761904762</v>
      </c>
      <c r="BH773">
        <v>2.461904761904762</v>
      </c>
      <c r="BI773">
        <v>6.6545549908373571</v>
      </c>
      <c r="BJ773" s="64"/>
      <c r="BK773" s="64"/>
      <c r="BL773" s="64"/>
      <c r="BM773">
        <v>1.918663554133903E-2</v>
      </c>
      <c r="BQ773">
        <v>3.8373271082678052E-2</v>
      </c>
      <c r="BR773">
        <v>1.918663554133903E-2</v>
      </c>
      <c r="BS773">
        <v>0</v>
      </c>
      <c r="BT773" s="68" t="s">
        <v>1264</v>
      </c>
      <c r="BU773" s="68">
        <v>1373</v>
      </c>
      <c r="BV773" s="68">
        <v>24</v>
      </c>
      <c r="BX773" s="68" t="s">
        <v>1268</v>
      </c>
      <c r="BY773" s="68" t="s">
        <v>863</v>
      </c>
      <c r="BZ773" s="68">
        <v>1</v>
      </c>
      <c r="CA773" s="68">
        <v>10.199999999999999</v>
      </c>
      <c r="CB773" s="68">
        <v>0.5</v>
      </c>
      <c r="CC773" s="68">
        <v>0</v>
      </c>
      <c r="CD773" s="77" t="s">
        <v>464</v>
      </c>
      <c r="CE773" s="77" t="s">
        <v>464</v>
      </c>
      <c r="CF773" s="77" t="s">
        <v>1266</v>
      </c>
      <c r="CG773" s="77">
        <v>125</v>
      </c>
      <c r="CH773" s="77">
        <v>220</v>
      </c>
      <c r="CI773" s="77" t="s">
        <v>1287</v>
      </c>
      <c r="CJ773" s="77">
        <f t="shared" si="200"/>
        <v>288</v>
      </c>
      <c r="CK773" s="70">
        <v>40200</v>
      </c>
    </row>
    <row r="774" spans="1:89" x14ac:dyDescent="0.3">
      <c r="A774" t="s">
        <v>180</v>
      </c>
      <c r="B774" t="s">
        <v>2776</v>
      </c>
      <c r="C774" t="s">
        <v>4085</v>
      </c>
      <c r="D774" s="12"/>
      <c r="E774">
        <v>3.6</v>
      </c>
      <c r="F774" s="80" t="s">
        <v>354</v>
      </c>
      <c r="G774" s="98" t="s">
        <v>549</v>
      </c>
      <c r="H774">
        <v>-1</v>
      </c>
      <c r="J774" t="s">
        <v>1769</v>
      </c>
      <c r="M774" t="b">
        <v>1</v>
      </c>
      <c r="N774" t="b">
        <v>0</v>
      </c>
      <c r="O774" t="b">
        <v>0</v>
      </c>
      <c r="P774" t="b">
        <v>0</v>
      </c>
      <c r="Q774" t="s">
        <v>2378</v>
      </c>
      <c r="R774">
        <v>-1</v>
      </c>
      <c r="T774">
        <v>2</v>
      </c>
      <c r="U774" s="20">
        <v>0</v>
      </c>
      <c r="V774">
        <v>0</v>
      </c>
      <c r="W774">
        <v>0</v>
      </c>
      <c r="X774">
        <v>3.895</v>
      </c>
      <c r="Y774">
        <v>3.895</v>
      </c>
      <c r="Z774">
        <v>30.46</v>
      </c>
      <c r="AA774" t="s">
        <v>440</v>
      </c>
      <c r="AB774">
        <v>15.23</v>
      </c>
      <c r="AC774" s="20">
        <v>0</v>
      </c>
      <c r="AD774" s="20"/>
      <c r="AE774" s="20"/>
      <c r="AF774">
        <v>0</v>
      </c>
      <c r="AI774">
        <v>0</v>
      </c>
      <c r="AM774">
        <v>20</v>
      </c>
      <c r="AN774" s="44">
        <f t="shared" si="180"/>
        <v>462.1094215</v>
      </c>
      <c r="AO774" s="46">
        <v>0</v>
      </c>
      <c r="AP774" s="44">
        <v>0</v>
      </c>
      <c r="AQ774" s="44">
        <v>0</v>
      </c>
      <c r="AR774" s="41">
        <f t="shared" si="187"/>
        <v>8.655958554179792E-2</v>
      </c>
      <c r="AS774" s="40"/>
      <c r="AT774" s="41"/>
      <c r="AU774" s="41"/>
      <c r="AV774" s="23">
        <v>1.882352941176471</v>
      </c>
      <c r="AW774" s="23">
        <v>2.3529411764705879</v>
      </c>
      <c r="AX774" s="23">
        <v>0.47058823529411759</v>
      </c>
      <c r="AY774" s="23">
        <v>0</v>
      </c>
      <c r="AZ774" s="23">
        <v>0.4</v>
      </c>
      <c r="BA774" s="23">
        <v>0.5</v>
      </c>
      <c r="BB774" s="23">
        <v>9.9999999999999992E-2</v>
      </c>
      <c r="BC774" s="23">
        <v>0</v>
      </c>
      <c r="BD774" s="20">
        <v>0.82</v>
      </c>
      <c r="BE774" s="20">
        <v>3.44</v>
      </c>
      <c r="BF774" s="20">
        <v>2.62</v>
      </c>
      <c r="BG774" s="20">
        <v>2.5211764705882351</v>
      </c>
      <c r="BH774">
        <v>2.521176470588236</v>
      </c>
      <c r="BI774">
        <v>5.6793405594117647</v>
      </c>
      <c r="BJ774" s="64"/>
      <c r="BK774" s="64"/>
      <c r="BL774" s="64"/>
      <c r="BM774">
        <v>4.327979277089896E-2</v>
      </c>
      <c r="BQ774">
        <v>8.655958554179792E-2</v>
      </c>
      <c r="BR774">
        <v>4.327979277089896E-2</v>
      </c>
      <c r="BS774">
        <v>0</v>
      </c>
      <c r="BT774" s="68" t="s">
        <v>1264</v>
      </c>
      <c r="BU774" s="68">
        <v>1273</v>
      </c>
      <c r="BV774" s="68">
        <v>10</v>
      </c>
      <c r="BX774" s="68" t="s">
        <v>464</v>
      </c>
      <c r="BY774" s="68" t="s">
        <v>464</v>
      </c>
      <c r="BZ774" s="68">
        <v>0</v>
      </c>
      <c r="CA774" s="68">
        <v>1.4</v>
      </c>
      <c r="CB774" s="68">
        <v>0.5</v>
      </c>
      <c r="CC774" s="68">
        <v>0</v>
      </c>
      <c r="CD774" s="77" t="s">
        <v>464</v>
      </c>
      <c r="CE774" s="77" t="s">
        <v>464</v>
      </c>
      <c r="CF774" s="77" t="s">
        <v>1266</v>
      </c>
      <c r="CG774" s="77">
        <v>125</v>
      </c>
      <c r="CH774" s="77">
        <v>220</v>
      </c>
      <c r="CI774" s="77" t="s">
        <v>1287</v>
      </c>
      <c r="CJ774" s="77">
        <f t="shared" si="200"/>
        <v>288</v>
      </c>
      <c r="CK774" s="70">
        <v>707.99999999999989</v>
      </c>
    </row>
    <row r="775" spans="1:89" x14ac:dyDescent="0.3">
      <c r="A775" t="s">
        <v>952</v>
      </c>
      <c r="B775" t="s">
        <v>2776</v>
      </c>
      <c r="C775" t="s">
        <v>4257</v>
      </c>
      <c r="D775" s="12"/>
      <c r="E775">
        <v>3.65</v>
      </c>
      <c r="F775" s="80" t="s">
        <v>354</v>
      </c>
      <c r="G775" s="98" t="s">
        <v>549</v>
      </c>
      <c r="H775">
        <v>-1</v>
      </c>
      <c r="J775" t="s">
        <v>2249</v>
      </c>
      <c r="M775" t="b">
        <v>1</v>
      </c>
      <c r="N775" t="b">
        <v>0</v>
      </c>
      <c r="O775" t="b">
        <v>0</v>
      </c>
      <c r="P775" t="b">
        <v>0</v>
      </c>
      <c r="Q775" t="s">
        <v>2380</v>
      </c>
      <c r="R775">
        <v>-1</v>
      </c>
      <c r="T775">
        <v>2</v>
      </c>
      <c r="U775" s="20">
        <v>0</v>
      </c>
      <c r="V775">
        <v>0</v>
      </c>
      <c r="W775">
        <v>0</v>
      </c>
      <c r="X775">
        <v>3.84</v>
      </c>
      <c r="Y775">
        <v>3.84</v>
      </c>
      <c r="Z775">
        <v>32.520000000000003</v>
      </c>
      <c r="AA775" t="s">
        <v>1131</v>
      </c>
      <c r="AB775">
        <v>16.260000000000002</v>
      </c>
      <c r="AC775" s="20">
        <v>0</v>
      </c>
      <c r="AD775" s="20"/>
      <c r="AE775" s="20"/>
      <c r="AF775">
        <v>0</v>
      </c>
      <c r="AI775">
        <v>0</v>
      </c>
      <c r="AM775">
        <v>20</v>
      </c>
      <c r="AN775" s="44">
        <f t="shared" si="180"/>
        <v>479.52691200000004</v>
      </c>
      <c r="AO775" s="46">
        <v>0</v>
      </c>
      <c r="AP775" s="44">
        <v>0</v>
      </c>
      <c r="AQ775" s="44">
        <v>0</v>
      </c>
      <c r="AR775" s="41">
        <f t="shared" si="187"/>
        <v>8.3415547697143627E-2</v>
      </c>
      <c r="AS775" s="40"/>
      <c r="AT775" s="41"/>
      <c r="AU775" s="41"/>
      <c r="AV775" s="23">
        <v>1.882352941176471</v>
      </c>
      <c r="AW775" s="23">
        <v>2.3529411764705879</v>
      </c>
      <c r="AX775" s="23">
        <v>0.47058823529411759</v>
      </c>
      <c r="AY775" s="23">
        <v>0</v>
      </c>
      <c r="AZ775" s="23">
        <v>0.4</v>
      </c>
      <c r="BA775" s="23">
        <v>0.5</v>
      </c>
      <c r="BB775" s="23">
        <v>9.9999999999999992E-2</v>
      </c>
      <c r="BC775" s="23">
        <v>0</v>
      </c>
      <c r="BD775" s="20">
        <v>0.82</v>
      </c>
      <c r="BE775" s="20">
        <v>3.44</v>
      </c>
      <c r="BF775" s="20">
        <v>2.62</v>
      </c>
      <c r="BG775" s="20">
        <v>2.6023529411764699</v>
      </c>
      <c r="BH775">
        <v>2.6023529411764712</v>
      </c>
      <c r="BI775">
        <v>5.9643402149912346</v>
      </c>
      <c r="BJ775" s="64"/>
      <c r="BK775" s="64"/>
      <c r="BL775" s="64"/>
      <c r="BM775">
        <v>4.1707773848571807E-2</v>
      </c>
      <c r="BQ775">
        <v>8.3415547697143627E-2</v>
      </c>
      <c r="BR775">
        <v>4.1707773848571807E-2</v>
      </c>
      <c r="BS775">
        <v>0</v>
      </c>
      <c r="BT775" s="68" t="s">
        <v>1264</v>
      </c>
      <c r="BU775" s="68">
        <v>1273</v>
      </c>
      <c r="BV775" s="68">
        <v>10</v>
      </c>
      <c r="BX775" s="68" t="s">
        <v>464</v>
      </c>
      <c r="BY775" s="68" t="s">
        <v>464</v>
      </c>
      <c r="BZ775" s="68">
        <v>0</v>
      </c>
      <c r="CA775" s="68">
        <v>7.1</v>
      </c>
      <c r="CB775" s="68">
        <v>0.5</v>
      </c>
      <c r="CC775" s="68">
        <v>0</v>
      </c>
      <c r="CD775" s="77" t="s">
        <v>464</v>
      </c>
      <c r="CE775" s="77" t="s">
        <v>464</v>
      </c>
      <c r="CF775" s="77" t="s">
        <v>1266</v>
      </c>
      <c r="CG775" s="77">
        <v>125</v>
      </c>
      <c r="CH775" s="77">
        <v>220</v>
      </c>
      <c r="CI775" s="77" t="s">
        <v>1287</v>
      </c>
      <c r="CJ775" s="77">
        <f t="shared" si="200"/>
        <v>288</v>
      </c>
      <c r="CK775" s="70">
        <v>243.99999999999997</v>
      </c>
    </row>
    <row r="776" spans="1:89" x14ac:dyDescent="0.3">
      <c r="A776" t="s">
        <v>953</v>
      </c>
      <c r="B776" t="s">
        <v>2776</v>
      </c>
      <c r="C776" t="s">
        <v>4258</v>
      </c>
      <c r="D776" s="12"/>
      <c r="E776">
        <v>3.58</v>
      </c>
      <c r="F776" s="80" t="s">
        <v>354</v>
      </c>
      <c r="G776" s="98" t="s">
        <v>549</v>
      </c>
      <c r="H776">
        <v>-1</v>
      </c>
      <c r="J776" t="s">
        <v>2250</v>
      </c>
      <c r="M776" t="b">
        <v>1</v>
      </c>
      <c r="N776" t="b">
        <v>0</v>
      </c>
      <c r="O776" t="b">
        <v>0</v>
      </c>
      <c r="P776" t="b">
        <v>0</v>
      </c>
      <c r="Q776" t="s">
        <v>2381</v>
      </c>
      <c r="R776">
        <v>-1</v>
      </c>
      <c r="T776">
        <v>1</v>
      </c>
      <c r="U776" s="20">
        <v>0</v>
      </c>
      <c r="V776">
        <v>0</v>
      </c>
      <c r="W776">
        <v>0</v>
      </c>
      <c r="X776">
        <v>3.82</v>
      </c>
      <c r="Y776">
        <v>3.82</v>
      </c>
      <c r="Z776">
        <v>14.9</v>
      </c>
      <c r="AA776" t="s">
        <v>439</v>
      </c>
      <c r="AB776">
        <v>14.9</v>
      </c>
      <c r="AC776" s="20">
        <v>0</v>
      </c>
      <c r="AD776" s="20"/>
      <c r="AE776" s="20"/>
      <c r="AF776">
        <v>0</v>
      </c>
      <c r="AI776">
        <v>0</v>
      </c>
      <c r="AM776">
        <v>20</v>
      </c>
      <c r="AN776" s="44">
        <f t="shared" si="180"/>
        <v>217.42676</v>
      </c>
      <c r="AO776" s="46">
        <v>0</v>
      </c>
      <c r="AP776" s="44">
        <v>0</v>
      </c>
      <c r="AQ776" s="44">
        <v>0</v>
      </c>
      <c r="AR776" s="41">
        <f t="shared" si="187"/>
        <v>9.1984997614829006E-2</v>
      </c>
      <c r="AS776" s="40"/>
      <c r="AT776" s="41"/>
      <c r="AU776" s="41"/>
      <c r="AV776" s="23">
        <v>1.882352941176471</v>
      </c>
      <c r="AW776" s="23">
        <v>2.3529411764705879</v>
      </c>
      <c r="AX776" s="23">
        <v>0.47058823529411759</v>
      </c>
      <c r="AY776" s="23">
        <v>0</v>
      </c>
      <c r="AZ776" s="23">
        <v>0.4</v>
      </c>
      <c r="BA776" s="23">
        <v>0.5</v>
      </c>
      <c r="BB776" s="23">
        <v>9.9999999999999992E-2</v>
      </c>
      <c r="BC776" s="23">
        <v>0</v>
      </c>
      <c r="BD776" s="20">
        <v>0.82</v>
      </c>
      <c r="BE776" s="20">
        <v>3.44</v>
      </c>
      <c r="BF776" s="20">
        <v>2.62</v>
      </c>
      <c r="BG776" s="20">
        <v>2.6429411764705879</v>
      </c>
      <c r="BH776">
        <v>2.6429411764705879</v>
      </c>
      <c r="BI776">
        <v>6.1068400427809717</v>
      </c>
      <c r="BJ776" s="64"/>
      <c r="BK776" s="64"/>
      <c r="BL776" s="64"/>
      <c r="BM776">
        <v>4.5992498807414503E-2</v>
      </c>
      <c r="BQ776">
        <v>9.1984997614829006E-2</v>
      </c>
      <c r="BR776">
        <v>4.5992498807414503E-2</v>
      </c>
      <c r="BS776">
        <v>0</v>
      </c>
      <c r="BT776" s="68" t="s">
        <v>1264</v>
      </c>
      <c r="BU776" s="68">
        <v>1273</v>
      </c>
      <c r="BV776" s="68">
        <v>10</v>
      </c>
      <c r="BX776" s="68" t="s">
        <v>464</v>
      </c>
      <c r="BY776" s="68" t="s">
        <v>464</v>
      </c>
      <c r="BZ776" s="68">
        <v>0</v>
      </c>
      <c r="CA776" s="68">
        <v>7.8</v>
      </c>
      <c r="CB776" s="68">
        <v>0.5</v>
      </c>
      <c r="CC776" s="68">
        <v>0</v>
      </c>
      <c r="CD776" s="77" t="s">
        <v>464</v>
      </c>
      <c r="CE776" s="77" t="s">
        <v>464</v>
      </c>
      <c r="CF776" s="77" t="s">
        <v>1266</v>
      </c>
      <c r="CG776" s="77">
        <v>125</v>
      </c>
      <c r="CH776" s="77">
        <v>220</v>
      </c>
      <c r="CI776" s="77" t="s">
        <v>1287</v>
      </c>
      <c r="CJ776" s="77">
        <f t="shared" si="200"/>
        <v>288</v>
      </c>
      <c r="CK776" s="70">
        <v>47.999999999999993</v>
      </c>
    </row>
    <row r="777" spans="1:89" x14ac:dyDescent="0.3">
      <c r="A777" t="s">
        <v>353</v>
      </c>
      <c r="B777" t="s">
        <v>2776</v>
      </c>
      <c r="C777" t="s">
        <v>4259</v>
      </c>
      <c r="D777" s="12"/>
      <c r="E777">
        <v>3.55</v>
      </c>
      <c r="F777" s="80" t="s">
        <v>354</v>
      </c>
      <c r="G777" s="98" t="s">
        <v>549</v>
      </c>
      <c r="H777">
        <v>-1</v>
      </c>
      <c r="I777" t="s">
        <v>1242</v>
      </c>
      <c r="J777" t="s">
        <v>1726</v>
      </c>
      <c r="M777" t="b">
        <v>1</v>
      </c>
      <c r="N777" t="b">
        <v>0</v>
      </c>
      <c r="O777" t="b">
        <v>0</v>
      </c>
      <c r="P777" t="b">
        <v>0</v>
      </c>
      <c r="Q777" t="s">
        <v>2383</v>
      </c>
      <c r="R777">
        <v>-1</v>
      </c>
      <c r="S777" t="s">
        <v>1242</v>
      </c>
      <c r="T777">
        <v>2</v>
      </c>
      <c r="U777" s="20">
        <v>0</v>
      </c>
      <c r="V777">
        <v>0</v>
      </c>
      <c r="W777">
        <v>0</v>
      </c>
      <c r="X777">
        <v>3.8050000000000002</v>
      </c>
      <c r="Y777">
        <v>3.8050000000000002</v>
      </c>
      <c r="Z777">
        <v>27.44</v>
      </c>
      <c r="AA777" t="s">
        <v>1131</v>
      </c>
      <c r="AB777">
        <v>13.72</v>
      </c>
      <c r="AC777" s="20">
        <v>0</v>
      </c>
      <c r="AD777" s="20"/>
      <c r="AE777" s="20"/>
      <c r="AF777">
        <v>0</v>
      </c>
      <c r="AI777">
        <v>0</v>
      </c>
      <c r="AM777">
        <v>20</v>
      </c>
      <c r="AN777" s="44">
        <f t="shared" si="180"/>
        <v>397.27700600000003</v>
      </c>
      <c r="AO777" s="46">
        <v>0</v>
      </c>
      <c r="AP777" s="44">
        <v>0</v>
      </c>
      <c r="AQ777" s="44">
        <v>0</v>
      </c>
      <c r="AR777" s="41">
        <f t="shared" si="187"/>
        <v>0.10068541444857747</v>
      </c>
      <c r="AS777" s="40"/>
      <c r="AT777" s="41"/>
      <c r="AU777" s="41"/>
      <c r="AV777" s="23">
        <v>1.882352941176471</v>
      </c>
      <c r="AW777" s="23">
        <v>2.3529411764705879</v>
      </c>
      <c r="AX777" s="23">
        <v>0.47058823529411759</v>
      </c>
      <c r="AY777" s="23">
        <v>0</v>
      </c>
      <c r="AZ777" s="23">
        <v>0.4</v>
      </c>
      <c r="BA777" s="23">
        <v>0.5</v>
      </c>
      <c r="BB777" s="23">
        <v>9.9999999999999992E-2</v>
      </c>
      <c r="BC777" s="23">
        <v>0</v>
      </c>
      <c r="BD777" s="20">
        <v>1.1000000000000001</v>
      </c>
      <c r="BE777" s="20">
        <v>3.44</v>
      </c>
      <c r="BF777" s="20">
        <v>2.34</v>
      </c>
      <c r="BG777" s="20">
        <v>2.6835294117647059</v>
      </c>
      <c r="BH777">
        <v>2.6835294117647059</v>
      </c>
      <c r="BI777">
        <v>6.2493398705707062</v>
      </c>
      <c r="BJ777" s="64"/>
      <c r="BK777" s="64"/>
      <c r="BL777" s="64"/>
      <c r="BM777">
        <v>5.0342707224288727E-2</v>
      </c>
      <c r="BQ777">
        <v>0.1006854144485775</v>
      </c>
      <c r="BR777">
        <v>5.0342707224288727E-2</v>
      </c>
      <c r="BS777">
        <v>0</v>
      </c>
      <c r="BT777" s="68" t="s">
        <v>1264</v>
      </c>
      <c r="BU777" s="68">
        <v>1273</v>
      </c>
      <c r="BV777" s="68">
        <v>10</v>
      </c>
      <c r="BX777" s="68" t="s">
        <v>464</v>
      </c>
      <c r="BY777" s="68" t="s">
        <v>464</v>
      </c>
      <c r="BZ777" s="68">
        <v>0</v>
      </c>
      <c r="CA777" s="68">
        <v>8.1</v>
      </c>
      <c r="CB777" s="68">
        <v>0.5</v>
      </c>
      <c r="CC777" s="68">
        <v>0</v>
      </c>
      <c r="CD777" s="77" t="s">
        <v>464</v>
      </c>
      <c r="CE777" s="77" t="s">
        <v>464</v>
      </c>
      <c r="CF777" s="77" t="s">
        <v>1266</v>
      </c>
      <c r="CG777" s="77">
        <v>125</v>
      </c>
      <c r="CH777" s="77">
        <v>220</v>
      </c>
      <c r="CI777" s="77" t="s">
        <v>1287</v>
      </c>
      <c r="CJ777" s="77">
        <f t="shared" si="200"/>
        <v>288</v>
      </c>
      <c r="CK777" s="70">
        <v>16</v>
      </c>
    </row>
    <row r="778" spans="1:89" x14ac:dyDescent="0.3">
      <c r="A778" t="s">
        <v>8</v>
      </c>
      <c r="B778" t="s">
        <v>2777</v>
      </c>
      <c r="C778" t="s">
        <v>3926</v>
      </c>
      <c r="D778" s="12"/>
      <c r="E778" s="58">
        <v>3.2</v>
      </c>
      <c r="F778" s="80" t="s">
        <v>354</v>
      </c>
      <c r="G778" s="8" t="s">
        <v>530</v>
      </c>
      <c r="H778" t="s">
        <v>612</v>
      </c>
      <c r="M778" t="b">
        <v>1</v>
      </c>
      <c r="N778" t="b">
        <v>1</v>
      </c>
      <c r="O778" t="b">
        <v>0</v>
      </c>
      <c r="P778" t="b">
        <v>0</v>
      </c>
      <c r="Q778" t="s">
        <v>530</v>
      </c>
      <c r="R778" t="s">
        <v>612</v>
      </c>
      <c r="U778" s="20"/>
      <c r="AB778">
        <v>0</v>
      </c>
      <c r="AC778" s="20"/>
      <c r="AD778" s="20"/>
      <c r="AE778" s="20"/>
      <c r="AN778" s="44"/>
      <c r="AO778" s="46"/>
      <c r="AP778" s="44"/>
      <c r="AQ778" s="44"/>
      <c r="AR778" s="41"/>
      <c r="AS778" s="40"/>
      <c r="AT778" s="41"/>
      <c r="AU778" s="41"/>
      <c r="AV778" s="23"/>
      <c r="AW778" s="23"/>
      <c r="AX778" s="23"/>
      <c r="AY778" s="23"/>
      <c r="AZ778" s="23"/>
      <c r="BA778" s="23"/>
      <c r="BB778" s="23"/>
      <c r="BC778" s="23"/>
      <c r="BD778" s="20"/>
      <c r="BE778" s="20"/>
      <c r="BF778" s="20"/>
      <c r="BG778" s="20"/>
      <c r="BJ778" s="64"/>
      <c r="BK778" s="64"/>
      <c r="BL778" s="64"/>
      <c r="BT778" s="68" t="s">
        <v>1454</v>
      </c>
      <c r="BX778" s="68" t="s">
        <v>464</v>
      </c>
      <c r="BY778" s="68" t="s">
        <v>464</v>
      </c>
      <c r="BZ778" s="68">
        <v>0</v>
      </c>
      <c r="CA778" s="68">
        <v>49</v>
      </c>
      <c r="CB778" s="68">
        <v>0.5</v>
      </c>
      <c r="CC778" s="68">
        <v>0</v>
      </c>
      <c r="CD778" s="77" t="s">
        <v>464</v>
      </c>
      <c r="CE778" s="77" t="s">
        <v>464</v>
      </c>
      <c r="CF778" s="77" t="s">
        <v>1266</v>
      </c>
      <c r="CG778" s="77">
        <v>125</v>
      </c>
      <c r="CH778" s="77">
        <v>220</v>
      </c>
      <c r="CI778" s="77" t="s">
        <v>1287</v>
      </c>
      <c r="CJ778" s="77">
        <f t="shared" si="200"/>
        <v>288</v>
      </c>
      <c r="CK778" s="70">
        <v>32</v>
      </c>
    </row>
    <row r="779" spans="1:89" x14ac:dyDescent="0.3">
      <c r="A779" t="s">
        <v>142</v>
      </c>
      <c r="B779" t="s">
        <v>153</v>
      </c>
      <c r="C779" t="s">
        <v>4045</v>
      </c>
      <c r="D779" s="12"/>
      <c r="E779">
        <v>4.3600000000000003</v>
      </c>
      <c r="F779" s="78" t="s">
        <v>357</v>
      </c>
      <c r="G779" s="8">
        <v>-1</v>
      </c>
      <c r="H779">
        <v>-1</v>
      </c>
      <c r="I779" t="s">
        <v>1180</v>
      </c>
      <c r="L779" t="s">
        <v>2251</v>
      </c>
      <c r="M779" t="b">
        <v>0</v>
      </c>
      <c r="N779" t="b">
        <v>0</v>
      </c>
      <c r="O779" t="b">
        <v>1</v>
      </c>
      <c r="P779" t="b">
        <v>0</v>
      </c>
      <c r="Q779">
        <v>-1</v>
      </c>
      <c r="R779">
        <v>-1</v>
      </c>
      <c r="S779" t="s">
        <v>2478</v>
      </c>
      <c r="T779">
        <v>1</v>
      </c>
      <c r="U779" s="20">
        <v>0</v>
      </c>
      <c r="V779">
        <v>0</v>
      </c>
      <c r="W779">
        <v>1</v>
      </c>
      <c r="X779">
        <v>3.89</v>
      </c>
      <c r="Y779">
        <v>3.89</v>
      </c>
      <c r="Z779">
        <v>10.48</v>
      </c>
      <c r="AA779" t="s">
        <v>440</v>
      </c>
      <c r="AB779">
        <v>10.48</v>
      </c>
      <c r="AC779" s="20">
        <v>0</v>
      </c>
      <c r="AF779">
        <v>0</v>
      </c>
      <c r="AI779">
        <v>3.88</v>
      </c>
      <c r="AJ779">
        <v>3.88</v>
      </c>
      <c r="AK779">
        <v>10.66</v>
      </c>
      <c r="AM779">
        <v>14</v>
      </c>
      <c r="AN779" s="44">
        <f t="shared" si="180"/>
        <v>158.58440800000002</v>
      </c>
      <c r="AO779" s="46">
        <v>0</v>
      </c>
      <c r="AP779" s="44">
        <v>0</v>
      </c>
      <c r="AQ779" s="44">
        <v>160.479904</v>
      </c>
      <c r="AR779" s="41">
        <f t="shared" si="187"/>
        <v>8.8281062284509063E-2</v>
      </c>
      <c r="AS779" s="41"/>
      <c r="AT779" s="41"/>
      <c r="AU779" s="56">
        <f t="shared" ref="AU779:AU784" si="205">W779*AM779/AQ779</f>
        <v>8.7238337331009372E-2</v>
      </c>
      <c r="AV779">
        <v>1.9090909090909089</v>
      </c>
      <c r="AW779">
        <v>2.545454545454545</v>
      </c>
      <c r="AX779">
        <v>0.54545454545454541</v>
      </c>
      <c r="AY779">
        <v>2.9090909090909092</v>
      </c>
      <c r="AZ779">
        <v>0.2413793103448276</v>
      </c>
      <c r="BA779">
        <v>0.32183908045977011</v>
      </c>
      <c r="BB779">
        <v>6.8965517241379309E-2</v>
      </c>
      <c r="BC779">
        <v>0.36781609195402298</v>
      </c>
      <c r="BD779" s="20">
        <v>1.1399999999999999</v>
      </c>
      <c r="BE779" s="20">
        <v>3.44</v>
      </c>
      <c r="BF779" s="20">
        <v>2.2999999999999998</v>
      </c>
      <c r="BG779" s="20">
        <v>2.7654545454545452</v>
      </c>
      <c r="BH779">
        <v>2.7654545454545461</v>
      </c>
      <c r="BI779">
        <v>6.4215922727137267</v>
      </c>
      <c r="BJ779" s="64"/>
      <c r="BK779" s="64"/>
      <c r="BL779" s="64">
        <v>0</v>
      </c>
      <c r="BM779">
        <v>4.4140531142254531E-2</v>
      </c>
      <c r="BP779">
        <v>4.3619168665504693E-2</v>
      </c>
      <c r="BQ779">
        <v>8.7759699807759217E-2</v>
      </c>
      <c r="BR779">
        <v>4.3879849903879609E-2</v>
      </c>
      <c r="BS779">
        <v>0</v>
      </c>
      <c r="BT779" s="68" t="s">
        <v>1264</v>
      </c>
      <c r="BU779" s="68">
        <v>1373</v>
      </c>
      <c r="BV779" s="68">
        <v>10</v>
      </c>
      <c r="CA779" s="68">
        <v>3.9</v>
      </c>
      <c r="CB779" s="68">
        <v>0.5</v>
      </c>
      <c r="CC779" s="68">
        <v>0.1</v>
      </c>
      <c r="CD779" s="77" t="s">
        <v>464</v>
      </c>
      <c r="CE779" s="77" t="s">
        <v>464</v>
      </c>
      <c r="CF779" s="77" t="s">
        <v>1266</v>
      </c>
      <c r="CG779" s="77">
        <v>125</v>
      </c>
      <c r="CH779" s="77">
        <v>220</v>
      </c>
      <c r="CI779" s="77" t="s">
        <v>1287</v>
      </c>
      <c r="CJ779" s="77">
        <f t="shared" si="200"/>
        <v>288</v>
      </c>
      <c r="CK779" s="70">
        <v>1800</v>
      </c>
    </row>
    <row r="780" spans="1:89" x14ac:dyDescent="0.3">
      <c r="A780" t="s">
        <v>355</v>
      </c>
      <c r="B780" t="s">
        <v>153</v>
      </c>
      <c r="C780" t="s">
        <v>4260</v>
      </c>
      <c r="D780" s="12"/>
      <c r="E780">
        <v>4.49</v>
      </c>
      <c r="F780" s="78" t="s">
        <v>357</v>
      </c>
      <c r="G780" s="8">
        <v>-1</v>
      </c>
      <c r="H780">
        <v>-1</v>
      </c>
      <c r="I780" t="s">
        <v>1180</v>
      </c>
      <c r="M780" t="b">
        <v>0</v>
      </c>
      <c r="N780" t="b">
        <v>0</v>
      </c>
      <c r="O780" t="b">
        <v>1</v>
      </c>
      <c r="P780" t="b">
        <v>0</v>
      </c>
      <c r="Q780">
        <v>-1</v>
      </c>
      <c r="R780">
        <v>-1</v>
      </c>
      <c r="S780" t="s">
        <v>1180</v>
      </c>
      <c r="T780" s="1">
        <v>1</v>
      </c>
      <c r="U780" s="20">
        <v>0</v>
      </c>
      <c r="V780">
        <v>0</v>
      </c>
      <c r="W780">
        <v>4</v>
      </c>
      <c r="X780" s="1">
        <v>3.8620000000000001</v>
      </c>
      <c r="Y780" s="1">
        <v>3.8620000000000001</v>
      </c>
      <c r="Z780" s="1">
        <v>10.220000000000001</v>
      </c>
      <c r="AB780" s="1">
        <v>10.220000000000001</v>
      </c>
      <c r="AC780" s="20">
        <v>0</v>
      </c>
      <c r="AF780">
        <v>0</v>
      </c>
      <c r="AI780">
        <v>5.4092000000000002</v>
      </c>
      <c r="AJ780">
        <v>20.501100000000001</v>
      </c>
      <c r="AK780">
        <v>5.4427000000000003</v>
      </c>
      <c r="AM780">
        <v>14</v>
      </c>
      <c r="AN780" s="44">
        <f t="shared" si="180"/>
        <v>152.43174968</v>
      </c>
      <c r="AO780" s="46">
        <v>0</v>
      </c>
      <c r="AP780" s="44">
        <v>0</v>
      </c>
      <c r="AQ780" s="44">
        <v>603.57000000000005</v>
      </c>
      <c r="AR780" s="41"/>
      <c r="AS780" s="41"/>
      <c r="AT780" s="41"/>
      <c r="AU780" s="56">
        <f t="shared" si="205"/>
        <v>9.2781284689431212E-2</v>
      </c>
      <c r="AV780" s="23">
        <v>1.9090909090909089</v>
      </c>
      <c r="AW780" s="23">
        <v>2.545454545454545</v>
      </c>
      <c r="AX780" s="23">
        <v>0.54545454545454541</v>
      </c>
      <c r="AY780" s="23">
        <v>2.9090909090909092</v>
      </c>
      <c r="AZ780" s="23">
        <v>0.2413793103448276</v>
      </c>
      <c r="BA780" s="23">
        <v>0.32183908045977011</v>
      </c>
      <c r="BB780" s="23">
        <v>6.8965517241379309E-2</v>
      </c>
      <c r="BC780" s="23">
        <v>0.36781609195402298</v>
      </c>
      <c r="BD780" s="20">
        <v>0.98</v>
      </c>
      <c r="BE780" s="20">
        <v>3.44</v>
      </c>
      <c r="BF780" s="20">
        <v>2.46</v>
      </c>
      <c r="BG780" s="20">
        <v>2.6545454545454539</v>
      </c>
      <c r="BH780">
        <v>2.6545454545454539</v>
      </c>
      <c r="BI780">
        <v>6.0423528007272722</v>
      </c>
      <c r="BJ780" s="64"/>
      <c r="BK780" s="64"/>
      <c r="BL780" s="64">
        <v>0.47461723217425672</v>
      </c>
      <c r="BP780">
        <v>4.6390642344715613E-2</v>
      </c>
      <c r="BQ780">
        <v>9.2781284689431212E-2</v>
      </c>
      <c r="BR780">
        <v>4.6390642344715613E-2</v>
      </c>
      <c r="BS780">
        <v>0.47461723217425672</v>
      </c>
      <c r="BT780" s="68" t="s">
        <v>1264</v>
      </c>
      <c r="BU780" s="68">
        <v>1373</v>
      </c>
      <c r="BV780" s="68">
        <v>10</v>
      </c>
      <c r="CA780" s="68">
        <v>4.3</v>
      </c>
      <c r="CB780" s="68">
        <v>0.5</v>
      </c>
      <c r="CC780" s="68">
        <v>0.1</v>
      </c>
      <c r="CD780" s="77" t="s">
        <v>464</v>
      </c>
      <c r="CE780" s="77" t="s">
        <v>464</v>
      </c>
      <c r="CF780" s="77" t="s">
        <v>1266</v>
      </c>
      <c r="CG780" s="77">
        <v>125</v>
      </c>
      <c r="CH780" s="77">
        <v>220</v>
      </c>
      <c r="CI780" s="77" t="s">
        <v>1287</v>
      </c>
      <c r="CJ780" s="77">
        <f t="shared" si="200"/>
        <v>288</v>
      </c>
      <c r="CK780" s="70">
        <v>240</v>
      </c>
    </row>
    <row r="781" spans="1:89" x14ac:dyDescent="0.3">
      <c r="A781" t="s">
        <v>143</v>
      </c>
      <c r="B781" t="s">
        <v>153</v>
      </c>
      <c r="C781" t="s">
        <v>4046</v>
      </c>
      <c r="D781" s="12"/>
      <c r="E781">
        <v>4.38</v>
      </c>
      <c r="F781" s="78" t="s">
        <v>357</v>
      </c>
      <c r="G781" s="8">
        <v>-1</v>
      </c>
      <c r="H781">
        <v>-1</v>
      </c>
      <c r="I781" t="s">
        <v>1181</v>
      </c>
      <c r="M781" t="b">
        <v>0</v>
      </c>
      <c r="N781" t="b">
        <v>0</v>
      </c>
      <c r="O781" t="b">
        <v>1</v>
      </c>
      <c r="P781" t="b">
        <v>0</v>
      </c>
      <c r="Q781">
        <v>-1</v>
      </c>
      <c r="R781">
        <v>-1</v>
      </c>
      <c r="S781" t="s">
        <v>1181</v>
      </c>
      <c r="T781">
        <v>2</v>
      </c>
      <c r="U781" s="20">
        <v>0</v>
      </c>
      <c r="V781">
        <v>0</v>
      </c>
      <c r="W781">
        <v>4</v>
      </c>
      <c r="X781">
        <v>3.92</v>
      </c>
      <c r="Y781">
        <v>3.92</v>
      </c>
      <c r="Z781">
        <v>21.024000000000001</v>
      </c>
      <c r="AB781">
        <v>10.512</v>
      </c>
      <c r="AC781" s="20">
        <v>0</v>
      </c>
      <c r="AF781">
        <v>0</v>
      </c>
      <c r="AI781">
        <v>5.4686000000000003</v>
      </c>
      <c r="AJ781">
        <v>5.4686000000000003</v>
      </c>
      <c r="AK781">
        <v>21.134499999999999</v>
      </c>
      <c r="AM781">
        <v>14</v>
      </c>
      <c r="AN781" s="44">
        <f t="shared" si="180"/>
        <v>323.06319359999998</v>
      </c>
      <c r="AO781" s="46">
        <v>0</v>
      </c>
      <c r="AP781" s="44">
        <v>0</v>
      </c>
      <c r="AQ781" s="44">
        <v>632</v>
      </c>
      <c r="AR781" s="41"/>
      <c r="AS781" s="41"/>
      <c r="AT781" s="41"/>
      <c r="AU781" s="56">
        <f t="shared" si="205"/>
        <v>8.8607594936708861E-2</v>
      </c>
      <c r="AV781" s="23">
        <v>1.9090909090909089</v>
      </c>
      <c r="AW781" s="23">
        <v>2.545454545454545</v>
      </c>
      <c r="AX781" s="23">
        <v>0.54545454545454541</v>
      </c>
      <c r="AY781" s="23">
        <v>2.9090909090909092</v>
      </c>
      <c r="AZ781" s="23">
        <v>0.2413793103448276</v>
      </c>
      <c r="BA781" s="23">
        <v>0.32183908045977011</v>
      </c>
      <c r="BB781" s="23">
        <v>6.8965517241379309E-2</v>
      </c>
      <c r="BC781" s="23">
        <v>0.36781609195402298</v>
      </c>
      <c r="BD781" s="20">
        <v>0.93</v>
      </c>
      <c r="BE781" s="20">
        <v>3.44</v>
      </c>
      <c r="BF781" s="20">
        <v>2.5099999999999998</v>
      </c>
      <c r="BG781" s="20">
        <v>2.65</v>
      </c>
      <c r="BH781">
        <v>2.649999999999999</v>
      </c>
      <c r="BI781">
        <v>6.0276818459090906</v>
      </c>
      <c r="BJ781" s="64"/>
      <c r="BK781" s="64"/>
      <c r="BL781" s="64">
        <v>0.47528867242311779</v>
      </c>
      <c r="BP781">
        <v>4.4303797468354431E-2</v>
      </c>
      <c r="BQ781">
        <v>8.8607594936708861E-2</v>
      </c>
      <c r="BR781">
        <v>4.4303797468354431E-2</v>
      </c>
      <c r="BS781">
        <v>0.47528867242311779</v>
      </c>
      <c r="BT781" s="68" t="s">
        <v>1264</v>
      </c>
      <c r="BU781" s="68">
        <v>1373</v>
      </c>
      <c r="BV781" s="68">
        <v>10</v>
      </c>
      <c r="CA781" s="68">
        <v>5</v>
      </c>
      <c r="CB781" s="68">
        <v>0.5</v>
      </c>
      <c r="CC781" s="68">
        <v>0.1</v>
      </c>
      <c r="CD781" s="77" t="s">
        <v>464</v>
      </c>
      <c r="CE781" s="77" t="s">
        <v>464</v>
      </c>
      <c r="CF781" s="77" t="s">
        <v>1266</v>
      </c>
      <c r="CG781" s="77">
        <v>125</v>
      </c>
      <c r="CH781" s="77">
        <v>220</v>
      </c>
      <c r="CI781" s="77" t="s">
        <v>1287</v>
      </c>
      <c r="CJ781" s="77">
        <f t="shared" si="200"/>
        <v>288</v>
      </c>
      <c r="CK781" s="70">
        <v>4160</v>
      </c>
    </row>
    <row r="782" spans="1:89" x14ac:dyDescent="0.3">
      <c r="A782" t="s">
        <v>356</v>
      </c>
      <c r="B782" t="s">
        <v>153</v>
      </c>
      <c r="C782" t="s">
        <v>4261</v>
      </c>
      <c r="D782" s="12"/>
      <c r="E782">
        <v>4.38</v>
      </c>
      <c r="F782" s="78" t="s">
        <v>357</v>
      </c>
      <c r="G782" s="8">
        <v>-1</v>
      </c>
      <c r="H782">
        <v>-1</v>
      </c>
      <c r="I782" t="s">
        <v>1182</v>
      </c>
      <c r="M782" t="b">
        <v>0</v>
      </c>
      <c r="N782" t="b">
        <v>0</v>
      </c>
      <c r="O782" t="b">
        <v>1</v>
      </c>
      <c r="P782" t="b">
        <v>0</v>
      </c>
      <c r="Q782">
        <v>-1</v>
      </c>
      <c r="R782">
        <v>-1</v>
      </c>
      <c r="S782" t="s">
        <v>1182</v>
      </c>
      <c r="U782" s="20">
        <v>0</v>
      </c>
      <c r="V782">
        <v>0</v>
      </c>
      <c r="W782">
        <v>4</v>
      </c>
      <c r="AC782" s="20">
        <v>0</v>
      </c>
      <c r="AF782">
        <v>0</v>
      </c>
      <c r="AI782">
        <v>7.7018000000000004</v>
      </c>
      <c r="AJ782">
        <v>21.768799999999999</v>
      </c>
      <c r="AK782">
        <v>3.8613</v>
      </c>
      <c r="AM782">
        <v>14</v>
      </c>
      <c r="AN782" s="44">
        <f t="shared" si="180"/>
        <v>0</v>
      </c>
      <c r="AO782" s="46">
        <v>0</v>
      </c>
      <c r="AP782" s="44">
        <v>0</v>
      </c>
      <c r="AQ782" s="44">
        <v>647.38</v>
      </c>
      <c r="AR782" s="41"/>
      <c r="AS782" s="41"/>
      <c r="AT782" s="41"/>
      <c r="AU782" s="56">
        <f t="shared" si="205"/>
        <v>8.6502517841144308E-2</v>
      </c>
      <c r="AV782" s="23">
        <v>1.9090909090909089</v>
      </c>
      <c r="AW782" s="23">
        <v>2.545454545454545</v>
      </c>
      <c r="AX782" s="23">
        <v>0.54545454545454541</v>
      </c>
      <c r="AY782" s="23">
        <v>2.9090909090909092</v>
      </c>
      <c r="AZ782" s="23">
        <v>0.2413793103448276</v>
      </c>
      <c r="BA782" s="23">
        <v>0.32183908045977011</v>
      </c>
      <c r="BB782" s="23">
        <v>6.8965517241379309E-2</v>
      </c>
      <c r="BC782" s="23">
        <v>0.36781609195402298</v>
      </c>
      <c r="BD782" s="20">
        <v>0.82</v>
      </c>
      <c r="BE782" s="20">
        <v>3.44</v>
      </c>
      <c r="BF782" s="20">
        <v>2.62</v>
      </c>
      <c r="BG782" s="20">
        <v>2.64</v>
      </c>
      <c r="BH782">
        <v>2.64</v>
      </c>
      <c r="BI782">
        <v>5.9892781936363626</v>
      </c>
      <c r="BJ782" s="64"/>
      <c r="BK782" s="64"/>
      <c r="BL782" s="64">
        <v>0.51451751424865833</v>
      </c>
      <c r="BP782">
        <v>4.3251258920572147E-2</v>
      </c>
      <c r="BQ782">
        <v>8.6502517841144308E-2</v>
      </c>
      <c r="BR782">
        <v>4.3251258920572147E-2</v>
      </c>
      <c r="BS782">
        <v>0.51451751424865833</v>
      </c>
      <c r="BT782" s="68" t="s">
        <v>1264</v>
      </c>
      <c r="BU782" s="68">
        <v>1373</v>
      </c>
      <c r="BV782" s="68">
        <v>10</v>
      </c>
      <c r="CA782" s="68">
        <v>1.2</v>
      </c>
      <c r="CB782" s="68">
        <v>0.5</v>
      </c>
      <c r="CC782" s="68">
        <v>0.1</v>
      </c>
      <c r="CD782" s="77" t="s">
        <v>464</v>
      </c>
      <c r="CE782" s="77" t="s">
        <v>464</v>
      </c>
      <c r="CF782" s="77" t="s">
        <v>1266</v>
      </c>
      <c r="CG782" s="77">
        <v>125</v>
      </c>
      <c r="CH782" s="77">
        <v>220</v>
      </c>
      <c r="CI782" s="77" t="s">
        <v>1287</v>
      </c>
      <c r="CJ782" s="77">
        <f t="shared" si="200"/>
        <v>288</v>
      </c>
      <c r="CK782" s="70">
        <v>1680</v>
      </c>
    </row>
    <row r="783" spans="1:89" x14ac:dyDescent="0.3">
      <c r="A783" t="s">
        <v>12</v>
      </c>
      <c r="B783" t="s">
        <v>153</v>
      </c>
      <c r="C783" t="s">
        <v>3935</v>
      </c>
      <c r="D783" s="12"/>
      <c r="E783">
        <v>4.54</v>
      </c>
      <c r="F783" s="78" t="s">
        <v>357</v>
      </c>
      <c r="G783" s="8">
        <v>-1</v>
      </c>
      <c r="H783">
        <v>-1</v>
      </c>
      <c r="I783" t="s">
        <v>1145</v>
      </c>
      <c r="M783" t="b">
        <v>0</v>
      </c>
      <c r="N783" t="b">
        <v>0</v>
      </c>
      <c r="O783" t="b">
        <v>1</v>
      </c>
      <c r="P783" t="b">
        <v>0</v>
      </c>
      <c r="Q783">
        <v>-1</v>
      </c>
      <c r="R783">
        <v>-1</v>
      </c>
      <c r="S783" t="s">
        <v>1145</v>
      </c>
      <c r="U783" s="20">
        <v>0</v>
      </c>
      <c r="V783">
        <v>0</v>
      </c>
      <c r="W783">
        <v>1</v>
      </c>
      <c r="AC783" s="20">
        <v>0</v>
      </c>
      <c r="AF783">
        <v>0</v>
      </c>
      <c r="AI783">
        <v>3.8445</v>
      </c>
      <c r="AJ783">
        <v>3.8445</v>
      </c>
      <c r="AK783">
        <v>11.03</v>
      </c>
      <c r="AM783">
        <v>14</v>
      </c>
      <c r="AN783" s="44">
        <f t="shared" si="180"/>
        <v>0</v>
      </c>
      <c r="AO783" s="46">
        <v>0</v>
      </c>
      <c r="AP783" s="44">
        <v>0</v>
      </c>
      <c r="AQ783" s="44">
        <v>163.0253881575</v>
      </c>
      <c r="AR783" s="41"/>
      <c r="AS783" s="41"/>
      <c r="AT783" s="41"/>
      <c r="AU783" s="56">
        <f t="shared" si="205"/>
        <v>8.5876194856683907E-2</v>
      </c>
      <c r="AV783" s="23">
        <v>1.9090909090909089</v>
      </c>
      <c r="AW783" s="23">
        <v>2.545454545454545</v>
      </c>
      <c r="AX783" s="23">
        <v>0.54545454545454541</v>
      </c>
      <c r="AY783" s="23">
        <v>2.9090909090909092</v>
      </c>
      <c r="AZ783" s="23">
        <v>0.2413793103448276</v>
      </c>
      <c r="BA783" s="23">
        <v>0.32183908045977011</v>
      </c>
      <c r="BB783" s="23">
        <v>6.8965517241379309E-2</v>
      </c>
      <c r="BC783" s="23">
        <v>0.36781609195402298</v>
      </c>
      <c r="BD783" s="20">
        <v>0.82</v>
      </c>
      <c r="BE783" s="20">
        <v>3.44</v>
      </c>
      <c r="BF783" s="20">
        <v>2.62</v>
      </c>
      <c r="BG783" s="20">
        <v>2.64</v>
      </c>
      <c r="BH783">
        <v>2.64</v>
      </c>
      <c r="BI783">
        <v>5.9811382595454541</v>
      </c>
      <c r="BJ783" s="64"/>
      <c r="BK783" s="64"/>
      <c r="BL783" s="64">
        <v>0.53809297903977493</v>
      </c>
      <c r="BP783">
        <v>4.2938097428341947E-2</v>
      </c>
      <c r="BQ783">
        <v>8.5876194856683907E-2</v>
      </c>
      <c r="BR783">
        <v>4.2938097428341947E-2</v>
      </c>
      <c r="BS783">
        <v>0.53809297903977493</v>
      </c>
      <c r="BT783" s="68" t="s">
        <v>1264</v>
      </c>
      <c r="BU783" s="68">
        <v>1373</v>
      </c>
      <c r="BV783" s="68">
        <v>10</v>
      </c>
      <c r="CA783" s="68">
        <v>0.8</v>
      </c>
      <c r="CB783" s="68">
        <v>0.5</v>
      </c>
      <c r="CC783" s="68">
        <v>0.1</v>
      </c>
      <c r="CD783" s="77" t="s">
        <v>464</v>
      </c>
      <c r="CE783" s="77" t="s">
        <v>464</v>
      </c>
      <c r="CF783" s="77" t="s">
        <v>1266</v>
      </c>
      <c r="CG783" s="77">
        <v>125</v>
      </c>
      <c r="CH783" s="77">
        <v>220</v>
      </c>
      <c r="CI783" s="77" t="s">
        <v>1287</v>
      </c>
      <c r="CJ783" s="77">
        <f t="shared" si="200"/>
        <v>288</v>
      </c>
      <c r="CK783" s="70">
        <v>10520</v>
      </c>
    </row>
    <row r="784" spans="1:89" x14ac:dyDescent="0.3">
      <c r="A784" t="s">
        <v>144</v>
      </c>
      <c r="B784" t="s">
        <v>153</v>
      </c>
      <c r="C784" t="s">
        <v>4047</v>
      </c>
      <c r="D784" s="12"/>
      <c r="E784">
        <v>4.4000000000000004</v>
      </c>
      <c r="F784" s="78" t="s">
        <v>357</v>
      </c>
      <c r="G784" s="8">
        <v>-1</v>
      </c>
      <c r="H784">
        <v>-1</v>
      </c>
      <c r="I784" t="s">
        <v>1183</v>
      </c>
      <c r="M784" t="b">
        <v>0</v>
      </c>
      <c r="N784" t="b">
        <v>0</v>
      </c>
      <c r="O784" t="b">
        <v>1</v>
      </c>
      <c r="P784" t="b">
        <v>0</v>
      </c>
      <c r="Q784">
        <v>-1</v>
      </c>
      <c r="R784">
        <v>-1</v>
      </c>
      <c r="S784" t="s">
        <v>1183</v>
      </c>
      <c r="T784" s="1">
        <v>1</v>
      </c>
      <c r="U784" s="20">
        <v>0</v>
      </c>
      <c r="V784">
        <v>0</v>
      </c>
      <c r="W784">
        <v>1</v>
      </c>
      <c r="X784" s="1">
        <v>3.84</v>
      </c>
      <c r="Y784" s="1">
        <v>3.84</v>
      </c>
      <c r="Z784" s="1">
        <v>11.5395</v>
      </c>
      <c r="AB784" s="1">
        <v>11.5395</v>
      </c>
      <c r="AC784" s="20">
        <v>0</v>
      </c>
      <c r="AF784">
        <v>0</v>
      </c>
      <c r="AI784">
        <v>3.8898000000000001</v>
      </c>
      <c r="AJ784">
        <v>3.8898000000000001</v>
      </c>
      <c r="AK784">
        <v>11.3665</v>
      </c>
      <c r="AM784">
        <v>14</v>
      </c>
      <c r="AN784" s="44">
        <f t="shared" si="180"/>
        <v>170.15685120000001</v>
      </c>
      <c r="AO784" s="46">
        <v>0</v>
      </c>
      <c r="AP784" s="44">
        <v>0</v>
      </c>
      <c r="AQ784" s="44">
        <v>172</v>
      </c>
      <c r="AR784" s="41"/>
      <c r="AS784" s="41"/>
      <c r="AT784" s="41"/>
      <c r="AU784" s="56">
        <f t="shared" si="205"/>
        <v>8.1395348837209308E-2</v>
      </c>
      <c r="AV784" s="23">
        <v>1.9090909090909089</v>
      </c>
      <c r="AW784" s="23">
        <v>2.545454545454545</v>
      </c>
      <c r="AX784" s="23">
        <v>0.54545454545454541</v>
      </c>
      <c r="AY784" s="23">
        <v>2.9090909090909092</v>
      </c>
      <c r="AZ784" s="23">
        <v>0.2413793103448276</v>
      </c>
      <c r="BA784" s="23">
        <v>0.32183908045977011</v>
      </c>
      <c r="BB784" s="23">
        <v>6.8965517241379309E-2</v>
      </c>
      <c r="BC784" s="23">
        <v>0.36781609195402298</v>
      </c>
      <c r="BD784" s="20">
        <v>0.79</v>
      </c>
      <c r="BE784" s="20">
        <v>3.44</v>
      </c>
      <c r="BF784" s="20">
        <v>2.65</v>
      </c>
      <c r="BG784" s="20">
        <v>2.6372727272727272</v>
      </c>
      <c r="BH784">
        <v>2.6372727272727272</v>
      </c>
      <c r="BI784">
        <v>5.967615153519545</v>
      </c>
      <c r="BJ784" s="64"/>
      <c r="BK784" s="64"/>
      <c r="BL784" s="64">
        <v>0.54308506712305693</v>
      </c>
      <c r="BP784">
        <v>4.0697674418604647E-2</v>
      </c>
      <c r="BQ784">
        <v>8.1395348837209308E-2</v>
      </c>
      <c r="BR784">
        <v>4.0697674418604647E-2</v>
      </c>
      <c r="BS784">
        <v>0.54308506712305693</v>
      </c>
      <c r="BT784" s="68" t="s">
        <v>1264</v>
      </c>
      <c r="BU784" s="68">
        <v>1373</v>
      </c>
      <c r="BV784" s="68">
        <v>10</v>
      </c>
      <c r="CA784" s="68">
        <v>2</v>
      </c>
      <c r="CB784" s="68">
        <v>0.5</v>
      </c>
      <c r="CC784" s="68">
        <v>0.1</v>
      </c>
      <c r="CD784" s="77" t="s">
        <v>464</v>
      </c>
      <c r="CE784" s="77" t="s">
        <v>464</v>
      </c>
      <c r="CF784" s="77" t="s">
        <v>1266</v>
      </c>
      <c r="CG784" s="77">
        <v>125</v>
      </c>
      <c r="CH784" s="77">
        <v>220</v>
      </c>
      <c r="CI784" s="77" t="s">
        <v>1287</v>
      </c>
      <c r="CJ784" s="77">
        <f t="shared" si="200"/>
        <v>288</v>
      </c>
      <c r="CK784" s="70">
        <v>7320</v>
      </c>
    </row>
    <row r="785" spans="1:89" x14ac:dyDescent="0.3">
      <c r="A785" t="s">
        <v>63</v>
      </c>
      <c r="B785" t="s">
        <v>4</v>
      </c>
      <c r="C785" t="s">
        <v>3928</v>
      </c>
      <c r="D785" s="12"/>
      <c r="E785">
        <v>3.5</v>
      </c>
      <c r="F785" s="79" t="s">
        <v>361</v>
      </c>
      <c r="G785" s="99" t="s">
        <v>587</v>
      </c>
      <c r="H785" s="58">
        <v>1522043</v>
      </c>
      <c r="J785" t="s">
        <v>1729</v>
      </c>
      <c r="K785" t="s">
        <v>1729</v>
      </c>
      <c r="M785" t="b">
        <v>1</v>
      </c>
      <c r="N785" t="b">
        <v>1</v>
      </c>
      <c r="O785" t="b">
        <v>0</v>
      </c>
      <c r="P785" t="b">
        <v>0</v>
      </c>
      <c r="Q785" t="s">
        <v>2385</v>
      </c>
      <c r="R785" t="s">
        <v>2321</v>
      </c>
      <c r="T785">
        <v>1</v>
      </c>
      <c r="U785" s="20">
        <v>0</v>
      </c>
      <c r="V785">
        <v>0</v>
      </c>
      <c r="W785">
        <v>0</v>
      </c>
      <c r="X785">
        <v>3.82</v>
      </c>
      <c r="Y785">
        <v>3.82</v>
      </c>
      <c r="Z785">
        <v>16</v>
      </c>
      <c r="AA785" t="s">
        <v>519</v>
      </c>
      <c r="AB785">
        <v>16</v>
      </c>
      <c r="AC785" s="20">
        <v>0</v>
      </c>
      <c r="AF785">
        <v>0</v>
      </c>
      <c r="AI785">
        <v>0</v>
      </c>
      <c r="AM785">
        <v>20</v>
      </c>
      <c r="AN785" s="44">
        <f t="shared" si="180"/>
        <v>233.47839999999999</v>
      </c>
      <c r="AO785" s="46">
        <v>0</v>
      </c>
      <c r="AP785" s="44">
        <v>0</v>
      </c>
      <c r="AQ785" s="44">
        <v>0</v>
      </c>
      <c r="AR785" s="41">
        <f t="shared" ref="AR785" si="206">T785*AM785/AN785</f>
        <v>8.5661029028809524E-2</v>
      </c>
      <c r="AS785" s="41"/>
      <c r="AT785" s="41"/>
      <c r="AU785" s="41"/>
      <c r="AV785" s="23">
        <v>1.75</v>
      </c>
      <c r="AW785" s="23">
        <v>2.5</v>
      </c>
      <c r="AX785" s="23">
        <v>0.75</v>
      </c>
      <c r="AY785" s="23">
        <v>0</v>
      </c>
      <c r="AZ785" s="23">
        <v>0.35</v>
      </c>
      <c r="BA785" s="23">
        <v>0.5</v>
      </c>
      <c r="BB785" s="23">
        <v>0.15</v>
      </c>
      <c r="BC785" s="23">
        <v>0</v>
      </c>
      <c r="BD785" s="20">
        <v>1</v>
      </c>
      <c r="BE785" s="20">
        <v>3.44</v>
      </c>
      <c r="BF785" s="20">
        <v>2.44</v>
      </c>
      <c r="BG785" s="20">
        <v>2.7124999999999999</v>
      </c>
      <c r="BH785">
        <v>2.7124999999999999</v>
      </c>
      <c r="BI785">
        <v>6.264025610615688</v>
      </c>
      <c r="BJ785" s="64"/>
      <c r="BK785" s="64"/>
      <c r="BL785" s="64"/>
      <c r="BM785">
        <v>4.2830514514404762E-2</v>
      </c>
      <c r="BQ785">
        <v>8.5661029028809524E-2</v>
      </c>
      <c r="BR785">
        <v>4.2830514514404762E-2</v>
      </c>
      <c r="BS785">
        <v>0</v>
      </c>
      <c r="BT785" s="68" t="s">
        <v>1264</v>
      </c>
      <c r="BU785" s="68">
        <v>1373</v>
      </c>
      <c r="BV785" s="68">
        <v>24</v>
      </c>
      <c r="CA785" s="68">
        <v>7.6</v>
      </c>
      <c r="CD785" s="68" t="s">
        <v>464</v>
      </c>
      <c r="CE785" s="68" t="s">
        <v>464</v>
      </c>
    </row>
    <row r="786" spans="1:89" x14ac:dyDescent="0.3">
      <c r="A786" t="s">
        <v>2565</v>
      </c>
      <c r="B786" t="s">
        <v>4</v>
      </c>
      <c r="C786" t="s">
        <v>4262</v>
      </c>
      <c r="D786" s="12"/>
      <c r="E786">
        <v>3.62</v>
      </c>
      <c r="F786" s="79" t="s">
        <v>361</v>
      </c>
      <c r="G786" s="109" t="s">
        <v>2506</v>
      </c>
      <c r="H786">
        <v>-1</v>
      </c>
      <c r="J786" t="s">
        <v>1756</v>
      </c>
      <c r="M786" t="b">
        <v>1</v>
      </c>
      <c r="N786" t="b">
        <v>0</v>
      </c>
      <c r="O786" t="b">
        <v>0</v>
      </c>
      <c r="P786" t="b">
        <v>0</v>
      </c>
      <c r="Q786" t="s">
        <v>2387</v>
      </c>
      <c r="R786">
        <v>-1</v>
      </c>
      <c r="T786">
        <v>1</v>
      </c>
      <c r="U786" s="20">
        <v>0</v>
      </c>
      <c r="V786">
        <v>0</v>
      </c>
      <c r="W786">
        <v>0</v>
      </c>
      <c r="X786">
        <v>3.86</v>
      </c>
      <c r="Y786">
        <v>3.86</v>
      </c>
      <c r="Z786">
        <v>25.4</v>
      </c>
      <c r="AA786" t="s">
        <v>519</v>
      </c>
      <c r="AB786">
        <v>25.4</v>
      </c>
      <c r="AC786" s="20">
        <v>0</v>
      </c>
      <c r="AF786">
        <v>0</v>
      </c>
      <c r="AI786">
        <v>0</v>
      </c>
      <c r="AM786">
        <v>20</v>
      </c>
      <c r="AN786" s="44">
        <f t="shared" si="180"/>
        <v>378.44983999999999</v>
      </c>
      <c r="AO786" s="46">
        <v>0</v>
      </c>
      <c r="AP786" s="44">
        <v>0</v>
      </c>
      <c r="AQ786" s="44">
        <v>0</v>
      </c>
      <c r="AR786" s="41"/>
      <c r="AS786" s="41"/>
      <c r="AT786" s="41"/>
      <c r="AU786" s="41"/>
      <c r="AV786" s="23">
        <v>1.53125</v>
      </c>
      <c r="AW786" s="23">
        <v>1.59375</v>
      </c>
      <c r="AX786" s="23">
        <v>0.375</v>
      </c>
      <c r="AY786" s="23">
        <v>0</v>
      </c>
      <c r="AZ786" s="23">
        <v>0.4375</v>
      </c>
      <c r="BA786" s="23">
        <v>0.45535714285714279</v>
      </c>
      <c r="BB786" s="23">
        <v>0.1071428571428571</v>
      </c>
      <c r="BC786" s="23">
        <v>0</v>
      </c>
      <c r="BD786" s="20">
        <v>1</v>
      </c>
      <c r="BE786" s="20">
        <v>3.44</v>
      </c>
      <c r="BF786" s="20">
        <v>2.44</v>
      </c>
      <c r="BG786" s="20">
        <v>2.5262500000000001</v>
      </c>
      <c r="BH786">
        <v>2.5262500000000001</v>
      </c>
      <c r="BI786">
        <v>6.6075924153816246</v>
      </c>
      <c r="BJ786" s="64"/>
      <c r="BK786" s="64"/>
      <c r="BL786" s="64"/>
      <c r="BM786">
        <v>2.6423580995568661E-2</v>
      </c>
      <c r="BQ786">
        <v>0</v>
      </c>
      <c r="BR786">
        <v>2.6423580995568661E-2</v>
      </c>
      <c r="BS786">
        <v>0</v>
      </c>
      <c r="BT786" s="68" t="s">
        <v>1264</v>
      </c>
      <c r="BU786" s="68">
        <v>1373</v>
      </c>
      <c r="BV786" s="68">
        <v>24</v>
      </c>
      <c r="CA786" s="68">
        <v>5</v>
      </c>
      <c r="CD786" s="68" t="s">
        <v>464</v>
      </c>
      <c r="CE786" s="68" t="s">
        <v>464</v>
      </c>
    </row>
    <row r="787" spans="1:89" x14ac:dyDescent="0.3">
      <c r="A787" t="s">
        <v>2561</v>
      </c>
      <c r="B787" t="s">
        <v>4</v>
      </c>
      <c r="C787" t="s">
        <v>4252</v>
      </c>
      <c r="D787" s="12"/>
      <c r="E787">
        <v>3.5</v>
      </c>
      <c r="F787" s="79" t="s">
        <v>361</v>
      </c>
      <c r="G787" s="109" t="s">
        <v>2510</v>
      </c>
      <c r="H787">
        <v>-1</v>
      </c>
      <c r="J787" t="s">
        <v>1756</v>
      </c>
      <c r="M787" t="b">
        <v>1</v>
      </c>
      <c r="N787" t="b">
        <v>0</v>
      </c>
      <c r="O787" t="b">
        <v>0</v>
      </c>
      <c r="P787" t="b">
        <v>0</v>
      </c>
      <c r="Q787" t="s">
        <v>2389</v>
      </c>
      <c r="R787">
        <v>-1</v>
      </c>
      <c r="T787">
        <v>2</v>
      </c>
      <c r="U787" s="20">
        <v>0</v>
      </c>
      <c r="V787">
        <v>0</v>
      </c>
      <c r="W787">
        <v>0</v>
      </c>
      <c r="X787">
        <v>3.86</v>
      </c>
      <c r="Y787">
        <v>3.86</v>
      </c>
      <c r="Z787">
        <v>35.799999999999997</v>
      </c>
      <c r="AA787" t="s">
        <v>519</v>
      </c>
      <c r="AB787">
        <v>17.899999999999999</v>
      </c>
      <c r="AC787" s="20">
        <v>0</v>
      </c>
      <c r="AF787">
        <v>0</v>
      </c>
      <c r="AI787">
        <v>0</v>
      </c>
      <c r="AM787">
        <v>22</v>
      </c>
      <c r="AN787" s="44">
        <f t="shared" si="180"/>
        <v>533.40567999999996</v>
      </c>
      <c r="AO787" s="46">
        <v>0</v>
      </c>
      <c r="AP787" s="44">
        <v>0</v>
      </c>
      <c r="AQ787" s="44">
        <v>0</v>
      </c>
      <c r="AR787" s="41"/>
      <c r="AS787" s="41"/>
      <c r="AT787" s="41"/>
      <c r="AU787" s="41"/>
      <c r="AV787" s="23">
        <v>1.6</v>
      </c>
      <c r="AW787" s="23">
        <v>1.92</v>
      </c>
      <c r="AX787" s="23">
        <v>0.48</v>
      </c>
      <c r="AY787" s="23">
        <v>0</v>
      </c>
      <c r="AZ787" s="23">
        <v>0.4</v>
      </c>
      <c r="BA787" s="23">
        <v>0.48</v>
      </c>
      <c r="BB787" s="23">
        <v>0.12</v>
      </c>
      <c r="BC787" s="23">
        <v>0</v>
      </c>
      <c r="BD787" s="20">
        <v>1</v>
      </c>
      <c r="BE787" s="20">
        <v>3.44</v>
      </c>
      <c r="BF787" s="20">
        <v>2.44</v>
      </c>
      <c r="BG787" s="20">
        <v>2.6055999999999999</v>
      </c>
      <c r="BH787">
        <v>2.6055999999999999</v>
      </c>
      <c r="BI787">
        <v>6.5338195732382802</v>
      </c>
      <c r="BJ787" s="64"/>
      <c r="BK787" s="64"/>
      <c r="BL787" s="64"/>
      <c r="BM787">
        <v>4.1244405196435109E-2</v>
      </c>
      <c r="BQ787">
        <v>0</v>
      </c>
      <c r="BR787">
        <v>4.1244405196435109E-2</v>
      </c>
      <c r="BS787">
        <v>0</v>
      </c>
      <c r="BT787" s="68" t="s">
        <v>1264</v>
      </c>
      <c r="BU787" s="68">
        <v>1373</v>
      </c>
      <c r="BV787" s="68">
        <v>24</v>
      </c>
      <c r="CA787" s="68">
        <v>3.9</v>
      </c>
      <c r="CD787" s="68" t="s">
        <v>464</v>
      </c>
      <c r="CE787" s="68" t="s">
        <v>464</v>
      </c>
    </row>
    <row r="788" spans="1:89" x14ac:dyDescent="0.3">
      <c r="A788" t="s">
        <v>353</v>
      </c>
      <c r="B788" t="s">
        <v>2776</v>
      </c>
      <c r="C788" t="s">
        <v>4259</v>
      </c>
      <c r="D788" s="12"/>
      <c r="E788">
        <v>3.44</v>
      </c>
      <c r="F788" s="79" t="s">
        <v>361</v>
      </c>
      <c r="G788" s="98" t="s">
        <v>549</v>
      </c>
      <c r="H788">
        <v>-1</v>
      </c>
      <c r="I788" t="s">
        <v>1242</v>
      </c>
      <c r="J788" t="s">
        <v>1726</v>
      </c>
      <c r="M788" t="b">
        <v>1</v>
      </c>
      <c r="N788" t="b">
        <v>0</v>
      </c>
      <c r="O788" t="b">
        <v>0</v>
      </c>
      <c r="P788" t="b">
        <v>0</v>
      </c>
      <c r="Q788" t="s">
        <v>2391</v>
      </c>
      <c r="R788">
        <v>-1</v>
      </c>
      <c r="S788" t="s">
        <v>1242</v>
      </c>
      <c r="T788">
        <v>2</v>
      </c>
      <c r="U788" s="20">
        <v>0</v>
      </c>
      <c r="V788">
        <v>0</v>
      </c>
      <c r="W788">
        <v>0</v>
      </c>
      <c r="X788">
        <v>3.79</v>
      </c>
      <c r="Y788">
        <v>3.79</v>
      </c>
      <c r="Z788">
        <v>27.2</v>
      </c>
      <c r="AA788" t="s">
        <v>519</v>
      </c>
      <c r="AB788">
        <v>13.6</v>
      </c>
      <c r="AC788" s="20">
        <v>0</v>
      </c>
      <c r="AF788">
        <v>0</v>
      </c>
      <c r="AI788">
        <v>3.8113999999999999</v>
      </c>
      <c r="AJ788">
        <v>3.8113999999999999</v>
      </c>
      <c r="AK788">
        <v>27.478000000000002</v>
      </c>
      <c r="AM788">
        <v>20</v>
      </c>
      <c r="AN788" s="44">
        <f t="shared" si="180"/>
        <v>390.70352000000003</v>
      </c>
      <c r="AO788" s="46">
        <v>0</v>
      </c>
      <c r="AP788" s="44">
        <v>0</v>
      </c>
      <c r="AQ788" s="44">
        <v>399.2</v>
      </c>
      <c r="AR788" s="41">
        <f t="shared" ref="AR788:AR858" si="207">T788*AM788/AN788</f>
        <v>0.10237942058981193</v>
      </c>
      <c r="AS788" s="41"/>
      <c r="AT788" s="41"/>
      <c r="AU788" s="41"/>
      <c r="AV788" s="23">
        <v>1.9375</v>
      </c>
      <c r="AW788" s="23">
        <v>2.5</v>
      </c>
      <c r="AX788" s="23">
        <v>0.5</v>
      </c>
      <c r="AY788" s="23">
        <v>0</v>
      </c>
      <c r="AZ788" s="23">
        <v>0.39240506329113922</v>
      </c>
      <c r="BA788" s="23">
        <v>0.50632911392405067</v>
      </c>
      <c r="BB788" s="23">
        <v>0.1012658227848101</v>
      </c>
      <c r="BC788" s="23">
        <v>0</v>
      </c>
      <c r="BD788" s="20">
        <v>1.1000000000000001</v>
      </c>
      <c r="BE788" s="20">
        <v>3.44</v>
      </c>
      <c r="BF788" s="20">
        <v>2.34</v>
      </c>
      <c r="BG788" s="20">
        <v>2.7137500000000001</v>
      </c>
      <c r="BH788">
        <v>2.7137500000000001</v>
      </c>
      <c r="BI788">
        <v>6.1913913437406878</v>
      </c>
      <c r="BJ788" s="64"/>
      <c r="BK788" s="64"/>
      <c r="BL788" s="64">
        <v>0</v>
      </c>
      <c r="BM788">
        <v>5.1189710294905967E-2</v>
      </c>
      <c r="BP788">
        <v>0</v>
      </c>
      <c r="BQ788">
        <v>0.10237942058981191</v>
      </c>
      <c r="BR788">
        <v>2.559485514745298E-2</v>
      </c>
      <c r="BS788">
        <v>0</v>
      </c>
      <c r="BT788" s="68" t="s">
        <v>1264</v>
      </c>
      <c r="BU788" s="68">
        <v>1373</v>
      </c>
      <c r="BV788" s="68">
        <v>12</v>
      </c>
      <c r="CA788" s="68">
        <v>3.2</v>
      </c>
      <c r="CD788" s="68" t="s">
        <v>464</v>
      </c>
      <c r="CE788" s="68" t="s">
        <v>464</v>
      </c>
    </row>
    <row r="789" spans="1:89" x14ac:dyDescent="0.3">
      <c r="A789" t="s">
        <v>2566</v>
      </c>
      <c r="B789" t="s">
        <v>2776</v>
      </c>
      <c r="C789" t="s">
        <v>4263</v>
      </c>
      <c r="D789" s="12"/>
      <c r="E789">
        <v>3.39</v>
      </c>
      <c r="F789" s="79" t="s">
        <v>361</v>
      </c>
      <c r="G789" s="109" t="s">
        <v>2532</v>
      </c>
      <c r="H789">
        <v>-1</v>
      </c>
      <c r="J789" t="s">
        <v>1726</v>
      </c>
      <c r="M789" t="b">
        <v>1</v>
      </c>
      <c r="N789" t="b">
        <v>0</v>
      </c>
      <c r="O789" t="b">
        <v>0</v>
      </c>
      <c r="P789" t="b">
        <v>0</v>
      </c>
      <c r="Q789" t="s">
        <v>2393</v>
      </c>
      <c r="R789">
        <v>-1</v>
      </c>
      <c r="T789">
        <v>1</v>
      </c>
      <c r="U789" s="20">
        <v>0</v>
      </c>
      <c r="V789">
        <v>0</v>
      </c>
      <c r="W789">
        <v>0</v>
      </c>
      <c r="X789">
        <v>3.82</v>
      </c>
      <c r="Y789">
        <v>3.82</v>
      </c>
      <c r="Z789">
        <v>20.2</v>
      </c>
      <c r="AA789" t="s">
        <v>519</v>
      </c>
      <c r="AB789">
        <v>20.2</v>
      </c>
      <c r="AC789" s="20">
        <v>0</v>
      </c>
      <c r="AF789">
        <v>0</v>
      </c>
      <c r="AI789">
        <v>0</v>
      </c>
      <c r="AM789">
        <v>20</v>
      </c>
      <c r="AN789" s="44">
        <f t="shared" si="180"/>
        <v>294.76648</v>
      </c>
      <c r="AO789" s="46">
        <v>0</v>
      </c>
      <c r="AP789" s="44">
        <v>0</v>
      </c>
      <c r="AQ789" s="44">
        <v>0</v>
      </c>
      <c r="AR789" s="41">
        <f t="shared" si="207"/>
        <v>6.7850320022819419E-2</v>
      </c>
      <c r="AS789" s="41"/>
      <c r="AT789" s="41"/>
      <c r="AU789" s="41"/>
      <c r="AV789" s="23">
        <v>1.6923076923076921</v>
      </c>
      <c r="AW789" s="23">
        <v>1.8076923076923079</v>
      </c>
      <c r="AX789" s="23">
        <v>0.30769230769230771</v>
      </c>
      <c r="AY789" s="23">
        <v>0</v>
      </c>
      <c r="AZ789" s="23">
        <v>0.44444444444444448</v>
      </c>
      <c r="BA789" s="23">
        <v>0.47474747474747481</v>
      </c>
      <c r="BB789" s="23">
        <v>8.0808080808080815E-2</v>
      </c>
      <c r="BC789" s="23">
        <v>0</v>
      </c>
      <c r="BD789" s="20">
        <v>1.1000000000000001</v>
      </c>
      <c r="BE789" s="20">
        <v>3.44</v>
      </c>
      <c r="BF789" s="20">
        <v>2.34</v>
      </c>
      <c r="BG789" s="20">
        <v>2.5753846153846158</v>
      </c>
      <c r="BH789">
        <v>2.5753846153846149</v>
      </c>
      <c r="BI789">
        <v>6.5020131619541548</v>
      </c>
      <c r="BJ789" s="64"/>
      <c r="BK789" s="64"/>
      <c r="BL789" s="64"/>
      <c r="BM789">
        <v>3.3925160011409709E-2</v>
      </c>
      <c r="BQ789">
        <v>6.7850320022819419E-2</v>
      </c>
      <c r="BR789">
        <v>3.3925160011409709E-2</v>
      </c>
      <c r="BS789">
        <v>0</v>
      </c>
      <c r="BT789" s="68" t="s">
        <v>1264</v>
      </c>
      <c r="BU789" s="68">
        <v>1373</v>
      </c>
      <c r="BV789" s="68">
        <v>12</v>
      </c>
      <c r="CD789" s="68" t="s">
        <v>464</v>
      </c>
      <c r="CE789" s="68" t="s">
        <v>464</v>
      </c>
    </row>
    <row r="790" spans="1:89" x14ac:dyDescent="0.3">
      <c r="A790" t="s">
        <v>2567</v>
      </c>
      <c r="B790" t="s">
        <v>2776</v>
      </c>
      <c r="C790" t="s">
        <v>4264</v>
      </c>
      <c r="D790" s="12"/>
      <c r="E790">
        <v>3.41</v>
      </c>
      <c r="F790" s="79" t="s">
        <v>361</v>
      </c>
      <c r="G790" s="109" t="s">
        <v>2533</v>
      </c>
      <c r="H790">
        <v>-1</v>
      </c>
      <c r="J790" t="s">
        <v>1726</v>
      </c>
      <c r="M790" t="b">
        <v>1</v>
      </c>
      <c r="N790" t="b">
        <v>0</v>
      </c>
      <c r="O790" t="b">
        <v>0</v>
      </c>
      <c r="P790" t="b">
        <v>0</v>
      </c>
      <c r="Q790" t="s">
        <v>2395</v>
      </c>
      <c r="R790">
        <v>-1</v>
      </c>
      <c r="T790">
        <v>2</v>
      </c>
      <c r="U790" s="20">
        <v>0</v>
      </c>
      <c r="V790">
        <v>0</v>
      </c>
      <c r="W790">
        <v>0</v>
      </c>
      <c r="X790">
        <v>3.83</v>
      </c>
      <c r="Y790">
        <v>3.83</v>
      </c>
      <c r="Z790">
        <v>39.5</v>
      </c>
      <c r="AA790" t="s">
        <v>519</v>
      </c>
      <c r="AB790">
        <v>19.75</v>
      </c>
      <c r="AC790" s="20">
        <v>0</v>
      </c>
      <c r="AF790">
        <v>0</v>
      </c>
      <c r="AI790">
        <v>0</v>
      </c>
      <c r="AM790">
        <v>20</v>
      </c>
      <c r="AN790" s="44">
        <f t="shared" si="180"/>
        <v>579.42155000000002</v>
      </c>
      <c r="AO790" s="46">
        <v>0</v>
      </c>
      <c r="AP790" s="44">
        <v>0</v>
      </c>
      <c r="AQ790" s="44">
        <v>0</v>
      </c>
      <c r="AR790" s="41">
        <f t="shared" si="207"/>
        <v>6.9034367120104523E-2</v>
      </c>
      <c r="AS790" s="41"/>
      <c r="AT790" s="41"/>
      <c r="AU790" s="41"/>
      <c r="AV790" s="23">
        <v>1.72</v>
      </c>
      <c r="AW790" s="23">
        <v>1.92</v>
      </c>
      <c r="AX790" s="23">
        <v>0.32</v>
      </c>
      <c r="AY790" s="23">
        <v>0</v>
      </c>
      <c r="AZ790" s="23">
        <v>0.43434343434343442</v>
      </c>
      <c r="BA790" s="23">
        <v>0.48484848484848492</v>
      </c>
      <c r="BB790" s="23">
        <v>8.0808080808080815E-2</v>
      </c>
      <c r="BC790" s="23">
        <v>0</v>
      </c>
      <c r="BD790" s="20">
        <v>1.1000000000000001</v>
      </c>
      <c r="BE790" s="20">
        <v>3.44</v>
      </c>
      <c r="BF790" s="20">
        <v>2.34</v>
      </c>
      <c r="BG790" s="20">
        <v>2.6063999999999998</v>
      </c>
      <c r="BH790">
        <v>2.6063999999999998</v>
      </c>
      <c r="BI790">
        <v>6.4873336424382799</v>
      </c>
      <c r="BJ790" s="64"/>
      <c r="BK790" s="64"/>
      <c r="BL790" s="64"/>
      <c r="BM790">
        <v>3.7968901916057493E-2</v>
      </c>
      <c r="BQ790">
        <v>6.9034367120104523E-2</v>
      </c>
      <c r="BR790">
        <v>3.7968901916057493E-2</v>
      </c>
      <c r="BS790">
        <v>0</v>
      </c>
      <c r="BT790" s="68" t="s">
        <v>1264</v>
      </c>
      <c r="BU790" s="68">
        <v>1373</v>
      </c>
      <c r="BV790" s="68">
        <v>12</v>
      </c>
      <c r="CD790" s="68" t="s">
        <v>464</v>
      </c>
      <c r="CE790" s="68" t="s">
        <v>464</v>
      </c>
    </row>
    <row r="791" spans="1:89" x14ac:dyDescent="0.3">
      <c r="A791" t="s">
        <v>63</v>
      </c>
      <c r="B791" t="s">
        <v>4</v>
      </c>
      <c r="C791" t="s">
        <v>3928</v>
      </c>
      <c r="D791" s="12"/>
      <c r="E791">
        <v>3.49</v>
      </c>
      <c r="F791" s="44" t="s">
        <v>362</v>
      </c>
      <c r="G791" s="99" t="s">
        <v>587</v>
      </c>
      <c r="H791" s="58">
        <v>1522043</v>
      </c>
      <c r="J791" t="s">
        <v>1729</v>
      </c>
      <c r="K791" t="s">
        <v>1729</v>
      </c>
      <c r="M791" t="b">
        <v>1</v>
      </c>
      <c r="N791" t="b">
        <v>1</v>
      </c>
      <c r="O791" t="b">
        <v>0</v>
      </c>
      <c r="P791" t="b">
        <v>0</v>
      </c>
      <c r="Q791" t="s">
        <v>2397</v>
      </c>
      <c r="R791" t="s">
        <v>2324</v>
      </c>
      <c r="T791">
        <v>1</v>
      </c>
      <c r="U791" s="20">
        <v>0</v>
      </c>
      <c r="V791">
        <v>0</v>
      </c>
      <c r="W791">
        <v>0</v>
      </c>
      <c r="X791">
        <v>3.8531</v>
      </c>
      <c r="Y791">
        <v>3.8531</v>
      </c>
      <c r="Z791">
        <v>16.2151</v>
      </c>
      <c r="AA791" t="s">
        <v>519</v>
      </c>
      <c r="AB791" s="4">
        <v>16.2151</v>
      </c>
      <c r="AC791" s="31">
        <v>0</v>
      </c>
      <c r="AD791" s="4"/>
      <c r="AE791" s="4"/>
      <c r="AF791">
        <v>0</v>
      </c>
      <c r="AI791">
        <v>0</v>
      </c>
      <c r="AL791" s="4"/>
      <c r="AM791" s="4">
        <v>20</v>
      </c>
      <c r="AN791" s="44">
        <f t="shared" si="180"/>
        <v>240.73553001411099</v>
      </c>
      <c r="AO791" s="46">
        <v>0</v>
      </c>
      <c r="AP791" s="44">
        <v>0</v>
      </c>
      <c r="AQ791" s="44">
        <v>0</v>
      </c>
      <c r="AR791" s="41">
        <f t="shared" si="207"/>
        <v>8.3078721279022161E-2</v>
      </c>
      <c r="AS791" s="41"/>
      <c r="AT791" s="41"/>
      <c r="AU791" s="41"/>
      <c r="AV791" s="4">
        <v>1.75</v>
      </c>
      <c r="AW791" s="4">
        <v>2.5</v>
      </c>
      <c r="AX791" s="4">
        <v>0.75</v>
      </c>
      <c r="AY791" s="4">
        <v>0</v>
      </c>
      <c r="AZ791" s="4">
        <v>0.35</v>
      </c>
      <c r="BA791" s="4">
        <v>0.5</v>
      </c>
      <c r="BB791" s="4">
        <v>0.15</v>
      </c>
      <c r="BC791" s="4">
        <v>0</v>
      </c>
      <c r="BD791" s="31">
        <v>1</v>
      </c>
      <c r="BE791" s="31">
        <v>3.44</v>
      </c>
      <c r="BF791" s="31">
        <v>2.44</v>
      </c>
      <c r="BG791" s="31">
        <v>2.7124999999999999</v>
      </c>
      <c r="BH791" s="4">
        <v>2.7124999999999999</v>
      </c>
      <c r="BI791" s="4">
        <v>6.264025610615688</v>
      </c>
      <c r="BJ791" s="64"/>
      <c r="BK791" s="64"/>
      <c r="BL791" s="64"/>
      <c r="BM791">
        <v>4.153936063951108E-2</v>
      </c>
      <c r="BQ791">
        <v>8.3078721279022161E-2</v>
      </c>
      <c r="BR791">
        <v>4.153936063951108E-2</v>
      </c>
      <c r="BS791">
        <v>0</v>
      </c>
      <c r="BT791" s="68" t="s">
        <v>1264</v>
      </c>
      <c r="BU791" s="68">
        <f t="shared" ref="BU791:BU797" si="208">273+812</f>
        <v>1085</v>
      </c>
      <c r="BV791" s="68">
        <v>12</v>
      </c>
      <c r="CD791" s="68" t="s">
        <v>464</v>
      </c>
      <c r="CE791" s="68" t="s">
        <v>464</v>
      </c>
    </row>
    <row r="792" spans="1:89" x14ac:dyDescent="0.3">
      <c r="A792" t="s">
        <v>2568</v>
      </c>
      <c r="B792" t="s">
        <v>4</v>
      </c>
      <c r="C792" t="s">
        <v>4265</v>
      </c>
      <c r="D792" s="12"/>
      <c r="E792">
        <v>3.56</v>
      </c>
      <c r="F792" s="44" t="s">
        <v>362</v>
      </c>
      <c r="G792" s="109" t="s">
        <v>2503</v>
      </c>
      <c r="H792">
        <v>-1</v>
      </c>
      <c r="J792" t="s">
        <v>1756</v>
      </c>
      <c r="M792" t="b">
        <v>1</v>
      </c>
      <c r="N792" t="b">
        <v>0</v>
      </c>
      <c r="O792" t="b">
        <v>0</v>
      </c>
      <c r="P792" t="b">
        <v>0</v>
      </c>
      <c r="Q792" t="s">
        <v>2399</v>
      </c>
      <c r="R792">
        <v>-1</v>
      </c>
      <c r="T792">
        <v>1</v>
      </c>
      <c r="U792" s="20">
        <v>0</v>
      </c>
      <c r="V792">
        <v>0</v>
      </c>
      <c r="W792">
        <v>0</v>
      </c>
      <c r="X792">
        <v>3.86</v>
      </c>
      <c r="Y792">
        <v>3.86</v>
      </c>
      <c r="Z792">
        <v>16.079999999999998</v>
      </c>
      <c r="AA792" t="s">
        <v>519</v>
      </c>
      <c r="AB792" s="4">
        <v>16.079999999999998</v>
      </c>
      <c r="AC792" s="31">
        <v>0</v>
      </c>
      <c r="AD792" s="4"/>
      <c r="AE792" s="4"/>
      <c r="AF792">
        <v>0</v>
      </c>
      <c r="AI792">
        <v>0</v>
      </c>
      <c r="AL792" s="4"/>
      <c r="AM792" s="4">
        <v>20</v>
      </c>
      <c r="AN792" s="44">
        <f t="shared" si="180"/>
        <v>239.58556799999997</v>
      </c>
      <c r="AO792" s="46">
        <v>0</v>
      </c>
      <c r="AP792" s="44">
        <v>0</v>
      </c>
      <c r="AQ792" s="44">
        <v>0</v>
      </c>
      <c r="AR792" s="41">
        <f t="shared" si="207"/>
        <v>8.34774822496821E-2</v>
      </c>
      <c r="AS792" s="41"/>
      <c r="AT792" s="41"/>
      <c r="AU792" s="41"/>
      <c r="AV792" s="4">
        <v>1.5909090909090911</v>
      </c>
      <c r="AW792" s="4">
        <v>1.9090909090909089</v>
      </c>
      <c r="AX792" s="4">
        <v>0.54545454545454541</v>
      </c>
      <c r="AY792" s="4">
        <v>0</v>
      </c>
      <c r="AZ792" s="4">
        <v>0.3932584269662921</v>
      </c>
      <c r="BA792" s="4">
        <v>0.47191011235955049</v>
      </c>
      <c r="BB792" s="4">
        <v>0.1348314606741573</v>
      </c>
      <c r="BC792" s="4">
        <v>0</v>
      </c>
      <c r="BD792" s="31">
        <v>1</v>
      </c>
      <c r="BE792" s="31">
        <v>3.44</v>
      </c>
      <c r="BF792" s="31">
        <v>2.44</v>
      </c>
      <c r="BG792" s="31">
        <v>2.5886363636363638</v>
      </c>
      <c r="BH792" s="4">
        <v>2.588636363636363</v>
      </c>
      <c r="BI792" s="4">
        <v>6.4712814579593632</v>
      </c>
      <c r="BJ792" s="64"/>
      <c r="BK792" s="64"/>
      <c r="BL792" s="64"/>
      <c r="BM792">
        <v>4.173874112484105E-2</v>
      </c>
      <c r="BQ792">
        <v>8.34774822496821E-2</v>
      </c>
      <c r="BR792">
        <v>4.173874112484105E-2</v>
      </c>
      <c r="BS792">
        <v>0</v>
      </c>
      <c r="BT792" s="68" t="s">
        <v>1264</v>
      </c>
      <c r="BU792" s="68">
        <f t="shared" si="208"/>
        <v>1085</v>
      </c>
      <c r="BV792" s="68">
        <v>12</v>
      </c>
      <c r="CD792" s="68" t="s">
        <v>464</v>
      </c>
      <c r="CE792" s="68" t="s">
        <v>464</v>
      </c>
    </row>
    <row r="793" spans="1:89" x14ac:dyDescent="0.3">
      <c r="A793" t="s">
        <v>2569</v>
      </c>
      <c r="B793" t="s">
        <v>4</v>
      </c>
      <c r="C793" t="s">
        <v>4266</v>
      </c>
      <c r="D793" s="12"/>
      <c r="E793">
        <v>3.6</v>
      </c>
      <c r="F793" s="44" t="s">
        <v>362</v>
      </c>
      <c r="G793" s="109" t="s">
        <v>2504</v>
      </c>
      <c r="H793">
        <v>-1</v>
      </c>
      <c r="J793" t="s">
        <v>1756</v>
      </c>
      <c r="M793" t="b">
        <v>1</v>
      </c>
      <c r="N793" t="b">
        <v>0</v>
      </c>
      <c r="O793" t="b">
        <v>0</v>
      </c>
      <c r="P793" t="b">
        <v>0</v>
      </c>
      <c r="Q793" t="s">
        <v>2401</v>
      </c>
      <c r="R793">
        <v>-1</v>
      </c>
      <c r="T793">
        <v>1</v>
      </c>
      <c r="U793" s="20">
        <v>0</v>
      </c>
      <c r="V793">
        <v>0</v>
      </c>
      <c r="W793">
        <v>0</v>
      </c>
      <c r="X793">
        <v>3.87</v>
      </c>
      <c r="Y793">
        <v>3.87</v>
      </c>
      <c r="Z793">
        <v>20.49</v>
      </c>
      <c r="AA793" t="s">
        <v>519</v>
      </c>
      <c r="AB793" s="4">
        <v>20.49</v>
      </c>
      <c r="AC793" s="31">
        <v>0</v>
      </c>
      <c r="AD793" s="4"/>
      <c r="AE793" s="4"/>
      <c r="AF793">
        <v>0</v>
      </c>
      <c r="AI793">
        <v>0</v>
      </c>
      <c r="AL793" s="4"/>
      <c r="AM793" s="4">
        <v>20</v>
      </c>
      <c r="AN793" s="44">
        <f t="shared" si="180"/>
        <v>306.87668099999996</v>
      </c>
      <c r="AO793" s="46">
        <v>0</v>
      </c>
      <c r="AP793" s="44">
        <v>0</v>
      </c>
      <c r="AQ793" s="44">
        <v>0</v>
      </c>
      <c r="AR793" s="41">
        <f t="shared" si="207"/>
        <v>6.517275908624677E-2</v>
      </c>
      <c r="AS793" s="41"/>
      <c r="AT793" s="41"/>
      <c r="AU793" s="41"/>
      <c r="AV793" s="4">
        <v>1.56</v>
      </c>
      <c r="AW793" s="4">
        <v>1.76</v>
      </c>
      <c r="AX793" s="4">
        <v>0.48</v>
      </c>
      <c r="AY793" s="4">
        <v>0</v>
      </c>
      <c r="AZ793" s="4">
        <v>0.41052631578947368</v>
      </c>
      <c r="BA793" s="4">
        <v>0.4631578947368421</v>
      </c>
      <c r="BB793" s="4">
        <v>0.12631578947368419</v>
      </c>
      <c r="BC793" s="4">
        <v>0</v>
      </c>
      <c r="BD793" s="31">
        <v>1</v>
      </c>
      <c r="BE793" s="31">
        <v>3.44</v>
      </c>
      <c r="BF793" s="31">
        <v>2.44</v>
      </c>
      <c r="BG793" s="31">
        <v>2.556</v>
      </c>
      <c r="BH793" s="4">
        <v>2.556</v>
      </c>
      <c r="BI793" s="4">
        <v>6.5192970192323214</v>
      </c>
      <c r="BJ793" s="64"/>
      <c r="BK793" s="64"/>
      <c r="BL793" s="64"/>
      <c r="BM793">
        <v>3.2586379543123392E-2</v>
      </c>
      <c r="BQ793">
        <v>6.517275908624677E-2</v>
      </c>
      <c r="BR793">
        <v>3.2586379543123392E-2</v>
      </c>
      <c r="BS793">
        <v>0</v>
      </c>
      <c r="BT793" s="68" t="s">
        <v>1264</v>
      </c>
      <c r="BU793" s="68">
        <f t="shared" si="208"/>
        <v>1085</v>
      </c>
      <c r="BV793" s="68">
        <v>12</v>
      </c>
      <c r="CD793" s="68" t="s">
        <v>464</v>
      </c>
      <c r="CE793" s="68" t="s">
        <v>464</v>
      </c>
    </row>
    <row r="794" spans="1:89" x14ac:dyDescent="0.3">
      <c r="A794" t="s">
        <v>2742</v>
      </c>
      <c r="B794" t="s">
        <v>4</v>
      </c>
      <c r="C794" t="s">
        <v>4267</v>
      </c>
      <c r="D794" s="12"/>
      <c r="E794">
        <v>3.55</v>
      </c>
      <c r="F794" s="44" t="s">
        <v>362</v>
      </c>
      <c r="G794" s="109" t="s">
        <v>2505</v>
      </c>
      <c r="H794">
        <v>-1</v>
      </c>
      <c r="J794" t="s">
        <v>1756</v>
      </c>
      <c r="M794" t="b">
        <v>1</v>
      </c>
      <c r="N794" t="b">
        <v>0</v>
      </c>
      <c r="O794" t="b">
        <v>0</v>
      </c>
      <c r="P794" t="b">
        <v>0</v>
      </c>
      <c r="Q794" t="s">
        <v>2403</v>
      </c>
      <c r="R794">
        <v>-1</v>
      </c>
      <c r="T794">
        <v>1</v>
      </c>
      <c r="U794" s="20">
        <v>0</v>
      </c>
      <c r="V794">
        <v>0</v>
      </c>
      <c r="W794">
        <v>0</v>
      </c>
      <c r="X794">
        <v>3.87</v>
      </c>
      <c r="Y794">
        <v>3.87</v>
      </c>
      <c r="Z794">
        <v>22.22</v>
      </c>
      <c r="AA794" t="s">
        <v>519</v>
      </c>
      <c r="AB794" s="4">
        <v>22.22</v>
      </c>
      <c r="AC794" s="31">
        <v>0</v>
      </c>
      <c r="AD794" s="4"/>
      <c r="AE794" s="4"/>
      <c r="AF794">
        <v>0</v>
      </c>
      <c r="AI794">
        <v>0</v>
      </c>
      <c r="AL794" s="4"/>
      <c r="AM794" s="4">
        <v>20</v>
      </c>
      <c r="AN794" s="44">
        <f t="shared" si="180"/>
        <v>332.78671800000001</v>
      </c>
      <c r="AO794" s="46">
        <v>0</v>
      </c>
      <c r="AP794" s="44">
        <v>0</v>
      </c>
      <c r="AQ794" s="44">
        <v>0</v>
      </c>
      <c r="AR794" s="41">
        <f t="shared" si="207"/>
        <v>6.0098552370710899E-2</v>
      </c>
      <c r="AS794" s="41"/>
      <c r="AT794" s="41"/>
      <c r="AU794" s="41"/>
      <c r="AV794" s="4">
        <v>1.535714285714286</v>
      </c>
      <c r="AW794" s="4">
        <v>1.642857142857143</v>
      </c>
      <c r="AX794" s="4">
        <v>0.42857142857142849</v>
      </c>
      <c r="AY794" s="4">
        <v>0</v>
      </c>
      <c r="AZ794" s="4">
        <v>0.42574257425742579</v>
      </c>
      <c r="BA794" s="4">
        <v>0.45544554455445541</v>
      </c>
      <c r="BB794" s="4">
        <v>0.11881188118811881</v>
      </c>
      <c r="BC794" s="4">
        <v>0</v>
      </c>
      <c r="BD794" s="31">
        <v>1</v>
      </c>
      <c r="BE794" s="31">
        <v>3.44</v>
      </c>
      <c r="BF794" s="31">
        <v>2.44</v>
      </c>
      <c r="BG794" s="31">
        <v>2.530357142857143</v>
      </c>
      <c r="BH794" s="4">
        <v>2.530357142857143</v>
      </c>
      <c r="BI794" s="4">
        <v>6.5570235316610717</v>
      </c>
      <c r="BJ794" s="64"/>
      <c r="BK794" s="64"/>
      <c r="BL794" s="64"/>
      <c r="BM794">
        <v>3.004927618535545E-2</v>
      </c>
      <c r="BQ794">
        <v>6.0098552370710899E-2</v>
      </c>
      <c r="BR794">
        <v>3.004927618535545E-2</v>
      </c>
      <c r="BS794">
        <v>0</v>
      </c>
      <c r="BT794" s="68" t="s">
        <v>1264</v>
      </c>
      <c r="BU794" s="68">
        <f t="shared" si="208"/>
        <v>1085</v>
      </c>
      <c r="BV794" s="68">
        <v>12</v>
      </c>
      <c r="CD794" s="68" t="s">
        <v>464</v>
      </c>
      <c r="CE794" s="68" t="s">
        <v>464</v>
      </c>
    </row>
    <row r="795" spans="1:89" x14ac:dyDescent="0.3">
      <c r="A795" t="s">
        <v>2565</v>
      </c>
      <c r="B795" t="s">
        <v>4</v>
      </c>
      <c r="C795" t="s">
        <v>4262</v>
      </c>
      <c r="D795" s="12"/>
      <c r="E795">
        <v>3.62</v>
      </c>
      <c r="F795" s="44" t="s">
        <v>362</v>
      </c>
      <c r="G795" s="109" t="s">
        <v>2506</v>
      </c>
      <c r="H795">
        <v>-1</v>
      </c>
      <c r="J795" t="s">
        <v>1756</v>
      </c>
      <c r="M795" t="b">
        <v>1</v>
      </c>
      <c r="N795" t="b">
        <v>0</v>
      </c>
      <c r="O795" t="b">
        <v>0</v>
      </c>
      <c r="P795" t="b">
        <v>0</v>
      </c>
      <c r="Q795" t="s">
        <v>2404</v>
      </c>
      <c r="R795">
        <v>-1</v>
      </c>
      <c r="T795">
        <v>1</v>
      </c>
      <c r="U795" s="20">
        <v>0</v>
      </c>
      <c r="V795">
        <v>0</v>
      </c>
      <c r="W795">
        <v>0</v>
      </c>
      <c r="X795">
        <v>3.86</v>
      </c>
      <c r="Y795">
        <v>3.86</v>
      </c>
      <c r="Z795">
        <v>25.35</v>
      </c>
      <c r="AA795" t="s">
        <v>519</v>
      </c>
      <c r="AB795" s="4">
        <v>25.35</v>
      </c>
      <c r="AC795" s="31">
        <v>0</v>
      </c>
      <c r="AD795" s="4"/>
      <c r="AE795" s="4"/>
      <c r="AF795">
        <v>0</v>
      </c>
      <c r="AI795">
        <v>0</v>
      </c>
      <c r="AL795" s="4"/>
      <c r="AM795" s="4">
        <v>20</v>
      </c>
      <c r="AN795" s="44">
        <f t="shared" si="180"/>
        <v>377.70486</v>
      </c>
      <c r="AO795" s="46">
        <v>0</v>
      </c>
      <c r="AP795" s="44">
        <v>0</v>
      </c>
      <c r="AQ795" s="44">
        <v>0</v>
      </c>
      <c r="AR795" s="41">
        <f t="shared" si="207"/>
        <v>5.2951397024650411E-2</v>
      </c>
      <c r="AS795" s="41"/>
      <c r="AT795" s="41"/>
      <c r="AU795" s="41"/>
      <c r="AV795" s="4">
        <v>1.5161290322580649</v>
      </c>
      <c r="AW795" s="4">
        <v>1.5483870967741939</v>
      </c>
      <c r="AX795" s="4">
        <v>0.38709677419354838</v>
      </c>
      <c r="AY795" s="4">
        <v>0</v>
      </c>
      <c r="AZ795" s="4">
        <v>0.43925233644859812</v>
      </c>
      <c r="BA795" s="4">
        <v>0.44859813084112149</v>
      </c>
      <c r="BB795" s="4">
        <v>0.1121495327102804</v>
      </c>
      <c r="BC795" s="4">
        <v>0</v>
      </c>
      <c r="BD795" s="31">
        <v>1</v>
      </c>
      <c r="BE795" s="31">
        <v>3.44</v>
      </c>
      <c r="BF795" s="31">
        <v>2.44</v>
      </c>
      <c r="BG795" s="31">
        <v>2.5096774193548388</v>
      </c>
      <c r="BH795" s="4">
        <v>2.5096774193548388</v>
      </c>
      <c r="BI795" s="4">
        <v>6.587448138458452</v>
      </c>
      <c r="BJ795" s="64"/>
      <c r="BK795" s="64"/>
      <c r="BL795" s="64"/>
      <c r="BM795">
        <v>2.6475698512325209E-2</v>
      </c>
      <c r="BQ795">
        <v>5.2951397024650411E-2</v>
      </c>
      <c r="BR795">
        <v>2.6475698512325209E-2</v>
      </c>
      <c r="BS795">
        <v>0</v>
      </c>
      <c r="BT795" s="68" t="s">
        <v>1264</v>
      </c>
      <c r="BU795" s="68">
        <f t="shared" si="208"/>
        <v>1085</v>
      </c>
      <c r="BV795" s="68">
        <v>12</v>
      </c>
      <c r="CD795" s="68" t="s">
        <v>464</v>
      </c>
      <c r="CE795" s="68" t="s">
        <v>464</v>
      </c>
    </row>
    <row r="796" spans="1:89" x14ac:dyDescent="0.3">
      <c r="A796" t="s">
        <v>2570</v>
      </c>
      <c r="B796" t="s">
        <v>4</v>
      </c>
      <c r="C796" t="s">
        <v>4268</v>
      </c>
      <c r="D796" s="12"/>
      <c r="E796">
        <v>3.55</v>
      </c>
      <c r="F796" s="44" t="s">
        <v>362</v>
      </c>
      <c r="G796" s="109" t="s">
        <v>2507</v>
      </c>
      <c r="H796">
        <v>-1</v>
      </c>
      <c r="J796" t="s">
        <v>1756</v>
      </c>
      <c r="M796" t="b">
        <v>1</v>
      </c>
      <c r="N796" t="b">
        <v>0</v>
      </c>
      <c r="O796" t="b">
        <v>0</v>
      </c>
      <c r="P796" t="b">
        <v>0</v>
      </c>
      <c r="Q796" t="s">
        <v>2406</v>
      </c>
      <c r="R796">
        <v>-1</v>
      </c>
      <c r="T796">
        <v>1</v>
      </c>
      <c r="U796" s="20">
        <v>0</v>
      </c>
      <c r="V796">
        <v>0</v>
      </c>
      <c r="W796">
        <v>0</v>
      </c>
      <c r="X796">
        <v>3.86</v>
      </c>
      <c r="Y796">
        <v>3.86</v>
      </c>
      <c r="Z796">
        <v>29.53</v>
      </c>
      <c r="AA796" t="s">
        <v>519</v>
      </c>
      <c r="AB796" s="4">
        <v>29.53</v>
      </c>
      <c r="AC796" s="31">
        <v>0</v>
      </c>
      <c r="AD796" s="4"/>
      <c r="AE796" s="4"/>
      <c r="AF796">
        <v>0</v>
      </c>
      <c r="AI796">
        <v>0</v>
      </c>
      <c r="AL796" s="4"/>
      <c r="AM796" s="4">
        <v>20</v>
      </c>
      <c r="AN796" s="44">
        <f t="shared" si="180"/>
        <v>439.98518799999999</v>
      </c>
      <c r="AO796" s="46">
        <v>0</v>
      </c>
      <c r="AP796" s="44">
        <v>0</v>
      </c>
      <c r="AQ796" s="44">
        <v>0</v>
      </c>
      <c r="AR796" s="41">
        <f t="shared" si="207"/>
        <v>4.5456075671347372E-2</v>
      </c>
      <c r="AS796" s="41"/>
      <c r="AT796" s="41"/>
      <c r="AU796" s="41"/>
      <c r="AV796" s="4">
        <v>1.486486486486486</v>
      </c>
      <c r="AW796" s="4">
        <v>1.405405405405405</v>
      </c>
      <c r="AX796" s="4">
        <v>0.32432432432432429</v>
      </c>
      <c r="AY796" s="4">
        <v>0</v>
      </c>
      <c r="AZ796" s="4">
        <v>0.4621848739495798</v>
      </c>
      <c r="BA796" s="4">
        <v>0.43697478991596639</v>
      </c>
      <c r="BB796" s="4">
        <v>0.1008403361344538</v>
      </c>
      <c r="BC796" s="4">
        <v>0</v>
      </c>
      <c r="BD796" s="31">
        <v>1</v>
      </c>
      <c r="BE796" s="31">
        <v>3.44</v>
      </c>
      <c r="BF796" s="31">
        <v>2.44</v>
      </c>
      <c r="BG796" s="31">
        <v>2.4783783783783782</v>
      </c>
      <c r="BH796" s="4">
        <v>2.478378378378379</v>
      </c>
      <c r="BI796" s="4">
        <v>6.6334961919896216</v>
      </c>
      <c r="BJ796" s="64"/>
      <c r="BK796" s="64"/>
      <c r="BL796" s="64"/>
      <c r="BM796">
        <v>2.272803783567369E-2</v>
      </c>
      <c r="BQ796">
        <v>4.5456075671347372E-2</v>
      </c>
      <c r="BR796">
        <v>2.272803783567369E-2</v>
      </c>
      <c r="BS796">
        <v>0</v>
      </c>
      <c r="BT796" s="68" t="s">
        <v>1264</v>
      </c>
      <c r="BU796" s="68">
        <f t="shared" si="208"/>
        <v>1085</v>
      </c>
      <c r="BV796" s="68">
        <v>12</v>
      </c>
      <c r="CD796" s="68" t="s">
        <v>464</v>
      </c>
      <c r="CE796" s="68" t="s">
        <v>464</v>
      </c>
    </row>
    <row r="797" spans="1:89" x14ac:dyDescent="0.3">
      <c r="A797" t="s">
        <v>2571</v>
      </c>
      <c r="B797" t="s">
        <v>4</v>
      </c>
      <c r="C797" t="s">
        <v>4269</v>
      </c>
      <c r="D797" s="12"/>
      <c r="E797">
        <v>2.6</v>
      </c>
      <c r="F797" s="44" t="s">
        <v>362</v>
      </c>
      <c r="G797" s="109" t="s">
        <v>2508</v>
      </c>
      <c r="H797">
        <v>-1</v>
      </c>
      <c r="J797" t="s">
        <v>1756</v>
      </c>
      <c r="M797" t="b">
        <v>1</v>
      </c>
      <c r="N797" t="b">
        <v>0</v>
      </c>
      <c r="O797" t="b">
        <v>0</v>
      </c>
      <c r="P797" t="b">
        <v>0</v>
      </c>
      <c r="Q797" t="s">
        <v>2408</v>
      </c>
      <c r="R797">
        <v>-1</v>
      </c>
      <c r="T797">
        <v>1</v>
      </c>
      <c r="U797" s="20">
        <v>0</v>
      </c>
      <c r="V797">
        <v>0</v>
      </c>
      <c r="W797">
        <v>0</v>
      </c>
      <c r="X797">
        <v>3.86</v>
      </c>
      <c r="Y797">
        <v>3.86</v>
      </c>
      <c r="Z797">
        <v>33.53</v>
      </c>
      <c r="AA797" t="s">
        <v>519</v>
      </c>
      <c r="AB797" s="4">
        <v>33.53</v>
      </c>
      <c r="AC797" s="31">
        <v>0</v>
      </c>
      <c r="AD797" s="4"/>
      <c r="AE797" s="4"/>
      <c r="AF797">
        <v>0</v>
      </c>
      <c r="AI797">
        <v>0</v>
      </c>
      <c r="AL797" s="4"/>
      <c r="AM797" s="4">
        <v>20</v>
      </c>
      <c r="AN797" s="44">
        <f t="shared" si="180"/>
        <v>499.58358800000002</v>
      </c>
      <c r="AO797" s="46">
        <v>0</v>
      </c>
      <c r="AP797" s="44">
        <v>0</v>
      </c>
      <c r="AQ797" s="44">
        <v>0</v>
      </c>
      <c r="AR797" s="41">
        <f t="shared" si="207"/>
        <v>4.0033340726957585E-2</v>
      </c>
      <c r="AS797" s="41"/>
      <c r="AT797" s="41"/>
      <c r="AU797" s="41"/>
      <c r="AV797" s="4">
        <v>1.4651162790697669</v>
      </c>
      <c r="AW797" s="4">
        <v>1.3023255813953489</v>
      </c>
      <c r="AX797" s="4">
        <v>0.27906976744186052</v>
      </c>
      <c r="AY797" s="4">
        <v>0</v>
      </c>
      <c r="AZ797" s="4">
        <v>0.48091603053435111</v>
      </c>
      <c r="BA797" s="4">
        <v>0.4274809160305344</v>
      </c>
      <c r="BB797" s="4">
        <v>9.1603053435114504E-2</v>
      </c>
      <c r="BC797" s="4">
        <v>0</v>
      </c>
      <c r="BD797" s="31">
        <v>1</v>
      </c>
      <c r="BE797" s="31">
        <v>3.44</v>
      </c>
      <c r="BF797" s="31">
        <v>2.44</v>
      </c>
      <c r="BG797" s="31">
        <v>2.4558139534883718</v>
      </c>
      <c r="BH797" s="4">
        <v>2.4558139534883718</v>
      </c>
      <c r="BI797" s="4">
        <v>6.6666936259306979</v>
      </c>
      <c r="BJ797" s="64"/>
      <c r="BK797" s="64"/>
      <c r="BL797" s="64"/>
      <c r="BM797">
        <v>2.0016670363478789E-2</v>
      </c>
      <c r="BQ797">
        <v>4.0033340726957578E-2</v>
      </c>
      <c r="BR797">
        <v>2.0016670363478789E-2</v>
      </c>
      <c r="BS797">
        <v>0</v>
      </c>
      <c r="BT797" s="68" t="s">
        <v>1264</v>
      </c>
      <c r="BU797" s="68">
        <f t="shared" si="208"/>
        <v>1085</v>
      </c>
      <c r="BV797" s="68">
        <v>12</v>
      </c>
      <c r="CD797" s="68" t="s">
        <v>464</v>
      </c>
      <c r="CE797" s="68" t="s">
        <v>464</v>
      </c>
    </row>
    <row r="798" spans="1:89" x14ac:dyDescent="0.3">
      <c r="A798" t="s">
        <v>353</v>
      </c>
      <c r="B798" t="s">
        <v>2776</v>
      </c>
      <c r="C798" t="s">
        <v>4259</v>
      </c>
      <c r="D798" s="12"/>
      <c r="E798">
        <v>3.44</v>
      </c>
      <c r="F798" t="s">
        <v>380</v>
      </c>
      <c r="G798" s="108" t="s">
        <v>549</v>
      </c>
      <c r="H798">
        <v>-1</v>
      </c>
      <c r="J798" t="s">
        <v>1726</v>
      </c>
      <c r="M798" t="b">
        <v>1</v>
      </c>
      <c r="N798" t="b">
        <v>0</v>
      </c>
      <c r="O798" t="b">
        <v>0</v>
      </c>
      <c r="P798" t="b">
        <v>0</v>
      </c>
      <c r="Q798" t="s">
        <v>2410</v>
      </c>
      <c r="R798">
        <v>-1</v>
      </c>
      <c r="T798">
        <v>2</v>
      </c>
      <c r="U798" s="20">
        <v>0</v>
      </c>
      <c r="V798">
        <v>0</v>
      </c>
      <c r="W798">
        <v>0</v>
      </c>
      <c r="X798">
        <v>3.79</v>
      </c>
      <c r="Y798">
        <v>3.79</v>
      </c>
      <c r="Z798">
        <v>27.2</v>
      </c>
      <c r="AA798" t="s">
        <v>519</v>
      </c>
      <c r="AB798">
        <v>13.6</v>
      </c>
      <c r="AC798" s="20">
        <v>0</v>
      </c>
      <c r="AF798">
        <v>0</v>
      </c>
      <c r="AI798">
        <v>0</v>
      </c>
      <c r="AM798">
        <v>20</v>
      </c>
      <c r="AN798" s="44">
        <f t="shared" si="180"/>
        <v>390.70352000000003</v>
      </c>
      <c r="AO798" s="46">
        <v>0</v>
      </c>
      <c r="AP798" s="44">
        <v>0</v>
      </c>
      <c r="AQ798" s="44">
        <v>0</v>
      </c>
      <c r="AR798" s="41">
        <f t="shared" si="207"/>
        <v>0.10237942058981193</v>
      </c>
      <c r="AS798" s="41"/>
      <c r="AT798" s="41"/>
      <c r="AU798" s="41"/>
      <c r="AV798" s="23">
        <v>1.882352941176471</v>
      </c>
      <c r="AW798" s="23">
        <v>2.3529411764705879</v>
      </c>
      <c r="AX798" s="23">
        <v>0.47058823529411759</v>
      </c>
      <c r="AY798" s="23">
        <v>0</v>
      </c>
      <c r="AZ798" s="23">
        <v>0.4</v>
      </c>
      <c r="BA798" s="23">
        <v>0.5</v>
      </c>
      <c r="BB798" s="23">
        <v>9.9999999999999992E-2</v>
      </c>
      <c r="BC798" s="23">
        <v>0</v>
      </c>
      <c r="BD798" s="20">
        <v>1.1000000000000001</v>
      </c>
      <c r="BE798" s="20">
        <v>3.44</v>
      </c>
      <c r="BF798" s="20">
        <v>2.34</v>
      </c>
      <c r="BG798" s="20">
        <v>2.6835294117647059</v>
      </c>
      <c r="BH798">
        <v>2.6835294117647059</v>
      </c>
      <c r="BI798">
        <v>6.2493398705707062</v>
      </c>
      <c r="BJ798" s="64"/>
      <c r="BK798" s="64"/>
      <c r="BL798" s="64"/>
      <c r="BM798">
        <v>5.1189710294905967E-2</v>
      </c>
      <c r="BQ798">
        <v>0.10237942058981191</v>
      </c>
      <c r="BR798">
        <v>5.1189710294905967E-2</v>
      </c>
      <c r="BS798">
        <v>0</v>
      </c>
      <c r="BT798" s="68" t="s">
        <v>1264</v>
      </c>
      <c r="BU798" s="68">
        <v>1373</v>
      </c>
      <c r="BV798" s="68">
        <v>12</v>
      </c>
      <c r="BX798" s="68" t="s">
        <v>464</v>
      </c>
      <c r="BY798" s="68" t="s">
        <v>464</v>
      </c>
      <c r="BZ798" s="68">
        <v>0</v>
      </c>
      <c r="CA798" s="68">
        <v>3.24</v>
      </c>
      <c r="CB798" s="68">
        <v>0.5</v>
      </c>
      <c r="CC798" s="68">
        <v>1</v>
      </c>
      <c r="CD798" s="77" t="s">
        <v>464</v>
      </c>
      <c r="CE798" s="77" t="s">
        <v>464</v>
      </c>
      <c r="CF798" s="77" t="s">
        <v>1266</v>
      </c>
      <c r="CG798" s="77">
        <v>125</v>
      </c>
      <c r="CH798" s="77">
        <v>220</v>
      </c>
      <c r="CI798" s="77" t="s">
        <v>1287</v>
      </c>
      <c r="CJ798" s="77">
        <f t="shared" ref="CJ798:CJ849" si="209">273+15</f>
        <v>288</v>
      </c>
      <c r="CK798" s="70">
        <v>50.8</v>
      </c>
    </row>
    <row r="799" spans="1:89" x14ac:dyDescent="0.3">
      <c r="A799" t="s">
        <v>2572</v>
      </c>
      <c r="B799" t="s">
        <v>2776</v>
      </c>
      <c r="C799" t="s">
        <v>4270</v>
      </c>
      <c r="D799" s="12"/>
      <c r="E799">
        <v>3.34</v>
      </c>
      <c r="F799" t="s">
        <v>380</v>
      </c>
      <c r="G799" s="110" t="s">
        <v>2534</v>
      </c>
      <c r="H799">
        <v>-1</v>
      </c>
      <c r="J799" t="s">
        <v>1726</v>
      </c>
      <c r="M799" t="b">
        <v>1</v>
      </c>
      <c r="N799" t="b">
        <v>0</v>
      </c>
      <c r="O799" t="b">
        <v>0</v>
      </c>
      <c r="P799" t="b">
        <v>0</v>
      </c>
      <c r="Q799" t="s">
        <v>2412</v>
      </c>
      <c r="R799">
        <v>-1</v>
      </c>
      <c r="T799">
        <v>2</v>
      </c>
      <c r="U799" s="20">
        <v>0</v>
      </c>
      <c r="V799">
        <v>0</v>
      </c>
      <c r="W799">
        <v>0</v>
      </c>
      <c r="X799">
        <v>3.83</v>
      </c>
      <c r="Y799">
        <v>3.83</v>
      </c>
      <c r="Z799">
        <v>36.700000000000003</v>
      </c>
      <c r="AA799" t="s">
        <v>519</v>
      </c>
      <c r="AB799">
        <v>18.350000000000001</v>
      </c>
      <c r="AC799" s="20">
        <v>0</v>
      </c>
      <c r="AF799">
        <v>0</v>
      </c>
      <c r="AI799">
        <v>0</v>
      </c>
      <c r="AM799">
        <v>20</v>
      </c>
      <c r="AN799" s="44">
        <f t="shared" ref="AN799:AN907" si="210">X799*Y799*Z799</f>
        <v>538.34863000000007</v>
      </c>
      <c r="AO799" s="46">
        <v>0</v>
      </c>
      <c r="AP799" s="44">
        <v>0</v>
      </c>
      <c r="AQ799" s="44">
        <v>0</v>
      </c>
      <c r="AR799" s="41">
        <f t="shared" si="207"/>
        <v>7.4301294311829108E-2</v>
      </c>
      <c r="AS799" s="41"/>
      <c r="AT799" s="41"/>
      <c r="AU799" s="41"/>
      <c r="AV799" s="23">
        <v>1.7391304347826091</v>
      </c>
      <c r="AW799" s="23">
        <v>1.956521739130435</v>
      </c>
      <c r="AX799" s="23">
        <v>0.34782608695652167</v>
      </c>
      <c r="AY799" s="23">
        <v>0</v>
      </c>
      <c r="AZ799" s="23">
        <v>0.43010752688172038</v>
      </c>
      <c r="BA799" s="23">
        <v>0.48387096774193539</v>
      </c>
      <c r="BB799" s="23">
        <v>8.6021505376344079E-2</v>
      </c>
      <c r="BC799" s="23">
        <v>0</v>
      </c>
      <c r="BD799" s="20">
        <v>1.1000000000000001</v>
      </c>
      <c r="BE799" s="20">
        <v>3.44</v>
      </c>
      <c r="BF799" s="20">
        <v>2.34</v>
      </c>
      <c r="BG799" s="20">
        <v>2.609130434782609</v>
      </c>
      <c r="BH799">
        <v>2.609130434782609</v>
      </c>
      <c r="BI799">
        <v>6.4538308176133041</v>
      </c>
      <c r="BJ799" s="64"/>
      <c r="BK799" s="64"/>
      <c r="BL799" s="64"/>
      <c r="BM799">
        <v>3.7150647155914547E-2</v>
      </c>
      <c r="BQ799">
        <v>7.4301294311829108E-2</v>
      </c>
      <c r="BR799">
        <v>3.7150647155914547E-2</v>
      </c>
      <c r="BS799">
        <v>0</v>
      </c>
      <c r="BT799" s="68" t="s">
        <v>1264</v>
      </c>
      <c r="BU799" s="68">
        <v>1373</v>
      </c>
      <c r="BV799" s="68">
        <v>12</v>
      </c>
      <c r="BX799" s="68" t="s">
        <v>464</v>
      </c>
      <c r="BY799" s="68" t="s">
        <v>464</v>
      </c>
      <c r="BZ799" s="68">
        <v>0</v>
      </c>
      <c r="CA799" s="68">
        <v>3.88</v>
      </c>
      <c r="CB799" s="68">
        <v>0.5</v>
      </c>
      <c r="CC799" s="68">
        <v>1</v>
      </c>
      <c r="CD799" s="77" t="s">
        <v>464</v>
      </c>
      <c r="CE799" s="77" t="s">
        <v>464</v>
      </c>
      <c r="CF799" s="77" t="s">
        <v>1266</v>
      </c>
      <c r="CG799" s="77">
        <v>125</v>
      </c>
      <c r="CH799" s="77">
        <v>220</v>
      </c>
      <c r="CI799" s="77" t="s">
        <v>1287</v>
      </c>
      <c r="CJ799" s="77">
        <f t="shared" si="209"/>
        <v>288</v>
      </c>
      <c r="CK799" s="70">
        <v>3276</v>
      </c>
    </row>
    <row r="800" spans="1:89" x14ac:dyDescent="0.3">
      <c r="A800" t="s">
        <v>2566</v>
      </c>
      <c r="B800" t="s">
        <v>2776</v>
      </c>
      <c r="C800" t="s">
        <v>4263</v>
      </c>
      <c r="D800" s="12"/>
      <c r="E800">
        <v>3.39</v>
      </c>
      <c r="F800" t="s">
        <v>380</v>
      </c>
      <c r="G800" s="110" t="s">
        <v>2532</v>
      </c>
      <c r="H800">
        <v>-1</v>
      </c>
      <c r="J800" t="s">
        <v>1726</v>
      </c>
      <c r="M800" t="b">
        <v>1</v>
      </c>
      <c r="N800" t="b">
        <v>0</v>
      </c>
      <c r="O800" t="b">
        <v>0</v>
      </c>
      <c r="P800" t="b">
        <v>0</v>
      </c>
      <c r="Q800" t="s">
        <v>2414</v>
      </c>
      <c r="R800">
        <v>-1</v>
      </c>
      <c r="T800">
        <v>1</v>
      </c>
      <c r="U800" s="20">
        <v>0</v>
      </c>
      <c r="V800">
        <v>0</v>
      </c>
      <c r="W800">
        <v>0</v>
      </c>
      <c r="X800">
        <v>3.82</v>
      </c>
      <c r="Y800">
        <v>3.82</v>
      </c>
      <c r="Z800">
        <v>20.2</v>
      </c>
      <c r="AA800" t="s">
        <v>519</v>
      </c>
      <c r="AB800">
        <v>20.2</v>
      </c>
      <c r="AC800" s="20">
        <v>0</v>
      </c>
      <c r="AF800">
        <v>0</v>
      </c>
      <c r="AI800">
        <v>0</v>
      </c>
      <c r="AM800">
        <v>20</v>
      </c>
      <c r="AN800" s="44">
        <f t="shared" si="210"/>
        <v>294.76648</v>
      </c>
      <c r="AO800" s="46">
        <v>0</v>
      </c>
      <c r="AP800" s="44">
        <v>0</v>
      </c>
      <c r="AQ800" s="44">
        <v>0</v>
      </c>
      <c r="AR800" s="41">
        <f t="shared" si="207"/>
        <v>6.7850320022819419E-2</v>
      </c>
      <c r="AS800" s="41"/>
      <c r="AT800" s="41"/>
      <c r="AU800" s="41"/>
      <c r="AV800" s="23">
        <v>1.6923076923076921</v>
      </c>
      <c r="AW800" s="23">
        <v>1.8076923076923079</v>
      </c>
      <c r="AX800" s="23">
        <v>0.30769230769230771</v>
      </c>
      <c r="AY800" s="23">
        <v>0</v>
      </c>
      <c r="AZ800" s="23">
        <v>0.44444444444444448</v>
      </c>
      <c r="BA800" s="23">
        <v>0.47474747474747481</v>
      </c>
      <c r="BB800" s="23">
        <v>8.0808080808080815E-2</v>
      </c>
      <c r="BC800" s="23">
        <v>0</v>
      </c>
      <c r="BD800" s="20">
        <v>1.1000000000000001</v>
      </c>
      <c r="BE800" s="20">
        <v>3.44</v>
      </c>
      <c r="BF800" s="20">
        <v>2.34</v>
      </c>
      <c r="BG800" s="20">
        <v>2.5753846153846158</v>
      </c>
      <c r="BH800">
        <v>2.5753846153846149</v>
      </c>
      <c r="BI800">
        <v>6.5020131619541548</v>
      </c>
      <c r="BJ800" s="64"/>
      <c r="BK800" s="64"/>
      <c r="BL800" s="64"/>
      <c r="BM800">
        <v>3.3925160011409709E-2</v>
      </c>
      <c r="BQ800">
        <v>6.7850320022819419E-2</v>
      </c>
      <c r="BR800">
        <v>3.3925160011409709E-2</v>
      </c>
      <c r="BS800">
        <v>0</v>
      </c>
      <c r="BT800" s="68" t="s">
        <v>1264</v>
      </c>
      <c r="BU800" s="68">
        <v>1373</v>
      </c>
      <c r="BV800" s="68">
        <v>12</v>
      </c>
      <c r="BX800" s="68" t="s">
        <v>464</v>
      </c>
      <c r="BY800" s="68" t="s">
        <v>464</v>
      </c>
      <c r="BZ800" s="68">
        <v>0</v>
      </c>
      <c r="CB800" s="68">
        <v>0.5</v>
      </c>
      <c r="CC800" s="68">
        <v>1</v>
      </c>
      <c r="CD800" s="77" t="s">
        <v>464</v>
      </c>
      <c r="CE800" s="77" t="s">
        <v>464</v>
      </c>
      <c r="CF800" s="77" t="s">
        <v>1266</v>
      </c>
      <c r="CG800" s="77">
        <v>125</v>
      </c>
      <c r="CH800" s="77">
        <v>220</v>
      </c>
      <c r="CI800" s="77" t="s">
        <v>1287</v>
      </c>
      <c r="CJ800" s="77">
        <f t="shared" si="209"/>
        <v>288</v>
      </c>
      <c r="CK800" s="70">
        <v>2464</v>
      </c>
    </row>
    <row r="801" spans="1:89" x14ac:dyDescent="0.3">
      <c r="A801" t="s">
        <v>2743</v>
      </c>
      <c r="B801" t="s">
        <v>2776</v>
      </c>
      <c r="C801" t="s">
        <v>4271</v>
      </c>
      <c r="D801" s="12"/>
      <c r="E801">
        <v>3.4</v>
      </c>
      <c r="F801" t="s">
        <v>380</v>
      </c>
      <c r="G801" s="110" t="s">
        <v>2535</v>
      </c>
      <c r="H801">
        <v>-1</v>
      </c>
      <c r="J801" t="s">
        <v>1726</v>
      </c>
      <c r="M801" t="b">
        <v>1</v>
      </c>
      <c r="N801" t="b">
        <v>0</v>
      </c>
      <c r="O801" t="b">
        <v>0</v>
      </c>
      <c r="P801" t="b">
        <v>0</v>
      </c>
      <c r="Q801" t="s">
        <v>2416</v>
      </c>
      <c r="R801">
        <v>-1</v>
      </c>
      <c r="T801">
        <v>1</v>
      </c>
      <c r="U801" s="20">
        <v>0</v>
      </c>
      <c r="V801">
        <v>0</v>
      </c>
      <c r="W801">
        <v>0</v>
      </c>
      <c r="X801">
        <v>3.82</v>
      </c>
      <c r="Y801">
        <v>3.82</v>
      </c>
      <c r="Z801">
        <v>21.7</v>
      </c>
      <c r="AA801" t="s">
        <v>519</v>
      </c>
      <c r="AB801">
        <v>21.7</v>
      </c>
      <c r="AC801" s="20">
        <v>0</v>
      </c>
      <c r="AF801">
        <v>0</v>
      </c>
      <c r="AI801">
        <v>0</v>
      </c>
      <c r="AM801">
        <v>20</v>
      </c>
      <c r="AN801" s="44">
        <f t="shared" si="210"/>
        <v>316.65508</v>
      </c>
      <c r="AO801" s="46">
        <v>0</v>
      </c>
      <c r="AP801" s="44">
        <v>0</v>
      </c>
      <c r="AQ801" s="44">
        <v>0</v>
      </c>
      <c r="AR801" s="41">
        <f t="shared" si="207"/>
        <v>6.3160205735527761E-2</v>
      </c>
      <c r="AS801" s="41"/>
      <c r="AT801" s="41"/>
      <c r="AU801" s="41"/>
      <c r="AV801" s="23">
        <v>1.655172413793103</v>
      </c>
      <c r="AW801" s="23">
        <v>1.6896551724137929</v>
      </c>
      <c r="AX801" s="23">
        <v>0.27586206896551718</v>
      </c>
      <c r="AY801" s="23">
        <v>0</v>
      </c>
      <c r="AZ801" s="23">
        <v>0.45714285714285707</v>
      </c>
      <c r="BA801" s="23">
        <v>0.46666666666666667</v>
      </c>
      <c r="BB801" s="23">
        <v>7.6190476190476197E-2</v>
      </c>
      <c r="BC801" s="23">
        <v>0</v>
      </c>
      <c r="BD801" s="20">
        <v>1.1000000000000001</v>
      </c>
      <c r="BE801" s="20">
        <v>3.44</v>
      </c>
      <c r="BF801" s="20">
        <v>2.34</v>
      </c>
      <c r="BG801" s="20">
        <v>2.5486206896551722</v>
      </c>
      <c r="BH801">
        <v>2.5486206896551722</v>
      </c>
      <c r="BI801">
        <v>6.5402267453968976</v>
      </c>
      <c r="BJ801" s="64"/>
      <c r="BK801" s="64"/>
      <c r="BL801" s="64"/>
      <c r="BM801">
        <v>3.158010286776388E-2</v>
      </c>
      <c r="BQ801">
        <v>6.3160205735527761E-2</v>
      </c>
      <c r="BR801">
        <v>3.158010286776388E-2</v>
      </c>
      <c r="BS801">
        <v>0</v>
      </c>
      <c r="BT801" s="68" t="s">
        <v>1264</v>
      </c>
      <c r="BU801" s="68">
        <v>1373</v>
      </c>
      <c r="BV801" s="68">
        <v>12</v>
      </c>
      <c r="BX801" s="68" t="s">
        <v>464</v>
      </c>
      <c r="BY801" s="68" t="s">
        <v>464</v>
      </c>
      <c r="BZ801" s="68">
        <v>0</v>
      </c>
      <c r="CB801" s="68">
        <v>0.5</v>
      </c>
      <c r="CC801" s="68">
        <v>1</v>
      </c>
      <c r="CD801" s="77" t="s">
        <v>464</v>
      </c>
      <c r="CE801" s="77" t="s">
        <v>464</v>
      </c>
      <c r="CF801" s="77" t="s">
        <v>1266</v>
      </c>
      <c r="CG801" s="77">
        <v>125</v>
      </c>
      <c r="CH801" s="77">
        <v>220</v>
      </c>
      <c r="CI801" s="77" t="s">
        <v>1287</v>
      </c>
      <c r="CJ801" s="77">
        <f t="shared" si="209"/>
        <v>288</v>
      </c>
      <c r="CK801" s="70">
        <v>1835.9999999999998</v>
      </c>
    </row>
    <row r="802" spans="1:89" x14ac:dyDescent="0.3">
      <c r="A802" t="s">
        <v>2573</v>
      </c>
      <c r="B802" t="s">
        <v>2776</v>
      </c>
      <c r="C802" t="s">
        <v>4272</v>
      </c>
      <c r="D802" s="12"/>
      <c r="E802">
        <v>3.42</v>
      </c>
      <c r="F802" t="s">
        <v>380</v>
      </c>
      <c r="G802" s="110" t="s">
        <v>2536</v>
      </c>
      <c r="H802">
        <v>-1</v>
      </c>
      <c r="J802" t="s">
        <v>1726</v>
      </c>
      <c r="M802" t="b">
        <v>1</v>
      </c>
      <c r="N802" t="b">
        <v>0</v>
      </c>
      <c r="O802" t="b">
        <v>0</v>
      </c>
      <c r="P802" t="b">
        <v>0</v>
      </c>
      <c r="Q802" t="s">
        <v>2418</v>
      </c>
      <c r="R802">
        <v>-1</v>
      </c>
      <c r="T802">
        <v>1</v>
      </c>
      <c r="U802" s="20">
        <v>0</v>
      </c>
      <c r="V802">
        <v>0</v>
      </c>
      <c r="W802">
        <v>0</v>
      </c>
      <c r="X802">
        <v>3.81</v>
      </c>
      <c r="Y802">
        <v>3.81</v>
      </c>
      <c r="Z802">
        <v>24.7</v>
      </c>
      <c r="AA802" t="s">
        <v>519</v>
      </c>
      <c r="AB802">
        <v>24.7</v>
      </c>
      <c r="AC802" s="20">
        <v>0</v>
      </c>
      <c r="AF802">
        <v>0</v>
      </c>
      <c r="AI802">
        <v>0</v>
      </c>
      <c r="AM802">
        <v>20</v>
      </c>
      <c r="AN802" s="44">
        <f t="shared" si="210"/>
        <v>358.54766999999998</v>
      </c>
      <c r="AO802" s="46">
        <v>0</v>
      </c>
      <c r="AP802" s="44">
        <v>0</v>
      </c>
      <c r="AQ802" s="44">
        <v>0</v>
      </c>
      <c r="AR802" s="41">
        <f t="shared" si="207"/>
        <v>5.5780588394285201E-2</v>
      </c>
      <c r="AS802" s="41"/>
      <c r="AT802" s="41"/>
      <c r="AU802" s="41"/>
      <c r="AV802" s="23">
        <v>1.625</v>
      </c>
      <c r="AW802" s="23">
        <v>1.59375</v>
      </c>
      <c r="AX802" s="23">
        <v>0.25</v>
      </c>
      <c r="AY802" s="23">
        <v>0</v>
      </c>
      <c r="AZ802" s="23">
        <v>0.46846846846846851</v>
      </c>
      <c r="BA802" s="23">
        <v>0.45945945945945948</v>
      </c>
      <c r="BB802" s="23">
        <v>7.2072072072072071E-2</v>
      </c>
      <c r="BC802" s="23">
        <v>0</v>
      </c>
      <c r="BD802" s="20">
        <v>1.1000000000000001</v>
      </c>
      <c r="BE802" s="20">
        <v>3.44</v>
      </c>
      <c r="BF802" s="20">
        <v>2.34</v>
      </c>
      <c r="BG802" s="20">
        <v>2.526875</v>
      </c>
      <c r="BH802">
        <v>2.526875</v>
      </c>
      <c r="BI802">
        <v>6.5712752819441249</v>
      </c>
      <c r="BJ802" s="64"/>
      <c r="BK802" s="64"/>
      <c r="BL802" s="64"/>
      <c r="BM802">
        <v>2.78902941971426E-2</v>
      </c>
      <c r="BQ802">
        <v>5.5780588394285201E-2</v>
      </c>
      <c r="BR802">
        <v>2.78902941971426E-2</v>
      </c>
      <c r="BS802">
        <v>0</v>
      </c>
      <c r="BT802" s="68" t="s">
        <v>1264</v>
      </c>
      <c r="BU802" s="68">
        <v>1373</v>
      </c>
      <c r="BV802" s="68">
        <v>12</v>
      </c>
      <c r="BX802" s="68" t="s">
        <v>464</v>
      </c>
      <c r="BY802" s="68" t="s">
        <v>464</v>
      </c>
      <c r="BZ802" s="68">
        <v>0</v>
      </c>
      <c r="CA802" s="68">
        <v>4.09</v>
      </c>
      <c r="CB802" s="68">
        <v>0.5</v>
      </c>
      <c r="CC802" s="68">
        <v>1</v>
      </c>
      <c r="CD802" s="77" t="s">
        <v>464</v>
      </c>
      <c r="CE802" s="77" t="s">
        <v>464</v>
      </c>
      <c r="CF802" s="77" t="s">
        <v>1266</v>
      </c>
      <c r="CG802" s="77">
        <v>125</v>
      </c>
      <c r="CH802" s="77">
        <v>220</v>
      </c>
      <c r="CI802" s="77" t="s">
        <v>1287</v>
      </c>
      <c r="CJ802" s="77">
        <f t="shared" si="209"/>
        <v>288</v>
      </c>
      <c r="CK802" s="70">
        <v>2891.9999999999995</v>
      </c>
    </row>
    <row r="803" spans="1:89" x14ac:dyDescent="0.3">
      <c r="A803" t="s">
        <v>2574</v>
      </c>
      <c r="B803" t="s">
        <v>2776</v>
      </c>
      <c r="C803" t="s">
        <v>4273</v>
      </c>
      <c r="D803" s="12"/>
      <c r="E803">
        <v>3.41</v>
      </c>
      <c r="F803" t="s">
        <v>380</v>
      </c>
      <c r="G803" s="110" t="s">
        <v>2537</v>
      </c>
      <c r="H803">
        <v>-1</v>
      </c>
      <c r="J803" t="s">
        <v>1726</v>
      </c>
      <c r="M803" t="b">
        <v>1</v>
      </c>
      <c r="N803" t="b">
        <v>0</v>
      </c>
      <c r="O803" t="b">
        <v>0</v>
      </c>
      <c r="P803" t="b">
        <v>0</v>
      </c>
      <c r="Q803" t="s">
        <v>2420</v>
      </c>
      <c r="R803">
        <v>-1</v>
      </c>
      <c r="T803">
        <v>1</v>
      </c>
      <c r="U803" s="20">
        <v>0</v>
      </c>
      <c r="V803">
        <v>0</v>
      </c>
      <c r="W803">
        <v>0</v>
      </c>
      <c r="X803">
        <v>3.87</v>
      </c>
      <c r="Y803">
        <v>3.87</v>
      </c>
      <c r="Z803">
        <v>29.4</v>
      </c>
      <c r="AA803" t="s">
        <v>519</v>
      </c>
      <c r="AB803">
        <v>29.4</v>
      </c>
      <c r="AC803" s="20">
        <v>0</v>
      </c>
      <c r="AF803">
        <v>0</v>
      </c>
      <c r="AI803">
        <v>0</v>
      </c>
      <c r="AM803">
        <v>20</v>
      </c>
      <c r="AN803" s="44">
        <f t="shared" si="210"/>
        <v>440.32085999999998</v>
      </c>
      <c r="AO803" s="46">
        <v>0</v>
      </c>
      <c r="AP803" s="44">
        <v>0</v>
      </c>
      <c r="AQ803" s="44">
        <v>0</v>
      </c>
      <c r="AR803" s="41">
        <f t="shared" si="207"/>
        <v>4.5421422914190351E-2</v>
      </c>
      <c r="AS803" s="41"/>
      <c r="AT803" s="41"/>
      <c r="AU803" s="41"/>
      <c r="AV803" s="23">
        <v>1.5789473684210531</v>
      </c>
      <c r="AW803" s="23">
        <v>1.4473684210526321</v>
      </c>
      <c r="AX803" s="23">
        <v>0.2105263157894737</v>
      </c>
      <c r="AY803" s="23">
        <v>0</v>
      </c>
      <c r="AZ803" s="23">
        <v>0.48780487804878048</v>
      </c>
      <c r="BA803" s="23">
        <v>0.44715447154471538</v>
      </c>
      <c r="BB803" s="23">
        <v>6.5040650406504058E-2</v>
      </c>
      <c r="BC803" s="23">
        <v>0</v>
      </c>
      <c r="BD803" s="20">
        <v>1.1000000000000001</v>
      </c>
      <c r="BE803" s="20">
        <v>3.44</v>
      </c>
      <c r="BF803" s="20">
        <v>2.34</v>
      </c>
      <c r="BG803" s="20">
        <v>2.4936842105263159</v>
      </c>
      <c r="BH803">
        <v>2.4936842105263159</v>
      </c>
      <c r="BI803">
        <v>6.6186651535162104</v>
      </c>
      <c r="BJ803" s="64"/>
      <c r="BK803" s="64"/>
      <c r="BL803" s="64"/>
      <c r="BM803">
        <v>2.2710711457095179E-2</v>
      </c>
      <c r="BQ803">
        <v>4.5421422914190351E-2</v>
      </c>
      <c r="BR803">
        <v>2.2710711457095179E-2</v>
      </c>
      <c r="BS803">
        <v>0</v>
      </c>
      <c r="BT803" s="68" t="s">
        <v>1264</v>
      </c>
      <c r="BU803" s="68">
        <v>1373</v>
      </c>
      <c r="BV803" s="68">
        <v>12</v>
      </c>
      <c r="BX803" s="68" t="s">
        <v>464</v>
      </c>
      <c r="BY803" s="68" t="s">
        <v>464</v>
      </c>
      <c r="BZ803" s="68">
        <v>0</v>
      </c>
      <c r="CB803" s="68">
        <v>0.5</v>
      </c>
      <c r="CC803" s="68">
        <v>1</v>
      </c>
      <c r="CD803" s="77" t="s">
        <v>464</v>
      </c>
      <c r="CE803" s="77" t="s">
        <v>464</v>
      </c>
      <c r="CF803" s="77" t="s">
        <v>1266</v>
      </c>
      <c r="CG803" s="77">
        <v>125</v>
      </c>
      <c r="CH803" s="77">
        <v>220</v>
      </c>
      <c r="CI803" s="77" t="s">
        <v>1287</v>
      </c>
      <c r="CJ803" s="77">
        <f t="shared" si="209"/>
        <v>288</v>
      </c>
      <c r="CK803" s="70">
        <v>2151.9999999999995</v>
      </c>
    </row>
    <row r="804" spans="1:89" x14ac:dyDescent="0.3">
      <c r="A804" t="s">
        <v>2575</v>
      </c>
      <c r="B804" t="s">
        <v>2776</v>
      </c>
      <c r="C804" t="s">
        <v>4274</v>
      </c>
      <c r="D804" s="12"/>
      <c r="E804">
        <v>3.4</v>
      </c>
      <c r="F804" t="s">
        <v>380</v>
      </c>
      <c r="G804" s="110" t="s">
        <v>2538</v>
      </c>
      <c r="H804">
        <v>-1</v>
      </c>
      <c r="J804" t="s">
        <v>1726</v>
      </c>
      <c r="M804" t="b">
        <v>1</v>
      </c>
      <c r="N804" t="b">
        <v>0</v>
      </c>
      <c r="O804" t="b">
        <v>0</v>
      </c>
      <c r="P804" t="b">
        <v>0</v>
      </c>
      <c r="Q804" t="s">
        <v>2422</v>
      </c>
      <c r="R804">
        <v>-1</v>
      </c>
      <c r="T804">
        <v>1</v>
      </c>
      <c r="U804" s="20">
        <v>0</v>
      </c>
      <c r="V804">
        <v>0</v>
      </c>
      <c r="W804">
        <v>0</v>
      </c>
      <c r="X804">
        <v>3.85</v>
      </c>
      <c r="Y804">
        <v>3.85</v>
      </c>
      <c r="Z804">
        <v>34.200000000000003</v>
      </c>
      <c r="AA804" t="s">
        <v>519</v>
      </c>
      <c r="AB804">
        <v>34.200000000000003</v>
      </c>
      <c r="AC804" s="20">
        <v>0</v>
      </c>
      <c r="AF804">
        <v>0</v>
      </c>
      <c r="AI804">
        <v>0</v>
      </c>
      <c r="AM804">
        <v>20</v>
      </c>
      <c r="AN804" s="44">
        <f t="shared" si="210"/>
        <v>506.92950000000008</v>
      </c>
      <c r="AO804" s="46">
        <v>0</v>
      </c>
      <c r="AP804" s="44">
        <v>0</v>
      </c>
      <c r="AQ804" s="44">
        <v>0</v>
      </c>
      <c r="AR804" s="41">
        <f t="shared" si="207"/>
        <v>3.9453217853764669E-2</v>
      </c>
      <c r="AS804" s="41"/>
      <c r="AT804" s="41"/>
      <c r="AU804" s="41"/>
      <c r="AV804" s="23">
        <v>1.545454545454545</v>
      </c>
      <c r="AW804" s="23">
        <v>1.3409090909090911</v>
      </c>
      <c r="AX804" s="23">
        <v>0.1818181818181818</v>
      </c>
      <c r="AY804" s="23">
        <v>0</v>
      </c>
      <c r="AZ804" s="23">
        <v>0.50370370370370365</v>
      </c>
      <c r="BA804" s="23">
        <v>0.437037037037037</v>
      </c>
      <c r="BB804" s="23">
        <v>5.9259259259259248E-2</v>
      </c>
      <c r="BC804" s="23">
        <v>0</v>
      </c>
      <c r="BD804" s="20">
        <v>1.1000000000000001</v>
      </c>
      <c r="BE804" s="20">
        <v>3.44</v>
      </c>
      <c r="BF804" s="20">
        <v>2.34</v>
      </c>
      <c r="BG804" s="20">
        <v>2.4695454545454552</v>
      </c>
      <c r="BH804">
        <v>2.4695454545454538</v>
      </c>
      <c r="BI804">
        <v>6.6531305146595452</v>
      </c>
      <c r="BJ804" s="64"/>
      <c r="BK804" s="64"/>
      <c r="BL804" s="64"/>
      <c r="BM804">
        <v>1.9726608926882331E-2</v>
      </c>
      <c r="BQ804">
        <v>3.9453217853764669E-2</v>
      </c>
      <c r="BR804">
        <v>1.9726608926882331E-2</v>
      </c>
      <c r="BS804">
        <v>0</v>
      </c>
      <c r="BT804" s="68" t="s">
        <v>1264</v>
      </c>
      <c r="BU804" s="68">
        <v>1373</v>
      </c>
      <c r="BV804" s="68">
        <v>12</v>
      </c>
      <c r="BX804" s="68" t="s">
        <v>464</v>
      </c>
      <c r="BY804" s="68" t="s">
        <v>464</v>
      </c>
      <c r="BZ804" s="68">
        <v>0</v>
      </c>
      <c r="CA804" s="68">
        <v>4.38</v>
      </c>
      <c r="CB804" s="68">
        <v>0.5</v>
      </c>
      <c r="CC804" s="68">
        <v>1</v>
      </c>
      <c r="CD804" s="77" t="s">
        <v>464</v>
      </c>
      <c r="CE804" s="77" t="s">
        <v>464</v>
      </c>
      <c r="CF804" s="77" t="s">
        <v>1266</v>
      </c>
      <c r="CG804" s="77">
        <v>125</v>
      </c>
      <c r="CH804" s="77">
        <v>220</v>
      </c>
      <c r="CI804" s="77" t="s">
        <v>1287</v>
      </c>
      <c r="CJ804" s="77">
        <f t="shared" si="209"/>
        <v>288</v>
      </c>
      <c r="CK804" s="70">
        <v>5960</v>
      </c>
    </row>
    <row r="805" spans="1:89" x14ac:dyDescent="0.3">
      <c r="A805" t="s">
        <v>2576</v>
      </c>
      <c r="B805" t="s">
        <v>2776</v>
      </c>
      <c r="C805" t="s">
        <v>4275</v>
      </c>
      <c r="D805" s="12"/>
      <c r="E805">
        <v>3.33</v>
      </c>
      <c r="F805" t="s">
        <v>380</v>
      </c>
      <c r="G805" s="110" t="s">
        <v>2539</v>
      </c>
      <c r="H805">
        <v>-1</v>
      </c>
      <c r="J805" t="s">
        <v>1726</v>
      </c>
      <c r="M805" t="b">
        <v>1</v>
      </c>
      <c r="N805" t="b">
        <v>0</v>
      </c>
      <c r="O805" t="b">
        <v>0</v>
      </c>
      <c r="P805" t="b">
        <v>0</v>
      </c>
      <c r="Q805" t="s">
        <v>2424</v>
      </c>
      <c r="R805">
        <v>-1</v>
      </c>
      <c r="T805">
        <v>2</v>
      </c>
      <c r="U805" s="20">
        <v>0</v>
      </c>
      <c r="V805">
        <v>0</v>
      </c>
      <c r="W805">
        <v>0</v>
      </c>
      <c r="X805">
        <v>3.81</v>
      </c>
      <c r="Y805">
        <v>3.81</v>
      </c>
      <c r="Z805">
        <v>35.1</v>
      </c>
      <c r="AA805" t="s">
        <v>519</v>
      </c>
      <c r="AB805">
        <v>17.55</v>
      </c>
      <c r="AC805" s="20">
        <v>0</v>
      </c>
      <c r="AF805">
        <v>0</v>
      </c>
      <c r="AI805">
        <v>0</v>
      </c>
      <c r="AM805">
        <v>20</v>
      </c>
      <c r="AN805" s="44">
        <f t="shared" si="210"/>
        <v>509.51510999999999</v>
      </c>
      <c r="AO805" s="46">
        <v>0</v>
      </c>
      <c r="AP805" s="44">
        <v>0</v>
      </c>
      <c r="AQ805" s="44">
        <v>0</v>
      </c>
      <c r="AR805" s="41">
        <f t="shared" si="207"/>
        <v>7.8506013295660648E-2</v>
      </c>
      <c r="AS805" s="41"/>
      <c r="AT805" s="41"/>
      <c r="AU805" s="41"/>
      <c r="AV805" s="23">
        <v>1.7727272727272729</v>
      </c>
      <c r="AW805" s="23">
        <v>2.0909090909090908</v>
      </c>
      <c r="AX805" s="23">
        <v>0.36363636363636359</v>
      </c>
      <c r="AY805" s="23">
        <v>0</v>
      </c>
      <c r="AZ805" s="23">
        <v>0.41935483870967738</v>
      </c>
      <c r="BA805" s="23">
        <v>0.49462365591397839</v>
      </c>
      <c r="BB805" s="23">
        <v>8.6021505376344079E-2</v>
      </c>
      <c r="BC805" s="23">
        <v>0</v>
      </c>
      <c r="BD805" s="20">
        <v>1.1000000000000001</v>
      </c>
      <c r="BE805" s="20">
        <v>3.44</v>
      </c>
      <c r="BF805" s="20">
        <v>2.34</v>
      </c>
      <c r="BG805" s="20">
        <v>2.645909090909091</v>
      </c>
      <c r="BH805">
        <v>2.645909090909091</v>
      </c>
      <c r="BI805">
        <v>6.4349594388752269</v>
      </c>
      <c r="BJ805" s="64"/>
      <c r="BK805" s="64"/>
      <c r="BL805" s="64"/>
      <c r="BM805">
        <v>4.3178307312613358E-2</v>
      </c>
      <c r="BQ805">
        <v>7.8506013295660648E-2</v>
      </c>
      <c r="BR805">
        <v>4.3178307312613358E-2</v>
      </c>
      <c r="BS805">
        <v>0</v>
      </c>
      <c r="BT805" s="68" t="s">
        <v>1264</v>
      </c>
      <c r="BU805" s="68">
        <v>1373</v>
      </c>
      <c r="BV805" s="68">
        <v>12</v>
      </c>
      <c r="BX805" s="68" t="s">
        <v>464</v>
      </c>
      <c r="BY805" s="68" t="s">
        <v>464</v>
      </c>
      <c r="BZ805" s="68">
        <v>0</v>
      </c>
      <c r="CA805" s="68">
        <v>5.73</v>
      </c>
      <c r="CB805" s="68">
        <v>0.5</v>
      </c>
      <c r="CC805" s="68">
        <v>1</v>
      </c>
      <c r="CD805" s="77" t="s">
        <v>464</v>
      </c>
      <c r="CE805" s="77" t="s">
        <v>464</v>
      </c>
      <c r="CF805" s="77" t="s">
        <v>1266</v>
      </c>
      <c r="CG805" s="77">
        <v>125</v>
      </c>
      <c r="CH805" s="77">
        <v>220</v>
      </c>
      <c r="CI805" s="77" t="s">
        <v>1287</v>
      </c>
      <c r="CJ805" s="77">
        <f t="shared" si="209"/>
        <v>288</v>
      </c>
      <c r="CK805" s="70">
        <v>3711.9999999999995</v>
      </c>
    </row>
    <row r="806" spans="1:89" x14ac:dyDescent="0.3">
      <c r="A806" t="s">
        <v>2567</v>
      </c>
      <c r="B806" t="s">
        <v>2776</v>
      </c>
      <c r="C806" t="s">
        <v>4264</v>
      </c>
      <c r="D806" s="12"/>
      <c r="E806">
        <v>3.41</v>
      </c>
      <c r="F806" t="s">
        <v>380</v>
      </c>
      <c r="G806" s="110" t="s">
        <v>2533</v>
      </c>
      <c r="H806">
        <v>-1</v>
      </c>
      <c r="J806" t="s">
        <v>1726</v>
      </c>
      <c r="M806" t="b">
        <v>1</v>
      </c>
      <c r="N806" t="b">
        <v>0</v>
      </c>
      <c r="O806" t="b">
        <v>0</v>
      </c>
      <c r="P806" t="b">
        <v>0</v>
      </c>
      <c r="Q806" t="s">
        <v>2426</v>
      </c>
      <c r="R806">
        <v>-1</v>
      </c>
      <c r="T806">
        <v>2</v>
      </c>
      <c r="U806" s="20">
        <v>0</v>
      </c>
      <c r="V806">
        <v>0</v>
      </c>
      <c r="W806">
        <v>0</v>
      </c>
      <c r="X806">
        <v>3.83</v>
      </c>
      <c r="Y806">
        <v>3.83</v>
      </c>
      <c r="Z806">
        <v>39.5</v>
      </c>
      <c r="AA806" t="s">
        <v>519</v>
      </c>
      <c r="AB806">
        <v>19.75</v>
      </c>
      <c r="AC806" s="20">
        <v>0</v>
      </c>
      <c r="AF806">
        <v>0</v>
      </c>
      <c r="AI806">
        <v>0</v>
      </c>
      <c r="AM806">
        <v>20</v>
      </c>
      <c r="AN806" s="44">
        <f t="shared" si="210"/>
        <v>579.42155000000002</v>
      </c>
      <c r="AO806" s="46">
        <v>0</v>
      </c>
      <c r="AP806" s="44">
        <v>0</v>
      </c>
      <c r="AQ806" s="44">
        <v>0</v>
      </c>
      <c r="AR806" s="41">
        <f t="shared" si="207"/>
        <v>6.9034367120104523E-2</v>
      </c>
      <c r="AS806" s="41"/>
      <c r="AT806" s="41"/>
      <c r="AU806" s="41"/>
      <c r="AV806" s="23">
        <v>1.72</v>
      </c>
      <c r="AW806" s="23">
        <v>1.92</v>
      </c>
      <c r="AX806" s="23">
        <v>0.32</v>
      </c>
      <c r="AY806" s="23">
        <v>0</v>
      </c>
      <c r="AZ806" s="23">
        <v>0.43434343434343442</v>
      </c>
      <c r="BA806" s="23">
        <v>0.48484848484848492</v>
      </c>
      <c r="BB806" s="23">
        <v>8.0808080808080815E-2</v>
      </c>
      <c r="BC806" s="23">
        <v>0</v>
      </c>
      <c r="BD806" s="20">
        <v>1.1000000000000001</v>
      </c>
      <c r="BE806" s="20">
        <v>3.44</v>
      </c>
      <c r="BF806" s="20">
        <v>2.34</v>
      </c>
      <c r="BG806" s="20">
        <v>2.6063999999999998</v>
      </c>
      <c r="BH806">
        <v>2.6063999999999998</v>
      </c>
      <c r="BI806">
        <v>6.4873336424382799</v>
      </c>
      <c r="BJ806" s="64"/>
      <c r="BK806" s="64"/>
      <c r="BL806" s="64"/>
      <c r="BM806">
        <v>3.7968901916057493E-2</v>
      </c>
      <c r="BQ806">
        <v>6.9034367120104523E-2</v>
      </c>
      <c r="BR806">
        <v>3.7968901916057493E-2</v>
      </c>
      <c r="BS806">
        <v>0</v>
      </c>
      <c r="BT806" s="68" t="s">
        <v>1264</v>
      </c>
      <c r="BU806" s="68">
        <v>1373</v>
      </c>
      <c r="BV806" s="68">
        <v>12</v>
      </c>
      <c r="BX806" s="68" t="s">
        <v>464</v>
      </c>
      <c r="BY806" s="68" t="s">
        <v>464</v>
      </c>
      <c r="BZ806" s="68">
        <v>0</v>
      </c>
      <c r="CB806" s="68">
        <v>0.5</v>
      </c>
      <c r="CC806" s="68">
        <v>1</v>
      </c>
      <c r="CD806" s="77" t="s">
        <v>464</v>
      </c>
      <c r="CE806" s="77" t="s">
        <v>464</v>
      </c>
      <c r="CF806" s="77" t="s">
        <v>1266</v>
      </c>
      <c r="CG806" s="77">
        <v>125</v>
      </c>
      <c r="CH806" s="77">
        <v>220</v>
      </c>
      <c r="CI806" s="77" t="s">
        <v>1287</v>
      </c>
      <c r="CJ806" s="77">
        <f t="shared" si="209"/>
        <v>288</v>
      </c>
      <c r="CK806" s="70">
        <v>3140</v>
      </c>
    </row>
    <row r="807" spans="1:89" x14ac:dyDescent="0.3">
      <c r="A807" t="s">
        <v>2744</v>
      </c>
      <c r="B807" t="s">
        <v>2776</v>
      </c>
      <c r="C807" t="s">
        <v>4276</v>
      </c>
      <c r="D807" s="12"/>
      <c r="E807">
        <v>3.38</v>
      </c>
      <c r="F807" t="s">
        <v>380</v>
      </c>
      <c r="G807" s="110" t="s">
        <v>2540</v>
      </c>
      <c r="H807">
        <v>-1</v>
      </c>
      <c r="J807" t="s">
        <v>1726</v>
      </c>
      <c r="M807" t="b">
        <v>1</v>
      </c>
      <c r="N807" t="b">
        <v>0</v>
      </c>
      <c r="O807" t="b">
        <v>0</v>
      </c>
      <c r="P807" t="b">
        <v>0</v>
      </c>
      <c r="Q807" t="s">
        <v>2427</v>
      </c>
      <c r="R807">
        <v>-1</v>
      </c>
      <c r="T807">
        <v>2</v>
      </c>
      <c r="U807" s="20">
        <v>0</v>
      </c>
      <c r="V807">
        <v>0</v>
      </c>
      <c r="W807">
        <v>0</v>
      </c>
      <c r="X807">
        <v>3.83</v>
      </c>
      <c r="Y807">
        <v>3.83</v>
      </c>
      <c r="Z807">
        <v>44.2</v>
      </c>
      <c r="AA807" t="s">
        <v>519</v>
      </c>
      <c r="AB807">
        <v>22.1</v>
      </c>
      <c r="AC807" s="20">
        <v>0</v>
      </c>
      <c r="AF807">
        <v>0</v>
      </c>
      <c r="AI807">
        <v>0</v>
      </c>
      <c r="AM807">
        <v>20</v>
      </c>
      <c r="AN807" s="44">
        <f t="shared" si="210"/>
        <v>648.36538000000007</v>
      </c>
      <c r="AO807" s="46">
        <v>0</v>
      </c>
      <c r="AP807" s="44">
        <v>0</v>
      </c>
      <c r="AQ807" s="44">
        <v>0</v>
      </c>
      <c r="AR807" s="41">
        <f t="shared" si="207"/>
        <v>6.1693608625432772E-2</v>
      </c>
      <c r="AS807" s="41"/>
      <c r="AT807" s="41"/>
      <c r="AU807" s="41"/>
      <c r="AV807" s="23">
        <v>1.678571428571429</v>
      </c>
      <c r="AW807" s="23">
        <v>1.785714285714286</v>
      </c>
      <c r="AX807" s="23">
        <v>0.2857142857142857</v>
      </c>
      <c r="AY807" s="23">
        <v>0</v>
      </c>
      <c r="AZ807" s="23">
        <v>0.44761904761904758</v>
      </c>
      <c r="BA807" s="23">
        <v>0.47619047619047622</v>
      </c>
      <c r="BB807" s="23">
        <v>7.6190476190476183E-2</v>
      </c>
      <c r="BC807" s="23">
        <v>0</v>
      </c>
      <c r="BD807" s="20">
        <v>1.1000000000000001</v>
      </c>
      <c r="BE807" s="20">
        <v>3.44</v>
      </c>
      <c r="BF807" s="20">
        <v>2.34</v>
      </c>
      <c r="BG807" s="20">
        <v>2.5753571428571429</v>
      </c>
      <c r="BH807">
        <v>2.5753571428571429</v>
      </c>
      <c r="BI807">
        <v>6.5284848023806781</v>
      </c>
      <c r="BJ807" s="64"/>
      <c r="BK807" s="64"/>
      <c r="BL807" s="64"/>
      <c r="BM807">
        <v>3.3931484743988022E-2</v>
      </c>
      <c r="BQ807">
        <v>6.1693608625432772E-2</v>
      </c>
      <c r="BR807">
        <v>3.3931484743988022E-2</v>
      </c>
      <c r="BS807">
        <v>0</v>
      </c>
      <c r="BT807" s="68" t="s">
        <v>1264</v>
      </c>
      <c r="BU807" s="68">
        <v>1373</v>
      </c>
      <c r="BV807" s="68">
        <v>12</v>
      </c>
      <c r="BX807" s="68" t="s">
        <v>464</v>
      </c>
      <c r="BY807" s="68" t="s">
        <v>464</v>
      </c>
      <c r="BZ807" s="68">
        <v>0</v>
      </c>
      <c r="CB807" s="68">
        <v>0.5</v>
      </c>
      <c r="CC807" s="68">
        <v>1</v>
      </c>
      <c r="CD807" s="77" t="s">
        <v>464</v>
      </c>
      <c r="CE807" s="77" t="s">
        <v>464</v>
      </c>
      <c r="CF807" s="77" t="s">
        <v>1266</v>
      </c>
      <c r="CG807" s="77">
        <v>125</v>
      </c>
      <c r="CH807" s="77">
        <v>220</v>
      </c>
      <c r="CI807" s="77" t="s">
        <v>1287</v>
      </c>
      <c r="CJ807" s="77">
        <f t="shared" si="209"/>
        <v>288</v>
      </c>
      <c r="CK807" s="70">
        <v>5520</v>
      </c>
    </row>
    <row r="808" spans="1:89" x14ac:dyDescent="0.3">
      <c r="A808" t="s">
        <v>2577</v>
      </c>
      <c r="B808" t="s">
        <v>2776</v>
      </c>
      <c r="C808" t="s">
        <v>4277</v>
      </c>
      <c r="D808" s="12"/>
      <c r="E808">
        <v>3.4</v>
      </c>
      <c r="F808" t="s">
        <v>380</v>
      </c>
      <c r="G808" s="110" t="s">
        <v>2541</v>
      </c>
      <c r="H808">
        <v>-1</v>
      </c>
      <c r="J808" t="s">
        <v>1726</v>
      </c>
      <c r="M808" t="b">
        <v>1</v>
      </c>
      <c r="N808" t="b">
        <v>0</v>
      </c>
      <c r="O808" t="b">
        <v>0</v>
      </c>
      <c r="P808" t="b">
        <v>0</v>
      </c>
      <c r="Q808" t="s">
        <v>2429</v>
      </c>
      <c r="R808">
        <v>-1</v>
      </c>
      <c r="T808">
        <v>2</v>
      </c>
      <c r="U808" s="20">
        <v>0</v>
      </c>
      <c r="V808">
        <v>0</v>
      </c>
      <c r="W808">
        <v>0</v>
      </c>
      <c r="X808">
        <v>3.82</v>
      </c>
      <c r="Y808">
        <v>3.82</v>
      </c>
      <c r="Z808">
        <v>48.5</v>
      </c>
      <c r="AA808" t="s">
        <v>519</v>
      </c>
      <c r="AB808">
        <v>24.25</v>
      </c>
      <c r="AC808" s="20">
        <v>0</v>
      </c>
      <c r="AF808">
        <v>0</v>
      </c>
      <c r="AI808">
        <v>0</v>
      </c>
      <c r="AM808">
        <v>20</v>
      </c>
      <c r="AN808" s="44">
        <f t="shared" si="210"/>
        <v>707.73140000000001</v>
      </c>
      <c r="AO808" s="46">
        <v>0</v>
      </c>
      <c r="AP808" s="44">
        <v>0</v>
      </c>
      <c r="AQ808" s="44">
        <v>0</v>
      </c>
      <c r="AR808" s="41">
        <f t="shared" si="207"/>
        <v>5.6518617091173291E-2</v>
      </c>
      <c r="AS808" s="41"/>
      <c r="AT808" s="41"/>
      <c r="AU808" s="41"/>
      <c r="AV808" s="23">
        <v>1.645161290322581</v>
      </c>
      <c r="AW808" s="23">
        <v>1.67741935483871</v>
      </c>
      <c r="AX808" s="23">
        <v>0.25806451612903231</v>
      </c>
      <c r="AY808" s="23">
        <v>0</v>
      </c>
      <c r="AZ808" s="23">
        <v>0.45945945945945948</v>
      </c>
      <c r="BA808" s="23">
        <v>0.46846846846846851</v>
      </c>
      <c r="BB808" s="23">
        <v>7.2072072072072071E-2</v>
      </c>
      <c r="BC808" s="23">
        <v>0</v>
      </c>
      <c r="BD808" s="20">
        <v>1.1000000000000001</v>
      </c>
      <c r="BE808" s="20">
        <v>3.44</v>
      </c>
      <c r="BF808" s="20">
        <v>2.34</v>
      </c>
      <c r="BG808" s="20">
        <v>2.5503225806451608</v>
      </c>
      <c r="BH808">
        <v>2.5503225806451608</v>
      </c>
      <c r="BI808">
        <v>6.5616712216890649</v>
      </c>
      <c r="BJ808" s="64"/>
      <c r="BK808" s="64"/>
      <c r="BL808" s="64"/>
      <c r="BM808">
        <v>3.108523940014531E-2</v>
      </c>
      <c r="BQ808">
        <v>5.6518617091173291E-2</v>
      </c>
      <c r="BR808">
        <v>3.108523940014531E-2</v>
      </c>
      <c r="BS808">
        <v>0</v>
      </c>
      <c r="BT808" s="68" t="s">
        <v>1264</v>
      </c>
      <c r="BU808" s="68">
        <v>1373</v>
      </c>
      <c r="BV808" s="68">
        <v>12</v>
      </c>
      <c r="BX808" s="68" t="s">
        <v>464</v>
      </c>
      <c r="BY808" s="68" t="s">
        <v>464</v>
      </c>
      <c r="BZ808" s="68">
        <v>0</v>
      </c>
      <c r="CA808" s="68">
        <v>4.1900000000000004</v>
      </c>
      <c r="CB808" s="68">
        <v>0.5</v>
      </c>
      <c r="CC808" s="68">
        <v>1</v>
      </c>
      <c r="CD808" s="77" t="s">
        <v>464</v>
      </c>
      <c r="CE808" s="77" t="s">
        <v>464</v>
      </c>
      <c r="CF808" s="77" t="s">
        <v>1266</v>
      </c>
      <c r="CG808" s="77">
        <v>125</v>
      </c>
      <c r="CH808" s="77">
        <v>220</v>
      </c>
      <c r="CI808" s="77" t="s">
        <v>1287</v>
      </c>
      <c r="CJ808" s="77">
        <f t="shared" si="209"/>
        <v>288</v>
      </c>
      <c r="CK808" s="70">
        <v>4560</v>
      </c>
    </row>
    <row r="809" spans="1:89" x14ac:dyDescent="0.3">
      <c r="A809" t="s">
        <v>2578</v>
      </c>
      <c r="B809" t="s">
        <v>2776</v>
      </c>
      <c r="C809" t="s">
        <v>4278</v>
      </c>
      <c r="D809" s="12"/>
      <c r="E809">
        <v>3.4</v>
      </c>
      <c r="F809" t="s">
        <v>380</v>
      </c>
      <c r="G809" s="110" t="s">
        <v>2542</v>
      </c>
      <c r="H809">
        <v>-1</v>
      </c>
      <c r="J809" t="s">
        <v>1726</v>
      </c>
      <c r="M809" t="b">
        <v>1</v>
      </c>
      <c r="N809" t="b">
        <v>0</v>
      </c>
      <c r="O809" t="b">
        <v>0</v>
      </c>
      <c r="P809" t="b">
        <v>0</v>
      </c>
      <c r="Q809" t="s">
        <v>2431</v>
      </c>
      <c r="R809">
        <v>-1</v>
      </c>
      <c r="T809">
        <v>1</v>
      </c>
      <c r="U809" s="20">
        <v>0</v>
      </c>
      <c r="V809">
        <v>0</v>
      </c>
      <c r="W809">
        <v>0</v>
      </c>
      <c r="X809">
        <v>3.82</v>
      </c>
      <c r="Y809">
        <v>3.82</v>
      </c>
      <c r="Z809">
        <v>29.2</v>
      </c>
      <c r="AA809" t="s">
        <v>519</v>
      </c>
      <c r="AB809">
        <v>29.2</v>
      </c>
      <c r="AC809" s="20">
        <v>0</v>
      </c>
      <c r="AF809">
        <v>0</v>
      </c>
      <c r="AI809">
        <v>0</v>
      </c>
      <c r="AM809">
        <v>20</v>
      </c>
      <c r="AN809" s="44">
        <f t="shared" si="210"/>
        <v>426.09807999999998</v>
      </c>
      <c r="AO809" s="46">
        <v>0</v>
      </c>
      <c r="AP809" s="44">
        <v>0</v>
      </c>
      <c r="AQ809" s="44">
        <v>0</v>
      </c>
      <c r="AR809" s="41">
        <f t="shared" si="207"/>
        <v>4.6937550152772338E-2</v>
      </c>
      <c r="AS809" s="41"/>
      <c r="AT809" s="41"/>
      <c r="AU809" s="41"/>
      <c r="AV809" s="23">
        <v>1.594594594594595</v>
      </c>
      <c r="AW809" s="23">
        <v>1.513513513513514</v>
      </c>
      <c r="AX809" s="23">
        <v>0.2162162162162162</v>
      </c>
      <c r="AY809" s="23">
        <v>0</v>
      </c>
      <c r="AZ809" s="23">
        <v>0.47967479674796748</v>
      </c>
      <c r="BA809" s="23">
        <v>0.45528455284552849</v>
      </c>
      <c r="BB809" s="23">
        <v>6.5040650406504072E-2</v>
      </c>
      <c r="BC809" s="23">
        <v>0</v>
      </c>
      <c r="BD809" s="20">
        <v>1.1000000000000001</v>
      </c>
      <c r="BE809" s="20">
        <v>3.44</v>
      </c>
      <c r="BF809" s="20">
        <v>2.34</v>
      </c>
      <c r="BG809" s="20">
        <v>2.512432432432433</v>
      </c>
      <c r="BH809">
        <v>2.512432432432433</v>
      </c>
      <c r="BI809">
        <v>6.6118993157774328</v>
      </c>
      <c r="BJ809" s="64"/>
      <c r="BK809" s="64"/>
      <c r="BL809" s="64"/>
      <c r="BM809">
        <v>2.5815652584024788E-2</v>
      </c>
      <c r="BQ809">
        <v>4.6937550152772338E-2</v>
      </c>
      <c r="BR809">
        <v>2.5815652584024788E-2</v>
      </c>
      <c r="BS809">
        <v>0</v>
      </c>
      <c r="BT809" s="68" t="s">
        <v>1264</v>
      </c>
      <c r="BU809" s="68">
        <v>1373</v>
      </c>
      <c r="BV809" s="68">
        <v>12</v>
      </c>
      <c r="BX809" s="68" t="s">
        <v>464</v>
      </c>
      <c r="BY809" s="68" t="s">
        <v>464</v>
      </c>
      <c r="BZ809" s="68">
        <v>0</v>
      </c>
      <c r="CB809" s="68">
        <v>0.5</v>
      </c>
      <c r="CC809" s="68">
        <v>1</v>
      </c>
      <c r="CD809" s="77" t="s">
        <v>464</v>
      </c>
      <c r="CE809" s="77" t="s">
        <v>464</v>
      </c>
      <c r="CF809" s="77" t="s">
        <v>1266</v>
      </c>
      <c r="CG809" s="77">
        <v>125</v>
      </c>
      <c r="CH809" s="77">
        <v>220</v>
      </c>
      <c r="CI809" s="77" t="s">
        <v>1287</v>
      </c>
      <c r="CJ809" s="77">
        <f t="shared" si="209"/>
        <v>288</v>
      </c>
      <c r="CK809" s="70">
        <v>2204</v>
      </c>
    </row>
    <row r="810" spans="1:89" x14ac:dyDescent="0.3">
      <c r="A810" t="s">
        <v>2579</v>
      </c>
      <c r="B810" t="s">
        <v>2776</v>
      </c>
      <c r="C810" t="s">
        <v>4279</v>
      </c>
      <c r="D810" s="12"/>
      <c r="E810">
        <v>3.38</v>
      </c>
      <c r="F810" t="s">
        <v>380</v>
      </c>
      <c r="G810" s="110" t="s">
        <v>2543</v>
      </c>
      <c r="H810">
        <v>-1</v>
      </c>
      <c r="J810" t="s">
        <v>1726</v>
      </c>
      <c r="M810" t="b">
        <v>0</v>
      </c>
      <c r="N810" t="b">
        <v>0</v>
      </c>
      <c r="O810" t="b">
        <v>0</v>
      </c>
      <c r="P810" t="b">
        <v>1</v>
      </c>
      <c r="Q810" t="s">
        <v>2592</v>
      </c>
      <c r="R810">
        <v>-1</v>
      </c>
      <c r="T810">
        <v>1</v>
      </c>
      <c r="U810" s="20">
        <v>0</v>
      </c>
      <c r="V810">
        <v>0</v>
      </c>
      <c r="W810">
        <v>0</v>
      </c>
      <c r="X810">
        <v>3.82</v>
      </c>
      <c r="Y810">
        <v>3.82</v>
      </c>
      <c r="Z810">
        <v>31.3</v>
      </c>
      <c r="AA810" t="s">
        <v>519</v>
      </c>
      <c r="AB810">
        <v>31.3</v>
      </c>
      <c r="AC810" s="20">
        <v>0</v>
      </c>
      <c r="AF810">
        <v>0</v>
      </c>
      <c r="AI810">
        <v>0</v>
      </c>
      <c r="AM810">
        <v>20</v>
      </c>
      <c r="AN810" s="44">
        <f t="shared" si="210"/>
        <v>456.74212</v>
      </c>
      <c r="AO810" s="46">
        <v>0</v>
      </c>
      <c r="AP810" s="44">
        <v>0</v>
      </c>
      <c r="AQ810" s="44">
        <v>0</v>
      </c>
      <c r="AR810" s="41">
        <f t="shared" si="207"/>
        <v>4.3788385446036811E-2</v>
      </c>
      <c r="AS810" s="41"/>
      <c r="AT810" s="41"/>
      <c r="AU810" s="41"/>
      <c r="AV810" s="23">
        <v>1.558139534883721</v>
      </c>
      <c r="AW810" s="23">
        <v>1.3953488372093019</v>
      </c>
      <c r="AX810" s="23">
        <v>0.186046511627907</v>
      </c>
      <c r="AY810" s="23">
        <v>0</v>
      </c>
      <c r="AZ810" s="23">
        <v>0.49629629629629629</v>
      </c>
      <c r="BA810" s="23">
        <v>0.44444444444444448</v>
      </c>
      <c r="BB810" s="23">
        <v>5.9259259259259262E-2</v>
      </c>
      <c r="BC810" s="23">
        <v>0</v>
      </c>
      <c r="BD810" s="20">
        <v>1.1000000000000001</v>
      </c>
      <c r="BE810" s="20">
        <v>3.44</v>
      </c>
      <c r="BF810" s="20">
        <v>2.34</v>
      </c>
      <c r="BG810" s="20">
        <v>2.4851162790697678</v>
      </c>
      <c r="BH810">
        <v>2.485116279069767</v>
      </c>
      <c r="BI810">
        <v>6.6481102673295114</v>
      </c>
      <c r="BJ810" s="64"/>
      <c r="BK810" s="64"/>
      <c r="BL810" s="64"/>
      <c r="BM810">
        <v>2.4083611995320251E-2</v>
      </c>
      <c r="BQ810">
        <v>4.3788385446036811E-2</v>
      </c>
      <c r="BR810">
        <v>2.4083611995320251E-2</v>
      </c>
      <c r="BS810">
        <v>0</v>
      </c>
      <c r="BT810" s="68" t="s">
        <v>1264</v>
      </c>
      <c r="BU810" s="68">
        <v>1373</v>
      </c>
      <c r="BV810" s="68">
        <v>12</v>
      </c>
      <c r="BX810" s="68" t="s">
        <v>464</v>
      </c>
      <c r="BY810" s="68" t="s">
        <v>464</v>
      </c>
      <c r="BZ810" s="68">
        <v>0</v>
      </c>
      <c r="CA810" s="68">
        <v>5.46</v>
      </c>
      <c r="CB810" s="68">
        <v>0.5</v>
      </c>
      <c r="CC810" s="68">
        <v>1</v>
      </c>
      <c r="CD810" s="77" t="s">
        <v>464</v>
      </c>
      <c r="CE810" s="77" t="s">
        <v>464</v>
      </c>
      <c r="CF810" s="77" t="s">
        <v>1266</v>
      </c>
      <c r="CG810" s="77">
        <v>125</v>
      </c>
      <c r="CH810" s="77">
        <v>220</v>
      </c>
      <c r="CI810" s="77" t="s">
        <v>1287</v>
      </c>
      <c r="CJ810" s="77">
        <f t="shared" si="209"/>
        <v>288</v>
      </c>
      <c r="CK810" s="70">
        <v>596</v>
      </c>
    </row>
    <row r="811" spans="1:89" x14ac:dyDescent="0.3">
      <c r="A811" t="s">
        <v>381</v>
      </c>
      <c r="B811" t="s">
        <v>2776</v>
      </c>
      <c r="C811" t="s">
        <v>4280</v>
      </c>
      <c r="D811" s="12"/>
      <c r="E811">
        <v>3.47</v>
      </c>
      <c r="F811" t="s">
        <v>380</v>
      </c>
      <c r="G811" s="99" t="s">
        <v>549</v>
      </c>
      <c r="H811">
        <v>-1</v>
      </c>
      <c r="J811" t="s">
        <v>1752</v>
      </c>
      <c r="M811" t="b">
        <v>1</v>
      </c>
      <c r="N811" t="b">
        <v>0</v>
      </c>
      <c r="O811" t="b">
        <v>0</v>
      </c>
      <c r="P811" t="b">
        <v>0</v>
      </c>
      <c r="Q811" t="s">
        <v>2433</v>
      </c>
      <c r="R811">
        <v>-1</v>
      </c>
      <c r="T811">
        <v>2</v>
      </c>
      <c r="U811" s="20">
        <v>0</v>
      </c>
      <c r="V811">
        <v>0</v>
      </c>
      <c r="W811">
        <v>0</v>
      </c>
      <c r="X811">
        <v>3.78</v>
      </c>
      <c r="Y811">
        <v>3.78</v>
      </c>
      <c r="Z811">
        <v>27.2</v>
      </c>
      <c r="AA811" t="s">
        <v>519</v>
      </c>
      <c r="AB811">
        <v>13.6</v>
      </c>
      <c r="AC811" s="20">
        <v>0</v>
      </c>
      <c r="AF811">
        <v>0</v>
      </c>
      <c r="AI811">
        <v>0</v>
      </c>
      <c r="AM811">
        <v>20</v>
      </c>
      <c r="AN811" s="44">
        <f t="shared" si="210"/>
        <v>388.64447999999999</v>
      </c>
      <c r="AO811" s="46">
        <v>0</v>
      </c>
      <c r="AP811" s="44">
        <v>0</v>
      </c>
      <c r="AQ811" s="44">
        <v>0</v>
      </c>
      <c r="AR811" s="41">
        <f t="shared" si="207"/>
        <v>0.10292182716708083</v>
      </c>
      <c r="AS811" s="41"/>
      <c r="AT811" s="41"/>
      <c r="AU811" s="41"/>
      <c r="AV811" s="23">
        <v>1.882352941176471</v>
      </c>
      <c r="AW811" s="23">
        <v>2.3529411764705879</v>
      </c>
      <c r="AX811" s="23">
        <v>0.35294117647058831</v>
      </c>
      <c r="AY811" s="23">
        <v>0.47058823529411759</v>
      </c>
      <c r="AZ811" s="23">
        <v>0.37209302325581389</v>
      </c>
      <c r="BA811" s="23">
        <v>0.46511627906976749</v>
      </c>
      <c r="BB811" s="23">
        <v>6.9767441860465129E-2</v>
      </c>
      <c r="BC811" s="23">
        <v>9.3023255813953487E-2</v>
      </c>
      <c r="BD811" s="20">
        <v>1.1399999999999999</v>
      </c>
      <c r="BE811" s="20">
        <v>3.44</v>
      </c>
      <c r="BF811" s="20">
        <v>2.2999999999999998</v>
      </c>
      <c r="BG811" s="20">
        <v>2.6882352941176468</v>
      </c>
      <c r="BH811">
        <v>2.6882352941176468</v>
      </c>
      <c r="BI811">
        <v>6.2192249941001183</v>
      </c>
      <c r="BJ811" s="64"/>
      <c r="BK811" s="64"/>
      <c r="BL811" s="64"/>
      <c r="BM811">
        <v>5.1460913583540407E-2</v>
      </c>
      <c r="BQ811">
        <v>0.1029218271670808</v>
      </c>
      <c r="BR811">
        <v>5.1460913583540407E-2</v>
      </c>
      <c r="BS811">
        <v>0</v>
      </c>
      <c r="BT811" s="68" t="s">
        <v>1264</v>
      </c>
      <c r="BU811" s="68">
        <v>1373</v>
      </c>
      <c r="BV811" s="68">
        <v>12</v>
      </c>
      <c r="BX811" s="68" t="s">
        <v>464</v>
      </c>
      <c r="BY811" s="68" t="s">
        <v>464</v>
      </c>
      <c r="BZ811" s="68">
        <v>0</v>
      </c>
      <c r="CA811" s="68">
        <v>3.08</v>
      </c>
      <c r="CB811" s="68">
        <v>0.5</v>
      </c>
      <c r="CC811" s="68">
        <v>1</v>
      </c>
      <c r="CD811" s="77" t="s">
        <v>464</v>
      </c>
      <c r="CE811" s="77" t="s">
        <v>464</v>
      </c>
      <c r="CF811" s="77" t="s">
        <v>1266</v>
      </c>
      <c r="CG811" s="77">
        <v>125</v>
      </c>
      <c r="CH811" s="77">
        <v>220</v>
      </c>
      <c r="CI811" s="77" t="s">
        <v>1287</v>
      </c>
      <c r="CJ811" s="77">
        <f t="shared" si="209"/>
        <v>288</v>
      </c>
      <c r="CK811" s="70">
        <v>80.399999999999991</v>
      </c>
    </row>
    <row r="812" spans="1:89" x14ac:dyDescent="0.3">
      <c r="A812" t="s">
        <v>2580</v>
      </c>
      <c r="B812" t="s">
        <v>2776</v>
      </c>
      <c r="C812" t="s">
        <v>4281</v>
      </c>
      <c r="D812" s="12"/>
      <c r="E812">
        <v>3.4</v>
      </c>
      <c r="F812" t="s">
        <v>380</v>
      </c>
      <c r="G812" s="109" t="s">
        <v>2534</v>
      </c>
      <c r="H812">
        <v>-1</v>
      </c>
      <c r="J812" t="s">
        <v>1752</v>
      </c>
      <c r="M812" t="b">
        <v>1</v>
      </c>
      <c r="N812" t="b">
        <v>0</v>
      </c>
      <c r="O812" t="b">
        <v>0</v>
      </c>
      <c r="P812" t="b">
        <v>0</v>
      </c>
      <c r="Q812" t="s">
        <v>2435</v>
      </c>
      <c r="R812">
        <v>-1</v>
      </c>
      <c r="T812">
        <v>2</v>
      </c>
      <c r="U812" s="20">
        <v>0</v>
      </c>
      <c r="V812">
        <v>0</v>
      </c>
      <c r="W812">
        <v>0</v>
      </c>
      <c r="X812">
        <v>3.81</v>
      </c>
      <c r="Y812">
        <v>3.81</v>
      </c>
      <c r="Z812">
        <v>35.4</v>
      </c>
      <c r="AA812" t="s">
        <v>519</v>
      </c>
      <c r="AB812">
        <v>17.7</v>
      </c>
      <c r="AC812" s="20">
        <v>0</v>
      </c>
      <c r="AF812">
        <v>0</v>
      </c>
      <c r="AI812">
        <v>0</v>
      </c>
      <c r="AM812">
        <v>20</v>
      </c>
      <c r="AN812" s="44">
        <f t="shared" si="210"/>
        <v>513.86993999999993</v>
      </c>
      <c r="AO812" s="46">
        <v>0</v>
      </c>
      <c r="AP812" s="44">
        <v>0</v>
      </c>
      <c r="AQ812" s="44">
        <v>0</v>
      </c>
      <c r="AR812" s="41">
        <f t="shared" si="207"/>
        <v>7.7840708098239814E-2</v>
      </c>
      <c r="AS812" s="41"/>
      <c r="AT812" s="41"/>
      <c r="AU812" s="41"/>
      <c r="AV812" s="23">
        <v>1.695652173913043</v>
      </c>
      <c r="AW812" s="23">
        <v>1.826086956521739</v>
      </c>
      <c r="AX812" s="23">
        <v>0.2608695652173913</v>
      </c>
      <c r="AY812" s="23">
        <v>0.34782608695652167</v>
      </c>
      <c r="AZ812" s="23">
        <v>0.41052631578947368</v>
      </c>
      <c r="BA812" s="23">
        <v>0.44210526315789472</v>
      </c>
      <c r="BB812" s="23">
        <v>6.3157894736842107E-2</v>
      </c>
      <c r="BC812" s="23">
        <v>8.4210526315789472E-2</v>
      </c>
      <c r="BD812" s="20">
        <v>1.1399999999999999</v>
      </c>
      <c r="BE812" s="20">
        <v>3.44</v>
      </c>
      <c r="BF812" s="20">
        <v>2.2999999999999998</v>
      </c>
      <c r="BG812" s="20">
        <v>2.5760869565217388</v>
      </c>
      <c r="BH812">
        <v>2.5760869565217388</v>
      </c>
      <c r="BI812">
        <v>6.4291568349981301</v>
      </c>
      <c r="BJ812" s="64"/>
      <c r="BK812" s="64"/>
      <c r="BL812" s="64"/>
      <c r="BM812">
        <v>3.8920354049119907E-2</v>
      </c>
      <c r="BQ812">
        <v>7.7840708098239814E-2</v>
      </c>
      <c r="BR812">
        <v>3.8920354049119907E-2</v>
      </c>
      <c r="BS812">
        <v>0</v>
      </c>
      <c r="BT812" s="68" t="s">
        <v>1264</v>
      </c>
      <c r="BU812" s="68">
        <v>1373</v>
      </c>
      <c r="BV812" s="68">
        <v>12</v>
      </c>
      <c r="BX812" s="68" t="s">
        <v>464</v>
      </c>
      <c r="BY812" s="68" t="s">
        <v>464</v>
      </c>
      <c r="BZ812" s="68">
        <v>0</v>
      </c>
      <c r="CA812" s="68">
        <v>3.72</v>
      </c>
      <c r="CB812" s="68">
        <v>0.5</v>
      </c>
      <c r="CC812" s="68">
        <v>1</v>
      </c>
      <c r="CD812" s="77" t="s">
        <v>464</v>
      </c>
      <c r="CE812" s="77" t="s">
        <v>464</v>
      </c>
      <c r="CF812" s="77" t="s">
        <v>1266</v>
      </c>
      <c r="CG812" s="77">
        <v>125</v>
      </c>
      <c r="CH812" s="77">
        <v>220</v>
      </c>
      <c r="CI812" s="77" t="s">
        <v>1287</v>
      </c>
      <c r="CJ812" s="77">
        <f t="shared" si="209"/>
        <v>288</v>
      </c>
      <c r="CK812" s="70">
        <v>5200</v>
      </c>
    </row>
    <row r="813" spans="1:89" x14ac:dyDescent="0.3">
      <c r="A813" t="s">
        <v>2581</v>
      </c>
      <c r="B813" t="s">
        <v>2776</v>
      </c>
      <c r="C813" t="s">
        <v>4282</v>
      </c>
      <c r="D813" s="12"/>
      <c r="E813">
        <v>3.32</v>
      </c>
      <c r="F813" t="s">
        <v>380</v>
      </c>
      <c r="G813" s="109" t="s">
        <v>2532</v>
      </c>
      <c r="H813">
        <v>-1</v>
      </c>
      <c r="J813" t="s">
        <v>1752</v>
      </c>
      <c r="M813" t="b">
        <v>1</v>
      </c>
      <c r="N813" t="b">
        <v>0</v>
      </c>
      <c r="O813" t="b">
        <v>0</v>
      </c>
      <c r="P813" t="b">
        <v>0</v>
      </c>
      <c r="Q813" t="s">
        <v>2437</v>
      </c>
      <c r="R813">
        <v>-1</v>
      </c>
      <c r="T813">
        <v>1</v>
      </c>
      <c r="U813" s="20">
        <v>0</v>
      </c>
      <c r="V813">
        <v>0</v>
      </c>
      <c r="W813">
        <v>0</v>
      </c>
      <c r="X813">
        <v>3.8</v>
      </c>
      <c r="Y813">
        <v>3.8</v>
      </c>
      <c r="Z813">
        <v>19.899999999999999</v>
      </c>
      <c r="AA813" t="s">
        <v>519</v>
      </c>
      <c r="AB813">
        <v>19.899999999999999</v>
      </c>
      <c r="AC813" s="20">
        <v>0</v>
      </c>
      <c r="AF813">
        <v>0</v>
      </c>
      <c r="AI813">
        <v>0</v>
      </c>
      <c r="AM813">
        <v>20</v>
      </c>
      <c r="AN813" s="44">
        <f t="shared" si="210"/>
        <v>287.35599999999999</v>
      </c>
      <c r="AO813" s="46">
        <v>0</v>
      </c>
      <c r="AP813" s="44">
        <v>0</v>
      </c>
      <c r="AQ813" s="44">
        <v>0</v>
      </c>
      <c r="AR813" s="41">
        <f t="shared" si="207"/>
        <v>6.9600077952087308E-2</v>
      </c>
      <c r="AS813" s="41"/>
      <c r="AT813" s="41"/>
      <c r="AU813" s="41"/>
      <c r="AV813" s="23">
        <v>1.653846153846154</v>
      </c>
      <c r="AW813" s="23">
        <v>1.6923076923076921</v>
      </c>
      <c r="AX813" s="23">
        <v>0.23076923076923081</v>
      </c>
      <c r="AY813" s="23">
        <v>0.30769230769230771</v>
      </c>
      <c r="AZ813" s="23">
        <v>0.42574257425742568</v>
      </c>
      <c r="BA813" s="23">
        <v>0.43564356435643559</v>
      </c>
      <c r="BB813" s="23">
        <v>5.940594059405941E-2</v>
      </c>
      <c r="BC813" s="23">
        <v>7.9207920792079209E-2</v>
      </c>
      <c r="BD813" s="20">
        <v>1.1399999999999999</v>
      </c>
      <c r="BE813" s="20">
        <v>3.44</v>
      </c>
      <c r="BF813" s="20">
        <v>2.2999999999999998</v>
      </c>
      <c r="BG813" s="20">
        <v>2.546153846153846</v>
      </c>
      <c r="BH813">
        <v>2.546153846153846</v>
      </c>
      <c r="BI813">
        <v>6.4801861773330387</v>
      </c>
      <c r="BJ813" s="64"/>
      <c r="BK813" s="64"/>
      <c r="BL813" s="64"/>
      <c r="BM813">
        <v>3.4800038976043647E-2</v>
      </c>
      <c r="BQ813">
        <v>6.9600077952087308E-2</v>
      </c>
      <c r="BR813">
        <v>3.4800038976043647E-2</v>
      </c>
      <c r="BS813">
        <v>0</v>
      </c>
      <c r="BT813" s="68" t="s">
        <v>1264</v>
      </c>
      <c r="BU813" s="68">
        <v>1373</v>
      </c>
      <c r="BV813" s="68">
        <v>12</v>
      </c>
      <c r="BX813" s="68" t="s">
        <v>464</v>
      </c>
      <c r="BY813" s="68" t="s">
        <v>464</v>
      </c>
      <c r="BZ813" s="68">
        <v>0</v>
      </c>
      <c r="CB813" s="68">
        <v>0.5</v>
      </c>
      <c r="CC813" s="68">
        <v>1</v>
      </c>
      <c r="CD813" s="77" t="s">
        <v>464</v>
      </c>
      <c r="CE813" s="77" t="s">
        <v>464</v>
      </c>
      <c r="CF813" s="77" t="s">
        <v>1266</v>
      </c>
      <c r="CG813" s="77">
        <v>125</v>
      </c>
      <c r="CH813" s="77">
        <v>220</v>
      </c>
      <c r="CI813" s="77" t="s">
        <v>1287</v>
      </c>
      <c r="CJ813" s="77">
        <f t="shared" si="209"/>
        <v>288</v>
      </c>
      <c r="CK813" s="70">
        <v>4240</v>
      </c>
    </row>
    <row r="814" spans="1:89" x14ac:dyDescent="0.3">
      <c r="A814" t="s">
        <v>2745</v>
      </c>
      <c r="B814" t="s">
        <v>2776</v>
      </c>
      <c r="C814" t="s">
        <v>4283</v>
      </c>
      <c r="D814" s="12"/>
      <c r="E814">
        <v>3.33</v>
      </c>
      <c r="F814" t="s">
        <v>380</v>
      </c>
      <c r="G814" s="109" t="s">
        <v>2535</v>
      </c>
      <c r="H814">
        <v>-1</v>
      </c>
      <c r="J814" t="s">
        <v>1752</v>
      </c>
      <c r="M814" t="b">
        <v>1</v>
      </c>
      <c r="N814" t="b">
        <v>0</v>
      </c>
      <c r="O814" t="b">
        <v>0</v>
      </c>
      <c r="P814" t="b">
        <v>0</v>
      </c>
      <c r="Q814" t="s">
        <v>2439</v>
      </c>
      <c r="R814">
        <v>-1</v>
      </c>
      <c r="T814">
        <v>1</v>
      </c>
      <c r="U814" s="20">
        <v>0</v>
      </c>
      <c r="V814">
        <v>0</v>
      </c>
      <c r="W814">
        <v>0</v>
      </c>
      <c r="X814">
        <v>3.78</v>
      </c>
      <c r="Y814">
        <v>3.78</v>
      </c>
      <c r="Z814">
        <v>21.5</v>
      </c>
      <c r="AA814" t="s">
        <v>519</v>
      </c>
      <c r="AB814">
        <v>21.5</v>
      </c>
      <c r="AC814" s="20">
        <v>0</v>
      </c>
      <c r="AF814">
        <v>0</v>
      </c>
      <c r="AI814">
        <v>0</v>
      </c>
      <c r="AM814">
        <v>20</v>
      </c>
      <c r="AN814" s="44">
        <f t="shared" si="210"/>
        <v>307.20060000000001</v>
      </c>
      <c r="AO814" s="46">
        <v>0</v>
      </c>
      <c r="AP814" s="44">
        <v>0</v>
      </c>
      <c r="AQ814" s="44">
        <v>0</v>
      </c>
      <c r="AR814" s="41">
        <f t="shared" si="207"/>
        <v>6.5104039510339495E-2</v>
      </c>
      <c r="AS814" s="41"/>
      <c r="AT814" s="41"/>
      <c r="AU814" s="41"/>
      <c r="AV814" s="23">
        <v>1.6206896551724139</v>
      </c>
      <c r="AW814" s="23">
        <v>1.586206896551724</v>
      </c>
      <c r="AX814" s="23">
        <v>0.2068965517241379</v>
      </c>
      <c r="AY814" s="23">
        <v>0.27586206896551718</v>
      </c>
      <c r="AZ814" s="23">
        <v>0.43925233644859812</v>
      </c>
      <c r="BA814" s="23">
        <v>0.42990654205607481</v>
      </c>
      <c r="BB814" s="23">
        <v>5.6074766355140193E-2</v>
      </c>
      <c r="BC814" s="23">
        <v>7.476635514018691E-2</v>
      </c>
      <c r="BD814" s="20">
        <v>1.1399999999999999</v>
      </c>
      <c r="BE814" s="20">
        <v>3.44</v>
      </c>
      <c r="BF814" s="20">
        <v>2.2999999999999998</v>
      </c>
      <c r="BG814" s="20">
        <v>2.522413793103448</v>
      </c>
      <c r="BH814">
        <v>2.522413793103448</v>
      </c>
      <c r="BI814">
        <v>6.5206577247021036</v>
      </c>
      <c r="BJ814" s="64"/>
      <c r="BK814" s="64"/>
      <c r="BL814" s="64"/>
      <c r="BM814">
        <v>3.2552019755169748E-2</v>
      </c>
      <c r="BQ814">
        <v>6.5104039510339495E-2</v>
      </c>
      <c r="BR814">
        <v>3.2552019755169748E-2</v>
      </c>
      <c r="BS814">
        <v>0</v>
      </c>
      <c r="BT814" s="68" t="s">
        <v>1264</v>
      </c>
      <c r="BU814" s="68">
        <v>1373</v>
      </c>
      <c r="BV814" s="68">
        <v>12</v>
      </c>
      <c r="BX814" s="68" t="s">
        <v>464</v>
      </c>
      <c r="BY814" s="68" t="s">
        <v>464</v>
      </c>
      <c r="BZ814" s="68">
        <v>0</v>
      </c>
      <c r="CB814" s="68">
        <v>0.5</v>
      </c>
      <c r="CC814" s="68">
        <v>1</v>
      </c>
      <c r="CD814" s="77" t="s">
        <v>464</v>
      </c>
      <c r="CE814" s="77" t="s">
        <v>464</v>
      </c>
      <c r="CF814" s="77" t="s">
        <v>1266</v>
      </c>
      <c r="CG814" s="77">
        <v>125</v>
      </c>
      <c r="CH814" s="77">
        <v>220</v>
      </c>
      <c r="CI814" s="77" t="s">
        <v>1287</v>
      </c>
      <c r="CJ814" s="77">
        <f t="shared" si="209"/>
        <v>288</v>
      </c>
      <c r="CK814" s="70">
        <v>5120</v>
      </c>
    </row>
    <row r="815" spans="1:89" x14ac:dyDescent="0.3">
      <c r="A815" t="s">
        <v>2582</v>
      </c>
      <c r="B815" t="s">
        <v>2776</v>
      </c>
      <c r="C815" t="s">
        <v>4284</v>
      </c>
      <c r="D815" s="12"/>
      <c r="E815">
        <v>3.33</v>
      </c>
      <c r="F815" t="s">
        <v>380</v>
      </c>
      <c r="G815" s="109" t="s">
        <v>2536</v>
      </c>
      <c r="H815">
        <v>-1</v>
      </c>
      <c r="J815" t="s">
        <v>1752</v>
      </c>
      <c r="M815" t="b">
        <v>1</v>
      </c>
      <c r="N815" t="b">
        <v>0</v>
      </c>
      <c r="O815" t="b">
        <v>0</v>
      </c>
      <c r="P815" t="b">
        <v>0</v>
      </c>
      <c r="Q815" t="s">
        <v>2441</v>
      </c>
      <c r="R815">
        <v>-1</v>
      </c>
      <c r="T815">
        <v>1</v>
      </c>
      <c r="U815" s="20">
        <v>0</v>
      </c>
      <c r="V815">
        <v>0</v>
      </c>
      <c r="W815">
        <v>0</v>
      </c>
      <c r="X815">
        <v>3.78</v>
      </c>
      <c r="Y815">
        <v>3.78</v>
      </c>
      <c r="Z815">
        <v>24.4</v>
      </c>
      <c r="AA815" t="s">
        <v>519</v>
      </c>
      <c r="AB815">
        <v>24.4</v>
      </c>
      <c r="AC815" s="20">
        <v>0</v>
      </c>
      <c r="AF815">
        <v>0</v>
      </c>
      <c r="AI815">
        <v>0</v>
      </c>
      <c r="AM815">
        <v>20</v>
      </c>
      <c r="AN815" s="44">
        <f t="shared" si="210"/>
        <v>348.63695999999999</v>
      </c>
      <c r="AO815" s="46">
        <v>0</v>
      </c>
      <c r="AP815" s="44">
        <v>0</v>
      </c>
      <c r="AQ815" s="44">
        <v>0</v>
      </c>
      <c r="AR815" s="41">
        <f t="shared" si="207"/>
        <v>5.7366264322635217E-2</v>
      </c>
      <c r="AS815" s="41"/>
      <c r="AT815" s="41"/>
      <c r="AU815" s="41"/>
      <c r="AV815" s="23">
        <v>1.59375</v>
      </c>
      <c r="AW815" s="23">
        <v>1.5</v>
      </c>
      <c r="AX815" s="23">
        <v>0.1875</v>
      </c>
      <c r="AY815" s="23">
        <v>0.25</v>
      </c>
      <c r="AZ815" s="23">
        <v>0.45132743362831862</v>
      </c>
      <c r="BA815" s="23">
        <v>0.4247787610619469</v>
      </c>
      <c r="BB815" s="23">
        <v>5.3097345132743362E-2</v>
      </c>
      <c r="BC815" s="23">
        <v>7.0796460176991149E-2</v>
      </c>
      <c r="BD815" s="20">
        <v>1.1399999999999999</v>
      </c>
      <c r="BE815" s="20">
        <v>3.44</v>
      </c>
      <c r="BF815" s="20">
        <v>2.2999999999999998</v>
      </c>
      <c r="BG815" s="20">
        <v>2.5031249999999998</v>
      </c>
      <c r="BH815">
        <v>2.5031249999999998</v>
      </c>
      <c r="BI815">
        <v>6.5535408569394704</v>
      </c>
      <c r="BJ815" s="64"/>
      <c r="BK815" s="64"/>
      <c r="BL815" s="64"/>
      <c r="BM815">
        <v>2.8683132161317609E-2</v>
      </c>
      <c r="BQ815">
        <v>5.7366264322635217E-2</v>
      </c>
      <c r="BR815">
        <v>2.8683132161317609E-2</v>
      </c>
      <c r="BS815">
        <v>0</v>
      </c>
      <c r="BT815" s="68" t="s">
        <v>1264</v>
      </c>
      <c r="BU815" s="68">
        <v>1373</v>
      </c>
      <c r="BV815" s="68">
        <v>12</v>
      </c>
      <c r="BX815" s="68" t="s">
        <v>464</v>
      </c>
      <c r="BY815" s="68" t="s">
        <v>464</v>
      </c>
      <c r="BZ815" s="68">
        <v>0</v>
      </c>
      <c r="CA815" s="68">
        <v>3.89</v>
      </c>
      <c r="CB815" s="68">
        <v>0.5</v>
      </c>
      <c r="CC815" s="68">
        <v>1</v>
      </c>
      <c r="CD815" s="77" t="s">
        <v>464</v>
      </c>
      <c r="CE815" s="77" t="s">
        <v>464</v>
      </c>
      <c r="CF815" s="77" t="s">
        <v>1266</v>
      </c>
      <c r="CG815" s="77">
        <v>125</v>
      </c>
      <c r="CH815" s="77">
        <v>220</v>
      </c>
      <c r="CI815" s="77" t="s">
        <v>1287</v>
      </c>
      <c r="CJ815" s="77">
        <f t="shared" si="209"/>
        <v>288</v>
      </c>
      <c r="CK815" s="70">
        <v>5880</v>
      </c>
    </row>
    <row r="816" spans="1:89" x14ac:dyDescent="0.3">
      <c r="A816" t="s">
        <v>2583</v>
      </c>
      <c r="B816" t="s">
        <v>2776</v>
      </c>
      <c r="C816" t="s">
        <v>4285</v>
      </c>
      <c r="D816" s="12"/>
      <c r="E816">
        <v>3.35</v>
      </c>
      <c r="F816" t="s">
        <v>380</v>
      </c>
      <c r="G816" s="109" t="s">
        <v>2537</v>
      </c>
      <c r="H816">
        <v>-1</v>
      </c>
      <c r="J816" t="s">
        <v>1752</v>
      </c>
      <c r="M816" t="b">
        <v>1</v>
      </c>
      <c r="N816" t="b">
        <v>0</v>
      </c>
      <c r="O816" t="b">
        <v>0</v>
      </c>
      <c r="P816" t="b">
        <v>0</v>
      </c>
      <c r="Q816" t="s">
        <v>2443</v>
      </c>
      <c r="R816">
        <v>-1</v>
      </c>
      <c r="T816">
        <v>1</v>
      </c>
      <c r="U816" s="20">
        <v>0</v>
      </c>
      <c r="V816">
        <v>0</v>
      </c>
      <c r="W816">
        <v>0</v>
      </c>
      <c r="X816">
        <v>3.8</v>
      </c>
      <c r="Y816">
        <v>3.8</v>
      </c>
      <c r="Z816">
        <v>29.2</v>
      </c>
      <c r="AA816" t="s">
        <v>519</v>
      </c>
      <c r="AB816">
        <v>29.2</v>
      </c>
      <c r="AC816" s="20">
        <v>0</v>
      </c>
      <c r="AF816">
        <v>0</v>
      </c>
      <c r="AI816">
        <v>0</v>
      </c>
      <c r="AM816">
        <v>20</v>
      </c>
      <c r="AN816" s="44">
        <f t="shared" si="210"/>
        <v>421.64799999999997</v>
      </c>
      <c r="AO816" s="46">
        <v>0</v>
      </c>
      <c r="AP816" s="44">
        <v>0</v>
      </c>
      <c r="AQ816" s="44">
        <v>0</v>
      </c>
      <c r="AR816" s="41">
        <f t="shared" si="207"/>
        <v>4.7432929837210189E-2</v>
      </c>
      <c r="AS816" s="41"/>
      <c r="AT816" s="41"/>
      <c r="AU816" s="41"/>
      <c r="AV816" s="23">
        <v>1.5526315789473679</v>
      </c>
      <c r="AW816" s="23">
        <v>1.368421052631579</v>
      </c>
      <c r="AX816" s="23">
        <v>0.15789473684210531</v>
      </c>
      <c r="AY816" s="23">
        <v>0.2105263157894737</v>
      </c>
      <c r="AZ816" s="23">
        <v>0.47199999999999998</v>
      </c>
      <c r="BA816" s="23">
        <v>0.41599999999999998</v>
      </c>
      <c r="BB816" s="23">
        <v>4.8000000000000001E-2</v>
      </c>
      <c r="BC816" s="23">
        <v>6.4000000000000001E-2</v>
      </c>
      <c r="BD816" s="20">
        <v>1.1399999999999999</v>
      </c>
      <c r="BE816" s="20">
        <v>3.44</v>
      </c>
      <c r="BF816" s="20">
        <v>2.2999999999999998</v>
      </c>
      <c r="BG816" s="20">
        <v>2.4736842105263159</v>
      </c>
      <c r="BH816">
        <v>2.473684210526315</v>
      </c>
      <c r="BI816">
        <v>6.6037309008807101</v>
      </c>
      <c r="BJ816" s="64"/>
      <c r="BK816" s="64"/>
      <c r="BL816" s="64"/>
      <c r="BM816">
        <v>2.3716464918605091E-2</v>
      </c>
      <c r="BQ816">
        <v>4.7432929837210189E-2</v>
      </c>
      <c r="BR816">
        <v>2.3716464918605091E-2</v>
      </c>
      <c r="BS816">
        <v>0</v>
      </c>
      <c r="BT816" s="68" t="s">
        <v>1264</v>
      </c>
      <c r="BU816" s="68">
        <v>1373</v>
      </c>
      <c r="BV816" s="68">
        <v>12</v>
      </c>
      <c r="BX816" s="68" t="s">
        <v>464</v>
      </c>
      <c r="BY816" s="68" t="s">
        <v>464</v>
      </c>
      <c r="BZ816" s="68">
        <v>0</v>
      </c>
      <c r="CB816" s="68">
        <v>0.5</v>
      </c>
      <c r="CC816" s="68">
        <v>1</v>
      </c>
      <c r="CD816" s="77" t="s">
        <v>464</v>
      </c>
      <c r="CE816" s="77" t="s">
        <v>464</v>
      </c>
      <c r="CF816" s="77" t="s">
        <v>1266</v>
      </c>
      <c r="CG816" s="77">
        <v>125</v>
      </c>
      <c r="CH816" s="77">
        <v>220</v>
      </c>
      <c r="CI816" s="77" t="s">
        <v>1287</v>
      </c>
      <c r="CJ816" s="77">
        <f t="shared" si="209"/>
        <v>288</v>
      </c>
      <c r="CK816" s="70">
        <v>1680</v>
      </c>
    </row>
    <row r="817" spans="1:89" x14ac:dyDescent="0.3">
      <c r="A817" t="s">
        <v>2584</v>
      </c>
      <c r="B817" t="s">
        <v>2776</v>
      </c>
      <c r="C817" t="s">
        <v>4286</v>
      </c>
      <c r="D817" s="12"/>
      <c r="E817">
        <v>3.36</v>
      </c>
      <c r="F817" t="s">
        <v>380</v>
      </c>
      <c r="G817" s="109" t="s">
        <v>2538</v>
      </c>
      <c r="H817">
        <v>-1</v>
      </c>
      <c r="J817" t="s">
        <v>1752</v>
      </c>
      <c r="M817" t="b">
        <v>1</v>
      </c>
      <c r="N817" t="b">
        <v>0</v>
      </c>
      <c r="O817" t="b">
        <v>0</v>
      </c>
      <c r="P817" t="b">
        <v>0</v>
      </c>
      <c r="Q817" t="s">
        <v>2445</v>
      </c>
      <c r="R817">
        <v>-1</v>
      </c>
      <c r="T817">
        <v>1</v>
      </c>
      <c r="U817" s="20">
        <v>0</v>
      </c>
      <c r="V817">
        <v>0</v>
      </c>
      <c r="W817">
        <v>0</v>
      </c>
      <c r="X817">
        <v>3.8</v>
      </c>
      <c r="Y817">
        <v>3.8</v>
      </c>
      <c r="Z817">
        <v>33.4</v>
      </c>
      <c r="AA817" t="s">
        <v>519</v>
      </c>
      <c r="AB817">
        <v>33.4</v>
      </c>
      <c r="AC817" s="20">
        <v>0</v>
      </c>
      <c r="AF817">
        <v>0</v>
      </c>
      <c r="AI817">
        <v>0</v>
      </c>
      <c r="AM817">
        <v>20</v>
      </c>
      <c r="AN817" s="44">
        <f t="shared" si="210"/>
        <v>482.29599999999994</v>
      </c>
      <c r="AO817" s="46">
        <v>0</v>
      </c>
      <c r="AP817" s="44">
        <v>0</v>
      </c>
      <c r="AQ817" s="44">
        <v>0</v>
      </c>
      <c r="AR817" s="41">
        <f t="shared" si="207"/>
        <v>4.1468309917561008E-2</v>
      </c>
      <c r="AS817" s="41"/>
      <c r="AT817" s="41"/>
      <c r="AU817" s="41"/>
      <c r="AV817" s="23">
        <v>1.5227272727272729</v>
      </c>
      <c r="AW817" s="23">
        <v>1.2727272727272729</v>
      </c>
      <c r="AX817" s="23">
        <v>0.13636363636363641</v>
      </c>
      <c r="AY817" s="23">
        <v>0.1818181818181818</v>
      </c>
      <c r="AZ817" s="23">
        <v>0.48905109489051091</v>
      </c>
      <c r="BA817" s="23">
        <v>0.40875912408759119</v>
      </c>
      <c r="BB817" s="23">
        <v>4.3795620437956199E-2</v>
      </c>
      <c r="BC817" s="23">
        <v>5.8394160583941597E-2</v>
      </c>
      <c r="BD817" s="20">
        <v>1.1399999999999999</v>
      </c>
      <c r="BE817" s="20">
        <v>3.44</v>
      </c>
      <c r="BF817" s="20">
        <v>2.2999999999999998</v>
      </c>
      <c r="BG817" s="20">
        <v>2.452272727272728</v>
      </c>
      <c r="BH817">
        <v>2.4522727272727272</v>
      </c>
      <c r="BI817">
        <v>6.6402327510197949</v>
      </c>
      <c r="BJ817" s="64"/>
      <c r="BK817" s="64"/>
      <c r="BL817" s="64"/>
      <c r="BM817">
        <v>2.0734154958780501E-2</v>
      </c>
      <c r="BQ817">
        <v>4.1468309917561008E-2</v>
      </c>
      <c r="BR817">
        <v>2.0734154958780501E-2</v>
      </c>
      <c r="BS817">
        <v>0</v>
      </c>
      <c r="BT817" s="68" t="s">
        <v>1264</v>
      </c>
      <c r="BU817" s="68">
        <v>1373</v>
      </c>
      <c r="BV817" s="68">
        <v>12</v>
      </c>
      <c r="BX817" s="68" t="s">
        <v>464</v>
      </c>
      <c r="BY817" s="68" t="s">
        <v>464</v>
      </c>
      <c r="BZ817" s="68">
        <v>0</v>
      </c>
      <c r="CA817" s="68">
        <v>4.3899999999999997</v>
      </c>
      <c r="CB817" s="68">
        <v>0.5</v>
      </c>
      <c r="CC817" s="68">
        <v>1</v>
      </c>
      <c r="CD817" s="77" t="s">
        <v>464</v>
      </c>
      <c r="CE817" s="77" t="s">
        <v>464</v>
      </c>
      <c r="CF817" s="77" t="s">
        <v>1266</v>
      </c>
      <c r="CG817" s="77">
        <v>125</v>
      </c>
      <c r="CH817" s="77">
        <v>220</v>
      </c>
      <c r="CI817" s="77" t="s">
        <v>1287</v>
      </c>
      <c r="CJ817" s="77">
        <f t="shared" si="209"/>
        <v>288</v>
      </c>
      <c r="CK817" s="70">
        <v>2184</v>
      </c>
    </row>
    <row r="818" spans="1:89" x14ac:dyDescent="0.3">
      <c r="A818" t="s">
        <v>2585</v>
      </c>
      <c r="B818" t="s">
        <v>2776</v>
      </c>
      <c r="C818" t="s">
        <v>4287</v>
      </c>
      <c r="D818" s="12"/>
      <c r="E818">
        <v>3.33</v>
      </c>
      <c r="F818" t="s">
        <v>380</v>
      </c>
      <c r="G818" s="109" t="s">
        <v>2539</v>
      </c>
      <c r="H818">
        <v>-1</v>
      </c>
      <c r="J818" t="s">
        <v>1752</v>
      </c>
      <c r="M818" t="b">
        <v>1</v>
      </c>
      <c r="N818" t="b">
        <v>0</v>
      </c>
      <c r="O818" t="b">
        <v>0</v>
      </c>
      <c r="P818" t="b">
        <v>0</v>
      </c>
      <c r="Q818" t="s">
        <v>2447</v>
      </c>
      <c r="R818">
        <v>-1</v>
      </c>
      <c r="T818">
        <v>2</v>
      </c>
      <c r="U818" s="20">
        <v>0</v>
      </c>
      <c r="V818">
        <v>0</v>
      </c>
      <c r="W818">
        <v>0</v>
      </c>
      <c r="X818">
        <v>3.76</v>
      </c>
      <c r="Y818">
        <v>3.76</v>
      </c>
      <c r="Z818">
        <v>34.1</v>
      </c>
      <c r="AA818" t="s">
        <v>519</v>
      </c>
      <c r="AB818">
        <v>17.05</v>
      </c>
      <c r="AC818" s="20">
        <v>0</v>
      </c>
      <c r="AF818">
        <v>0</v>
      </c>
      <c r="AI818">
        <v>0</v>
      </c>
      <c r="AM818">
        <v>22</v>
      </c>
      <c r="AN818" s="44">
        <f t="shared" si="210"/>
        <v>482.09215999999998</v>
      </c>
      <c r="AO818" s="46">
        <v>0</v>
      </c>
      <c r="AP818" s="44">
        <v>0</v>
      </c>
      <c r="AQ818" s="44">
        <v>0</v>
      </c>
      <c r="AR818" s="41">
        <f t="shared" si="207"/>
        <v>9.12688561456797E-2</v>
      </c>
      <c r="AS818" s="41"/>
      <c r="AT818" s="41"/>
      <c r="AU818" s="41"/>
      <c r="AV818" s="23">
        <v>1.7391304347826091</v>
      </c>
      <c r="AW818" s="23">
        <v>2</v>
      </c>
      <c r="AX818" s="23">
        <v>0.2608695652173913</v>
      </c>
      <c r="AY818" s="23">
        <v>0.34782608695652167</v>
      </c>
      <c r="AZ818" s="23">
        <v>0.4</v>
      </c>
      <c r="BA818" s="23">
        <v>0.46</v>
      </c>
      <c r="BB818" s="23">
        <v>0.06</v>
      </c>
      <c r="BC818" s="23">
        <v>0.08</v>
      </c>
      <c r="BD818" s="20">
        <v>1.1399999999999999</v>
      </c>
      <c r="BE818" s="20">
        <v>3.44</v>
      </c>
      <c r="BF818" s="20">
        <v>2.2999999999999998</v>
      </c>
      <c r="BG818" s="20">
        <v>2.63</v>
      </c>
      <c r="BH818">
        <v>2.63</v>
      </c>
      <c r="BI818">
        <v>6.444942219787217</v>
      </c>
      <c r="BJ818" s="64"/>
      <c r="BK818" s="64"/>
      <c r="BL818" s="64"/>
      <c r="BM818">
        <v>4.563442807283985E-2</v>
      </c>
      <c r="BQ818">
        <v>9.12688561456797E-2</v>
      </c>
      <c r="BR818">
        <v>4.563442807283985E-2</v>
      </c>
      <c r="BS818">
        <v>0</v>
      </c>
      <c r="BT818" s="68" t="s">
        <v>1264</v>
      </c>
      <c r="BU818" s="68">
        <v>1373</v>
      </c>
      <c r="BV818" s="68">
        <v>12</v>
      </c>
      <c r="BX818" s="68" t="s">
        <v>464</v>
      </c>
      <c r="BY818" s="68" t="s">
        <v>464</v>
      </c>
      <c r="BZ818" s="68">
        <v>0</v>
      </c>
      <c r="CA818" s="68">
        <v>4.51</v>
      </c>
      <c r="CB818" s="68">
        <v>0.5</v>
      </c>
      <c r="CC818" s="68">
        <v>1</v>
      </c>
      <c r="CD818" s="77" t="s">
        <v>464</v>
      </c>
      <c r="CE818" s="77" t="s">
        <v>464</v>
      </c>
      <c r="CF818" s="77" t="s">
        <v>1266</v>
      </c>
      <c r="CG818" s="77">
        <v>125</v>
      </c>
      <c r="CH818" s="77">
        <v>220</v>
      </c>
      <c r="CI818" s="77" t="s">
        <v>1287</v>
      </c>
      <c r="CJ818" s="77">
        <f t="shared" si="209"/>
        <v>288</v>
      </c>
      <c r="CK818" s="70">
        <v>4600</v>
      </c>
    </row>
    <row r="819" spans="1:89" x14ac:dyDescent="0.3">
      <c r="A819" t="s">
        <v>2586</v>
      </c>
      <c r="B819" t="s">
        <v>2776</v>
      </c>
      <c r="C819" t="s">
        <v>4288</v>
      </c>
      <c r="D819" s="12"/>
      <c r="E819">
        <v>3.33</v>
      </c>
      <c r="F819" t="s">
        <v>380</v>
      </c>
      <c r="G819" s="109" t="s">
        <v>2533</v>
      </c>
      <c r="H819">
        <v>-1</v>
      </c>
      <c r="J819" t="s">
        <v>1752</v>
      </c>
      <c r="M819" t="b">
        <v>1</v>
      </c>
      <c r="N819" t="b">
        <v>0</v>
      </c>
      <c r="O819" t="b">
        <v>0</v>
      </c>
      <c r="P819" t="b">
        <v>0</v>
      </c>
      <c r="Q819" t="s">
        <v>2449</v>
      </c>
      <c r="R819">
        <v>-1</v>
      </c>
      <c r="T819">
        <v>2</v>
      </c>
      <c r="U819" s="20">
        <v>0</v>
      </c>
      <c r="V819">
        <v>0</v>
      </c>
      <c r="W819">
        <v>0</v>
      </c>
      <c r="X819">
        <v>3.77</v>
      </c>
      <c r="Y819">
        <v>3.77</v>
      </c>
      <c r="Z819">
        <v>40.9</v>
      </c>
      <c r="AA819" t="s">
        <v>519</v>
      </c>
      <c r="AB819">
        <v>20.45</v>
      </c>
      <c r="AC819" s="20">
        <v>0</v>
      </c>
      <c r="AF819">
        <v>0</v>
      </c>
      <c r="AI819">
        <v>0</v>
      </c>
      <c r="AM819">
        <v>22</v>
      </c>
      <c r="AN819" s="44">
        <f t="shared" si="210"/>
        <v>581.30760999999995</v>
      </c>
      <c r="AO819" s="46">
        <v>0</v>
      </c>
      <c r="AP819" s="44">
        <v>0</v>
      </c>
      <c r="AQ819" s="44">
        <v>0</v>
      </c>
      <c r="AR819" s="41">
        <f t="shared" si="207"/>
        <v>7.5691422653145726E-2</v>
      </c>
      <c r="AS819" s="41"/>
      <c r="AT819" s="41"/>
      <c r="AU819" s="41"/>
      <c r="AV819" s="23">
        <v>1.6923076923076921</v>
      </c>
      <c r="AW819" s="23">
        <v>1.846153846153846</v>
      </c>
      <c r="AX819" s="23">
        <v>0.23076923076923081</v>
      </c>
      <c r="AY819" s="23">
        <v>0.30769230769230771</v>
      </c>
      <c r="AZ819" s="23">
        <v>0.41509433962264147</v>
      </c>
      <c r="BA819" s="23">
        <v>0.45283018867924529</v>
      </c>
      <c r="BB819" s="23">
        <v>5.6603773584905669E-2</v>
      </c>
      <c r="BC819" s="23">
        <v>7.5471698113207558E-2</v>
      </c>
      <c r="BD819" s="20">
        <v>1.1399999999999999</v>
      </c>
      <c r="BE819" s="20">
        <v>3.44</v>
      </c>
      <c r="BF819" s="20">
        <v>2.2999999999999998</v>
      </c>
      <c r="BG819" s="20">
        <v>2.5938461538461541</v>
      </c>
      <c r="BH819">
        <v>2.5938461538461541</v>
      </c>
      <c r="BI819">
        <v>6.4941501715695384</v>
      </c>
      <c r="BJ819" s="64"/>
      <c r="BK819" s="64"/>
      <c r="BL819" s="64"/>
      <c r="BM819">
        <v>3.7845711326572863E-2</v>
      </c>
      <c r="BQ819">
        <v>7.5691422653145726E-2</v>
      </c>
      <c r="BR819">
        <v>3.7845711326572863E-2</v>
      </c>
      <c r="BS819">
        <v>0</v>
      </c>
      <c r="BT819" s="68" t="s">
        <v>1264</v>
      </c>
      <c r="BU819" s="68">
        <v>1373</v>
      </c>
      <c r="BV819" s="68">
        <v>12</v>
      </c>
      <c r="BX819" s="68" t="s">
        <v>464</v>
      </c>
      <c r="BY819" s="68" t="s">
        <v>464</v>
      </c>
      <c r="BZ819" s="68">
        <v>0</v>
      </c>
      <c r="CB819" s="68">
        <v>0.5</v>
      </c>
      <c r="CC819" s="68">
        <v>1</v>
      </c>
      <c r="CD819" s="77" t="s">
        <v>464</v>
      </c>
      <c r="CE819" s="77" t="s">
        <v>464</v>
      </c>
      <c r="CF819" s="77" t="s">
        <v>1266</v>
      </c>
      <c r="CG819" s="77">
        <v>125</v>
      </c>
      <c r="CH819" s="77">
        <v>220</v>
      </c>
      <c r="CI819" s="77" t="s">
        <v>1287</v>
      </c>
      <c r="CJ819" s="77">
        <f t="shared" si="209"/>
        <v>288</v>
      </c>
      <c r="CK819" s="70">
        <v>3031.9999999999995</v>
      </c>
    </row>
    <row r="820" spans="1:89" x14ac:dyDescent="0.3">
      <c r="A820" t="s">
        <v>2746</v>
      </c>
      <c r="B820" t="s">
        <v>2776</v>
      </c>
      <c r="C820" t="s">
        <v>4289</v>
      </c>
      <c r="D820" s="12"/>
      <c r="E820">
        <v>3.32</v>
      </c>
      <c r="F820" t="s">
        <v>380</v>
      </c>
      <c r="G820" s="109" t="s">
        <v>2540</v>
      </c>
      <c r="H820">
        <v>-1</v>
      </c>
      <c r="J820" t="s">
        <v>1752</v>
      </c>
      <c r="M820" t="b">
        <v>1</v>
      </c>
      <c r="N820" t="b">
        <v>0</v>
      </c>
      <c r="O820" t="b">
        <v>0</v>
      </c>
      <c r="P820" t="b">
        <v>0</v>
      </c>
      <c r="Q820" t="s">
        <v>2450</v>
      </c>
      <c r="R820">
        <v>-1</v>
      </c>
      <c r="T820">
        <v>2</v>
      </c>
      <c r="U820" s="20">
        <v>0</v>
      </c>
      <c r="V820">
        <v>0</v>
      </c>
      <c r="W820">
        <v>0</v>
      </c>
      <c r="X820">
        <v>3.79</v>
      </c>
      <c r="Y820">
        <v>3.79</v>
      </c>
      <c r="Z820">
        <v>43.8</v>
      </c>
      <c r="AA820" t="s">
        <v>519</v>
      </c>
      <c r="AB820">
        <v>21.9</v>
      </c>
      <c r="AC820" s="20">
        <v>0</v>
      </c>
      <c r="AF820">
        <v>0</v>
      </c>
      <c r="AI820">
        <v>0</v>
      </c>
      <c r="AM820">
        <v>22</v>
      </c>
      <c r="AN820" s="44">
        <f t="shared" si="210"/>
        <v>629.14757999999995</v>
      </c>
      <c r="AO820" s="46">
        <v>0</v>
      </c>
      <c r="AP820" s="44">
        <v>0</v>
      </c>
      <c r="AQ820" s="44">
        <v>0</v>
      </c>
      <c r="AR820" s="41">
        <f t="shared" si="207"/>
        <v>6.9935896439433182E-2</v>
      </c>
      <c r="AS820" s="41"/>
      <c r="AT820" s="41"/>
      <c r="AU820" s="41"/>
      <c r="AV820" s="23">
        <v>1.655172413793103</v>
      </c>
      <c r="AW820" s="23">
        <v>1.7241379310344831</v>
      </c>
      <c r="AX820" s="23">
        <v>0.2068965517241379</v>
      </c>
      <c r="AY820" s="23">
        <v>0.27586206896551718</v>
      </c>
      <c r="AZ820" s="23">
        <v>0.42857142857142849</v>
      </c>
      <c r="BA820" s="23">
        <v>0.4464285714285714</v>
      </c>
      <c r="BB820" s="23">
        <v>5.3571428571428568E-2</v>
      </c>
      <c r="BC820" s="23">
        <v>7.1428571428571425E-2</v>
      </c>
      <c r="BD820" s="20">
        <v>1.1399999999999999</v>
      </c>
      <c r="BE820" s="20">
        <v>3.44</v>
      </c>
      <c r="BF820" s="20">
        <v>2.2999999999999998</v>
      </c>
      <c r="BG820" s="20">
        <v>2.5651724137931029</v>
      </c>
      <c r="BH820">
        <v>2.5651724137931029</v>
      </c>
      <c r="BI820">
        <v>6.53317716781069</v>
      </c>
      <c r="BJ820" s="64"/>
      <c r="BK820" s="64"/>
      <c r="BL820" s="64"/>
      <c r="BM820">
        <v>3.4967948219716591E-2</v>
      </c>
      <c r="BQ820">
        <v>6.9935896439433182E-2</v>
      </c>
      <c r="BR820">
        <v>3.4967948219716591E-2</v>
      </c>
      <c r="BS820">
        <v>0</v>
      </c>
      <c r="BT820" s="68" t="s">
        <v>1264</v>
      </c>
      <c r="BU820" s="68">
        <v>1373</v>
      </c>
      <c r="BV820" s="68">
        <v>12</v>
      </c>
      <c r="BX820" s="68" t="s">
        <v>464</v>
      </c>
      <c r="BY820" s="68" t="s">
        <v>464</v>
      </c>
      <c r="BZ820" s="68">
        <v>0</v>
      </c>
      <c r="CB820" s="68">
        <v>0.5</v>
      </c>
      <c r="CC820" s="68">
        <v>1</v>
      </c>
      <c r="CD820" s="77" t="s">
        <v>464</v>
      </c>
      <c r="CE820" s="77" t="s">
        <v>464</v>
      </c>
      <c r="CF820" s="77" t="s">
        <v>1266</v>
      </c>
      <c r="CG820" s="77">
        <v>125</v>
      </c>
      <c r="CH820" s="77">
        <v>220</v>
      </c>
      <c r="CI820" s="77" t="s">
        <v>1287</v>
      </c>
      <c r="CJ820" s="77">
        <f t="shared" si="209"/>
        <v>288</v>
      </c>
      <c r="CK820" s="70">
        <v>4480</v>
      </c>
    </row>
    <row r="821" spans="1:89" x14ac:dyDescent="0.3">
      <c r="A821" t="s">
        <v>2589</v>
      </c>
      <c r="B821" t="s">
        <v>2776</v>
      </c>
      <c r="C821" t="s">
        <v>4290</v>
      </c>
      <c r="D821" s="12"/>
      <c r="E821">
        <v>3.33</v>
      </c>
      <c r="F821" t="s">
        <v>380</v>
      </c>
      <c r="G821" s="109" t="s">
        <v>2541</v>
      </c>
      <c r="H821">
        <v>-1</v>
      </c>
      <c r="J821" t="s">
        <v>1752</v>
      </c>
      <c r="M821" t="b">
        <v>1</v>
      </c>
      <c r="N821" t="b">
        <v>0</v>
      </c>
      <c r="O821" t="b">
        <v>0</v>
      </c>
      <c r="P821" t="b">
        <v>0</v>
      </c>
      <c r="Q821" t="s">
        <v>2452</v>
      </c>
      <c r="R821">
        <v>-1</v>
      </c>
      <c r="T821">
        <v>2</v>
      </c>
      <c r="U821" s="20">
        <v>0</v>
      </c>
      <c r="V821">
        <v>0</v>
      </c>
      <c r="W821">
        <v>0</v>
      </c>
      <c r="X821">
        <v>3.78</v>
      </c>
      <c r="Y821">
        <v>3.78</v>
      </c>
      <c r="Z821">
        <v>47.3</v>
      </c>
      <c r="AA821" t="s">
        <v>519</v>
      </c>
      <c r="AB821">
        <v>23.65</v>
      </c>
      <c r="AC821" s="20">
        <v>0</v>
      </c>
      <c r="AF821">
        <v>0</v>
      </c>
      <c r="AI821">
        <v>0</v>
      </c>
      <c r="AM821">
        <v>22</v>
      </c>
      <c r="AN821" s="44">
        <f t="shared" si="210"/>
        <v>675.84131999999988</v>
      </c>
      <c r="AO821" s="46">
        <v>0</v>
      </c>
      <c r="AP821" s="44">
        <v>0</v>
      </c>
      <c r="AQ821" s="44">
        <v>0</v>
      </c>
      <c r="AR821" s="41">
        <f t="shared" si="207"/>
        <v>6.5104039510339509E-2</v>
      </c>
      <c r="AS821" s="41"/>
      <c r="AT821" s="41"/>
      <c r="AU821" s="41"/>
      <c r="AV821" s="23">
        <v>1.625</v>
      </c>
      <c r="AW821" s="23">
        <v>1.625</v>
      </c>
      <c r="AX821" s="23">
        <v>0.1875</v>
      </c>
      <c r="AY821" s="23">
        <v>0.25</v>
      </c>
      <c r="AZ821" s="23">
        <v>0.44067796610169491</v>
      </c>
      <c r="BA821" s="23">
        <v>0.44067796610169491</v>
      </c>
      <c r="BB821" s="23">
        <v>5.0847457627118647E-2</v>
      </c>
      <c r="BC821" s="23">
        <v>6.7796610169491525E-2</v>
      </c>
      <c r="BD821" s="20">
        <v>1.1399999999999999</v>
      </c>
      <c r="BE821" s="20">
        <v>3.44</v>
      </c>
      <c r="BF821" s="20">
        <v>2.2999999999999998</v>
      </c>
      <c r="BG821" s="20">
        <v>2.5418750000000001</v>
      </c>
      <c r="BH821">
        <v>2.5418750000000001</v>
      </c>
      <c r="BI821">
        <v>6.5648866022566246</v>
      </c>
      <c r="BJ821" s="64"/>
      <c r="BK821" s="64"/>
      <c r="BL821" s="64"/>
      <c r="BM821">
        <v>3.2552019755169748E-2</v>
      </c>
      <c r="BQ821">
        <v>6.5104039510339509E-2</v>
      </c>
      <c r="BR821">
        <v>3.2552019755169748E-2</v>
      </c>
      <c r="BS821">
        <v>0</v>
      </c>
      <c r="BT821" s="68" t="s">
        <v>1264</v>
      </c>
      <c r="BU821" s="68">
        <v>1373</v>
      </c>
      <c r="BV821" s="68">
        <v>12</v>
      </c>
      <c r="BX821" s="68" t="s">
        <v>464</v>
      </c>
      <c r="BY821" s="68" t="s">
        <v>464</v>
      </c>
      <c r="BZ821" s="68">
        <v>0</v>
      </c>
      <c r="CA821" s="68">
        <v>3.87</v>
      </c>
      <c r="CB821" s="68">
        <v>0.5</v>
      </c>
      <c r="CC821" s="68">
        <v>1</v>
      </c>
      <c r="CD821" s="77" t="s">
        <v>464</v>
      </c>
      <c r="CE821" s="77" t="s">
        <v>464</v>
      </c>
      <c r="CF821" s="77" t="s">
        <v>1266</v>
      </c>
      <c r="CG821" s="77">
        <v>125</v>
      </c>
      <c r="CH821" s="77">
        <v>220</v>
      </c>
      <c r="CI821" s="77" t="s">
        <v>1287</v>
      </c>
      <c r="CJ821" s="77">
        <f t="shared" si="209"/>
        <v>288</v>
      </c>
      <c r="CK821" s="70">
        <v>3340</v>
      </c>
    </row>
    <row r="822" spans="1:89" x14ac:dyDescent="0.3">
      <c r="A822" t="s">
        <v>2587</v>
      </c>
      <c r="B822" t="s">
        <v>2776</v>
      </c>
      <c r="C822" t="s">
        <v>4291</v>
      </c>
      <c r="D822" s="12"/>
      <c r="E822">
        <v>3.35</v>
      </c>
      <c r="F822" t="s">
        <v>380</v>
      </c>
      <c r="G822" s="109" t="s">
        <v>2542</v>
      </c>
      <c r="H822">
        <v>-1</v>
      </c>
      <c r="J822" t="s">
        <v>1752</v>
      </c>
      <c r="M822" t="b">
        <v>1</v>
      </c>
      <c r="N822" t="b">
        <v>0</v>
      </c>
      <c r="O822" t="b">
        <v>0</v>
      </c>
      <c r="P822" t="b">
        <v>0</v>
      </c>
      <c r="Q822" t="s">
        <v>2454</v>
      </c>
      <c r="R822">
        <v>-1</v>
      </c>
      <c r="T822">
        <v>1</v>
      </c>
      <c r="U822" s="20">
        <v>0</v>
      </c>
      <c r="V822">
        <v>0</v>
      </c>
      <c r="W822">
        <v>0</v>
      </c>
      <c r="X822">
        <v>3.81</v>
      </c>
      <c r="Y822">
        <v>3.81</v>
      </c>
      <c r="Z822">
        <v>28.3</v>
      </c>
      <c r="AA822" t="s">
        <v>519</v>
      </c>
      <c r="AB822">
        <v>28.3</v>
      </c>
      <c r="AC822" s="20">
        <v>0</v>
      </c>
      <c r="AF822">
        <v>0</v>
      </c>
      <c r="AI822">
        <v>0</v>
      </c>
      <c r="AM822">
        <v>22</v>
      </c>
      <c r="AN822" s="44">
        <f t="shared" si="210"/>
        <v>410.80563000000001</v>
      </c>
      <c r="AO822" s="46">
        <v>0</v>
      </c>
      <c r="AP822" s="44">
        <v>0</v>
      </c>
      <c r="AQ822" s="44">
        <v>0</v>
      </c>
      <c r="AR822" s="41">
        <f t="shared" si="207"/>
        <v>5.3553306949566393E-2</v>
      </c>
      <c r="AS822" s="41"/>
      <c r="AT822" s="41"/>
      <c r="AU822" s="41"/>
      <c r="AV822" s="23">
        <v>1.5789473684210531</v>
      </c>
      <c r="AW822" s="23">
        <v>1.4736842105263159</v>
      </c>
      <c r="AX822" s="23">
        <v>0.15789473684210531</v>
      </c>
      <c r="AY822" s="23">
        <v>0.2105263157894737</v>
      </c>
      <c r="AZ822" s="23">
        <v>0.46153846153846162</v>
      </c>
      <c r="BA822" s="23">
        <v>0.43076923076923068</v>
      </c>
      <c r="BB822" s="23">
        <v>4.6153846153846149E-2</v>
      </c>
      <c r="BC822" s="23">
        <v>6.1538461538461528E-2</v>
      </c>
      <c r="BD822" s="20">
        <v>1.1399999999999999</v>
      </c>
      <c r="BE822" s="20">
        <v>3.44</v>
      </c>
      <c r="BF822" s="20">
        <v>2.2999999999999998</v>
      </c>
      <c r="BG822" s="20">
        <v>2.5063157894736841</v>
      </c>
      <c r="BH822">
        <v>2.5063157894736841</v>
      </c>
      <c r="BI822">
        <v>6.6132852127267361</v>
      </c>
      <c r="BJ822" s="64"/>
      <c r="BK822" s="64"/>
      <c r="BL822" s="64"/>
      <c r="BM822">
        <v>2.67766534747832E-2</v>
      </c>
      <c r="BQ822">
        <v>5.3553306949566393E-2</v>
      </c>
      <c r="BR822">
        <v>2.67766534747832E-2</v>
      </c>
      <c r="BS822">
        <v>0</v>
      </c>
      <c r="BT822" s="68" t="s">
        <v>1264</v>
      </c>
      <c r="BU822" s="68">
        <v>1373</v>
      </c>
      <c r="BV822" s="68">
        <v>12</v>
      </c>
      <c r="BX822" s="68" t="s">
        <v>464</v>
      </c>
      <c r="BY822" s="68" t="s">
        <v>464</v>
      </c>
      <c r="BZ822" s="68">
        <v>0</v>
      </c>
      <c r="CB822" s="68">
        <v>0.5</v>
      </c>
      <c r="CC822" s="68">
        <v>1</v>
      </c>
      <c r="CD822" s="77" t="s">
        <v>464</v>
      </c>
      <c r="CE822" s="77" t="s">
        <v>464</v>
      </c>
      <c r="CF822" s="77" t="s">
        <v>1266</v>
      </c>
      <c r="CG822" s="77">
        <v>125</v>
      </c>
      <c r="CH822" s="77">
        <v>220</v>
      </c>
      <c r="CI822" s="77" t="s">
        <v>1287</v>
      </c>
      <c r="CJ822" s="77">
        <f t="shared" si="209"/>
        <v>288</v>
      </c>
      <c r="CK822" s="70">
        <v>3916</v>
      </c>
    </row>
    <row r="823" spans="1:89" x14ac:dyDescent="0.3">
      <c r="A823" t="s">
        <v>2588</v>
      </c>
      <c r="B823" t="s">
        <v>2776</v>
      </c>
      <c r="C823" t="s">
        <v>4292</v>
      </c>
      <c r="D823" s="12"/>
      <c r="E823">
        <v>3.36</v>
      </c>
      <c r="F823" t="s">
        <v>380</v>
      </c>
      <c r="G823" s="109" t="s">
        <v>2543</v>
      </c>
      <c r="H823">
        <v>-1</v>
      </c>
      <c r="J823" t="s">
        <v>1752</v>
      </c>
      <c r="M823" t="b">
        <v>0</v>
      </c>
      <c r="N823" t="b">
        <v>0</v>
      </c>
      <c r="O823" t="b">
        <v>0</v>
      </c>
      <c r="P823" t="b">
        <v>1</v>
      </c>
      <c r="Q823" t="s">
        <v>2592</v>
      </c>
      <c r="R823">
        <v>-1</v>
      </c>
      <c r="T823">
        <v>1</v>
      </c>
      <c r="U823" s="20">
        <v>0</v>
      </c>
      <c r="V823">
        <v>0</v>
      </c>
      <c r="W823">
        <v>0</v>
      </c>
      <c r="X823">
        <v>3.74</v>
      </c>
      <c r="Y823">
        <v>3.74</v>
      </c>
      <c r="Z823">
        <v>30.8</v>
      </c>
      <c r="AA823" t="s">
        <v>519</v>
      </c>
      <c r="AB823">
        <v>30.8</v>
      </c>
      <c r="AC823" s="20">
        <v>0</v>
      </c>
      <c r="AF823">
        <v>0</v>
      </c>
      <c r="AI823">
        <v>0</v>
      </c>
      <c r="AM823">
        <v>22</v>
      </c>
      <c r="AN823" s="44">
        <f t="shared" si="210"/>
        <v>430.81808000000007</v>
      </c>
      <c r="AO823" s="46">
        <v>0</v>
      </c>
      <c r="AP823" s="44">
        <v>0</v>
      </c>
      <c r="AQ823" s="44">
        <v>0</v>
      </c>
      <c r="AR823" s="41">
        <f t="shared" si="207"/>
        <v>5.1065637728110194E-2</v>
      </c>
      <c r="AS823" s="41"/>
      <c r="AT823" s="41"/>
      <c r="AU823" s="41"/>
      <c r="AV823" s="23">
        <v>1.545454545454545</v>
      </c>
      <c r="AW823" s="23">
        <v>1.363636363636364</v>
      </c>
      <c r="AX823" s="23">
        <v>0.13636363636363641</v>
      </c>
      <c r="AY823" s="23">
        <v>0.1818181818181818</v>
      </c>
      <c r="AZ823" s="23">
        <v>0.47887323943661969</v>
      </c>
      <c r="BA823" s="23">
        <v>0.42253521126760563</v>
      </c>
      <c r="BB823" s="23">
        <v>4.2253521126760563E-2</v>
      </c>
      <c r="BC823" s="23">
        <v>5.6338028169014093E-2</v>
      </c>
      <c r="BD823" s="20">
        <v>1.1399999999999999</v>
      </c>
      <c r="BE823" s="20">
        <v>3.44</v>
      </c>
      <c r="BF823" s="20">
        <v>2.2999999999999998</v>
      </c>
      <c r="BG823" s="20">
        <v>2.4804545454545459</v>
      </c>
      <c r="BH823">
        <v>2.480454545454545</v>
      </c>
      <c r="BI823">
        <v>6.6484842021595449</v>
      </c>
      <c r="BJ823" s="64"/>
      <c r="BK823" s="64"/>
      <c r="BL823" s="64"/>
      <c r="BM823">
        <v>2.5532818864055101E-2</v>
      </c>
      <c r="BQ823">
        <v>5.1065637728110187E-2</v>
      </c>
      <c r="BR823">
        <v>2.5532818864055101E-2</v>
      </c>
      <c r="BS823">
        <v>0</v>
      </c>
      <c r="BT823" s="68" t="s">
        <v>1264</v>
      </c>
      <c r="BU823" s="68">
        <v>1373</v>
      </c>
      <c r="BV823" s="68">
        <v>12</v>
      </c>
      <c r="BX823" s="68" t="s">
        <v>464</v>
      </c>
      <c r="BY823" s="68" t="s">
        <v>464</v>
      </c>
      <c r="BZ823" s="68">
        <v>0</v>
      </c>
      <c r="CA823" s="68">
        <v>4.66</v>
      </c>
      <c r="CB823" s="68">
        <v>0.5</v>
      </c>
      <c r="CC823" s="68">
        <v>1</v>
      </c>
      <c r="CD823" s="77" t="s">
        <v>464</v>
      </c>
      <c r="CE823" s="77" t="s">
        <v>464</v>
      </c>
      <c r="CF823" s="77" t="s">
        <v>1266</v>
      </c>
      <c r="CG823" s="77">
        <v>125</v>
      </c>
      <c r="CH823" s="77">
        <v>220</v>
      </c>
      <c r="CI823" s="77" t="s">
        <v>1287</v>
      </c>
      <c r="CJ823" s="77">
        <f t="shared" si="209"/>
        <v>288</v>
      </c>
      <c r="CK823" s="70">
        <v>1680</v>
      </c>
    </row>
    <row r="824" spans="1:89" x14ac:dyDescent="0.3">
      <c r="A824" t="s">
        <v>353</v>
      </c>
      <c r="B824" t="s">
        <v>2776</v>
      </c>
      <c r="C824" t="s">
        <v>4259</v>
      </c>
      <c r="D824" s="12"/>
      <c r="E824">
        <v>3.44</v>
      </c>
      <c r="F824" t="s">
        <v>380</v>
      </c>
      <c r="G824" s="98" t="s">
        <v>549</v>
      </c>
      <c r="H824">
        <v>-1</v>
      </c>
      <c r="J824" t="s">
        <v>1726</v>
      </c>
      <c r="M824" t="b">
        <v>1</v>
      </c>
      <c r="N824" t="b">
        <v>0</v>
      </c>
      <c r="O824" t="b">
        <v>0</v>
      </c>
      <c r="P824" t="b">
        <v>0</v>
      </c>
      <c r="Q824" t="s">
        <v>2456</v>
      </c>
      <c r="R824">
        <v>-1</v>
      </c>
      <c r="T824">
        <v>2</v>
      </c>
      <c r="U824" s="20">
        <v>0</v>
      </c>
      <c r="V824">
        <v>0</v>
      </c>
      <c r="W824">
        <v>0</v>
      </c>
      <c r="X824">
        <v>3.79</v>
      </c>
      <c r="Y824">
        <v>3.79</v>
      </c>
      <c r="Z824">
        <v>27.2</v>
      </c>
      <c r="AA824" t="s">
        <v>519</v>
      </c>
      <c r="AB824">
        <v>13.6</v>
      </c>
      <c r="AC824" s="20">
        <v>0</v>
      </c>
      <c r="AF824">
        <v>0</v>
      </c>
      <c r="AI824">
        <v>0</v>
      </c>
      <c r="AM824">
        <v>20</v>
      </c>
      <c r="AN824" s="44">
        <f t="shared" si="210"/>
        <v>390.70352000000003</v>
      </c>
      <c r="AO824" s="46">
        <v>0</v>
      </c>
      <c r="AP824" s="44">
        <v>0</v>
      </c>
      <c r="AQ824" s="44">
        <v>0</v>
      </c>
      <c r="AR824" s="41">
        <f t="shared" ref="AR824:AR849" si="211">T824*AM824/AN824</f>
        <v>0.10237942058981193</v>
      </c>
      <c r="AS824" s="41"/>
      <c r="AT824" s="41"/>
      <c r="AU824" s="41"/>
      <c r="AV824" s="23">
        <v>1.882352941176471</v>
      </c>
      <c r="AW824" s="23">
        <v>2.3529411764705879</v>
      </c>
      <c r="AX824" s="23">
        <v>0.47058823529411759</v>
      </c>
      <c r="AY824" s="23">
        <v>0</v>
      </c>
      <c r="AZ824" s="23">
        <v>0.4</v>
      </c>
      <c r="BA824" s="23">
        <v>0.5</v>
      </c>
      <c r="BB824" s="23">
        <v>9.9999999999999992E-2</v>
      </c>
      <c r="BC824" s="23">
        <v>0</v>
      </c>
      <c r="BD824" s="20">
        <v>1.1000000000000001</v>
      </c>
      <c r="BE824" s="20">
        <v>3.44</v>
      </c>
      <c r="BF824" s="20">
        <v>2.34</v>
      </c>
      <c r="BG824" s="20">
        <v>2.6835294117647059</v>
      </c>
      <c r="BH824">
        <v>2.6835294117647059</v>
      </c>
      <c r="BI824">
        <v>6.2493398705707062</v>
      </c>
      <c r="BJ824" s="64"/>
      <c r="BK824" s="64"/>
      <c r="BL824" s="64"/>
      <c r="BM824">
        <v>5.1189710294905967E-2</v>
      </c>
      <c r="BQ824">
        <v>0.10237942058981191</v>
      </c>
      <c r="BR824">
        <v>5.1189710294905967E-2</v>
      </c>
      <c r="BS824">
        <v>0</v>
      </c>
      <c r="BT824" s="68" t="s">
        <v>1264</v>
      </c>
      <c r="BU824" s="68">
        <v>1373</v>
      </c>
      <c r="BV824" s="68">
        <v>12</v>
      </c>
      <c r="BX824" s="68" t="s">
        <v>1268</v>
      </c>
      <c r="BY824" s="68" t="s">
        <v>863</v>
      </c>
      <c r="BZ824" s="68">
        <v>1</v>
      </c>
      <c r="CA824" s="68">
        <v>3.24</v>
      </c>
      <c r="CB824" s="68">
        <v>0.5</v>
      </c>
      <c r="CC824" s="68">
        <v>1</v>
      </c>
      <c r="CD824" s="77" t="s">
        <v>464</v>
      </c>
      <c r="CE824" s="77" t="s">
        <v>464</v>
      </c>
      <c r="CF824" s="77" t="s">
        <v>1266</v>
      </c>
      <c r="CG824" s="77">
        <v>125</v>
      </c>
      <c r="CH824" s="77">
        <v>220</v>
      </c>
      <c r="CI824" s="77" t="s">
        <v>1287</v>
      </c>
      <c r="CJ824" s="77">
        <f t="shared" si="209"/>
        <v>288</v>
      </c>
      <c r="CK824" s="70">
        <v>3403.9999999999995</v>
      </c>
    </row>
    <row r="825" spans="1:89" x14ac:dyDescent="0.3">
      <c r="A825" t="s">
        <v>2572</v>
      </c>
      <c r="B825" t="s">
        <v>2776</v>
      </c>
      <c r="C825" t="s">
        <v>4270</v>
      </c>
      <c r="D825" s="12"/>
      <c r="E825">
        <v>3.34</v>
      </c>
      <c r="F825" t="s">
        <v>380</v>
      </c>
      <c r="G825" s="110" t="s">
        <v>2534</v>
      </c>
      <c r="H825">
        <v>-1</v>
      </c>
      <c r="J825" t="s">
        <v>1726</v>
      </c>
      <c r="M825" t="b">
        <v>1</v>
      </c>
      <c r="N825" t="b">
        <v>0</v>
      </c>
      <c r="O825" t="b">
        <v>0</v>
      </c>
      <c r="P825" t="b">
        <v>0</v>
      </c>
      <c r="Q825" t="s">
        <v>2458</v>
      </c>
      <c r="R825">
        <v>-1</v>
      </c>
      <c r="T825">
        <v>2</v>
      </c>
      <c r="U825" s="20">
        <v>0</v>
      </c>
      <c r="V825">
        <v>0</v>
      </c>
      <c r="W825">
        <v>0</v>
      </c>
      <c r="X825">
        <v>3.83</v>
      </c>
      <c r="Y825">
        <v>3.83</v>
      </c>
      <c r="Z825">
        <v>36.700000000000003</v>
      </c>
      <c r="AA825" t="s">
        <v>519</v>
      </c>
      <c r="AB825">
        <v>18.350000000000001</v>
      </c>
      <c r="AC825" s="20">
        <v>0</v>
      </c>
      <c r="AF825">
        <v>0</v>
      </c>
      <c r="AI825">
        <v>0</v>
      </c>
      <c r="AM825">
        <v>20</v>
      </c>
      <c r="AN825" s="44">
        <f t="shared" ref="AN825:AN849" si="212">X825*Y825*Z825</f>
        <v>538.34863000000007</v>
      </c>
      <c r="AO825" s="46">
        <v>0</v>
      </c>
      <c r="AP825" s="44">
        <v>0</v>
      </c>
      <c r="AQ825" s="44">
        <v>0</v>
      </c>
      <c r="AR825" s="41">
        <f t="shared" si="211"/>
        <v>7.4301294311829108E-2</v>
      </c>
      <c r="AS825" s="41"/>
      <c r="AT825" s="41"/>
      <c r="AU825" s="41"/>
      <c r="AV825" s="23">
        <v>1.7391304347826091</v>
      </c>
      <c r="AW825" s="23">
        <v>1.956521739130435</v>
      </c>
      <c r="AX825" s="23">
        <v>0.34782608695652167</v>
      </c>
      <c r="AY825" s="23">
        <v>0</v>
      </c>
      <c r="AZ825" s="23">
        <v>0.43010752688172038</v>
      </c>
      <c r="BA825" s="23">
        <v>0.48387096774193539</v>
      </c>
      <c r="BB825" s="23">
        <v>8.6021505376344079E-2</v>
      </c>
      <c r="BC825" s="23">
        <v>0</v>
      </c>
      <c r="BD825" s="20">
        <v>1.1000000000000001</v>
      </c>
      <c r="BE825" s="20">
        <v>3.44</v>
      </c>
      <c r="BF825" s="20">
        <v>2.34</v>
      </c>
      <c r="BG825" s="20">
        <v>2.609130434782609</v>
      </c>
      <c r="BH825">
        <v>2.609130434782609</v>
      </c>
      <c r="BI825">
        <v>6.4538308176133041</v>
      </c>
      <c r="BJ825" s="64"/>
      <c r="BK825" s="64"/>
      <c r="BL825" s="64"/>
      <c r="BM825">
        <v>3.7150647155914547E-2</v>
      </c>
      <c r="BQ825">
        <v>7.4301294311829108E-2</v>
      </c>
      <c r="BR825">
        <v>3.7150647155914547E-2</v>
      </c>
      <c r="BS825">
        <v>0</v>
      </c>
      <c r="BT825" s="68" t="s">
        <v>1264</v>
      </c>
      <c r="BU825" s="68">
        <v>1373</v>
      </c>
      <c r="BV825" s="68">
        <v>12</v>
      </c>
      <c r="BX825" s="68" t="s">
        <v>1268</v>
      </c>
      <c r="BY825" s="68" t="s">
        <v>863</v>
      </c>
      <c r="BZ825" s="68">
        <v>1</v>
      </c>
      <c r="CA825" s="68">
        <v>3.88</v>
      </c>
      <c r="CB825" s="68">
        <v>0.5</v>
      </c>
      <c r="CC825" s="68">
        <v>1</v>
      </c>
      <c r="CD825" s="77" t="s">
        <v>464</v>
      </c>
      <c r="CE825" s="77" t="s">
        <v>464</v>
      </c>
      <c r="CF825" s="77" t="s">
        <v>1266</v>
      </c>
      <c r="CG825" s="77">
        <v>125</v>
      </c>
      <c r="CH825" s="77">
        <v>220</v>
      </c>
      <c r="CI825" s="77" t="s">
        <v>1287</v>
      </c>
      <c r="CJ825" s="77">
        <f t="shared" si="209"/>
        <v>288</v>
      </c>
      <c r="CK825" s="70">
        <v>65880</v>
      </c>
    </row>
    <row r="826" spans="1:89" x14ac:dyDescent="0.3">
      <c r="A826" t="s">
        <v>2566</v>
      </c>
      <c r="B826" t="s">
        <v>2776</v>
      </c>
      <c r="C826" t="s">
        <v>4263</v>
      </c>
      <c r="D826" s="12"/>
      <c r="E826">
        <v>3.39</v>
      </c>
      <c r="F826" t="s">
        <v>380</v>
      </c>
      <c r="G826" s="110" t="s">
        <v>2532</v>
      </c>
      <c r="H826">
        <v>-1</v>
      </c>
      <c r="J826" t="s">
        <v>1726</v>
      </c>
      <c r="M826" t="b">
        <v>1</v>
      </c>
      <c r="N826" t="b">
        <v>0</v>
      </c>
      <c r="O826" t="b">
        <v>0</v>
      </c>
      <c r="P826" t="b">
        <v>0</v>
      </c>
      <c r="Q826" t="s">
        <v>2460</v>
      </c>
      <c r="R826">
        <v>-1</v>
      </c>
      <c r="T826">
        <v>1</v>
      </c>
      <c r="U826" s="20">
        <v>0</v>
      </c>
      <c r="V826">
        <v>0</v>
      </c>
      <c r="W826">
        <v>0</v>
      </c>
      <c r="X826">
        <v>3.82</v>
      </c>
      <c r="Y826">
        <v>3.82</v>
      </c>
      <c r="Z826">
        <v>20.2</v>
      </c>
      <c r="AA826" t="s">
        <v>519</v>
      </c>
      <c r="AB826">
        <v>20.2</v>
      </c>
      <c r="AC826" s="20">
        <v>0</v>
      </c>
      <c r="AF826">
        <v>0</v>
      </c>
      <c r="AI826">
        <v>0</v>
      </c>
      <c r="AM826">
        <v>20</v>
      </c>
      <c r="AN826" s="44">
        <f t="shared" si="212"/>
        <v>294.76648</v>
      </c>
      <c r="AO826" s="46">
        <v>0</v>
      </c>
      <c r="AP826" s="44">
        <v>0</v>
      </c>
      <c r="AQ826" s="44">
        <v>0</v>
      </c>
      <c r="AR826" s="41">
        <f t="shared" si="211"/>
        <v>6.7850320022819419E-2</v>
      </c>
      <c r="AS826" s="41"/>
      <c r="AT826" s="41"/>
      <c r="AU826" s="41"/>
      <c r="AV826" s="23">
        <v>1.6923076923076921</v>
      </c>
      <c r="AW826" s="23">
        <v>1.8076923076923079</v>
      </c>
      <c r="AX826" s="23">
        <v>0.30769230769230771</v>
      </c>
      <c r="AY826" s="23">
        <v>0</v>
      </c>
      <c r="AZ826" s="23">
        <v>0.44444444444444448</v>
      </c>
      <c r="BA826" s="23">
        <v>0.47474747474747481</v>
      </c>
      <c r="BB826" s="23">
        <v>8.0808080808080815E-2</v>
      </c>
      <c r="BC826" s="23">
        <v>0</v>
      </c>
      <c r="BD826" s="20">
        <v>1.1000000000000001</v>
      </c>
      <c r="BE826" s="20">
        <v>3.44</v>
      </c>
      <c r="BF826" s="20">
        <v>2.34</v>
      </c>
      <c r="BG826" s="20">
        <v>2.5753846153846158</v>
      </c>
      <c r="BH826">
        <v>2.5753846153846149</v>
      </c>
      <c r="BI826">
        <v>6.5020131619541548</v>
      </c>
      <c r="BJ826" s="64"/>
      <c r="BK826" s="64"/>
      <c r="BL826" s="64"/>
      <c r="BM826">
        <v>3.3925160011409709E-2</v>
      </c>
      <c r="BQ826">
        <v>6.7850320022819419E-2</v>
      </c>
      <c r="BR826">
        <v>3.3925160011409709E-2</v>
      </c>
      <c r="BS826">
        <v>0</v>
      </c>
      <c r="BT826" s="68" t="s">
        <v>1264</v>
      </c>
      <c r="BU826" s="68">
        <v>1373</v>
      </c>
      <c r="BV826" s="68">
        <v>12</v>
      </c>
      <c r="BX826" s="68" t="s">
        <v>1268</v>
      </c>
      <c r="BY826" s="68" t="s">
        <v>863</v>
      </c>
      <c r="BZ826" s="68">
        <v>1</v>
      </c>
      <c r="CB826" s="68">
        <v>0.5</v>
      </c>
      <c r="CC826" s="68">
        <v>1</v>
      </c>
      <c r="CD826" s="77" t="s">
        <v>464</v>
      </c>
      <c r="CE826" s="77" t="s">
        <v>464</v>
      </c>
      <c r="CF826" s="77" t="s">
        <v>1266</v>
      </c>
      <c r="CG826" s="77">
        <v>125</v>
      </c>
      <c r="CH826" s="77">
        <v>220</v>
      </c>
      <c r="CI826" s="77" t="s">
        <v>1287</v>
      </c>
      <c r="CJ826" s="77">
        <f t="shared" si="209"/>
        <v>288</v>
      </c>
      <c r="CK826" s="70">
        <v>95400</v>
      </c>
    </row>
    <row r="827" spans="1:89" x14ac:dyDescent="0.3">
      <c r="A827" t="s">
        <v>2743</v>
      </c>
      <c r="B827" t="s">
        <v>2776</v>
      </c>
      <c r="C827" t="s">
        <v>4271</v>
      </c>
      <c r="D827" s="12"/>
      <c r="E827">
        <v>3.4</v>
      </c>
      <c r="F827" t="s">
        <v>380</v>
      </c>
      <c r="G827" s="110" t="s">
        <v>2535</v>
      </c>
      <c r="H827">
        <v>-1</v>
      </c>
      <c r="J827" t="s">
        <v>1726</v>
      </c>
      <c r="M827" t="b">
        <v>1</v>
      </c>
      <c r="N827" t="b">
        <v>0</v>
      </c>
      <c r="O827" t="b">
        <v>0</v>
      </c>
      <c r="P827" t="b">
        <v>0</v>
      </c>
      <c r="Q827" t="s">
        <v>2462</v>
      </c>
      <c r="R827">
        <v>-1</v>
      </c>
      <c r="T827">
        <v>1</v>
      </c>
      <c r="U827" s="20">
        <v>0</v>
      </c>
      <c r="V827">
        <v>0</v>
      </c>
      <c r="W827">
        <v>0</v>
      </c>
      <c r="X827">
        <v>3.82</v>
      </c>
      <c r="Y827">
        <v>3.82</v>
      </c>
      <c r="Z827">
        <v>21.7</v>
      </c>
      <c r="AA827" t="s">
        <v>519</v>
      </c>
      <c r="AB827">
        <v>21.7</v>
      </c>
      <c r="AC827" s="20">
        <v>0</v>
      </c>
      <c r="AF827">
        <v>0</v>
      </c>
      <c r="AI827">
        <v>0</v>
      </c>
      <c r="AM827">
        <v>20</v>
      </c>
      <c r="AN827" s="44">
        <f t="shared" si="212"/>
        <v>316.65508</v>
      </c>
      <c r="AO827" s="46">
        <v>0</v>
      </c>
      <c r="AP827" s="44">
        <v>0</v>
      </c>
      <c r="AQ827" s="44">
        <v>0</v>
      </c>
      <c r="AR827" s="41">
        <f t="shared" si="211"/>
        <v>6.3160205735527761E-2</v>
      </c>
      <c r="AS827" s="41"/>
      <c r="AT827" s="41"/>
      <c r="AU827" s="41"/>
      <c r="AV827" s="23">
        <v>1.655172413793103</v>
      </c>
      <c r="AW827" s="23">
        <v>1.6896551724137929</v>
      </c>
      <c r="AX827" s="23">
        <v>0.27586206896551718</v>
      </c>
      <c r="AY827" s="23">
        <v>0</v>
      </c>
      <c r="AZ827" s="23">
        <v>0.45714285714285707</v>
      </c>
      <c r="BA827" s="23">
        <v>0.46666666666666667</v>
      </c>
      <c r="BB827" s="23">
        <v>7.6190476190476197E-2</v>
      </c>
      <c r="BC827" s="23">
        <v>0</v>
      </c>
      <c r="BD827" s="20">
        <v>1.1000000000000001</v>
      </c>
      <c r="BE827" s="20">
        <v>3.44</v>
      </c>
      <c r="BF827" s="20">
        <v>2.34</v>
      </c>
      <c r="BG827" s="20">
        <v>2.5486206896551722</v>
      </c>
      <c r="BH827">
        <v>2.5486206896551722</v>
      </c>
      <c r="BI827">
        <v>6.5402267453968976</v>
      </c>
      <c r="BJ827" s="64"/>
      <c r="BK827" s="64"/>
      <c r="BL827" s="64"/>
      <c r="BM827">
        <v>3.158010286776388E-2</v>
      </c>
      <c r="BQ827">
        <v>6.3160205735527761E-2</v>
      </c>
      <c r="BR827">
        <v>3.158010286776388E-2</v>
      </c>
      <c r="BS827">
        <v>0</v>
      </c>
      <c r="BT827" s="68" t="s">
        <v>1264</v>
      </c>
      <c r="BU827" s="68">
        <v>1373</v>
      </c>
      <c r="BV827" s="68">
        <v>12</v>
      </c>
      <c r="BX827" s="68" t="s">
        <v>1268</v>
      </c>
      <c r="BY827" s="68" t="s">
        <v>863</v>
      </c>
      <c r="BZ827" s="68">
        <v>1</v>
      </c>
      <c r="CB827" s="68">
        <v>0.5</v>
      </c>
      <c r="CC827" s="68">
        <v>1</v>
      </c>
      <c r="CD827" s="77" t="s">
        <v>464</v>
      </c>
      <c r="CE827" s="77" t="s">
        <v>464</v>
      </c>
      <c r="CF827" s="77" t="s">
        <v>1266</v>
      </c>
      <c r="CG827" s="77">
        <v>125</v>
      </c>
      <c r="CH827" s="77">
        <v>220</v>
      </c>
      <c r="CI827" s="77" t="s">
        <v>1287</v>
      </c>
      <c r="CJ827" s="77">
        <f t="shared" si="209"/>
        <v>288</v>
      </c>
      <c r="CK827" s="70">
        <v>79560</v>
      </c>
    </row>
    <row r="828" spans="1:89" x14ac:dyDescent="0.3">
      <c r="A828" t="s">
        <v>2573</v>
      </c>
      <c r="B828" t="s">
        <v>2776</v>
      </c>
      <c r="C828" t="s">
        <v>4272</v>
      </c>
      <c r="D828" s="12"/>
      <c r="E828">
        <v>3.42</v>
      </c>
      <c r="F828" t="s">
        <v>380</v>
      </c>
      <c r="G828" s="110" t="s">
        <v>2536</v>
      </c>
      <c r="H828">
        <v>-1</v>
      </c>
      <c r="J828" t="s">
        <v>1726</v>
      </c>
      <c r="M828" t="b">
        <v>1</v>
      </c>
      <c r="N828" t="b">
        <v>0</v>
      </c>
      <c r="O828" t="b">
        <v>0</v>
      </c>
      <c r="P828" t="b">
        <v>0</v>
      </c>
      <c r="Q828" t="s">
        <v>2464</v>
      </c>
      <c r="R828">
        <v>-1</v>
      </c>
      <c r="T828">
        <v>1</v>
      </c>
      <c r="U828" s="20">
        <v>0</v>
      </c>
      <c r="V828">
        <v>0</v>
      </c>
      <c r="W828">
        <v>0</v>
      </c>
      <c r="X828">
        <v>3.81</v>
      </c>
      <c r="Y828">
        <v>3.81</v>
      </c>
      <c r="Z828">
        <v>24.7</v>
      </c>
      <c r="AA828" t="s">
        <v>519</v>
      </c>
      <c r="AB828">
        <v>24.7</v>
      </c>
      <c r="AC828" s="20">
        <v>0</v>
      </c>
      <c r="AF828">
        <v>0</v>
      </c>
      <c r="AI828">
        <v>0</v>
      </c>
      <c r="AM828">
        <v>20</v>
      </c>
      <c r="AN828" s="44">
        <f t="shared" si="212"/>
        <v>358.54766999999998</v>
      </c>
      <c r="AO828" s="46">
        <v>0</v>
      </c>
      <c r="AP828" s="44">
        <v>0</v>
      </c>
      <c r="AQ828" s="44">
        <v>0</v>
      </c>
      <c r="AR828" s="41">
        <f t="shared" si="211"/>
        <v>5.5780588394285201E-2</v>
      </c>
      <c r="AS828" s="41"/>
      <c r="AT828" s="41"/>
      <c r="AU828" s="41"/>
      <c r="AV828" s="23">
        <v>1.625</v>
      </c>
      <c r="AW828" s="23">
        <v>1.59375</v>
      </c>
      <c r="AX828" s="23">
        <v>0.25</v>
      </c>
      <c r="AY828" s="23">
        <v>0</v>
      </c>
      <c r="AZ828" s="23">
        <v>0.46846846846846851</v>
      </c>
      <c r="BA828" s="23">
        <v>0.45945945945945948</v>
      </c>
      <c r="BB828" s="23">
        <v>7.2072072072072071E-2</v>
      </c>
      <c r="BC828" s="23">
        <v>0</v>
      </c>
      <c r="BD828" s="20">
        <v>1.1000000000000001</v>
      </c>
      <c r="BE828" s="20">
        <v>3.44</v>
      </c>
      <c r="BF828" s="20">
        <v>2.34</v>
      </c>
      <c r="BG828" s="20">
        <v>2.526875</v>
      </c>
      <c r="BH828">
        <v>2.526875</v>
      </c>
      <c r="BI828">
        <v>6.5712752819441249</v>
      </c>
      <c r="BJ828" s="64"/>
      <c r="BK828" s="64"/>
      <c r="BL828" s="64"/>
      <c r="BM828">
        <v>2.78902941971426E-2</v>
      </c>
      <c r="BQ828">
        <v>5.5780588394285201E-2</v>
      </c>
      <c r="BR828">
        <v>2.78902941971426E-2</v>
      </c>
      <c r="BS828">
        <v>0</v>
      </c>
      <c r="BT828" s="68" t="s">
        <v>1264</v>
      </c>
      <c r="BU828" s="68">
        <v>1373</v>
      </c>
      <c r="BV828" s="68">
        <v>12</v>
      </c>
      <c r="BX828" s="68" t="s">
        <v>1268</v>
      </c>
      <c r="BY828" s="68" t="s">
        <v>863</v>
      </c>
      <c r="BZ828" s="68">
        <v>1</v>
      </c>
      <c r="CA828" s="68">
        <v>4.09</v>
      </c>
      <c r="CB828" s="68">
        <v>0.5</v>
      </c>
      <c r="CC828" s="68">
        <v>1</v>
      </c>
      <c r="CD828" s="77" t="s">
        <v>464</v>
      </c>
      <c r="CE828" s="77" t="s">
        <v>464</v>
      </c>
      <c r="CF828" s="77" t="s">
        <v>1266</v>
      </c>
      <c r="CG828" s="77">
        <v>125</v>
      </c>
      <c r="CH828" s="77">
        <v>220</v>
      </c>
      <c r="CI828" s="77" t="s">
        <v>1287</v>
      </c>
      <c r="CJ828" s="77">
        <f t="shared" si="209"/>
        <v>288</v>
      </c>
      <c r="CK828" s="70">
        <v>87240</v>
      </c>
    </row>
    <row r="829" spans="1:89" x14ac:dyDescent="0.3">
      <c r="A829" t="s">
        <v>2574</v>
      </c>
      <c r="B829" t="s">
        <v>2776</v>
      </c>
      <c r="C829" t="s">
        <v>4273</v>
      </c>
      <c r="D829" s="12"/>
      <c r="E829">
        <v>3.41</v>
      </c>
      <c r="F829" t="s">
        <v>380</v>
      </c>
      <c r="G829" s="110" t="s">
        <v>2537</v>
      </c>
      <c r="H829">
        <v>-1</v>
      </c>
      <c r="J829" t="s">
        <v>1726</v>
      </c>
      <c r="M829" t="b">
        <v>1</v>
      </c>
      <c r="N829" t="b">
        <v>0</v>
      </c>
      <c r="O829" t="b">
        <v>0</v>
      </c>
      <c r="P829" t="b">
        <v>0</v>
      </c>
      <c r="Q829" t="s">
        <v>2466</v>
      </c>
      <c r="R829">
        <v>-1</v>
      </c>
      <c r="T829">
        <v>1</v>
      </c>
      <c r="U829" s="20">
        <v>0</v>
      </c>
      <c r="V829">
        <v>0</v>
      </c>
      <c r="W829">
        <v>0</v>
      </c>
      <c r="X829">
        <v>3.87</v>
      </c>
      <c r="Y829">
        <v>3.87</v>
      </c>
      <c r="Z829">
        <v>29.4</v>
      </c>
      <c r="AA829" t="s">
        <v>519</v>
      </c>
      <c r="AB829">
        <v>29.4</v>
      </c>
      <c r="AC829" s="20">
        <v>0</v>
      </c>
      <c r="AF829">
        <v>0</v>
      </c>
      <c r="AI829">
        <v>0</v>
      </c>
      <c r="AM829">
        <v>20</v>
      </c>
      <c r="AN829" s="44">
        <f t="shared" si="212"/>
        <v>440.32085999999998</v>
      </c>
      <c r="AO829" s="46">
        <v>0</v>
      </c>
      <c r="AP829" s="44">
        <v>0</v>
      </c>
      <c r="AQ829" s="44">
        <v>0</v>
      </c>
      <c r="AR829" s="41">
        <f t="shared" si="211"/>
        <v>4.5421422914190351E-2</v>
      </c>
      <c r="AS829" s="41"/>
      <c r="AT829" s="41"/>
      <c r="AU829" s="41"/>
      <c r="AV829" s="23">
        <v>1.5789473684210531</v>
      </c>
      <c r="AW829" s="23">
        <v>1.4473684210526321</v>
      </c>
      <c r="AX829" s="23">
        <v>0.2105263157894737</v>
      </c>
      <c r="AY829" s="23">
        <v>0</v>
      </c>
      <c r="AZ829" s="23">
        <v>0.48780487804878048</v>
      </c>
      <c r="BA829" s="23">
        <v>0.44715447154471538</v>
      </c>
      <c r="BB829" s="23">
        <v>6.5040650406504058E-2</v>
      </c>
      <c r="BC829" s="23">
        <v>0</v>
      </c>
      <c r="BD829" s="20">
        <v>1.1000000000000001</v>
      </c>
      <c r="BE829" s="20">
        <v>3.44</v>
      </c>
      <c r="BF829" s="20">
        <v>2.34</v>
      </c>
      <c r="BG829" s="20">
        <v>2.4936842105263159</v>
      </c>
      <c r="BH829">
        <v>2.4936842105263159</v>
      </c>
      <c r="BI829">
        <v>6.6186651535162104</v>
      </c>
      <c r="BJ829" s="64"/>
      <c r="BK829" s="64"/>
      <c r="BL829" s="64"/>
      <c r="BM829">
        <v>2.2710711457095179E-2</v>
      </c>
      <c r="BQ829">
        <v>4.5421422914190351E-2</v>
      </c>
      <c r="BR829">
        <v>2.2710711457095179E-2</v>
      </c>
      <c r="BS829">
        <v>0</v>
      </c>
      <c r="BT829" s="68" t="s">
        <v>1264</v>
      </c>
      <c r="BU829" s="68">
        <v>1373</v>
      </c>
      <c r="BV829" s="68">
        <v>12</v>
      </c>
      <c r="BX829" s="68" t="s">
        <v>1268</v>
      </c>
      <c r="BY829" s="68" t="s">
        <v>863</v>
      </c>
      <c r="BZ829" s="68">
        <v>1</v>
      </c>
      <c r="CB829" s="68">
        <v>0.5</v>
      </c>
      <c r="CC829" s="68">
        <v>1</v>
      </c>
      <c r="CD829" s="77" t="s">
        <v>464</v>
      </c>
      <c r="CE829" s="77" t="s">
        <v>464</v>
      </c>
      <c r="CF829" s="77" t="s">
        <v>1266</v>
      </c>
      <c r="CG829" s="77">
        <v>125</v>
      </c>
      <c r="CH829" s="77">
        <v>220</v>
      </c>
      <c r="CI829" s="77" t="s">
        <v>1287</v>
      </c>
      <c r="CJ829" s="77">
        <f t="shared" si="209"/>
        <v>288</v>
      </c>
      <c r="CK829" s="70">
        <v>66200</v>
      </c>
    </row>
    <row r="830" spans="1:89" x14ac:dyDescent="0.3">
      <c r="A830" t="s">
        <v>2575</v>
      </c>
      <c r="B830" t="s">
        <v>2776</v>
      </c>
      <c r="C830" t="s">
        <v>4274</v>
      </c>
      <c r="D830" s="12"/>
      <c r="E830">
        <v>3.4</v>
      </c>
      <c r="F830" t="s">
        <v>380</v>
      </c>
      <c r="G830" s="110" t="s">
        <v>2538</v>
      </c>
      <c r="H830">
        <v>-1</v>
      </c>
      <c r="J830" t="s">
        <v>1726</v>
      </c>
      <c r="M830" t="b">
        <v>1</v>
      </c>
      <c r="N830" t="b">
        <v>0</v>
      </c>
      <c r="O830" t="b">
        <v>0</v>
      </c>
      <c r="P830" t="b">
        <v>0</v>
      </c>
      <c r="Q830" t="s">
        <v>2468</v>
      </c>
      <c r="R830">
        <v>-1</v>
      </c>
      <c r="T830">
        <v>1</v>
      </c>
      <c r="U830" s="20">
        <v>0</v>
      </c>
      <c r="V830">
        <v>0</v>
      </c>
      <c r="W830">
        <v>0</v>
      </c>
      <c r="X830">
        <v>3.85</v>
      </c>
      <c r="Y830">
        <v>3.85</v>
      </c>
      <c r="Z830">
        <v>34.200000000000003</v>
      </c>
      <c r="AA830" t="s">
        <v>519</v>
      </c>
      <c r="AB830">
        <v>34.200000000000003</v>
      </c>
      <c r="AC830" s="20">
        <v>0</v>
      </c>
      <c r="AF830">
        <v>0</v>
      </c>
      <c r="AI830">
        <v>0</v>
      </c>
      <c r="AM830">
        <v>20</v>
      </c>
      <c r="AN830" s="44">
        <f t="shared" si="212"/>
        <v>506.92950000000008</v>
      </c>
      <c r="AO830" s="46">
        <v>0</v>
      </c>
      <c r="AP830" s="44">
        <v>0</v>
      </c>
      <c r="AQ830" s="44">
        <v>0</v>
      </c>
      <c r="AR830" s="41">
        <f t="shared" si="211"/>
        <v>3.9453217853764669E-2</v>
      </c>
      <c r="AS830" s="41"/>
      <c r="AT830" s="41"/>
      <c r="AU830" s="41"/>
      <c r="AV830" s="23">
        <v>1.545454545454545</v>
      </c>
      <c r="AW830" s="23">
        <v>1.3409090909090911</v>
      </c>
      <c r="AX830" s="23">
        <v>0.1818181818181818</v>
      </c>
      <c r="AY830" s="23">
        <v>0</v>
      </c>
      <c r="AZ830" s="23">
        <v>0.50370370370370365</v>
      </c>
      <c r="BA830" s="23">
        <v>0.437037037037037</v>
      </c>
      <c r="BB830" s="23">
        <v>5.9259259259259248E-2</v>
      </c>
      <c r="BC830" s="23">
        <v>0</v>
      </c>
      <c r="BD830" s="20">
        <v>1.1000000000000001</v>
      </c>
      <c r="BE830" s="20">
        <v>3.44</v>
      </c>
      <c r="BF830" s="20">
        <v>2.34</v>
      </c>
      <c r="BG830" s="20">
        <v>2.4695454545454552</v>
      </c>
      <c r="BH830">
        <v>2.4695454545454538</v>
      </c>
      <c r="BI830">
        <v>6.6531305146595452</v>
      </c>
      <c r="BJ830" s="64"/>
      <c r="BK830" s="64"/>
      <c r="BL830" s="64"/>
      <c r="BM830">
        <v>1.9726608926882331E-2</v>
      </c>
      <c r="BQ830">
        <v>3.9453217853764669E-2</v>
      </c>
      <c r="BR830">
        <v>1.9726608926882331E-2</v>
      </c>
      <c r="BS830">
        <v>0</v>
      </c>
      <c r="BT830" s="68" t="s">
        <v>1264</v>
      </c>
      <c r="BU830" s="68">
        <v>1373</v>
      </c>
      <c r="BV830" s="68">
        <v>12</v>
      </c>
      <c r="BX830" s="68" t="s">
        <v>1268</v>
      </c>
      <c r="BY830" s="68" t="s">
        <v>863</v>
      </c>
      <c r="BZ830" s="68">
        <v>1</v>
      </c>
      <c r="CA830" s="68">
        <v>4.38</v>
      </c>
      <c r="CB830" s="68">
        <v>0.5</v>
      </c>
      <c r="CC830" s="68">
        <v>1</v>
      </c>
      <c r="CD830" s="77" t="s">
        <v>464</v>
      </c>
      <c r="CE830" s="77" t="s">
        <v>464</v>
      </c>
      <c r="CF830" s="77" t="s">
        <v>1266</v>
      </c>
      <c r="CG830" s="77">
        <v>125</v>
      </c>
      <c r="CH830" s="77">
        <v>220</v>
      </c>
      <c r="CI830" s="77" t="s">
        <v>1287</v>
      </c>
      <c r="CJ830" s="77">
        <f t="shared" si="209"/>
        <v>288</v>
      </c>
      <c r="CK830" s="70">
        <v>73440</v>
      </c>
    </row>
    <row r="831" spans="1:89" x14ac:dyDescent="0.3">
      <c r="A831" t="s">
        <v>2576</v>
      </c>
      <c r="B831" t="s">
        <v>2776</v>
      </c>
      <c r="C831" t="s">
        <v>4275</v>
      </c>
      <c r="D831" s="12"/>
      <c r="E831">
        <v>3.33</v>
      </c>
      <c r="F831" t="s">
        <v>380</v>
      </c>
      <c r="G831" s="110" t="s">
        <v>2539</v>
      </c>
      <c r="H831">
        <v>-1</v>
      </c>
      <c r="J831" t="s">
        <v>1726</v>
      </c>
      <c r="M831" t="b">
        <v>1</v>
      </c>
      <c r="N831" t="b">
        <v>0</v>
      </c>
      <c r="O831" t="b">
        <v>0</v>
      </c>
      <c r="P831" t="b">
        <v>0</v>
      </c>
      <c r="Q831" t="s">
        <v>2470</v>
      </c>
      <c r="R831">
        <v>-1</v>
      </c>
      <c r="T831">
        <v>2</v>
      </c>
      <c r="U831" s="20">
        <v>0</v>
      </c>
      <c r="V831">
        <v>0</v>
      </c>
      <c r="W831">
        <v>0</v>
      </c>
      <c r="X831">
        <v>3.81</v>
      </c>
      <c r="Y831">
        <v>3.81</v>
      </c>
      <c r="Z831">
        <v>35.1</v>
      </c>
      <c r="AA831" t="s">
        <v>519</v>
      </c>
      <c r="AB831">
        <v>17.55</v>
      </c>
      <c r="AC831" s="20">
        <v>0</v>
      </c>
      <c r="AF831">
        <v>0</v>
      </c>
      <c r="AI831">
        <v>0</v>
      </c>
      <c r="AM831">
        <v>20</v>
      </c>
      <c r="AN831" s="44">
        <f t="shared" si="212"/>
        <v>509.51510999999999</v>
      </c>
      <c r="AO831" s="46">
        <v>0</v>
      </c>
      <c r="AP831" s="44">
        <v>0</v>
      </c>
      <c r="AQ831" s="44">
        <v>0</v>
      </c>
      <c r="AR831" s="41">
        <f t="shared" si="211"/>
        <v>7.8506013295660648E-2</v>
      </c>
      <c r="AS831" s="41"/>
      <c r="AT831" s="41"/>
      <c r="AU831" s="41"/>
      <c r="AV831" s="23">
        <v>1.7727272727272729</v>
      </c>
      <c r="AW831" s="23">
        <v>2.0909090909090908</v>
      </c>
      <c r="AX831" s="23">
        <v>0.36363636363636359</v>
      </c>
      <c r="AY831" s="23">
        <v>0</v>
      </c>
      <c r="AZ831" s="23">
        <v>0.41935483870967738</v>
      </c>
      <c r="BA831" s="23">
        <v>0.49462365591397839</v>
      </c>
      <c r="BB831" s="23">
        <v>8.6021505376344079E-2</v>
      </c>
      <c r="BC831" s="23">
        <v>0</v>
      </c>
      <c r="BD831" s="20">
        <v>1.1000000000000001</v>
      </c>
      <c r="BE831" s="20">
        <v>3.44</v>
      </c>
      <c r="BF831" s="20">
        <v>2.34</v>
      </c>
      <c r="BG831" s="20">
        <v>2.645909090909091</v>
      </c>
      <c r="BH831">
        <v>2.645909090909091</v>
      </c>
      <c r="BI831">
        <v>6.4349594388752269</v>
      </c>
      <c r="BJ831" s="64"/>
      <c r="BK831" s="64"/>
      <c r="BL831" s="64"/>
      <c r="BM831">
        <v>4.3178307312613358E-2</v>
      </c>
      <c r="BQ831">
        <v>7.8506013295660648E-2</v>
      </c>
      <c r="BR831">
        <v>4.3178307312613358E-2</v>
      </c>
      <c r="BS831">
        <v>0</v>
      </c>
      <c r="BT831" s="68" t="s">
        <v>1264</v>
      </c>
      <c r="BU831" s="68">
        <v>1373</v>
      </c>
      <c r="BV831" s="68">
        <v>12</v>
      </c>
      <c r="BX831" s="68" t="s">
        <v>1268</v>
      </c>
      <c r="BY831" s="68" t="s">
        <v>863</v>
      </c>
      <c r="BZ831" s="68">
        <v>1</v>
      </c>
      <c r="CA831" s="68">
        <v>5.73</v>
      </c>
      <c r="CB831" s="68">
        <v>0.5</v>
      </c>
      <c r="CC831" s="68">
        <v>1</v>
      </c>
      <c r="CD831" s="77" t="s">
        <v>464</v>
      </c>
      <c r="CE831" s="77" t="s">
        <v>464</v>
      </c>
      <c r="CF831" s="77" t="s">
        <v>1266</v>
      </c>
      <c r="CG831" s="77">
        <v>125</v>
      </c>
      <c r="CH831" s="77">
        <v>220</v>
      </c>
      <c r="CI831" s="77" t="s">
        <v>1287</v>
      </c>
      <c r="CJ831" s="77">
        <f t="shared" si="209"/>
        <v>288</v>
      </c>
      <c r="CK831" s="70">
        <v>47920</v>
      </c>
    </row>
    <row r="832" spans="1:89" x14ac:dyDescent="0.3">
      <c r="A832" t="s">
        <v>2567</v>
      </c>
      <c r="B832" t="s">
        <v>2776</v>
      </c>
      <c r="C832" t="s">
        <v>4264</v>
      </c>
      <c r="D832" s="12"/>
      <c r="E832">
        <v>3.41</v>
      </c>
      <c r="F832" t="s">
        <v>380</v>
      </c>
      <c r="G832" s="110" t="s">
        <v>2533</v>
      </c>
      <c r="H832">
        <v>-1</v>
      </c>
      <c r="J832" t="s">
        <v>1726</v>
      </c>
      <c r="M832" t="b">
        <v>1</v>
      </c>
      <c r="N832" t="b">
        <v>0</v>
      </c>
      <c r="O832" t="b">
        <v>0</v>
      </c>
      <c r="P832" t="b">
        <v>0</v>
      </c>
      <c r="Q832" t="s">
        <v>2472</v>
      </c>
      <c r="R832">
        <v>-1</v>
      </c>
      <c r="T832">
        <v>2</v>
      </c>
      <c r="U832" s="20">
        <v>0</v>
      </c>
      <c r="V832">
        <v>0</v>
      </c>
      <c r="W832">
        <v>0</v>
      </c>
      <c r="X832">
        <v>3.83</v>
      </c>
      <c r="Y832">
        <v>3.83</v>
      </c>
      <c r="Z832">
        <v>39.5</v>
      </c>
      <c r="AA832" t="s">
        <v>519</v>
      </c>
      <c r="AB832">
        <v>19.75</v>
      </c>
      <c r="AC832" s="20">
        <v>0</v>
      </c>
      <c r="AF832">
        <v>0</v>
      </c>
      <c r="AI832">
        <v>0</v>
      </c>
      <c r="AM832">
        <v>20</v>
      </c>
      <c r="AN832" s="44">
        <f t="shared" si="212"/>
        <v>579.42155000000002</v>
      </c>
      <c r="AO832" s="46">
        <v>0</v>
      </c>
      <c r="AP832" s="44">
        <v>0</v>
      </c>
      <c r="AQ832" s="44">
        <v>0</v>
      </c>
      <c r="AR832" s="41">
        <f t="shared" si="211"/>
        <v>6.9034367120104523E-2</v>
      </c>
      <c r="AS832" s="41"/>
      <c r="AT832" s="41"/>
      <c r="AU832" s="41"/>
      <c r="AV832" s="23">
        <v>1.72</v>
      </c>
      <c r="AW832" s="23">
        <v>1.92</v>
      </c>
      <c r="AX832" s="23">
        <v>0.32</v>
      </c>
      <c r="AY832" s="23">
        <v>0</v>
      </c>
      <c r="AZ832" s="23">
        <v>0.43434343434343442</v>
      </c>
      <c r="BA832" s="23">
        <v>0.48484848484848492</v>
      </c>
      <c r="BB832" s="23">
        <v>8.0808080808080815E-2</v>
      </c>
      <c r="BC832" s="23">
        <v>0</v>
      </c>
      <c r="BD832" s="20">
        <v>1.1000000000000001</v>
      </c>
      <c r="BE832" s="20">
        <v>3.44</v>
      </c>
      <c r="BF832" s="20">
        <v>2.34</v>
      </c>
      <c r="BG832" s="20">
        <v>2.6063999999999998</v>
      </c>
      <c r="BH832">
        <v>2.6063999999999998</v>
      </c>
      <c r="BI832">
        <v>6.4873336424382799</v>
      </c>
      <c r="BJ832" s="64"/>
      <c r="BK832" s="64"/>
      <c r="BL832" s="64"/>
      <c r="BM832">
        <v>3.7968901916057493E-2</v>
      </c>
      <c r="BQ832">
        <v>6.9034367120104523E-2</v>
      </c>
      <c r="BR832">
        <v>3.7968901916057493E-2</v>
      </c>
      <c r="BS832">
        <v>0</v>
      </c>
      <c r="BT832" s="68" t="s">
        <v>1264</v>
      </c>
      <c r="BU832" s="68">
        <v>1373</v>
      </c>
      <c r="BV832" s="68">
        <v>12</v>
      </c>
      <c r="BX832" s="68" t="s">
        <v>1268</v>
      </c>
      <c r="BY832" s="68" t="s">
        <v>863</v>
      </c>
      <c r="BZ832" s="68">
        <v>1</v>
      </c>
      <c r="CB832" s="68">
        <v>0.5</v>
      </c>
      <c r="CC832" s="68">
        <v>1</v>
      </c>
      <c r="CD832" s="77" t="s">
        <v>464</v>
      </c>
      <c r="CE832" s="77" t="s">
        <v>464</v>
      </c>
      <c r="CF832" s="77" t="s">
        <v>1266</v>
      </c>
      <c r="CG832" s="77">
        <v>125</v>
      </c>
      <c r="CH832" s="77">
        <v>220</v>
      </c>
      <c r="CI832" s="77" t="s">
        <v>1287</v>
      </c>
      <c r="CJ832" s="77">
        <f t="shared" si="209"/>
        <v>288</v>
      </c>
      <c r="CK832" s="70">
        <v>119880</v>
      </c>
    </row>
    <row r="833" spans="1:89" x14ac:dyDescent="0.3">
      <c r="A833" t="s">
        <v>2744</v>
      </c>
      <c r="B833" t="s">
        <v>2776</v>
      </c>
      <c r="C833" t="s">
        <v>4276</v>
      </c>
      <c r="D833" s="12"/>
      <c r="E833">
        <v>3.38</v>
      </c>
      <c r="F833" t="s">
        <v>380</v>
      </c>
      <c r="G833" s="110" t="s">
        <v>2540</v>
      </c>
      <c r="H833">
        <v>-1</v>
      </c>
      <c r="J833" t="s">
        <v>1726</v>
      </c>
      <c r="M833" t="b">
        <v>1</v>
      </c>
      <c r="N833" t="b">
        <v>0</v>
      </c>
      <c r="O833" t="b">
        <v>0</v>
      </c>
      <c r="P833" t="b">
        <v>0</v>
      </c>
      <c r="Q833" t="s">
        <v>2473</v>
      </c>
      <c r="R833">
        <v>-1</v>
      </c>
      <c r="T833">
        <v>2</v>
      </c>
      <c r="U833" s="20">
        <v>0</v>
      </c>
      <c r="V833">
        <v>0</v>
      </c>
      <c r="W833">
        <v>0</v>
      </c>
      <c r="X833">
        <v>3.83</v>
      </c>
      <c r="Y833">
        <v>3.83</v>
      </c>
      <c r="Z833">
        <v>44.2</v>
      </c>
      <c r="AA833" t="s">
        <v>519</v>
      </c>
      <c r="AB833">
        <v>22.1</v>
      </c>
      <c r="AC833" s="20">
        <v>0</v>
      </c>
      <c r="AF833">
        <v>0</v>
      </c>
      <c r="AI833">
        <v>0</v>
      </c>
      <c r="AM833">
        <v>20</v>
      </c>
      <c r="AN833" s="44">
        <f t="shared" si="212"/>
        <v>648.36538000000007</v>
      </c>
      <c r="AO833" s="46">
        <v>0</v>
      </c>
      <c r="AP833" s="44">
        <v>0</v>
      </c>
      <c r="AQ833" s="44">
        <v>0</v>
      </c>
      <c r="AR833" s="41">
        <f t="shared" si="211"/>
        <v>6.1693608625432772E-2</v>
      </c>
      <c r="AS833" s="41"/>
      <c r="AT833" s="41"/>
      <c r="AU833" s="41"/>
      <c r="AV833" s="23">
        <v>1.678571428571429</v>
      </c>
      <c r="AW833" s="23">
        <v>1.785714285714286</v>
      </c>
      <c r="AX833" s="23">
        <v>0.2857142857142857</v>
      </c>
      <c r="AY833" s="23">
        <v>0</v>
      </c>
      <c r="AZ833" s="23">
        <v>0.44761904761904758</v>
      </c>
      <c r="BA833" s="23">
        <v>0.47619047619047622</v>
      </c>
      <c r="BB833" s="23">
        <v>7.6190476190476183E-2</v>
      </c>
      <c r="BC833" s="23">
        <v>0</v>
      </c>
      <c r="BD833" s="20">
        <v>1.1000000000000001</v>
      </c>
      <c r="BE833" s="20">
        <v>3.44</v>
      </c>
      <c r="BF833" s="20">
        <v>2.34</v>
      </c>
      <c r="BG833" s="20">
        <v>2.5753571428571429</v>
      </c>
      <c r="BH833">
        <v>2.5753571428571429</v>
      </c>
      <c r="BI833">
        <v>6.5284848023806781</v>
      </c>
      <c r="BJ833" s="64"/>
      <c r="BK833" s="64"/>
      <c r="BL833" s="64"/>
      <c r="BM833">
        <v>3.3931484743988022E-2</v>
      </c>
      <c r="BQ833">
        <v>6.1693608625432772E-2</v>
      </c>
      <c r="BR833">
        <v>3.3931484743988022E-2</v>
      </c>
      <c r="BS833">
        <v>0</v>
      </c>
      <c r="BT833" s="68" t="s">
        <v>1264</v>
      </c>
      <c r="BU833" s="68">
        <v>1373</v>
      </c>
      <c r="BV833" s="68">
        <v>12</v>
      </c>
      <c r="BX833" s="68" t="s">
        <v>1268</v>
      </c>
      <c r="BY833" s="68" t="s">
        <v>863</v>
      </c>
      <c r="BZ833" s="68">
        <v>1</v>
      </c>
      <c r="CB833" s="68">
        <v>0.5</v>
      </c>
      <c r="CC833" s="68">
        <v>1</v>
      </c>
      <c r="CD833" s="77" t="s">
        <v>464</v>
      </c>
      <c r="CE833" s="77" t="s">
        <v>464</v>
      </c>
      <c r="CF833" s="77" t="s">
        <v>1266</v>
      </c>
      <c r="CG833" s="77">
        <v>125</v>
      </c>
      <c r="CH833" s="77">
        <v>220</v>
      </c>
      <c r="CI833" s="77" t="s">
        <v>1287</v>
      </c>
      <c r="CJ833" s="77">
        <f t="shared" si="209"/>
        <v>288</v>
      </c>
      <c r="CK833" s="70">
        <v>111320</v>
      </c>
    </row>
    <row r="834" spans="1:89" x14ac:dyDescent="0.3">
      <c r="A834" t="s">
        <v>2577</v>
      </c>
      <c r="B834" t="s">
        <v>2776</v>
      </c>
      <c r="C834" t="s">
        <v>4277</v>
      </c>
      <c r="D834" s="12"/>
      <c r="E834">
        <v>3.4</v>
      </c>
      <c r="F834" t="s">
        <v>380</v>
      </c>
      <c r="G834" s="110" t="s">
        <v>2541</v>
      </c>
      <c r="H834">
        <v>-1</v>
      </c>
      <c r="J834" t="s">
        <v>1726</v>
      </c>
      <c r="M834" t="b">
        <v>1</v>
      </c>
      <c r="N834" t="b">
        <v>0</v>
      </c>
      <c r="O834" t="b">
        <v>0</v>
      </c>
      <c r="P834" t="b">
        <v>0</v>
      </c>
      <c r="Q834" t="s">
        <v>2474</v>
      </c>
      <c r="R834">
        <v>-1</v>
      </c>
      <c r="T834">
        <v>2</v>
      </c>
      <c r="U834" s="20">
        <v>0</v>
      </c>
      <c r="V834">
        <v>0</v>
      </c>
      <c r="W834">
        <v>0</v>
      </c>
      <c r="X834">
        <v>3.82</v>
      </c>
      <c r="Y834">
        <v>3.82</v>
      </c>
      <c r="Z834">
        <v>48.5</v>
      </c>
      <c r="AA834" t="s">
        <v>519</v>
      </c>
      <c r="AB834">
        <v>24.25</v>
      </c>
      <c r="AC834" s="20">
        <v>0</v>
      </c>
      <c r="AF834">
        <v>0</v>
      </c>
      <c r="AI834">
        <v>0</v>
      </c>
      <c r="AM834">
        <v>20</v>
      </c>
      <c r="AN834" s="44">
        <f t="shared" si="212"/>
        <v>707.73140000000001</v>
      </c>
      <c r="AO834" s="46">
        <v>0</v>
      </c>
      <c r="AP834" s="44">
        <v>0</v>
      </c>
      <c r="AQ834" s="44">
        <v>0</v>
      </c>
      <c r="AR834" s="41">
        <f t="shared" si="211"/>
        <v>5.6518617091173291E-2</v>
      </c>
      <c r="AS834" s="41"/>
      <c r="AT834" s="41"/>
      <c r="AU834" s="41"/>
      <c r="AV834" s="23">
        <v>1.645161290322581</v>
      </c>
      <c r="AW834" s="23">
        <v>1.67741935483871</v>
      </c>
      <c r="AX834" s="23">
        <v>0.25806451612903231</v>
      </c>
      <c r="AY834" s="23">
        <v>0</v>
      </c>
      <c r="AZ834" s="23">
        <v>0.45945945945945948</v>
      </c>
      <c r="BA834" s="23">
        <v>0.46846846846846851</v>
      </c>
      <c r="BB834" s="23">
        <v>7.2072072072072071E-2</v>
      </c>
      <c r="BC834" s="23">
        <v>0</v>
      </c>
      <c r="BD834" s="20">
        <v>1.1000000000000001</v>
      </c>
      <c r="BE834" s="20">
        <v>3.44</v>
      </c>
      <c r="BF834" s="20">
        <v>2.34</v>
      </c>
      <c r="BG834" s="20">
        <v>2.5503225806451608</v>
      </c>
      <c r="BH834">
        <v>2.5503225806451608</v>
      </c>
      <c r="BI834">
        <v>6.5616712216890649</v>
      </c>
      <c r="BJ834" s="64"/>
      <c r="BK834" s="64"/>
      <c r="BL834" s="64"/>
      <c r="BM834">
        <v>3.108523940014531E-2</v>
      </c>
      <c r="BQ834">
        <v>5.6518617091173291E-2</v>
      </c>
      <c r="BR834">
        <v>3.108523940014531E-2</v>
      </c>
      <c r="BS834">
        <v>0</v>
      </c>
      <c r="BT834" s="68" t="s">
        <v>1264</v>
      </c>
      <c r="BU834" s="68">
        <v>1373</v>
      </c>
      <c r="BV834" s="68">
        <v>12</v>
      </c>
      <c r="BX834" s="68" t="s">
        <v>1268</v>
      </c>
      <c r="BY834" s="68" t="s">
        <v>863</v>
      </c>
      <c r="BZ834" s="68">
        <v>1</v>
      </c>
      <c r="CA834" s="68">
        <v>4.1900000000000004</v>
      </c>
      <c r="CB834" s="68">
        <v>0.5</v>
      </c>
      <c r="CC834" s="68">
        <v>1</v>
      </c>
      <c r="CD834" s="77" t="s">
        <v>464</v>
      </c>
      <c r="CE834" s="77" t="s">
        <v>464</v>
      </c>
      <c r="CF834" s="77" t="s">
        <v>1266</v>
      </c>
      <c r="CG834" s="77">
        <v>125</v>
      </c>
      <c r="CH834" s="77">
        <v>220</v>
      </c>
      <c r="CI834" s="77" t="s">
        <v>1287</v>
      </c>
      <c r="CJ834" s="77">
        <f t="shared" si="209"/>
        <v>288</v>
      </c>
      <c r="CK834" s="70">
        <v>110040</v>
      </c>
    </row>
    <row r="835" spans="1:89" x14ac:dyDescent="0.3">
      <c r="A835" t="s">
        <v>2578</v>
      </c>
      <c r="B835" t="s">
        <v>2776</v>
      </c>
      <c r="C835" t="s">
        <v>4278</v>
      </c>
      <c r="D835" s="12"/>
      <c r="E835">
        <v>3.4</v>
      </c>
      <c r="F835" t="s">
        <v>380</v>
      </c>
      <c r="G835" s="110" t="s">
        <v>2542</v>
      </c>
      <c r="H835">
        <v>-1</v>
      </c>
      <c r="J835" t="s">
        <v>1726</v>
      </c>
      <c r="M835" t="b">
        <v>1</v>
      </c>
      <c r="N835" t="b">
        <v>0</v>
      </c>
      <c r="O835" t="b">
        <v>0</v>
      </c>
      <c r="P835" t="b">
        <v>0</v>
      </c>
      <c r="Q835" t="s">
        <v>2475</v>
      </c>
      <c r="R835">
        <v>-1</v>
      </c>
      <c r="T835">
        <v>1</v>
      </c>
      <c r="U835" s="20">
        <v>0</v>
      </c>
      <c r="V835">
        <v>0</v>
      </c>
      <c r="W835">
        <v>0</v>
      </c>
      <c r="X835">
        <v>3.82</v>
      </c>
      <c r="Y835">
        <v>3.82</v>
      </c>
      <c r="Z835">
        <v>29.2</v>
      </c>
      <c r="AA835" t="s">
        <v>519</v>
      </c>
      <c r="AB835">
        <v>29.2</v>
      </c>
      <c r="AC835" s="20">
        <v>0</v>
      </c>
      <c r="AF835">
        <v>0</v>
      </c>
      <c r="AI835">
        <v>0</v>
      </c>
      <c r="AM835">
        <v>20</v>
      </c>
      <c r="AN835" s="44">
        <f t="shared" si="212"/>
        <v>426.09807999999998</v>
      </c>
      <c r="AO835" s="46">
        <v>0</v>
      </c>
      <c r="AP835" s="44">
        <v>0</v>
      </c>
      <c r="AQ835" s="44">
        <v>0</v>
      </c>
      <c r="AR835" s="41">
        <f t="shared" si="211"/>
        <v>4.6937550152772338E-2</v>
      </c>
      <c r="AS835" s="41"/>
      <c r="AT835" s="41"/>
      <c r="AU835" s="41"/>
      <c r="AV835" s="23">
        <v>1.594594594594595</v>
      </c>
      <c r="AW835" s="23">
        <v>1.513513513513514</v>
      </c>
      <c r="AX835" s="23">
        <v>0.2162162162162162</v>
      </c>
      <c r="AY835" s="23">
        <v>0</v>
      </c>
      <c r="AZ835" s="23">
        <v>0.47967479674796748</v>
      </c>
      <c r="BA835" s="23">
        <v>0.45528455284552849</v>
      </c>
      <c r="BB835" s="23">
        <v>6.5040650406504072E-2</v>
      </c>
      <c r="BC835" s="23">
        <v>0</v>
      </c>
      <c r="BD835" s="20">
        <v>1.1000000000000001</v>
      </c>
      <c r="BE835" s="20">
        <v>3.44</v>
      </c>
      <c r="BF835" s="20">
        <v>2.34</v>
      </c>
      <c r="BG835" s="20">
        <v>2.512432432432433</v>
      </c>
      <c r="BH835">
        <v>2.512432432432433</v>
      </c>
      <c r="BI835">
        <v>6.6118993157774328</v>
      </c>
      <c r="BJ835" s="64"/>
      <c r="BK835" s="64"/>
      <c r="BL835" s="64"/>
      <c r="BM835">
        <v>2.5815652584024788E-2</v>
      </c>
      <c r="BQ835">
        <v>4.6937550152772338E-2</v>
      </c>
      <c r="BR835">
        <v>2.5815652584024788E-2</v>
      </c>
      <c r="BS835">
        <v>0</v>
      </c>
      <c r="BT835" s="68" t="s">
        <v>1264</v>
      </c>
      <c r="BU835" s="68">
        <v>1373</v>
      </c>
      <c r="BV835" s="68">
        <v>12</v>
      </c>
      <c r="BX835" s="68" t="s">
        <v>1268</v>
      </c>
      <c r="BY835" s="68" t="s">
        <v>863</v>
      </c>
      <c r="BZ835" s="68">
        <v>1</v>
      </c>
      <c r="CB835" s="68">
        <v>0.5</v>
      </c>
      <c r="CC835" s="68">
        <v>1</v>
      </c>
      <c r="CD835" s="77" t="s">
        <v>464</v>
      </c>
      <c r="CE835" s="77" t="s">
        <v>464</v>
      </c>
      <c r="CF835" s="77" t="s">
        <v>1266</v>
      </c>
      <c r="CG835" s="77">
        <v>125</v>
      </c>
      <c r="CH835" s="77">
        <v>220</v>
      </c>
      <c r="CI835" s="77" t="s">
        <v>1287</v>
      </c>
      <c r="CJ835" s="77">
        <f t="shared" si="209"/>
        <v>288</v>
      </c>
      <c r="CK835" s="70">
        <v>114040</v>
      </c>
    </row>
    <row r="836" spans="1:89" x14ac:dyDescent="0.3">
      <c r="A836" t="s">
        <v>2579</v>
      </c>
      <c r="B836" t="s">
        <v>2776</v>
      </c>
      <c r="C836" t="s">
        <v>4279</v>
      </c>
      <c r="D836" s="12"/>
      <c r="E836">
        <v>3.38</v>
      </c>
      <c r="F836" t="s">
        <v>380</v>
      </c>
      <c r="G836" s="110" t="s">
        <v>2543</v>
      </c>
      <c r="H836">
        <v>-1</v>
      </c>
      <c r="J836" t="s">
        <v>1726</v>
      </c>
      <c r="M836" t="b">
        <v>0</v>
      </c>
      <c r="N836" t="b">
        <v>0</v>
      </c>
      <c r="O836" t="b">
        <v>0</v>
      </c>
      <c r="P836" t="b">
        <v>1</v>
      </c>
      <c r="Q836" t="s">
        <v>2592</v>
      </c>
      <c r="R836">
        <v>-1</v>
      </c>
      <c r="T836">
        <v>1</v>
      </c>
      <c r="U836" s="20">
        <v>0</v>
      </c>
      <c r="V836">
        <v>0</v>
      </c>
      <c r="W836">
        <v>0</v>
      </c>
      <c r="X836">
        <v>3.82</v>
      </c>
      <c r="Y836">
        <v>3.82</v>
      </c>
      <c r="Z836">
        <v>31.3</v>
      </c>
      <c r="AA836" t="s">
        <v>519</v>
      </c>
      <c r="AB836">
        <v>31.3</v>
      </c>
      <c r="AC836" s="20">
        <v>0</v>
      </c>
      <c r="AF836">
        <v>0</v>
      </c>
      <c r="AI836">
        <v>0</v>
      </c>
      <c r="AM836">
        <v>20</v>
      </c>
      <c r="AN836" s="44">
        <f t="shared" si="212"/>
        <v>456.74212</v>
      </c>
      <c r="AO836" s="46">
        <v>0</v>
      </c>
      <c r="AP836" s="44">
        <v>0</v>
      </c>
      <c r="AQ836" s="44">
        <v>0</v>
      </c>
      <c r="AR836" s="41">
        <f t="shared" si="211"/>
        <v>4.3788385446036811E-2</v>
      </c>
      <c r="AS836" s="41"/>
      <c r="AT836" s="41"/>
      <c r="AU836" s="41"/>
      <c r="AV836" s="23">
        <v>1.558139534883721</v>
      </c>
      <c r="AW836" s="23">
        <v>1.3953488372093019</v>
      </c>
      <c r="AX836" s="23">
        <v>0.186046511627907</v>
      </c>
      <c r="AY836" s="23">
        <v>0</v>
      </c>
      <c r="AZ836" s="23">
        <v>0.49629629629629629</v>
      </c>
      <c r="BA836" s="23">
        <v>0.44444444444444448</v>
      </c>
      <c r="BB836" s="23">
        <v>5.9259259259259262E-2</v>
      </c>
      <c r="BC836" s="23">
        <v>0</v>
      </c>
      <c r="BD836" s="20">
        <v>1.1000000000000001</v>
      </c>
      <c r="BE836" s="20">
        <v>3.44</v>
      </c>
      <c r="BF836" s="20">
        <v>2.34</v>
      </c>
      <c r="BG836" s="20">
        <v>2.4851162790697678</v>
      </c>
      <c r="BH836">
        <v>2.485116279069767</v>
      </c>
      <c r="BI836">
        <v>6.6481102673295114</v>
      </c>
      <c r="BJ836" s="64"/>
      <c r="BK836" s="64"/>
      <c r="BL836" s="64"/>
      <c r="BM836">
        <v>2.4083611995320251E-2</v>
      </c>
      <c r="BQ836">
        <v>4.3788385446036811E-2</v>
      </c>
      <c r="BR836">
        <v>2.4083611995320251E-2</v>
      </c>
      <c r="BS836">
        <v>0</v>
      </c>
      <c r="BT836" s="68" t="s">
        <v>1264</v>
      </c>
      <c r="BU836" s="68">
        <v>1373</v>
      </c>
      <c r="BV836" s="68">
        <v>12</v>
      </c>
      <c r="BX836" s="68" t="s">
        <v>1268</v>
      </c>
      <c r="BY836" s="68" t="s">
        <v>863</v>
      </c>
      <c r="BZ836" s="68">
        <v>1</v>
      </c>
      <c r="CA836" s="68">
        <v>5.46</v>
      </c>
      <c r="CB836" s="68">
        <v>0.5</v>
      </c>
      <c r="CC836" s="68">
        <v>1</v>
      </c>
      <c r="CD836" s="77" t="s">
        <v>464</v>
      </c>
      <c r="CE836" s="77" t="s">
        <v>464</v>
      </c>
      <c r="CF836" s="77" t="s">
        <v>1266</v>
      </c>
      <c r="CG836" s="77">
        <v>125</v>
      </c>
      <c r="CH836" s="77">
        <v>220</v>
      </c>
      <c r="CI836" s="77" t="s">
        <v>1287</v>
      </c>
      <c r="CJ836" s="77">
        <f t="shared" si="209"/>
        <v>288</v>
      </c>
      <c r="CK836" s="70">
        <v>86200</v>
      </c>
    </row>
    <row r="837" spans="1:89" x14ac:dyDescent="0.3">
      <c r="A837" t="s">
        <v>381</v>
      </c>
      <c r="B837" t="s">
        <v>2776</v>
      </c>
      <c r="C837" t="s">
        <v>4280</v>
      </c>
      <c r="D837" s="12"/>
      <c r="E837">
        <v>3.47</v>
      </c>
      <c r="F837" t="s">
        <v>380</v>
      </c>
      <c r="G837" s="99" t="s">
        <v>549</v>
      </c>
      <c r="H837">
        <v>-1</v>
      </c>
      <c r="J837" t="s">
        <v>1752</v>
      </c>
      <c r="M837" t="b">
        <v>1</v>
      </c>
      <c r="N837" t="b">
        <v>0</v>
      </c>
      <c r="O837" t="b">
        <v>0</v>
      </c>
      <c r="P837" t="b">
        <v>0</v>
      </c>
      <c r="Q837" t="s">
        <v>2476</v>
      </c>
      <c r="R837">
        <v>-1</v>
      </c>
      <c r="T837">
        <v>2</v>
      </c>
      <c r="U837" s="20">
        <v>0</v>
      </c>
      <c r="V837">
        <v>0</v>
      </c>
      <c r="W837">
        <v>0</v>
      </c>
      <c r="X837">
        <v>3.78</v>
      </c>
      <c r="Y837">
        <v>3.78</v>
      </c>
      <c r="Z837">
        <v>27.2</v>
      </c>
      <c r="AA837" t="s">
        <v>519</v>
      </c>
      <c r="AB837">
        <v>13.6</v>
      </c>
      <c r="AC837" s="20">
        <v>0</v>
      </c>
      <c r="AF837">
        <v>0</v>
      </c>
      <c r="AI837">
        <v>0</v>
      </c>
      <c r="AM837">
        <v>20</v>
      </c>
      <c r="AN837" s="44">
        <f t="shared" si="212"/>
        <v>388.64447999999999</v>
      </c>
      <c r="AO837" s="46">
        <v>0</v>
      </c>
      <c r="AP837" s="44">
        <v>0</v>
      </c>
      <c r="AQ837" s="44">
        <v>0</v>
      </c>
      <c r="AR837" s="41">
        <f t="shared" si="211"/>
        <v>0.10292182716708083</v>
      </c>
      <c r="AS837" s="41"/>
      <c r="AT837" s="41"/>
      <c r="AU837" s="41"/>
      <c r="AV837" s="23">
        <v>1.882352941176471</v>
      </c>
      <c r="AW837" s="23">
        <v>2.3529411764705879</v>
      </c>
      <c r="AX837" s="23">
        <v>0.35294117647058831</v>
      </c>
      <c r="AY837" s="23">
        <v>0.47058823529411759</v>
      </c>
      <c r="AZ837" s="23">
        <v>0.37209302325581389</v>
      </c>
      <c r="BA837" s="23">
        <v>0.46511627906976749</v>
      </c>
      <c r="BB837" s="23">
        <v>6.9767441860465129E-2</v>
      </c>
      <c r="BC837" s="23">
        <v>9.3023255813953487E-2</v>
      </c>
      <c r="BD837" s="20">
        <v>1.1399999999999999</v>
      </c>
      <c r="BE837" s="20">
        <v>3.44</v>
      </c>
      <c r="BF837" s="20">
        <v>2.2999999999999998</v>
      </c>
      <c r="BG837" s="20">
        <v>2.6882352941176468</v>
      </c>
      <c r="BH837">
        <v>2.6882352941176468</v>
      </c>
      <c r="BI837">
        <v>6.2192249941001183</v>
      </c>
      <c r="BJ837" s="64"/>
      <c r="BK837" s="64"/>
      <c r="BL837" s="64"/>
      <c r="BM837">
        <v>5.1460913583540407E-2</v>
      </c>
      <c r="BQ837">
        <v>0.1029218271670808</v>
      </c>
      <c r="BR837">
        <v>5.1460913583540407E-2</v>
      </c>
      <c r="BS837">
        <v>0</v>
      </c>
      <c r="BT837" s="68" t="s">
        <v>1264</v>
      </c>
      <c r="BU837" s="68">
        <v>1373</v>
      </c>
      <c r="BV837" s="68">
        <v>12</v>
      </c>
      <c r="BX837" s="68" t="s">
        <v>1268</v>
      </c>
      <c r="BY837" s="68" t="s">
        <v>863</v>
      </c>
      <c r="BZ837" s="68">
        <v>1</v>
      </c>
      <c r="CA837" s="68">
        <v>3.08</v>
      </c>
      <c r="CB837" s="68">
        <v>0.5</v>
      </c>
      <c r="CC837" s="68">
        <v>1</v>
      </c>
      <c r="CD837" s="77" t="s">
        <v>464</v>
      </c>
      <c r="CE837" s="77" t="s">
        <v>464</v>
      </c>
      <c r="CF837" s="77" t="s">
        <v>1266</v>
      </c>
      <c r="CG837" s="77">
        <v>125</v>
      </c>
      <c r="CH837" s="77">
        <v>220</v>
      </c>
      <c r="CI837" s="77" t="s">
        <v>1287</v>
      </c>
      <c r="CJ837" s="77">
        <f t="shared" si="209"/>
        <v>288</v>
      </c>
      <c r="CK837" s="70">
        <v>2760</v>
      </c>
    </row>
    <row r="838" spans="1:89" x14ac:dyDescent="0.3">
      <c r="A838" t="s">
        <v>2580</v>
      </c>
      <c r="B838" t="s">
        <v>2776</v>
      </c>
      <c r="C838" t="s">
        <v>4281</v>
      </c>
      <c r="D838" s="12"/>
      <c r="E838">
        <v>3.4</v>
      </c>
      <c r="F838" t="s">
        <v>380</v>
      </c>
      <c r="G838" s="109" t="s">
        <v>2534</v>
      </c>
      <c r="H838">
        <v>-1</v>
      </c>
      <c r="J838" t="s">
        <v>1752</v>
      </c>
      <c r="M838" t="b">
        <v>1</v>
      </c>
      <c r="N838" t="b">
        <v>0</v>
      </c>
      <c r="O838" t="b">
        <v>0</v>
      </c>
      <c r="P838" t="b">
        <v>0</v>
      </c>
      <c r="Q838" t="s">
        <v>2593</v>
      </c>
      <c r="R838">
        <v>-1</v>
      </c>
      <c r="T838">
        <v>2</v>
      </c>
      <c r="U838" s="20">
        <v>0</v>
      </c>
      <c r="V838">
        <v>0</v>
      </c>
      <c r="W838">
        <v>0</v>
      </c>
      <c r="X838">
        <v>3.81</v>
      </c>
      <c r="Y838">
        <v>3.81</v>
      </c>
      <c r="Z838">
        <v>35.4</v>
      </c>
      <c r="AA838" t="s">
        <v>519</v>
      </c>
      <c r="AB838">
        <v>17.7</v>
      </c>
      <c r="AC838" s="20">
        <v>0</v>
      </c>
      <c r="AF838">
        <v>0</v>
      </c>
      <c r="AI838">
        <v>0</v>
      </c>
      <c r="AM838">
        <v>20</v>
      </c>
      <c r="AN838" s="44">
        <f t="shared" si="212"/>
        <v>513.86993999999993</v>
      </c>
      <c r="AO838" s="46">
        <v>0</v>
      </c>
      <c r="AP838" s="44">
        <v>0</v>
      </c>
      <c r="AQ838" s="44">
        <v>0</v>
      </c>
      <c r="AR838" s="41">
        <f t="shared" si="211"/>
        <v>7.7840708098239814E-2</v>
      </c>
      <c r="AS838" s="41"/>
      <c r="AT838" s="41"/>
      <c r="AU838" s="41"/>
      <c r="AV838" s="23">
        <v>1.695652173913043</v>
      </c>
      <c r="AW838" s="23">
        <v>1.826086956521739</v>
      </c>
      <c r="AX838" s="23">
        <v>0.2608695652173913</v>
      </c>
      <c r="AY838" s="23">
        <v>0.34782608695652167</v>
      </c>
      <c r="AZ838" s="23">
        <v>0.41052631578947368</v>
      </c>
      <c r="BA838" s="23">
        <v>0.44210526315789472</v>
      </c>
      <c r="BB838" s="23">
        <v>6.3157894736842107E-2</v>
      </c>
      <c r="BC838" s="23">
        <v>8.4210526315789472E-2</v>
      </c>
      <c r="BD838" s="20">
        <v>1.1399999999999999</v>
      </c>
      <c r="BE838" s="20">
        <v>3.44</v>
      </c>
      <c r="BF838" s="20">
        <v>2.2999999999999998</v>
      </c>
      <c r="BG838" s="20">
        <v>2.5760869565217388</v>
      </c>
      <c r="BH838">
        <v>2.5760869565217388</v>
      </c>
      <c r="BI838">
        <v>6.4291568349981301</v>
      </c>
      <c r="BJ838" s="64"/>
      <c r="BK838" s="64"/>
      <c r="BL838" s="64"/>
      <c r="BM838">
        <v>3.8920354049119907E-2</v>
      </c>
      <c r="BQ838">
        <v>7.7840708098239814E-2</v>
      </c>
      <c r="BR838">
        <v>3.8920354049119907E-2</v>
      </c>
      <c r="BS838">
        <v>0</v>
      </c>
      <c r="BT838" s="68" t="s">
        <v>1264</v>
      </c>
      <c r="BU838" s="68">
        <v>1373</v>
      </c>
      <c r="BV838" s="68">
        <v>12</v>
      </c>
      <c r="BX838" s="68" t="s">
        <v>1268</v>
      </c>
      <c r="BY838" s="68" t="s">
        <v>863</v>
      </c>
      <c r="BZ838" s="68">
        <v>1</v>
      </c>
      <c r="CA838" s="68">
        <v>3.72</v>
      </c>
      <c r="CB838" s="68">
        <v>0.5</v>
      </c>
      <c r="CC838" s="68">
        <v>1</v>
      </c>
      <c r="CD838" s="77" t="s">
        <v>464</v>
      </c>
      <c r="CE838" s="77" t="s">
        <v>464</v>
      </c>
      <c r="CF838" s="77" t="s">
        <v>1266</v>
      </c>
      <c r="CG838" s="77">
        <v>125</v>
      </c>
      <c r="CH838" s="77">
        <v>220</v>
      </c>
      <c r="CI838" s="77" t="s">
        <v>1287</v>
      </c>
      <c r="CJ838" s="77">
        <f t="shared" si="209"/>
        <v>288</v>
      </c>
      <c r="CK838" s="70">
        <v>59040</v>
      </c>
    </row>
    <row r="839" spans="1:89" x14ac:dyDescent="0.3">
      <c r="A839" t="s">
        <v>2581</v>
      </c>
      <c r="B839" t="s">
        <v>2776</v>
      </c>
      <c r="C839" t="s">
        <v>4282</v>
      </c>
      <c r="D839" s="12"/>
      <c r="E839">
        <v>3.32</v>
      </c>
      <c r="F839" t="s">
        <v>380</v>
      </c>
      <c r="G839" s="109" t="s">
        <v>2532</v>
      </c>
      <c r="H839">
        <v>-1</v>
      </c>
      <c r="J839" t="s">
        <v>1752</v>
      </c>
      <c r="M839" t="b">
        <v>1</v>
      </c>
      <c r="N839" t="b">
        <v>0</v>
      </c>
      <c r="O839" t="b">
        <v>0</v>
      </c>
      <c r="P839" t="b">
        <v>0</v>
      </c>
      <c r="Q839" t="s">
        <v>2594</v>
      </c>
      <c r="R839">
        <v>-1</v>
      </c>
      <c r="T839">
        <v>1</v>
      </c>
      <c r="U839" s="20">
        <v>0</v>
      </c>
      <c r="V839">
        <v>0</v>
      </c>
      <c r="W839">
        <v>0</v>
      </c>
      <c r="X839">
        <v>3.8</v>
      </c>
      <c r="Y839">
        <v>3.8</v>
      </c>
      <c r="Z839">
        <v>19.899999999999999</v>
      </c>
      <c r="AA839" t="s">
        <v>519</v>
      </c>
      <c r="AB839">
        <v>19.899999999999999</v>
      </c>
      <c r="AC839" s="20">
        <v>0</v>
      </c>
      <c r="AF839">
        <v>0</v>
      </c>
      <c r="AI839">
        <v>0</v>
      </c>
      <c r="AM839">
        <v>20</v>
      </c>
      <c r="AN839" s="44">
        <f t="shared" si="212"/>
        <v>287.35599999999999</v>
      </c>
      <c r="AO839" s="46">
        <v>0</v>
      </c>
      <c r="AP839" s="44">
        <v>0</v>
      </c>
      <c r="AQ839" s="44">
        <v>0</v>
      </c>
      <c r="AR839" s="41">
        <f t="shared" si="211"/>
        <v>6.9600077952087308E-2</v>
      </c>
      <c r="AS839" s="41"/>
      <c r="AT839" s="41"/>
      <c r="AU839" s="41"/>
      <c r="AV839" s="23">
        <v>1.653846153846154</v>
      </c>
      <c r="AW839" s="23">
        <v>1.6923076923076921</v>
      </c>
      <c r="AX839" s="23">
        <v>0.23076923076923081</v>
      </c>
      <c r="AY839" s="23">
        <v>0.30769230769230771</v>
      </c>
      <c r="AZ839" s="23">
        <v>0.42574257425742568</v>
      </c>
      <c r="BA839" s="23">
        <v>0.43564356435643559</v>
      </c>
      <c r="BB839" s="23">
        <v>5.940594059405941E-2</v>
      </c>
      <c r="BC839" s="23">
        <v>7.9207920792079209E-2</v>
      </c>
      <c r="BD839" s="20">
        <v>1.1399999999999999</v>
      </c>
      <c r="BE839" s="20">
        <v>3.44</v>
      </c>
      <c r="BF839" s="20">
        <v>2.2999999999999998</v>
      </c>
      <c r="BG839" s="20">
        <v>2.546153846153846</v>
      </c>
      <c r="BH839">
        <v>2.546153846153846</v>
      </c>
      <c r="BI839">
        <v>6.4801861773330387</v>
      </c>
      <c r="BJ839" s="64"/>
      <c r="BK839" s="64"/>
      <c r="BL839" s="64"/>
      <c r="BM839">
        <v>3.4800038976043647E-2</v>
      </c>
      <c r="BQ839">
        <v>6.9600077952087308E-2</v>
      </c>
      <c r="BR839">
        <v>3.4800038976043647E-2</v>
      </c>
      <c r="BS839">
        <v>0</v>
      </c>
      <c r="BT839" s="68" t="s">
        <v>1264</v>
      </c>
      <c r="BU839" s="68">
        <v>1373</v>
      </c>
      <c r="BV839" s="68">
        <v>12</v>
      </c>
      <c r="BX839" s="68" t="s">
        <v>1268</v>
      </c>
      <c r="BY839" s="68" t="s">
        <v>863</v>
      </c>
      <c r="BZ839" s="68">
        <v>1</v>
      </c>
      <c r="CB839" s="68">
        <v>0.5</v>
      </c>
      <c r="CC839" s="68">
        <v>1</v>
      </c>
      <c r="CD839" s="77" t="s">
        <v>464</v>
      </c>
      <c r="CE839" s="77" t="s">
        <v>464</v>
      </c>
      <c r="CF839" s="77" t="s">
        <v>1266</v>
      </c>
      <c r="CG839" s="77">
        <v>125</v>
      </c>
      <c r="CH839" s="77">
        <v>220</v>
      </c>
      <c r="CI839" s="77" t="s">
        <v>1287</v>
      </c>
      <c r="CJ839" s="77">
        <f t="shared" si="209"/>
        <v>288</v>
      </c>
      <c r="CK839" s="70">
        <v>59280</v>
      </c>
    </row>
    <row r="840" spans="1:89" x14ac:dyDescent="0.3">
      <c r="A840" t="s">
        <v>2745</v>
      </c>
      <c r="B840" t="s">
        <v>2776</v>
      </c>
      <c r="C840" t="s">
        <v>4283</v>
      </c>
      <c r="D840" s="12"/>
      <c r="E840">
        <v>3.33</v>
      </c>
      <c r="F840" t="s">
        <v>380</v>
      </c>
      <c r="G840" s="109" t="s">
        <v>2535</v>
      </c>
      <c r="H840">
        <v>-1</v>
      </c>
      <c r="J840" t="s">
        <v>1752</v>
      </c>
      <c r="M840" t="b">
        <v>1</v>
      </c>
      <c r="N840" t="b">
        <v>0</v>
      </c>
      <c r="O840" t="b">
        <v>0</v>
      </c>
      <c r="P840" t="b">
        <v>0</v>
      </c>
      <c r="Q840" t="s">
        <v>2595</v>
      </c>
      <c r="R840">
        <v>-1</v>
      </c>
      <c r="T840">
        <v>1</v>
      </c>
      <c r="U840" s="20">
        <v>0</v>
      </c>
      <c r="V840">
        <v>0</v>
      </c>
      <c r="W840">
        <v>0</v>
      </c>
      <c r="X840">
        <v>3.78</v>
      </c>
      <c r="Y840">
        <v>3.78</v>
      </c>
      <c r="Z840">
        <v>21.5</v>
      </c>
      <c r="AA840" t="s">
        <v>519</v>
      </c>
      <c r="AB840">
        <v>21.5</v>
      </c>
      <c r="AC840" s="20">
        <v>0</v>
      </c>
      <c r="AF840">
        <v>0</v>
      </c>
      <c r="AI840">
        <v>0</v>
      </c>
      <c r="AM840">
        <v>20</v>
      </c>
      <c r="AN840" s="44">
        <f t="shared" si="212"/>
        <v>307.20060000000001</v>
      </c>
      <c r="AO840" s="46">
        <v>0</v>
      </c>
      <c r="AP840" s="44">
        <v>0</v>
      </c>
      <c r="AQ840" s="44">
        <v>0</v>
      </c>
      <c r="AR840" s="41">
        <f t="shared" si="211"/>
        <v>6.5104039510339495E-2</v>
      </c>
      <c r="AS840" s="41"/>
      <c r="AT840" s="41"/>
      <c r="AU840" s="41"/>
      <c r="AV840" s="23">
        <v>1.6206896551724139</v>
      </c>
      <c r="AW840" s="23">
        <v>1.586206896551724</v>
      </c>
      <c r="AX840" s="23">
        <v>0.2068965517241379</v>
      </c>
      <c r="AY840" s="23">
        <v>0.27586206896551718</v>
      </c>
      <c r="AZ840" s="23">
        <v>0.43925233644859812</v>
      </c>
      <c r="BA840" s="23">
        <v>0.42990654205607481</v>
      </c>
      <c r="BB840" s="23">
        <v>5.6074766355140193E-2</v>
      </c>
      <c r="BC840" s="23">
        <v>7.476635514018691E-2</v>
      </c>
      <c r="BD840" s="20">
        <v>1.1399999999999999</v>
      </c>
      <c r="BE840" s="20">
        <v>3.44</v>
      </c>
      <c r="BF840" s="20">
        <v>2.2999999999999998</v>
      </c>
      <c r="BG840" s="20">
        <v>2.522413793103448</v>
      </c>
      <c r="BH840">
        <v>2.522413793103448</v>
      </c>
      <c r="BI840">
        <v>6.5206577247021036</v>
      </c>
      <c r="BJ840" s="64"/>
      <c r="BK840" s="64"/>
      <c r="BL840" s="64"/>
      <c r="BM840">
        <v>3.2552019755169748E-2</v>
      </c>
      <c r="BQ840">
        <v>6.5104039510339495E-2</v>
      </c>
      <c r="BR840">
        <v>3.2552019755169748E-2</v>
      </c>
      <c r="BS840">
        <v>0</v>
      </c>
      <c r="BT840" s="68" t="s">
        <v>1264</v>
      </c>
      <c r="BU840" s="68">
        <v>1373</v>
      </c>
      <c r="BV840" s="68">
        <v>12</v>
      </c>
      <c r="BX840" s="68" t="s">
        <v>1268</v>
      </c>
      <c r="BY840" s="68" t="s">
        <v>863</v>
      </c>
      <c r="BZ840" s="68">
        <v>1</v>
      </c>
      <c r="CB840" s="68">
        <v>0.5</v>
      </c>
      <c r="CC840" s="68">
        <v>1</v>
      </c>
      <c r="CD840" s="77" t="s">
        <v>464</v>
      </c>
      <c r="CE840" s="77" t="s">
        <v>464</v>
      </c>
      <c r="CF840" s="77" t="s">
        <v>1266</v>
      </c>
      <c r="CG840" s="77">
        <v>125</v>
      </c>
      <c r="CH840" s="77">
        <v>220</v>
      </c>
      <c r="CI840" s="77" t="s">
        <v>1287</v>
      </c>
      <c r="CJ840" s="77">
        <f t="shared" si="209"/>
        <v>288</v>
      </c>
      <c r="CK840" s="70">
        <v>58960</v>
      </c>
    </row>
    <row r="841" spans="1:89" x14ac:dyDescent="0.3">
      <c r="A841" t="s">
        <v>2582</v>
      </c>
      <c r="B841" t="s">
        <v>2776</v>
      </c>
      <c r="C841" t="s">
        <v>4284</v>
      </c>
      <c r="D841" s="12"/>
      <c r="E841">
        <v>3.33</v>
      </c>
      <c r="F841" t="s">
        <v>380</v>
      </c>
      <c r="G841" s="109" t="s">
        <v>2536</v>
      </c>
      <c r="H841">
        <v>-1</v>
      </c>
      <c r="J841" t="s">
        <v>1752</v>
      </c>
      <c r="M841" t="b">
        <v>1</v>
      </c>
      <c r="N841" t="b">
        <v>0</v>
      </c>
      <c r="O841" t="b">
        <v>0</v>
      </c>
      <c r="P841" t="b">
        <v>0</v>
      </c>
      <c r="Q841" t="s">
        <v>2596</v>
      </c>
      <c r="R841">
        <v>-1</v>
      </c>
      <c r="T841">
        <v>1</v>
      </c>
      <c r="U841" s="20">
        <v>0</v>
      </c>
      <c r="V841">
        <v>0</v>
      </c>
      <c r="W841">
        <v>0</v>
      </c>
      <c r="X841">
        <v>3.78</v>
      </c>
      <c r="Y841">
        <v>3.78</v>
      </c>
      <c r="Z841">
        <v>24.4</v>
      </c>
      <c r="AA841" t="s">
        <v>519</v>
      </c>
      <c r="AB841">
        <v>24.4</v>
      </c>
      <c r="AC841" s="20">
        <v>0</v>
      </c>
      <c r="AF841">
        <v>0</v>
      </c>
      <c r="AI841">
        <v>0</v>
      </c>
      <c r="AM841">
        <v>20</v>
      </c>
      <c r="AN841" s="44">
        <f t="shared" si="212"/>
        <v>348.63695999999999</v>
      </c>
      <c r="AO841" s="46">
        <v>0</v>
      </c>
      <c r="AP841" s="44">
        <v>0</v>
      </c>
      <c r="AQ841" s="44">
        <v>0</v>
      </c>
      <c r="AR841" s="41">
        <f t="shared" si="211"/>
        <v>5.7366264322635217E-2</v>
      </c>
      <c r="AS841" s="41"/>
      <c r="AT841" s="41"/>
      <c r="AU841" s="41"/>
      <c r="AV841" s="23">
        <v>1.59375</v>
      </c>
      <c r="AW841" s="23">
        <v>1.5</v>
      </c>
      <c r="AX841" s="23">
        <v>0.1875</v>
      </c>
      <c r="AY841" s="23">
        <v>0.25</v>
      </c>
      <c r="AZ841" s="23">
        <v>0.45132743362831862</v>
      </c>
      <c r="BA841" s="23">
        <v>0.4247787610619469</v>
      </c>
      <c r="BB841" s="23">
        <v>5.3097345132743362E-2</v>
      </c>
      <c r="BC841" s="23">
        <v>7.0796460176991149E-2</v>
      </c>
      <c r="BD841" s="20">
        <v>1.1399999999999999</v>
      </c>
      <c r="BE841" s="20">
        <v>3.44</v>
      </c>
      <c r="BF841" s="20">
        <v>2.2999999999999998</v>
      </c>
      <c r="BG841" s="20">
        <v>2.5031249999999998</v>
      </c>
      <c r="BH841">
        <v>2.5031249999999998</v>
      </c>
      <c r="BI841">
        <v>6.5535408569394704</v>
      </c>
      <c r="BJ841" s="64"/>
      <c r="BK841" s="64"/>
      <c r="BL841" s="64"/>
      <c r="BM841">
        <v>2.8683132161317609E-2</v>
      </c>
      <c r="BQ841">
        <v>5.7366264322635217E-2</v>
      </c>
      <c r="BR841">
        <v>2.8683132161317609E-2</v>
      </c>
      <c r="BS841">
        <v>0</v>
      </c>
      <c r="BT841" s="68" t="s">
        <v>1264</v>
      </c>
      <c r="BU841" s="68">
        <v>1373</v>
      </c>
      <c r="BV841" s="68">
        <v>12</v>
      </c>
      <c r="BX841" s="68" t="s">
        <v>1268</v>
      </c>
      <c r="BY841" s="68" t="s">
        <v>863</v>
      </c>
      <c r="BZ841" s="68">
        <v>1</v>
      </c>
      <c r="CA841" s="68">
        <v>3.89</v>
      </c>
      <c r="CB841" s="68">
        <v>0.5</v>
      </c>
      <c r="CC841" s="68">
        <v>1</v>
      </c>
      <c r="CD841" s="77" t="s">
        <v>464</v>
      </c>
      <c r="CE841" s="77" t="s">
        <v>464</v>
      </c>
      <c r="CF841" s="77" t="s">
        <v>1266</v>
      </c>
      <c r="CG841" s="77">
        <v>125</v>
      </c>
      <c r="CH841" s="77">
        <v>220</v>
      </c>
      <c r="CI841" s="77" t="s">
        <v>1287</v>
      </c>
      <c r="CJ841" s="77">
        <f t="shared" si="209"/>
        <v>288</v>
      </c>
      <c r="CK841" s="70">
        <v>83120</v>
      </c>
    </row>
    <row r="842" spans="1:89" x14ac:dyDescent="0.3">
      <c r="A842" t="s">
        <v>2583</v>
      </c>
      <c r="B842" t="s">
        <v>2776</v>
      </c>
      <c r="C842" t="s">
        <v>4285</v>
      </c>
      <c r="D842" s="12"/>
      <c r="E842">
        <v>3.35</v>
      </c>
      <c r="F842" t="s">
        <v>380</v>
      </c>
      <c r="G842" s="109" t="s">
        <v>2537</v>
      </c>
      <c r="H842">
        <v>-1</v>
      </c>
      <c r="J842" t="s">
        <v>1752</v>
      </c>
      <c r="M842" t="b">
        <v>1</v>
      </c>
      <c r="N842" t="b">
        <v>0</v>
      </c>
      <c r="O842" t="b">
        <v>0</v>
      </c>
      <c r="P842" t="b">
        <v>0</v>
      </c>
      <c r="Q842" t="s">
        <v>2597</v>
      </c>
      <c r="R842">
        <v>-1</v>
      </c>
      <c r="T842">
        <v>1</v>
      </c>
      <c r="U842" s="20">
        <v>0</v>
      </c>
      <c r="V842">
        <v>0</v>
      </c>
      <c r="W842">
        <v>0</v>
      </c>
      <c r="X842">
        <v>3.8</v>
      </c>
      <c r="Y842">
        <v>3.8</v>
      </c>
      <c r="Z842">
        <v>29.2</v>
      </c>
      <c r="AA842" t="s">
        <v>519</v>
      </c>
      <c r="AB842">
        <v>29.2</v>
      </c>
      <c r="AC842" s="20">
        <v>0</v>
      </c>
      <c r="AF842">
        <v>0</v>
      </c>
      <c r="AI842">
        <v>0</v>
      </c>
      <c r="AM842">
        <v>20</v>
      </c>
      <c r="AN842" s="44">
        <f t="shared" si="212"/>
        <v>421.64799999999997</v>
      </c>
      <c r="AO842" s="46">
        <v>0</v>
      </c>
      <c r="AP842" s="44">
        <v>0</v>
      </c>
      <c r="AQ842" s="44">
        <v>0</v>
      </c>
      <c r="AR842" s="41">
        <f t="shared" si="211"/>
        <v>4.7432929837210189E-2</v>
      </c>
      <c r="AS842" s="41"/>
      <c r="AT842" s="41"/>
      <c r="AU842" s="41"/>
      <c r="AV842" s="23">
        <v>1.5526315789473679</v>
      </c>
      <c r="AW842" s="23">
        <v>1.368421052631579</v>
      </c>
      <c r="AX842" s="23">
        <v>0.15789473684210531</v>
      </c>
      <c r="AY842" s="23">
        <v>0.2105263157894737</v>
      </c>
      <c r="AZ842" s="23">
        <v>0.47199999999999998</v>
      </c>
      <c r="BA842" s="23">
        <v>0.41599999999999998</v>
      </c>
      <c r="BB842" s="23">
        <v>4.8000000000000001E-2</v>
      </c>
      <c r="BC842" s="23">
        <v>6.4000000000000001E-2</v>
      </c>
      <c r="BD842" s="20">
        <v>1.1399999999999999</v>
      </c>
      <c r="BE842" s="20">
        <v>3.44</v>
      </c>
      <c r="BF842" s="20">
        <v>2.2999999999999998</v>
      </c>
      <c r="BG842" s="20">
        <v>2.4736842105263159</v>
      </c>
      <c r="BH842">
        <v>2.473684210526315</v>
      </c>
      <c r="BI842">
        <v>6.6037309008807101</v>
      </c>
      <c r="BJ842" s="64"/>
      <c r="BK842" s="64"/>
      <c r="BL842" s="64"/>
      <c r="BM842">
        <v>2.3716464918605091E-2</v>
      </c>
      <c r="BQ842">
        <v>4.7432929837210189E-2</v>
      </c>
      <c r="BR842">
        <v>2.3716464918605091E-2</v>
      </c>
      <c r="BS842">
        <v>0</v>
      </c>
      <c r="BT842" s="68" t="s">
        <v>1264</v>
      </c>
      <c r="BU842" s="68">
        <v>1373</v>
      </c>
      <c r="BV842" s="68">
        <v>12</v>
      </c>
      <c r="BX842" s="68" t="s">
        <v>1268</v>
      </c>
      <c r="BY842" s="68" t="s">
        <v>863</v>
      </c>
      <c r="BZ842" s="68">
        <v>1</v>
      </c>
      <c r="CB842" s="68">
        <v>0.5</v>
      </c>
      <c r="CC842" s="68">
        <v>1</v>
      </c>
      <c r="CD842" s="77" t="s">
        <v>464</v>
      </c>
      <c r="CE842" s="77" t="s">
        <v>464</v>
      </c>
      <c r="CF842" s="77" t="s">
        <v>1266</v>
      </c>
      <c r="CG842" s="77">
        <v>125</v>
      </c>
      <c r="CH842" s="77">
        <v>220</v>
      </c>
      <c r="CI842" s="77" t="s">
        <v>1287</v>
      </c>
      <c r="CJ842" s="77">
        <f t="shared" si="209"/>
        <v>288</v>
      </c>
      <c r="CK842" s="70">
        <v>38600</v>
      </c>
    </row>
    <row r="843" spans="1:89" x14ac:dyDescent="0.3">
      <c r="A843" t="s">
        <v>2584</v>
      </c>
      <c r="B843" t="s">
        <v>2776</v>
      </c>
      <c r="C843" t="s">
        <v>4286</v>
      </c>
      <c r="D843" s="12"/>
      <c r="E843">
        <v>3.36</v>
      </c>
      <c r="F843" t="s">
        <v>380</v>
      </c>
      <c r="G843" s="109" t="s">
        <v>2538</v>
      </c>
      <c r="H843">
        <v>-1</v>
      </c>
      <c r="J843" t="s">
        <v>1752</v>
      </c>
      <c r="M843" t="b">
        <v>1</v>
      </c>
      <c r="N843" t="b">
        <v>0</v>
      </c>
      <c r="O843" t="b">
        <v>0</v>
      </c>
      <c r="P843" t="b">
        <v>0</v>
      </c>
      <c r="Q843" t="s">
        <v>2598</v>
      </c>
      <c r="R843">
        <v>-1</v>
      </c>
      <c r="T843">
        <v>1</v>
      </c>
      <c r="U843" s="20">
        <v>0</v>
      </c>
      <c r="V843">
        <v>0</v>
      </c>
      <c r="W843">
        <v>0</v>
      </c>
      <c r="X843">
        <v>3.8</v>
      </c>
      <c r="Y843">
        <v>3.8</v>
      </c>
      <c r="Z843">
        <v>33.4</v>
      </c>
      <c r="AA843" t="s">
        <v>519</v>
      </c>
      <c r="AB843">
        <v>33.4</v>
      </c>
      <c r="AC843" s="20">
        <v>0</v>
      </c>
      <c r="AF843">
        <v>0</v>
      </c>
      <c r="AI843">
        <v>0</v>
      </c>
      <c r="AM843">
        <v>20</v>
      </c>
      <c r="AN843" s="44">
        <f t="shared" si="212"/>
        <v>482.29599999999994</v>
      </c>
      <c r="AO843" s="46">
        <v>0</v>
      </c>
      <c r="AP843" s="44">
        <v>0</v>
      </c>
      <c r="AQ843" s="44">
        <v>0</v>
      </c>
      <c r="AR843" s="41">
        <f t="shared" si="211"/>
        <v>4.1468309917561008E-2</v>
      </c>
      <c r="AS843" s="41"/>
      <c r="AT843" s="41"/>
      <c r="AU843" s="41"/>
      <c r="AV843" s="23">
        <v>1.5227272727272729</v>
      </c>
      <c r="AW843" s="23">
        <v>1.2727272727272729</v>
      </c>
      <c r="AX843" s="23">
        <v>0.13636363636363641</v>
      </c>
      <c r="AY843" s="23">
        <v>0.1818181818181818</v>
      </c>
      <c r="AZ843" s="23">
        <v>0.48905109489051091</v>
      </c>
      <c r="BA843" s="23">
        <v>0.40875912408759119</v>
      </c>
      <c r="BB843" s="23">
        <v>4.3795620437956199E-2</v>
      </c>
      <c r="BC843" s="23">
        <v>5.8394160583941597E-2</v>
      </c>
      <c r="BD843" s="20">
        <v>1.1399999999999999</v>
      </c>
      <c r="BE843" s="20">
        <v>3.44</v>
      </c>
      <c r="BF843" s="20">
        <v>2.2999999999999998</v>
      </c>
      <c r="BG843" s="20">
        <v>2.452272727272728</v>
      </c>
      <c r="BH843">
        <v>2.4522727272727272</v>
      </c>
      <c r="BI843">
        <v>6.6402327510197949</v>
      </c>
      <c r="BJ843" s="64"/>
      <c r="BK843" s="64"/>
      <c r="BL843" s="64"/>
      <c r="BM843">
        <v>2.0734154958780501E-2</v>
      </c>
      <c r="BQ843">
        <v>4.1468309917561008E-2</v>
      </c>
      <c r="BR843">
        <v>2.0734154958780501E-2</v>
      </c>
      <c r="BS843">
        <v>0</v>
      </c>
      <c r="BT843" s="68" t="s">
        <v>1264</v>
      </c>
      <c r="BU843" s="68">
        <v>1373</v>
      </c>
      <c r="BV843" s="68">
        <v>12</v>
      </c>
      <c r="BX843" s="68" t="s">
        <v>1268</v>
      </c>
      <c r="BY843" s="68" t="s">
        <v>863</v>
      </c>
      <c r="BZ843" s="68">
        <v>1</v>
      </c>
      <c r="CA843" s="68">
        <v>4.3899999999999997</v>
      </c>
      <c r="CB843" s="68">
        <v>0.5</v>
      </c>
      <c r="CC843" s="68">
        <v>1</v>
      </c>
      <c r="CD843" s="77" t="s">
        <v>464</v>
      </c>
      <c r="CE843" s="77" t="s">
        <v>464</v>
      </c>
      <c r="CF843" s="77" t="s">
        <v>1266</v>
      </c>
      <c r="CG843" s="77">
        <v>125</v>
      </c>
      <c r="CH843" s="77">
        <v>220</v>
      </c>
      <c r="CI843" s="77" t="s">
        <v>1287</v>
      </c>
      <c r="CJ843" s="77">
        <f t="shared" si="209"/>
        <v>288</v>
      </c>
      <c r="CK843" s="70">
        <v>41080</v>
      </c>
    </row>
    <row r="844" spans="1:89" x14ac:dyDescent="0.3">
      <c r="A844" t="s">
        <v>2585</v>
      </c>
      <c r="B844" t="s">
        <v>2776</v>
      </c>
      <c r="C844" t="s">
        <v>4287</v>
      </c>
      <c r="D844" s="12"/>
      <c r="E844">
        <v>3.33</v>
      </c>
      <c r="F844" t="s">
        <v>380</v>
      </c>
      <c r="G844" s="109" t="s">
        <v>2539</v>
      </c>
      <c r="H844">
        <v>-1</v>
      </c>
      <c r="J844" t="s">
        <v>1752</v>
      </c>
      <c r="M844" t="b">
        <v>1</v>
      </c>
      <c r="N844" t="b">
        <v>0</v>
      </c>
      <c r="O844" t="b">
        <v>0</v>
      </c>
      <c r="P844" t="b">
        <v>0</v>
      </c>
      <c r="Q844" t="s">
        <v>2599</v>
      </c>
      <c r="R844">
        <v>-1</v>
      </c>
      <c r="T844">
        <v>2</v>
      </c>
      <c r="U844" s="20">
        <v>0</v>
      </c>
      <c r="V844">
        <v>0</v>
      </c>
      <c r="W844">
        <v>0</v>
      </c>
      <c r="X844">
        <v>3.76</v>
      </c>
      <c r="Y844">
        <v>3.76</v>
      </c>
      <c r="Z844">
        <v>34.1</v>
      </c>
      <c r="AA844" t="s">
        <v>519</v>
      </c>
      <c r="AB844">
        <v>17.05</v>
      </c>
      <c r="AC844" s="20">
        <v>0</v>
      </c>
      <c r="AF844">
        <v>0</v>
      </c>
      <c r="AI844">
        <v>0</v>
      </c>
      <c r="AM844">
        <v>22</v>
      </c>
      <c r="AN844" s="44">
        <f t="shared" si="212"/>
        <v>482.09215999999998</v>
      </c>
      <c r="AO844" s="46">
        <v>0</v>
      </c>
      <c r="AP844" s="44">
        <v>0</v>
      </c>
      <c r="AQ844" s="44">
        <v>0</v>
      </c>
      <c r="AR844" s="41">
        <f t="shared" si="211"/>
        <v>9.12688561456797E-2</v>
      </c>
      <c r="AS844" s="41"/>
      <c r="AT844" s="41"/>
      <c r="AU844" s="41"/>
      <c r="AV844" s="23">
        <v>1.7391304347826091</v>
      </c>
      <c r="AW844" s="23">
        <v>2</v>
      </c>
      <c r="AX844" s="23">
        <v>0.2608695652173913</v>
      </c>
      <c r="AY844" s="23">
        <v>0.34782608695652167</v>
      </c>
      <c r="AZ844" s="23">
        <v>0.4</v>
      </c>
      <c r="BA844" s="23">
        <v>0.46</v>
      </c>
      <c r="BB844" s="23">
        <v>0.06</v>
      </c>
      <c r="BC844" s="23">
        <v>0.08</v>
      </c>
      <c r="BD844" s="20">
        <v>1.1399999999999999</v>
      </c>
      <c r="BE844" s="20">
        <v>3.44</v>
      </c>
      <c r="BF844" s="20">
        <v>2.2999999999999998</v>
      </c>
      <c r="BG844" s="20">
        <v>2.63</v>
      </c>
      <c r="BH844">
        <v>2.63</v>
      </c>
      <c r="BI844">
        <v>6.444942219787217</v>
      </c>
      <c r="BJ844" s="64"/>
      <c r="BK844" s="64"/>
      <c r="BL844" s="64"/>
      <c r="BM844">
        <v>4.563442807283985E-2</v>
      </c>
      <c r="BQ844">
        <v>9.12688561456797E-2</v>
      </c>
      <c r="BR844">
        <v>4.563442807283985E-2</v>
      </c>
      <c r="BS844">
        <v>0</v>
      </c>
      <c r="BT844" s="68" t="s">
        <v>1264</v>
      </c>
      <c r="BU844" s="68">
        <v>1373</v>
      </c>
      <c r="BV844" s="68">
        <v>12</v>
      </c>
      <c r="BX844" s="68" t="s">
        <v>1268</v>
      </c>
      <c r="BY844" s="68" t="s">
        <v>863</v>
      </c>
      <c r="BZ844" s="68">
        <v>1</v>
      </c>
      <c r="CA844" s="68">
        <v>4.51</v>
      </c>
      <c r="CB844" s="68">
        <v>0.5</v>
      </c>
      <c r="CC844" s="68">
        <v>1</v>
      </c>
      <c r="CD844" s="77" t="s">
        <v>464</v>
      </c>
      <c r="CE844" s="77" t="s">
        <v>464</v>
      </c>
      <c r="CF844" s="77" t="s">
        <v>1266</v>
      </c>
      <c r="CG844" s="77">
        <v>125</v>
      </c>
      <c r="CH844" s="77">
        <v>220</v>
      </c>
      <c r="CI844" s="77" t="s">
        <v>1287</v>
      </c>
      <c r="CJ844" s="77">
        <f t="shared" si="209"/>
        <v>288</v>
      </c>
      <c r="CK844" s="70">
        <v>71480</v>
      </c>
    </row>
    <row r="845" spans="1:89" x14ac:dyDescent="0.3">
      <c r="A845" t="s">
        <v>2586</v>
      </c>
      <c r="B845" t="s">
        <v>2776</v>
      </c>
      <c r="C845" t="s">
        <v>4288</v>
      </c>
      <c r="D845" s="12"/>
      <c r="E845">
        <v>3.33</v>
      </c>
      <c r="F845" t="s">
        <v>380</v>
      </c>
      <c r="G845" s="109" t="s">
        <v>2533</v>
      </c>
      <c r="H845">
        <v>-1</v>
      </c>
      <c r="J845" t="s">
        <v>1752</v>
      </c>
      <c r="M845" t="b">
        <v>1</v>
      </c>
      <c r="N845" t="b">
        <v>0</v>
      </c>
      <c r="O845" t="b">
        <v>0</v>
      </c>
      <c r="P845" t="b">
        <v>0</v>
      </c>
      <c r="Q845" t="s">
        <v>2600</v>
      </c>
      <c r="R845">
        <v>-1</v>
      </c>
      <c r="T845">
        <v>2</v>
      </c>
      <c r="U845" s="20">
        <v>0</v>
      </c>
      <c r="V845">
        <v>0</v>
      </c>
      <c r="W845">
        <v>0</v>
      </c>
      <c r="X845">
        <v>3.77</v>
      </c>
      <c r="Y845">
        <v>3.77</v>
      </c>
      <c r="Z845">
        <v>40.9</v>
      </c>
      <c r="AA845" t="s">
        <v>519</v>
      </c>
      <c r="AB845">
        <v>20.45</v>
      </c>
      <c r="AC845" s="20">
        <v>0</v>
      </c>
      <c r="AF845">
        <v>0</v>
      </c>
      <c r="AI845">
        <v>0</v>
      </c>
      <c r="AM845">
        <v>22</v>
      </c>
      <c r="AN845" s="44">
        <f t="shared" si="212"/>
        <v>581.30760999999995</v>
      </c>
      <c r="AO845" s="46">
        <v>0</v>
      </c>
      <c r="AP845" s="44">
        <v>0</v>
      </c>
      <c r="AQ845" s="44">
        <v>0</v>
      </c>
      <c r="AR845" s="41">
        <f t="shared" si="211"/>
        <v>7.5691422653145726E-2</v>
      </c>
      <c r="AS845" s="41"/>
      <c r="AT845" s="41"/>
      <c r="AU845" s="41"/>
      <c r="AV845" s="23">
        <v>1.6923076923076921</v>
      </c>
      <c r="AW845" s="23">
        <v>1.846153846153846</v>
      </c>
      <c r="AX845" s="23">
        <v>0.23076923076923081</v>
      </c>
      <c r="AY845" s="23">
        <v>0.30769230769230771</v>
      </c>
      <c r="AZ845" s="23">
        <v>0.41509433962264147</v>
      </c>
      <c r="BA845" s="23">
        <v>0.45283018867924529</v>
      </c>
      <c r="BB845" s="23">
        <v>5.6603773584905669E-2</v>
      </c>
      <c r="BC845" s="23">
        <v>7.5471698113207558E-2</v>
      </c>
      <c r="BD845" s="20">
        <v>1.1399999999999999</v>
      </c>
      <c r="BE845" s="20">
        <v>3.44</v>
      </c>
      <c r="BF845" s="20">
        <v>2.2999999999999998</v>
      </c>
      <c r="BG845" s="20">
        <v>2.5938461538461541</v>
      </c>
      <c r="BH845">
        <v>2.5938461538461541</v>
      </c>
      <c r="BI845">
        <v>6.4941501715695384</v>
      </c>
      <c r="BJ845" s="64"/>
      <c r="BK845" s="64"/>
      <c r="BL845" s="64"/>
      <c r="BM845">
        <v>3.7845711326572863E-2</v>
      </c>
      <c r="BQ845">
        <v>7.5691422653145726E-2</v>
      </c>
      <c r="BR845">
        <v>3.7845711326572863E-2</v>
      </c>
      <c r="BS845">
        <v>0</v>
      </c>
      <c r="BT845" s="68" t="s">
        <v>1264</v>
      </c>
      <c r="BU845" s="68">
        <v>1373</v>
      </c>
      <c r="BV845" s="68">
        <v>12</v>
      </c>
      <c r="BX845" s="68" t="s">
        <v>1268</v>
      </c>
      <c r="BY845" s="68" t="s">
        <v>863</v>
      </c>
      <c r="BZ845" s="68">
        <v>1</v>
      </c>
      <c r="CB845" s="68">
        <v>0.5</v>
      </c>
      <c r="CC845" s="68">
        <v>1</v>
      </c>
      <c r="CD845" s="77" t="s">
        <v>464</v>
      </c>
      <c r="CE845" s="77" t="s">
        <v>464</v>
      </c>
      <c r="CF845" s="77" t="s">
        <v>1266</v>
      </c>
      <c r="CG845" s="77">
        <v>125</v>
      </c>
      <c r="CH845" s="77">
        <v>220</v>
      </c>
      <c r="CI845" s="77" t="s">
        <v>1287</v>
      </c>
      <c r="CJ845" s="77">
        <f t="shared" si="209"/>
        <v>288</v>
      </c>
      <c r="CK845" s="70">
        <v>90720</v>
      </c>
    </row>
    <row r="846" spans="1:89" x14ac:dyDescent="0.3">
      <c r="A846" t="s">
        <v>2746</v>
      </c>
      <c r="B846" t="s">
        <v>2776</v>
      </c>
      <c r="C846" t="s">
        <v>4289</v>
      </c>
      <c r="D846" s="12"/>
      <c r="E846">
        <v>3.32</v>
      </c>
      <c r="F846" t="s">
        <v>380</v>
      </c>
      <c r="G846" s="109" t="s">
        <v>2540</v>
      </c>
      <c r="H846">
        <v>-1</v>
      </c>
      <c r="J846" t="s">
        <v>1752</v>
      </c>
      <c r="M846" t="b">
        <v>1</v>
      </c>
      <c r="N846" t="b">
        <v>0</v>
      </c>
      <c r="O846" t="b">
        <v>0</v>
      </c>
      <c r="P846" t="b">
        <v>0</v>
      </c>
      <c r="Q846" t="s">
        <v>2601</v>
      </c>
      <c r="R846">
        <v>-1</v>
      </c>
      <c r="T846">
        <v>2</v>
      </c>
      <c r="U846" s="20">
        <v>0</v>
      </c>
      <c r="V846">
        <v>0</v>
      </c>
      <c r="W846">
        <v>0</v>
      </c>
      <c r="X846">
        <v>3.79</v>
      </c>
      <c r="Y846">
        <v>3.79</v>
      </c>
      <c r="Z846">
        <v>43.8</v>
      </c>
      <c r="AA846" t="s">
        <v>519</v>
      </c>
      <c r="AB846">
        <v>21.9</v>
      </c>
      <c r="AC846" s="20">
        <v>0</v>
      </c>
      <c r="AF846">
        <v>0</v>
      </c>
      <c r="AI846">
        <v>0</v>
      </c>
      <c r="AM846">
        <v>22</v>
      </c>
      <c r="AN846" s="44">
        <f t="shared" si="212"/>
        <v>629.14757999999995</v>
      </c>
      <c r="AO846" s="46">
        <v>0</v>
      </c>
      <c r="AP846" s="44">
        <v>0</v>
      </c>
      <c r="AQ846" s="44">
        <v>0</v>
      </c>
      <c r="AR846" s="41">
        <f t="shared" si="211"/>
        <v>6.9935896439433182E-2</v>
      </c>
      <c r="AS846" s="41"/>
      <c r="AT846" s="41"/>
      <c r="AU846" s="41"/>
      <c r="AV846" s="23">
        <v>1.655172413793103</v>
      </c>
      <c r="AW846" s="23">
        <v>1.7241379310344831</v>
      </c>
      <c r="AX846" s="23">
        <v>0.2068965517241379</v>
      </c>
      <c r="AY846" s="23">
        <v>0.27586206896551718</v>
      </c>
      <c r="AZ846" s="23">
        <v>0.42857142857142849</v>
      </c>
      <c r="BA846" s="23">
        <v>0.4464285714285714</v>
      </c>
      <c r="BB846" s="23">
        <v>5.3571428571428568E-2</v>
      </c>
      <c r="BC846" s="23">
        <v>7.1428571428571425E-2</v>
      </c>
      <c r="BD846" s="20">
        <v>1.1399999999999999</v>
      </c>
      <c r="BE846" s="20">
        <v>3.44</v>
      </c>
      <c r="BF846" s="20">
        <v>2.2999999999999998</v>
      </c>
      <c r="BG846" s="20">
        <v>2.5651724137931029</v>
      </c>
      <c r="BH846">
        <v>2.5651724137931029</v>
      </c>
      <c r="BI846">
        <v>6.53317716781069</v>
      </c>
      <c r="BJ846" s="64"/>
      <c r="BK846" s="64"/>
      <c r="BL846" s="64"/>
      <c r="BM846">
        <v>3.4967948219716591E-2</v>
      </c>
      <c r="BQ846">
        <v>6.9935896439433182E-2</v>
      </c>
      <c r="BR846">
        <v>3.4967948219716591E-2</v>
      </c>
      <c r="BS846">
        <v>0</v>
      </c>
      <c r="BT846" s="68" t="s">
        <v>1264</v>
      </c>
      <c r="BU846" s="68">
        <v>1373</v>
      </c>
      <c r="BV846" s="68">
        <v>12</v>
      </c>
      <c r="BX846" s="68" t="s">
        <v>1268</v>
      </c>
      <c r="BY846" s="68" t="s">
        <v>863</v>
      </c>
      <c r="BZ846" s="68">
        <v>1</v>
      </c>
      <c r="CB846" s="68">
        <v>0.5</v>
      </c>
      <c r="CC846" s="68">
        <v>1</v>
      </c>
      <c r="CD846" s="77" t="s">
        <v>464</v>
      </c>
      <c r="CE846" s="77" t="s">
        <v>464</v>
      </c>
      <c r="CF846" s="77" t="s">
        <v>1266</v>
      </c>
      <c r="CG846" s="77">
        <v>125</v>
      </c>
      <c r="CH846" s="77">
        <v>220</v>
      </c>
      <c r="CI846" s="77" t="s">
        <v>1287</v>
      </c>
      <c r="CJ846" s="77">
        <f t="shared" si="209"/>
        <v>288</v>
      </c>
      <c r="CK846" s="70">
        <v>97200</v>
      </c>
    </row>
    <row r="847" spans="1:89" x14ac:dyDescent="0.3">
      <c r="A847" t="s">
        <v>2589</v>
      </c>
      <c r="B847" t="s">
        <v>2776</v>
      </c>
      <c r="C847" t="s">
        <v>4290</v>
      </c>
      <c r="D847" s="12"/>
      <c r="E847">
        <v>3.33</v>
      </c>
      <c r="F847" t="s">
        <v>380</v>
      </c>
      <c r="G847" s="109" t="s">
        <v>2541</v>
      </c>
      <c r="H847">
        <v>-1</v>
      </c>
      <c r="J847" t="s">
        <v>1752</v>
      </c>
      <c r="M847" t="b">
        <v>1</v>
      </c>
      <c r="N847" t="b">
        <v>0</v>
      </c>
      <c r="O847" t="b">
        <v>0</v>
      </c>
      <c r="P847" t="b">
        <v>0</v>
      </c>
      <c r="Q847" t="s">
        <v>2602</v>
      </c>
      <c r="R847">
        <v>-1</v>
      </c>
      <c r="T847">
        <v>2</v>
      </c>
      <c r="U847" s="20">
        <v>0</v>
      </c>
      <c r="V847">
        <v>0</v>
      </c>
      <c r="W847">
        <v>0</v>
      </c>
      <c r="X847">
        <v>3.78</v>
      </c>
      <c r="Y847">
        <v>3.78</v>
      </c>
      <c r="Z847">
        <v>47.3</v>
      </c>
      <c r="AA847" t="s">
        <v>519</v>
      </c>
      <c r="AB847">
        <v>23.65</v>
      </c>
      <c r="AC847" s="20">
        <v>0</v>
      </c>
      <c r="AF847">
        <v>0</v>
      </c>
      <c r="AI847">
        <v>0</v>
      </c>
      <c r="AM847">
        <v>22</v>
      </c>
      <c r="AN847" s="44">
        <f t="shared" si="212"/>
        <v>675.84131999999988</v>
      </c>
      <c r="AO847" s="46">
        <v>0</v>
      </c>
      <c r="AP847" s="44">
        <v>0</v>
      </c>
      <c r="AQ847" s="44">
        <v>0</v>
      </c>
      <c r="AR847" s="41">
        <f t="shared" si="211"/>
        <v>6.5104039510339509E-2</v>
      </c>
      <c r="AS847" s="41"/>
      <c r="AT847" s="41"/>
      <c r="AU847" s="41"/>
      <c r="AV847" s="23">
        <v>1.625</v>
      </c>
      <c r="AW847" s="23">
        <v>1.625</v>
      </c>
      <c r="AX847" s="23">
        <v>0.1875</v>
      </c>
      <c r="AY847" s="23">
        <v>0.25</v>
      </c>
      <c r="AZ847" s="23">
        <v>0.44067796610169491</v>
      </c>
      <c r="BA847" s="23">
        <v>0.44067796610169491</v>
      </c>
      <c r="BB847" s="23">
        <v>5.0847457627118647E-2</v>
      </c>
      <c r="BC847" s="23">
        <v>6.7796610169491525E-2</v>
      </c>
      <c r="BD847" s="20">
        <v>1.1399999999999999</v>
      </c>
      <c r="BE847" s="20">
        <v>3.44</v>
      </c>
      <c r="BF847" s="20">
        <v>2.2999999999999998</v>
      </c>
      <c r="BG847" s="20">
        <v>2.5418750000000001</v>
      </c>
      <c r="BH847">
        <v>2.5418750000000001</v>
      </c>
      <c r="BI847">
        <v>6.5648866022566246</v>
      </c>
      <c r="BJ847" s="64"/>
      <c r="BK847" s="64"/>
      <c r="BL847" s="64"/>
      <c r="BM847">
        <v>3.2552019755169748E-2</v>
      </c>
      <c r="BQ847">
        <v>6.5104039510339509E-2</v>
      </c>
      <c r="BR847">
        <v>3.2552019755169748E-2</v>
      </c>
      <c r="BS847">
        <v>0</v>
      </c>
      <c r="BT847" s="68" t="s">
        <v>1264</v>
      </c>
      <c r="BU847" s="68">
        <v>1373</v>
      </c>
      <c r="BV847" s="68">
        <v>12</v>
      </c>
      <c r="BX847" s="68" t="s">
        <v>1268</v>
      </c>
      <c r="BY847" s="68" t="s">
        <v>863</v>
      </c>
      <c r="BZ847" s="68">
        <v>1</v>
      </c>
      <c r="CA847" s="68">
        <v>3.87</v>
      </c>
      <c r="CB847" s="68">
        <v>0.5</v>
      </c>
      <c r="CC847" s="68">
        <v>1</v>
      </c>
      <c r="CD847" s="77" t="s">
        <v>464</v>
      </c>
      <c r="CE847" s="77" t="s">
        <v>464</v>
      </c>
      <c r="CF847" s="77" t="s">
        <v>1266</v>
      </c>
      <c r="CG847" s="77">
        <v>125</v>
      </c>
      <c r="CH847" s="77">
        <v>220</v>
      </c>
      <c r="CI847" s="77" t="s">
        <v>1287</v>
      </c>
      <c r="CJ847" s="77">
        <f t="shared" si="209"/>
        <v>288</v>
      </c>
      <c r="CK847" s="70">
        <v>103360</v>
      </c>
    </row>
    <row r="848" spans="1:89" x14ac:dyDescent="0.3">
      <c r="A848" t="s">
        <v>2587</v>
      </c>
      <c r="B848" t="s">
        <v>2776</v>
      </c>
      <c r="C848" t="s">
        <v>4291</v>
      </c>
      <c r="D848" s="12"/>
      <c r="E848">
        <v>3.35</v>
      </c>
      <c r="F848" t="s">
        <v>380</v>
      </c>
      <c r="G848" s="109" t="s">
        <v>2542</v>
      </c>
      <c r="H848">
        <v>-1</v>
      </c>
      <c r="J848" t="s">
        <v>1752</v>
      </c>
      <c r="M848" t="b">
        <v>1</v>
      </c>
      <c r="N848" t="b">
        <v>0</v>
      </c>
      <c r="O848" t="b">
        <v>0</v>
      </c>
      <c r="P848" t="b">
        <v>0</v>
      </c>
      <c r="Q848" t="s">
        <v>2603</v>
      </c>
      <c r="R848">
        <v>-1</v>
      </c>
      <c r="T848">
        <v>1</v>
      </c>
      <c r="U848" s="20">
        <v>0</v>
      </c>
      <c r="V848">
        <v>0</v>
      </c>
      <c r="W848">
        <v>0</v>
      </c>
      <c r="X848">
        <v>3.81</v>
      </c>
      <c r="Y848">
        <v>3.81</v>
      </c>
      <c r="Z848">
        <v>28.3</v>
      </c>
      <c r="AA848" t="s">
        <v>519</v>
      </c>
      <c r="AB848">
        <v>28.3</v>
      </c>
      <c r="AC848" s="20">
        <v>0</v>
      </c>
      <c r="AF848">
        <v>0</v>
      </c>
      <c r="AI848">
        <v>0</v>
      </c>
      <c r="AM848">
        <v>22</v>
      </c>
      <c r="AN848" s="44">
        <f t="shared" si="212"/>
        <v>410.80563000000001</v>
      </c>
      <c r="AO848" s="46">
        <v>0</v>
      </c>
      <c r="AP848" s="44">
        <v>0</v>
      </c>
      <c r="AQ848" s="44">
        <v>0</v>
      </c>
      <c r="AR848" s="41">
        <f t="shared" si="211"/>
        <v>5.3553306949566393E-2</v>
      </c>
      <c r="AS848" s="41"/>
      <c r="AT848" s="41"/>
      <c r="AU848" s="41"/>
      <c r="AV848" s="23">
        <v>1.5789473684210531</v>
      </c>
      <c r="AW848" s="23">
        <v>1.4736842105263159</v>
      </c>
      <c r="AX848" s="23">
        <v>0.15789473684210531</v>
      </c>
      <c r="AY848" s="23">
        <v>0.2105263157894737</v>
      </c>
      <c r="AZ848" s="23">
        <v>0.46153846153846162</v>
      </c>
      <c r="BA848" s="23">
        <v>0.43076923076923068</v>
      </c>
      <c r="BB848" s="23">
        <v>4.6153846153846149E-2</v>
      </c>
      <c r="BC848" s="23">
        <v>6.1538461538461528E-2</v>
      </c>
      <c r="BD848" s="20">
        <v>1.1399999999999999</v>
      </c>
      <c r="BE848" s="20">
        <v>3.44</v>
      </c>
      <c r="BF848" s="20">
        <v>2.2999999999999998</v>
      </c>
      <c r="BG848" s="20">
        <v>2.5063157894736841</v>
      </c>
      <c r="BH848">
        <v>2.5063157894736841</v>
      </c>
      <c r="BI848">
        <v>6.6132852127267361</v>
      </c>
      <c r="BJ848" s="64"/>
      <c r="BK848" s="64"/>
      <c r="BL848" s="64"/>
      <c r="BM848">
        <v>2.67766534747832E-2</v>
      </c>
      <c r="BQ848">
        <v>5.3553306949566393E-2</v>
      </c>
      <c r="BR848">
        <v>2.67766534747832E-2</v>
      </c>
      <c r="BS848">
        <v>0</v>
      </c>
      <c r="BT848" s="68" t="s">
        <v>1264</v>
      </c>
      <c r="BU848" s="68">
        <v>1373</v>
      </c>
      <c r="BV848" s="68">
        <v>12</v>
      </c>
      <c r="BX848" s="68" t="s">
        <v>1268</v>
      </c>
      <c r="BY848" s="68" t="s">
        <v>863</v>
      </c>
      <c r="BZ848" s="68">
        <v>1</v>
      </c>
      <c r="CB848" s="68">
        <v>0.5</v>
      </c>
      <c r="CC848" s="68">
        <v>1</v>
      </c>
      <c r="CD848" s="77" t="s">
        <v>464</v>
      </c>
      <c r="CE848" s="77" t="s">
        <v>464</v>
      </c>
      <c r="CF848" s="77" t="s">
        <v>1266</v>
      </c>
      <c r="CG848" s="77">
        <v>125</v>
      </c>
      <c r="CH848" s="77">
        <v>220</v>
      </c>
      <c r="CI848" s="77" t="s">
        <v>1287</v>
      </c>
      <c r="CJ848" s="77">
        <f t="shared" si="209"/>
        <v>288</v>
      </c>
      <c r="CK848" s="70">
        <v>91400</v>
      </c>
    </row>
    <row r="849" spans="1:89" x14ac:dyDescent="0.3">
      <c r="A849" t="s">
        <v>2588</v>
      </c>
      <c r="B849" t="s">
        <v>2776</v>
      </c>
      <c r="C849" t="s">
        <v>4292</v>
      </c>
      <c r="D849" s="12"/>
      <c r="E849">
        <v>3.36</v>
      </c>
      <c r="F849" t="s">
        <v>380</v>
      </c>
      <c r="G849" s="109" t="s">
        <v>2543</v>
      </c>
      <c r="H849">
        <v>-1</v>
      </c>
      <c r="J849" t="s">
        <v>1752</v>
      </c>
      <c r="M849" t="b">
        <v>0</v>
      </c>
      <c r="N849" t="b">
        <v>0</v>
      </c>
      <c r="O849" t="b">
        <v>0</v>
      </c>
      <c r="P849" t="b">
        <v>1</v>
      </c>
      <c r="Q849" t="s">
        <v>2592</v>
      </c>
      <c r="R849">
        <v>-1</v>
      </c>
      <c r="T849">
        <v>1</v>
      </c>
      <c r="U849" s="20">
        <v>0</v>
      </c>
      <c r="V849">
        <v>0</v>
      </c>
      <c r="W849">
        <v>0</v>
      </c>
      <c r="X849">
        <v>3.74</v>
      </c>
      <c r="Y849">
        <v>3.74</v>
      </c>
      <c r="Z849">
        <v>30.8</v>
      </c>
      <c r="AA849" t="s">
        <v>519</v>
      </c>
      <c r="AB849">
        <v>30.8</v>
      </c>
      <c r="AC849" s="20">
        <v>0</v>
      </c>
      <c r="AF849">
        <v>0</v>
      </c>
      <c r="AI849">
        <v>0</v>
      </c>
      <c r="AM849">
        <v>22</v>
      </c>
      <c r="AN849" s="44">
        <f t="shared" si="212"/>
        <v>430.81808000000007</v>
      </c>
      <c r="AO849" s="46">
        <v>0</v>
      </c>
      <c r="AP849" s="44">
        <v>0</v>
      </c>
      <c r="AQ849" s="44">
        <v>0</v>
      </c>
      <c r="AR849" s="41">
        <f t="shared" si="211"/>
        <v>5.1065637728110194E-2</v>
      </c>
      <c r="AS849" s="41"/>
      <c r="AT849" s="41"/>
      <c r="AU849" s="41"/>
      <c r="AV849" s="23">
        <v>1.545454545454545</v>
      </c>
      <c r="AW849" s="23">
        <v>1.363636363636364</v>
      </c>
      <c r="AX849" s="23">
        <v>0.13636363636363641</v>
      </c>
      <c r="AY849" s="23">
        <v>0.1818181818181818</v>
      </c>
      <c r="AZ849" s="23">
        <v>0.47887323943661969</v>
      </c>
      <c r="BA849" s="23">
        <v>0.42253521126760563</v>
      </c>
      <c r="BB849" s="23">
        <v>4.2253521126760563E-2</v>
      </c>
      <c r="BC849" s="23">
        <v>5.6338028169014093E-2</v>
      </c>
      <c r="BD849" s="20">
        <v>1.1399999999999999</v>
      </c>
      <c r="BE849" s="20">
        <v>3.44</v>
      </c>
      <c r="BF849" s="20">
        <v>2.2999999999999998</v>
      </c>
      <c r="BG849" s="20">
        <v>2.4804545454545459</v>
      </c>
      <c r="BH849">
        <v>2.480454545454545</v>
      </c>
      <c r="BI849">
        <v>6.6484842021595449</v>
      </c>
      <c r="BJ849" s="64"/>
      <c r="BK849" s="64"/>
      <c r="BL849" s="64"/>
      <c r="BM849">
        <v>2.5532818864055101E-2</v>
      </c>
      <c r="BQ849">
        <v>5.1065637728110187E-2</v>
      </c>
      <c r="BR849">
        <v>2.5532818864055101E-2</v>
      </c>
      <c r="BS849">
        <v>0</v>
      </c>
      <c r="BT849" s="68" t="s">
        <v>1264</v>
      </c>
      <c r="BU849" s="68">
        <v>1373</v>
      </c>
      <c r="BV849" s="68">
        <v>12</v>
      </c>
      <c r="BX849" s="68" t="s">
        <v>1268</v>
      </c>
      <c r="BY849" s="68" t="s">
        <v>863</v>
      </c>
      <c r="BZ849" s="68">
        <v>1</v>
      </c>
      <c r="CA849" s="68">
        <v>4.66</v>
      </c>
      <c r="CB849" s="68">
        <v>0.5</v>
      </c>
      <c r="CC849" s="68">
        <v>1</v>
      </c>
      <c r="CD849" s="77" t="s">
        <v>464</v>
      </c>
      <c r="CE849" s="77" t="s">
        <v>464</v>
      </c>
      <c r="CF849" s="77" t="s">
        <v>1266</v>
      </c>
      <c r="CG849" s="77">
        <v>125</v>
      </c>
      <c r="CH849" s="77">
        <v>220</v>
      </c>
      <c r="CI849" s="77" t="s">
        <v>1287</v>
      </c>
      <c r="CJ849" s="77">
        <f t="shared" si="209"/>
        <v>288</v>
      </c>
      <c r="CK849" s="70">
        <v>81560</v>
      </c>
    </row>
    <row r="850" spans="1:89" x14ac:dyDescent="0.3">
      <c r="A850" s="1" t="s">
        <v>394</v>
      </c>
      <c r="C850" t="s">
        <v>4293</v>
      </c>
      <c r="D850" s="12"/>
      <c r="E850">
        <v>3.29</v>
      </c>
      <c r="F850" t="s">
        <v>393</v>
      </c>
      <c r="G850" s="8">
        <v>-1</v>
      </c>
      <c r="H850">
        <v>-1</v>
      </c>
      <c r="I850" t="s">
        <v>1243</v>
      </c>
      <c r="M850" t="b">
        <v>0</v>
      </c>
      <c r="N850" t="b">
        <v>0</v>
      </c>
      <c r="O850" t="b">
        <v>0</v>
      </c>
      <c r="P850" t="b">
        <v>1</v>
      </c>
      <c r="Q850">
        <v>-1</v>
      </c>
      <c r="R850">
        <v>-1</v>
      </c>
      <c r="S850" t="s">
        <v>1243</v>
      </c>
      <c r="T850">
        <v>1</v>
      </c>
      <c r="U850" s="20">
        <v>0</v>
      </c>
      <c r="V850">
        <v>0</v>
      </c>
      <c r="W850">
        <v>0</v>
      </c>
      <c r="X850">
        <v>3.85</v>
      </c>
      <c r="Y850">
        <v>3.85</v>
      </c>
      <c r="Z850">
        <v>21.37</v>
      </c>
      <c r="AA850" t="s">
        <v>1131</v>
      </c>
      <c r="AB850">
        <v>21.37</v>
      </c>
      <c r="AC850" s="20">
        <v>0</v>
      </c>
      <c r="AF850">
        <v>0</v>
      </c>
      <c r="AI850">
        <v>0</v>
      </c>
      <c r="AM850">
        <v>26</v>
      </c>
      <c r="AN850" s="44">
        <f t="shared" si="210"/>
        <v>316.75682500000005</v>
      </c>
      <c r="AO850" s="46">
        <v>0</v>
      </c>
      <c r="AP850" s="44">
        <v>0</v>
      </c>
      <c r="AQ850" s="44">
        <v>0</v>
      </c>
      <c r="AR850" s="41">
        <f t="shared" si="207"/>
        <v>8.2081893578772921E-2</v>
      </c>
      <c r="AS850" s="41"/>
      <c r="AT850" s="41"/>
      <c r="AU850" s="41"/>
      <c r="AV850" s="23">
        <v>1.791666666666667</v>
      </c>
      <c r="AW850" s="23">
        <v>2.416666666666667</v>
      </c>
      <c r="AX850" s="23">
        <v>1.166666666666667</v>
      </c>
      <c r="AY850" s="23">
        <v>1.166666666666667</v>
      </c>
      <c r="AZ850" s="23">
        <v>0.27388535031847128</v>
      </c>
      <c r="BA850" s="23">
        <v>0.36942675159235672</v>
      </c>
      <c r="BB850" s="23">
        <v>0.178343949044586</v>
      </c>
      <c r="BC850" s="23">
        <v>0.178343949044586</v>
      </c>
      <c r="BD850" s="20">
        <v>0.82</v>
      </c>
      <c r="BE850" s="20">
        <v>3.44</v>
      </c>
      <c r="BF850" s="20">
        <v>2.62</v>
      </c>
      <c r="BG850" s="20">
        <v>2.689166666666666</v>
      </c>
      <c r="BH850">
        <v>2.6891666666666669</v>
      </c>
      <c r="BI850">
        <v>6.2990365295585002</v>
      </c>
      <c r="BJ850" s="64"/>
      <c r="BK850" s="64"/>
      <c r="BL850" s="64">
        <v>0</v>
      </c>
      <c r="BM850">
        <v>4.1040946789386461E-2</v>
      </c>
      <c r="BQ850">
        <v>8.2081893578772921E-2</v>
      </c>
      <c r="BR850">
        <v>4.1040946789386461E-2</v>
      </c>
      <c r="BS850">
        <v>0</v>
      </c>
      <c r="CD850" s="68" t="s">
        <v>464</v>
      </c>
      <c r="CE850" s="68" t="s">
        <v>464</v>
      </c>
    </row>
    <row r="851" spans="1:89" x14ac:dyDescent="0.3">
      <c r="A851" s="4" t="s">
        <v>395</v>
      </c>
      <c r="C851" t="s">
        <v>4294</v>
      </c>
      <c r="D851" s="29"/>
      <c r="E851" s="4">
        <v>3.17</v>
      </c>
      <c r="F851" s="4" t="s">
        <v>393</v>
      </c>
      <c r="G851" s="30">
        <v>-2</v>
      </c>
      <c r="H851" s="4">
        <v>-1</v>
      </c>
      <c r="I851" s="4"/>
      <c r="J851" s="4"/>
      <c r="K851" s="4"/>
      <c r="L851" s="4"/>
      <c r="M851" t="b">
        <v>0</v>
      </c>
      <c r="N851" t="b">
        <v>0</v>
      </c>
      <c r="O851" t="b">
        <v>0</v>
      </c>
      <c r="P851" t="b">
        <v>1</v>
      </c>
      <c r="Q851">
        <v>-2</v>
      </c>
      <c r="R851">
        <v>-1</v>
      </c>
      <c r="T851" s="4">
        <v>1</v>
      </c>
      <c r="U851" s="31">
        <v>0</v>
      </c>
      <c r="V851">
        <v>0</v>
      </c>
      <c r="W851">
        <v>0</v>
      </c>
      <c r="X851">
        <v>3.85</v>
      </c>
      <c r="Y851">
        <v>3.85</v>
      </c>
      <c r="Z851" s="4">
        <v>21.88</v>
      </c>
      <c r="AA851" s="4"/>
      <c r="AB851" s="4">
        <v>21.88</v>
      </c>
      <c r="AC851" s="31">
        <v>0</v>
      </c>
      <c r="AD851" s="4"/>
      <c r="AE851" s="4"/>
      <c r="AF851">
        <v>0</v>
      </c>
      <c r="AI851">
        <v>0</v>
      </c>
      <c r="AL851" s="4"/>
      <c r="AM851" s="4">
        <v>26</v>
      </c>
      <c r="AN851" s="44">
        <f t="shared" si="210"/>
        <v>324.31630000000001</v>
      </c>
      <c r="AO851" s="46">
        <v>0</v>
      </c>
      <c r="AP851" s="44">
        <v>0</v>
      </c>
      <c r="AQ851" s="44">
        <v>0</v>
      </c>
      <c r="AR851" s="41">
        <f t="shared" si="207"/>
        <v>8.0168650172686359E-2</v>
      </c>
      <c r="AS851" s="41"/>
      <c r="AT851" s="41"/>
      <c r="AU851" s="41"/>
      <c r="AV851" s="4">
        <v>1.7272727272727271</v>
      </c>
      <c r="AW851" s="4">
        <v>2.1818181818181821</v>
      </c>
      <c r="AX851" s="4">
        <v>1.0181818181818181</v>
      </c>
      <c r="AY851" s="4">
        <v>1.0181818181818181</v>
      </c>
      <c r="AZ851" s="4">
        <v>0.29051987767584098</v>
      </c>
      <c r="BA851" s="4">
        <v>0.36697247706422009</v>
      </c>
      <c r="BB851" s="4">
        <v>0.17125382262996941</v>
      </c>
      <c r="BC851" s="4">
        <v>0.17125382262996941</v>
      </c>
      <c r="BD851" s="31">
        <v>0.82</v>
      </c>
      <c r="BE851" s="31">
        <v>3.44</v>
      </c>
      <c r="BF851" s="31">
        <v>2.62</v>
      </c>
      <c r="BG851" s="31">
        <v>2.6647272727272728</v>
      </c>
      <c r="BH851" s="4">
        <v>2.6647272727272728</v>
      </c>
      <c r="BI851" s="4">
        <v>6.4638943890893454</v>
      </c>
      <c r="BJ851" s="64"/>
      <c r="BK851" s="64"/>
      <c r="BL851" s="64"/>
      <c r="BM851">
        <v>4.008432508634318E-2</v>
      </c>
      <c r="BQ851">
        <v>8.0168650172686359E-2</v>
      </c>
      <c r="BR851">
        <v>4.008432508634318E-2</v>
      </c>
      <c r="BS851">
        <v>0</v>
      </c>
      <c r="CD851" s="68" t="s">
        <v>464</v>
      </c>
      <c r="CE851" s="68" t="s">
        <v>464</v>
      </c>
    </row>
    <row r="852" spans="1:89" x14ac:dyDescent="0.3">
      <c r="A852" s="4" t="s">
        <v>2499</v>
      </c>
      <c r="C852" t="s">
        <v>4295</v>
      </c>
      <c r="D852" s="29"/>
      <c r="E852" s="4">
        <v>3.19</v>
      </c>
      <c r="F852" s="4" t="s">
        <v>393</v>
      </c>
      <c r="G852" s="30">
        <v>-2</v>
      </c>
      <c r="H852" s="4">
        <v>-1</v>
      </c>
      <c r="I852" s="4"/>
      <c r="J852" s="4"/>
      <c r="K852" s="4"/>
      <c r="L852" s="4"/>
      <c r="M852" t="b">
        <v>0</v>
      </c>
      <c r="N852" t="b">
        <v>0</v>
      </c>
      <c r="O852" t="b">
        <v>0</v>
      </c>
      <c r="P852" t="b">
        <v>1</v>
      </c>
      <c r="Q852">
        <v>-2</v>
      </c>
      <c r="R852">
        <v>-1</v>
      </c>
      <c r="T852" s="4">
        <v>1</v>
      </c>
      <c r="U852" s="31">
        <v>0</v>
      </c>
      <c r="V852">
        <v>0</v>
      </c>
      <c r="W852">
        <v>0</v>
      </c>
      <c r="X852">
        <v>3.85</v>
      </c>
      <c r="Y852">
        <v>3.85</v>
      </c>
      <c r="Z852" s="4">
        <v>23.3</v>
      </c>
      <c r="AA852" s="4"/>
      <c r="AB852" s="4">
        <v>23.3</v>
      </c>
      <c r="AC852" s="31">
        <v>0</v>
      </c>
      <c r="AD852" s="4"/>
      <c r="AE852" s="4"/>
      <c r="AF852">
        <v>0</v>
      </c>
      <c r="AI852">
        <v>0</v>
      </c>
      <c r="AL852" s="4"/>
      <c r="AM852" s="4">
        <v>26</v>
      </c>
      <c r="AN852" s="44">
        <f t="shared" si="210"/>
        <v>345.36425000000003</v>
      </c>
      <c r="AO852" s="46">
        <v>0</v>
      </c>
      <c r="AP852" s="44">
        <v>0</v>
      </c>
      <c r="AQ852" s="44">
        <v>0</v>
      </c>
      <c r="AR852" s="41">
        <f t="shared" si="207"/>
        <v>7.5282835441132068E-2</v>
      </c>
      <c r="AS852" s="41"/>
      <c r="AT852" s="41"/>
      <c r="AU852" s="41"/>
      <c r="AV852" s="4">
        <v>1.693548387096774</v>
      </c>
      <c r="AW852" s="4">
        <v>2.0483870967741939</v>
      </c>
      <c r="AX852" s="4">
        <v>1.064516129032258</v>
      </c>
      <c r="AY852" s="4">
        <v>1.129032258064516</v>
      </c>
      <c r="AZ852" s="4">
        <v>0.28532608695652167</v>
      </c>
      <c r="BA852" s="4">
        <v>0.34510869565217389</v>
      </c>
      <c r="BB852" s="4">
        <v>0.17934782608695651</v>
      </c>
      <c r="BC852" s="4">
        <v>0.19021739130434781</v>
      </c>
      <c r="BD852" s="31">
        <v>0.82</v>
      </c>
      <c r="BE852" s="31">
        <v>3.44</v>
      </c>
      <c r="BF852" s="31">
        <v>2.62</v>
      </c>
      <c r="BG852" s="31">
        <v>2.620645161290323</v>
      </c>
      <c r="BH852" s="4">
        <v>2.620645161290323</v>
      </c>
      <c r="BI852" s="4">
        <v>6.4654289883277096</v>
      </c>
      <c r="BJ852" s="64"/>
      <c r="BK852" s="64"/>
      <c r="BL852" s="64"/>
      <c r="BM852">
        <v>3.7641417720566027E-2</v>
      </c>
      <c r="BQ852">
        <v>7.5282835441132068E-2</v>
      </c>
      <c r="BR852">
        <v>3.7641417720566027E-2</v>
      </c>
      <c r="BS852">
        <v>0</v>
      </c>
      <c r="CD852" s="68" t="s">
        <v>464</v>
      </c>
      <c r="CE852" s="68" t="s">
        <v>464</v>
      </c>
    </row>
    <row r="853" spans="1:89" x14ac:dyDescent="0.3">
      <c r="A853" s="4" t="s">
        <v>2747</v>
      </c>
      <c r="C853" t="s">
        <v>4296</v>
      </c>
      <c r="D853" s="29"/>
      <c r="E853" s="4">
        <v>3.19</v>
      </c>
      <c r="F853" s="4" t="s">
        <v>393</v>
      </c>
      <c r="G853" s="30">
        <v>-2</v>
      </c>
      <c r="H853" s="4">
        <v>-1</v>
      </c>
      <c r="I853" s="4"/>
      <c r="J853" s="4"/>
      <c r="K853" s="4"/>
      <c r="L853" s="4"/>
      <c r="M853" t="b">
        <v>0</v>
      </c>
      <c r="N853" t="b">
        <v>0</v>
      </c>
      <c r="O853" t="b">
        <v>0</v>
      </c>
      <c r="P853" t="b">
        <v>1</v>
      </c>
      <c r="Q853">
        <v>-2</v>
      </c>
      <c r="R853">
        <v>-1</v>
      </c>
      <c r="T853" s="4">
        <v>1</v>
      </c>
      <c r="U853" s="31">
        <v>0</v>
      </c>
      <c r="V853">
        <v>0</v>
      </c>
      <c r="W853">
        <v>0</v>
      </c>
      <c r="X853">
        <v>3.85</v>
      </c>
      <c r="Y853">
        <v>3.85</v>
      </c>
      <c r="Z853" s="4">
        <v>25.26</v>
      </c>
      <c r="AA853" s="4"/>
      <c r="AB853" s="4">
        <v>25.26</v>
      </c>
      <c r="AC853" s="31">
        <v>0</v>
      </c>
      <c r="AD853" s="31"/>
      <c r="AE853" s="31"/>
      <c r="AF853">
        <v>0</v>
      </c>
      <c r="AI853">
        <v>0</v>
      </c>
      <c r="AL853" s="4"/>
      <c r="AM853" s="4">
        <v>26</v>
      </c>
      <c r="AN853" s="44">
        <f t="shared" si="210"/>
        <v>374.41635000000008</v>
      </c>
      <c r="AO853" s="46">
        <v>0</v>
      </c>
      <c r="AP853" s="44">
        <v>0</v>
      </c>
      <c r="AQ853" s="44">
        <v>0</v>
      </c>
      <c r="AR853" s="41">
        <f t="shared" si="207"/>
        <v>6.9441411946887452E-2</v>
      </c>
      <c r="AS853" s="40"/>
      <c r="AT853" s="41"/>
      <c r="AU853" s="41"/>
      <c r="AV853" s="4">
        <v>1.661764705882353</v>
      </c>
      <c r="AW853" s="4">
        <v>1.9264705882352939</v>
      </c>
      <c r="AX853" s="4">
        <v>0.97058823529411764</v>
      </c>
      <c r="AY853" s="4">
        <v>1.029411764705882</v>
      </c>
      <c r="AZ853" s="4">
        <v>0.29736842105263162</v>
      </c>
      <c r="BA853" s="4">
        <v>0.34473684210526317</v>
      </c>
      <c r="BB853" s="4">
        <v>0.1736842105263158</v>
      </c>
      <c r="BC853" s="4">
        <v>0.18421052631578949</v>
      </c>
      <c r="BD853" s="31">
        <v>0.82</v>
      </c>
      <c r="BE853" s="31">
        <v>3.44</v>
      </c>
      <c r="BF853" s="31">
        <v>2.62</v>
      </c>
      <c r="BG853" s="31">
        <v>2.5938235294117651</v>
      </c>
      <c r="BH853" s="4">
        <v>2.5938235294117651</v>
      </c>
      <c r="BI853" s="4">
        <v>6.5012509424665001</v>
      </c>
      <c r="BJ853" s="64"/>
      <c r="BK853" s="64"/>
      <c r="BL853" s="64"/>
      <c r="BM853">
        <v>3.4720705973443733E-2</v>
      </c>
      <c r="BQ853">
        <v>6.9441411946887452E-2</v>
      </c>
      <c r="BR853">
        <v>3.4720705973443733E-2</v>
      </c>
      <c r="BS853">
        <v>0</v>
      </c>
      <c r="CD853" s="68" t="s">
        <v>464</v>
      </c>
      <c r="CE853" s="68" t="s">
        <v>464</v>
      </c>
    </row>
    <row r="854" spans="1:89" x14ac:dyDescent="0.3">
      <c r="A854" s="4" t="s">
        <v>2500</v>
      </c>
      <c r="C854" t="s">
        <v>4297</v>
      </c>
      <c r="D854" s="29"/>
      <c r="E854" s="4">
        <v>3.17</v>
      </c>
      <c r="F854" s="4" t="s">
        <v>393</v>
      </c>
      <c r="G854" s="30">
        <v>-2</v>
      </c>
      <c r="H854" s="4">
        <v>-1</v>
      </c>
      <c r="I854" s="4"/>
      <c r="J854" s="4"/>
      <c r="K854" s="4"/>
      <c r="L854" s="4"/>
      <c r="M854" t="b">
        <v>0</v>
      </c>
      <c r="N854" t="b">
        <v>0</v>
      </c>
      <c r="O854" t="b">
        <v>0</v>
      </c>
      <c r="P854" t="b">
        <v>1</v>
      </c>
      <c r="Q854">
        <v>-2</v>
      </c>
      <c r="R854">
        <v>-1</v>
      </c>
      <c r="T854" s="4">
        <v>1</v>
      </c>
      <c r="U854" s="31">
        <v>0</v>
      </c>
      <c r="V854">
        <v>0</v>
      </c>
      <c r="W854">
        <v>0</v>
      </c>
      <c r="X854">
        <v>3.85</v>
      </c>
      <c r="Y854">
        <v>3.85</v>
      </c>
      <c r="Z854" s="4">
        <v>27.23</v>
      </c>
      <c r="AA854" s="4"/>
      <c r="AB854" s="4">
        <v>27.23</v>
      </c>
      <c r="AC854" s="31">
        <v>0</v>
      </c>
      <c r="AD854" s="31"/>
      <c r="AE854" s="31"/>
      <c r="AF854">
        <v>0</v>
      </c>
      <c r="AI854">
        <v>0</v>
      </c>
      <c r="AL854" s="4"/>
      <c r="AM854" s="4">
        <v>26</v>
      </c>
      <c r="AN854" s="44">
        <f t="shared" si="210"/>
        <v>403.61667500000004</v>
      </c>
      <c r="AO854" s="46">
        <v>0</v>
      </c>
      <c r="AP854" s="44">
        <v>0</v>
      </c>
      <c r="AQ854" s="44">
        <v>0</v>
      </c>
      <c r="AR854" s="41">
        <f t="shared" si="207"/>
        <v>6.4417556583855201E-2</v>
      </c>
      <c r="AS854" s="40"/>
      <c r="AT854" s="41"/>
      <c r="AU854" s="41"/>
      <c r="AV854" s="4">
        <v>1.6351351351351351</v>
      </c>
      <c r="AW854" s="4">
        <v>1.8243243243243239</v>
      </c>
      <c r="AX854" s="4">
        <v>0.89189189189189189</v>
      </c>
      <c r="AY854" s="4">
        <v>0.94594594594594594</v>
      </c>
      <c r="AZ854" s="4">
        <v>0.30867346938775508</v>
      </c>
      <c r="BA854" s="4">
        <v>0.34438775510204078</v>
      </c>
      <c r="BB854" s="4">
        <v>0.1683673469387755</v>
      </c>
      <c r="BC854" s="4">
        <v>0.1785714285714286</v>
      </c>
      <c r="BD854" s="31">
        <v>0.82</v>
      </c>
      <c r="BE854" s="31">
        <v>3.44</v>
      </c>
      <c r="BF854" s="31">
        <v>2.62</v>
      </c>
      <c r="BG854" s="31">
        <v>2.5713513513513511</v>
      </c>
      <c r="BH854" s="4">
        <v>2.571351351351352</v>
      </c>
      <c r="BI854" s="4">
        <v>6.5312639310692706</v>
      </c>
      <c r="BJ854" s="64"/>
      <c r="BK854" s="64"/>
      <c r="BL854" s="64"/>
      <c r="BM854">
        <v>3.2208778291927601E-2</v>
      </c>
      <c r="BQ854">
        <v>6.4417556583855201E-2</v>
      </c>
      <c r="BR854">
        <v>3.2208778291927601E-2</v>
      </c>
      <c r="BS854">
        <v>0</v>
      </c>
      <c r="CD854" s="68" t="s">
        <v>464</v>
      </c>
      <c r="CE854" s="68" t="s">
        <v>464</v>
      </c>
    </row>
    <row r="855" spans="1:89" x14ac:dyDescent="0.3">
      <c r="A855" s="4" t="s">
        <v>2501</v>
      </c>
      <c r="C855" t="s">
        <v>4298</v>
      </c>
      <c r="D855" s="29"/>
      <c r="E855" s="4">
        <v>3.15</v>
      </c>
      <c r="F855" s="4" t="s">
        <v>393</v>
      </c>
      <c r="G855" s="30">
        <v>-2</v>
      </c>
      <c r="H855" s="4">
        <v>-1</v>
      </c>
      <c r="I855" s="4"/>
      <c r="J855" s="4"/>
      <c r="K855" s="4"/>
      <c r="L855" s="4"/>
      <c r="M855" t="b">
        <v>0</v>
      </c>
      <c r="N855" t="b">
        <v>0</v>
      </c>
      <c r="O855" t="b">
        <v>0</v>
      </c>
      <c r="P855" t="b">
        <v>1</v>
      </c>
      <c r="Q855">
        <v>-2</v>
      </c>
      <c r="R855">
        <v>-1</v>
      </c>
      <c r="T855" s="4">
        <v>1</v>
      </c>
      <c r="U855" s="31">
        <v>0</v>
      </c>
      <c r="V855">
        <v>0</v>
      </c>
      <c r="W855">
        <v>0</v>
      </c>
      <c r="X855">
        <v>3.85</v>
      </c>
      <c r="Y855">
        <v>3.85</v>
      </c>
      <c r="Z855" s="4">
        <v>33.19</v>
      </c>
      <c r="AA855" s="4"/>
      <c r="AB855" s="4">
        <v>33.19</v>
      </c>
      <c r="AC855" s="31">
        <v>0</v>
      </c>
      <c r="AD855" s="31"/>
      <c r="AE855" s="31"/>
      <c r="AF855">
        <v>0</v>
      </c>
      <c r="AI855">
        <v>0</v>
      </c>
      <c r="AL855" s="4"/>
      <c r="AM855" s="4">
        <v>26</v>
      </c>
      <c r="AN855" s="44">
        <f t="shared" si="210"/>
        <v>491.958775</v>
      </c>
      <c r="AO855" s="46">
        <v>0</v>
      </c>
      <c r="AP855" s="44">
        <v>0</v>
      </c>
      <c r="AQ855" s="44">
        <v>0</v>
      </c>
      <c r="AR855" s="41">
        <f t="shared" si="207"/>
        <v>5.2849956787537733E-2</v>
      </c>
      <c r="AS855" s="40"/>
      <c r="AT855" s="41"/>
      <c r="AU855" s="41"/>
      <c r="AV855" s="4">
        <v>1.593023255813953</v>
      </c>
      <c r="AW855" s="4">
        <v>1.6627906976744189</v>
      </c>
      <c r="AX855" s="4">
        <v>0.76744186046511631</v>
      </c>
      <c r="AY855" s="4">
        <v>0.81395348837209303</v>
      </c>
      <c r="AZ855" s="4">
        <v>0.32932692307692307</v>
      </c>
      <c r="BA855" s="4">
        <v>0.34375000000000011</v>
      </c>
      <c r="BB855" s="4">
        <v>0.1586538461538462</v>
      </c>
      <c r="BC855" s="4">
        <v>0.16826923076923081</v>
      </c>
      <c r="BD855" s="31">
        <v>0.82</v>
      </c>
      <c r="BE855" s="31">
        <v>3.44</v>
      </c>
      <c r="BF855" s="31">
        <v>2.62</v>
      </c>
      <c r="BG855" s="31">
        <v>2.5358139534883719</v>
      </c>
      <c r="BH855" s="4">
        <v>2.5358139534883719</v>
      </c>
      <c r="BI855" s="4">
        <v>6.5787263316503957</v>
      </c>
      <c r="BJ855" s="64"/>
      <c r="BK855" s="64"/>
      <c r="BL855" s="64"/>
      <c r="BM855">
        <v>2.642497839376887E-2</v>
      </c>
      <c r="BQ855">
        <v>5.2849956787537733E-2</v>
      </c>
      <c r="BR855">
        <v>2.642497839376887E-2</v>
      </c>
      <c r="BS855">
        <v>0</v>
      </c>
      <c r="CD855" s="68" t="s">
        <v>464</v>
      </c>
      <c r="CE855" s="68" t="s">
        <v>464</v>
      </c>
    </row>
    <row r="856" spans="1:89" x14ac:dyDescent="0.3">
      <c r="A856" s="4" t="s">
        <v>2502</v>
      </c>
      <c r="C856" t="s">
        <v>4299</v>
      </c>
      <c r="D856" s="29"/>
      <c r="E856" s="4">
        <v>3.15</v>
      </c>
      <c r="F856" s="4" t="s">
        <v>393</v>
      </c>
      <c r="G856" s="100">
        <v>-2</v>
      </c>
      <c r="H856" s="4">
        <v>-1</v>
      </c>
      <c r="I856" s="4"/>
      <c r="J856" s="4"/>
      <c r="K856" s="4"/>
      <c r="L856" s="4"/>
      <c r="M856" t="b">
        <v>0</v>
      </c>
      <c r="N856" t="b">
        <v>0</v>
      </c>
      <c r="O856" t="b">
        <v>0</v>
      </c>
      <c r="P856" t="b">
        <v>1</v>
      </c>
      <c r="Q856">
        <v>-2</v>
      </c>
      <c r="R856">
        <v>-1</v>
      </c>
      <c r="T856" s="4">
        <v>1</v>
      </c>
      <c r="U856" s="31">
        <v>0</v>
      </c>
      <c r="V856">
        <v>0</v>
      </c>
      <c r="W856">
        <v>0</v>
      </c>
      <c r="X856">
        <v>3.85</v>
      </c>
      <c r="Y856">
        <v>3.85</v>
      </c>
      <c r="Z856" s="4">
        <v>38.67</v>
      </c>
      <c r="AA856" s="4"/>
      <c r="AB856" s="4">
        <v>38.67</v>
      </c>
      <c r="AC856" s="31">
        <v>0</v>
      </c>
      <c r="AD856" s="31"/>
      <c r="AE856" s="31"/>
      <c r="AF856">
        <v>0</v>
      </c>
      <c r="AI856">
        <v>0</v>
      </c>
      <c r="AL856" s="4"/>
      <c r="AM856" s="4">
        <v>26</v>
      </c>
      <c r="AN856" s="44">
        <f t="shared" si="210"/>
        <v>573.18607500000007</v>
      </c>
      <c r="AO856" s="46">
        <v>0</v>
      </c>
      <c r="AP856" s="44">
        <v>0</v>
      </c>
      <c r="AQ856" s="44">
        <v>0</v>
      </c>
      <c r="AR856" s="41">
        <f t="shared" si="207"/>
        <v>4.5360487866004065E-2</v>
      </c>
      <c r="AS856" s="40"/>
      <c r="AT856" s="41"/>
      <c r="AU856" s="41"/>
      <c r="AV856" s="4">
        <v>1.561224489795918</v>
      </c>
      <c r="AW856" s="4">
        <v>1.5408163265306121</v>
      </c>
      <c r="AX856" s="4">
        <v>0.67346938775510201</v>
      </c>
      <c r="AY856" s="4">
        <v>0.7142857142857143</v>
      </c>
      <c r="AZ856" s="4">
        <v>0.34772727272727277</v>
      </c>
      <c r="BA856" s="4">
        <v>0.3431818181818182</v>
      </c>
      <c r="BB856" s="4">
        <v>0.15</v>
      </c>
      <c r="BC856" s="4">
        <v>0.15909090909090909</v>
      </c>
      <c r="BD856" s="31">
        <v>0.82</v>
      </c>
      <c r="BE856" s="31">
        <v>3.44</v>
      </c>
      <c r="BF856" s="31">
        <v>2.62</v>
      </c>
      <c r="BG856" s="31">
        <v>2.5089795918367348</v>
      </c>
      <c r="BH856" s="4">
        <v>2.5089795918367348</v>
      </c>
      <c r="BI856" s="4">
        <v>6.6145652871912439</v>
      </c>
      <c r="BJ856" s="64"/>
      <c r="BK856" s="64"/>
      <c r="BL856" s="64"/>
      <c r="BM856">
        <v>2.2680243933002029E-2</v>
      </c>
      <c r="BQ856">
        <v>4.5360487866004072E-2</v>
      </c>
      <c r="BR856">
        <v>2.2680243933002029E-2</v>
      </c>
      <c r="BS856">
        <v>0</v>
      </c>
      <c r="CD856" s="68" t="s">
        <v>464</v>
      </c>
      <c r="CE856" s="68" t="s">
        <v>464</v>
      </c>
    </row>
    <row r="857" spans="1:89" x14ac:dyDescent="0.3">
      <c r="A857" t="s">
        <v>381</v>
      </c>
      <c r="B857" t="s">
        <v>2776</v>
      </c>
      <c r="C857" t="s">
        <v>4280</v>
      </c>
      <c r="D857" s="12"/>
      <c r="E857">
        <v>3.46</v>
      </c>
      <c r="F857" t="s">
        <v>401</v>
      </c>
      <c r="G857" s="99" t="s">
        <v>549</v>
      </c>
      <c r="H857">
        <v>-1</v>
      </c>
      <c r="J857" t="s">
        <v>1752</v>
      </c>
      <c r="M857" t="b">
        <v>1</v>
      </c>
      <c r="N857" t="b">
        <v>0</v>
      </c>
      <c r="O857" t="b">
        <v>0</v>
      </c>
      <c r="P857" t="b">
        <v>0</v>
      </c>
      <c r="Q857" t="s">
        <v>2604</v>
      </c>
      <c r="R857">
        <v>-1</v>
      </c>
      <c r="T857">
        <v>2</v>
      </c>
      <c r="U857" s="20">
        <v>0</v>
      </c>
      <c r="V857">
        <v>0</v>
      </c>
      <c r="W857">
        <v>0</v>
      </c>
      <c r="X857">
        <v>3.7829999999999999</v>
      </c>
      <c r="Y857">
        <v>3.7829999999999999</v>
      </c>
      <c r="Z857">
        <v>27.18</v>
      </c>
      <c r="AA857" t="s">
        <v>1131</v>
      </c>
      <c r="AB857">
        <v>13.59</v>
      </c>
      <c r="AC857" s="20">
        <v>0</v>
      </c>
      <c r="AD857" s="20"/>
      <c r="AE857" s="20"/>
      <c r="AF857">
        <v>0</v>
      </c>
      <c r="AI857">
        <v>0</v>
      </c>
      <c r="AM857">
        <v>20</v>
      </c>
      <c r="AN857" s="44">
        <f t="shared" si="210"/>
        <v>388.97539902</v>
      </c>
      <c r="AO857" s="46">
        <v>0</v>
      </c>
      <c r="AP857" s="44">
        <v>0</v>
      </c>
      <c r="AQ857" s="44">
        <v>0</v>
      </c>
      <c r="AR857" s="41">
        <f t="shared" si="207"/>
        <v>0.10283426689908304</v>
      </c>
      <c r="AS857" s="40"/>
      <c r="AT857" s="41"/>
      <c r="AU857" s="41"/>
      <c r="AV857" s="23">
        <v>1.882352941176471</v>
      </c>
      <c r="AW857" s="23">
        <v>2.3529411764705879</v>
      </c>
      <c r="AX857" s="23">
        <v>0.35294117647058831</v>
      </c>
      <c r="AY857" s="23">
        <v>0.47058823529411759</v>
      </c>
      <c r="AZ857" s="23">
        <v>0.37209302325581389</v>
      </c>
      <c r="BA857" s="23">
        <v>0.46511627906976749</v>
      </c>
      <c r="BB857" s="23">
        <v>6.9767441860465129E-2</v>
      </c>
      <c r="BC857" s="23">
        <v>9.3023255813953487E-2</v>
      </c>
      <c r="BD857" s="20">
        <v>1.1399999999999999</v>
      </c>
      <c r="BE857" s="20">
        <v>3.44</v>
      </c>
      <c r="BF857" s="20">
        <v>2.2999999999999998</v>
      </c>
      <c r="BG857" s="20">
        <v>2.6882352941176468</v>
      </c>
      <c r="BH857">
        <v>2.6882352941176468</v>
      </c>
      <c r="BI857">
        <v>6.2192249941001183</v>
      </c>
      <c r="BJ857" s="64"/>
      <c r="BK857" s="64"/>
      <c r="BL857" s="64"/>
      <c r="BM857">
        <v>5.1417133449541519E-2</v>
      </c>
      <c r="BQ857">
        <v>0.102834266899083</v>
      </c>
      <c r="BR857">
        <v>5.1417133449541519E-2</v>
      </c>
      <c r="BS857">
        <v>0</v>
      </c>
      <c r="BT857" s="68" t="s">
        <v>1264</v>
      </c>
      <c r="BU857" s="68">
        <v>1273</v>
      </c>
      <c r="BV857" s="68">
        <v>10</v>
      </c>
      <c r="BX857" s="68" t="s">
        <v>464</v>
      </c>
      <c r="BY857" s="68" t="s">
        <v>464</v>
      </c>
      <c r="BZ857" s="68">
        <v>0</v>
      </c>
      <c r="CA857" s="68">
        <v>21</v>
      </c>
      <c r="CB857" s="68">
        <v>0.5</v>
      </c>
      <c r="CC857" s="68">
        <v>1</v>
      </c>
      <c r="CD857" s="77" t="s">
        <v>464</v>
      </c>
      <c r="CE857" s="77" t="s">
        <v>464</v>
      </c>
      <c r="CF857" s="77" t="s">
        <v>1266</v>
      </c>
      <c r="CG857" s="77">
        <v>125</v>
      </c>
      <c r="CH857" s="77">
        <v>220</v>
      </c>
      <c r="CI857" s="77" t="s">
        <v>1287</v>
      </c>
      <c r="CJ857" s="77">
        <f t="shared" ref="CJ857:CJ877" si="213">273+15</f>
        <v>288</v>
      </c>
      <c r="CK857" s="70">
        <v>44</v>
      </c>
    </row>
    <row r="858" spans="1:89" x14ac:dyDescent="0.3">
      <c r="A858" t="s">
        <v>2582</v>
      </c>
      <c r="B858" t="s">
        <v>2776</v>
      </c>
      <c r="C858" t="s">
        <v>4284</v>
      </c>
      <c r="D858" s="12"/>
      <c r="E858">
        <v>3.58</v>
      </c>
      <c r="F858" t="s">
        <v>401</v>
      </c>
      <c r="G858" s="8">
        <v>-1</v>
      </c>
      <c r="H858">
        <v>-1</v>
      </c>
      <c r="M858" t="b">
        <v>0</v>
      </c>
      <c r="N858" t="b">
        <v>0</v>
      </c>
      <c r="O858" t="b">
        <v>0</v>
      </c>
      <c r="P858" t="b">
        <v>1</v>
      </c>
      <c r="Q858">
        <v>-1</v>
      </c>
      <c r="R858">
        <v>-1</v>
      </c>
      <c r="T858">
        <v>1</v>
      </c>
      <c r="U858" s="20">
        <v>0</v>
      </c>
      <c r="V858">
        <v>0</v>
      </c>
      <c r="W858">
        <v>0</v>
      </c>
      <c r="X858">
        <v>3.802</v>
      </c>
      <c r="Y858">
        <v>3.802</v>
      </c>
      <c r="Z858">
        <v>24.7</v>
      </c>
      <c r="AA858" t="s">
        <v>439</v>
      </c>
      <c r="AB858">
        <v>24.7</v>
      </c>
      <c r="AC858" s="20">
        <v>0</v>
      </c>
      <c r="AD858" s="20"/>
      <c r="AE858" s="20"/>
      <c r="AF858">
        <v>0</v>
      </c>
      <c r="AI858">
        <v>0</v>
      </c>
      <c r="AM858">
        <v>20</v>
      </c>
      <c r="AN858" s="44">
        <f t="shared" si="210"/>
        <v>357.04353880000002</v>
      </c>
      <c r="AO858" s="46">
        <v>0</v>
      </c>
      <c r="AP858" s="44">
        <v>0</v>
      </c>
      <c r="AQ858" s="44">
        <v>0</v>
      </c>
      <c r="AR858" s="41">
        <f t="shared" si="207"/>
        <v>5.6015577448113731E-2</v>
      </c>
      <c r="AS858" s="40"/>
      <c r="AT858" s="41"/>
      <c r="AU858" s="41"/>
      <c r="AV858" s="23">
        <v>1.606060606060606</v>
      </c>
      <c r="AW858" s="23">
        <v>1.545454545454545</v>
      </c>
      <c r="AX858" s="23">
        <v>0.1818181818181818</v>
      </c>
      <c r="AY858" s="23">
        <v>0.2424242424242424</v>
      </c>
      <c r="AZ858" s="23">
        <v>0.44915254237288132</v>
      </c>
      <c r="BA858" s="23">
        <v>0.43220338983050849</v>
      </c>
      <c r="BB858" s="23">
        <v>5.0847457627118647E-2</v>
      </c>
      <c r="BC858" s="23">
        <v>6.7796610169491525E-2</v>
      </c>
      <c r="BD858" s="20">
        <v>1.1399999999999999</v>
      </c>
      <c r="BE858" s="20">
        <v>3.44</v>
      </c>
      <c r="BF858" s="20">
        <v>2.2999999999999998</v>
      </c>
      <c r="BG858" s="20">
        <v>2.51939393939394</v>
      </c>
      <c r="BH858">
        <v>2.51939393939394</v>
      </c>
      <c r="BI858">
        <v>6.5741021946079687</v>
      </c>
      <c r="BJ858" s="64"/>
      <c r="BK858" s="64"/>
      <c r="BL858" s="64"/>
      <c r="BM858">
        <v>2.8007788724056869E-2</v>
      </c>
      <c r="BQ858">
        <v>5.6015577448113731E-2</v>
      </c>
      <c r="BR858">
        <v>2.8007788724056869E-2</v>
      </c>
      <c r="BS858">
        <v>0</v>
      </c>
      <c r="BT858" s="68" t="s">
        <v>1264</v>
      </c>
      <c r="BU858" s="68">
        <v>1273</v>
      </c>
      <c r="BV858" s="68">
        <v>10</v>
      </c>
      <c r="BX858" s="68" t="s">
        <v>464</v>
      </c>
      <c r="BY858" s="68" t="s">
        <v>464</v>
      </c>
      <c r="BZ858" s="68">
        <v>0</v>
      </c>
      <c r="CB858" s="68">
        <v>0.5</v>
      </c>
      <c r="CC858" s="68">
        <v>1</v>
      </c>
      <c r="CD858" s="77" t="s">
        <v>464</v>
      </c>
      <c r="CE858" s="77" t="s">
        <v>464</v>
      </c>
      <c r="CF858" s="77" t="s">
        <v>1266</v>
      </c>
      <c r="CG858" s="77">
        <v>125</v>
      </c>
      <c r="CH858" s="77">
        <v>220</v>
      </c>
      <c r="CI858" s="77" t="s">
        <v>1287</v>
      </c>
      <c r="CJ858" s="77">
        <f t="shared" si="213"/>
        <v>288</v>
      </c>
      <c r="CK858" s="70">
        <v>4800</v>
      </c>
    </row>
    <row r="859" spans="1:89" x14ac:dyDescent="0.3">
      <c r="A859" t="s">
        <v>381</v>
      </c>
      <c r="B859" t="s">
        <v>2776</v>
      </c>
      <c r="C859" t="s">
        <v>4280</v>
      </c>
      <c r="D859" s="12"/>
      <c r="E859">
        <v>3.46</v>
      </c>
      <c r="F859" t="s">
        <v>401</v>
      </c>
      <c r="G859" s="99" t="s">
        <v>549</v>
      </c>
      <c r="H859">
        <v>-1</v>
      </c>
      <c r="J859" t="s">
        <v>1752</v>
      </c>
      <c r="M859" t="b">
        <v>1</v>
      </c>
      <c r="N859" t="b">
        <v>0</v>
      </c>
      <c r="O859" t="b">
        <v>0</v>
      </c>
      <c r="P859" t="b">
        <v>0</v>
      </c>
      <c r="Q859" t="s">
        <v>2605</v>
      </c>
      <c r="R859">
        <v>-1</v>
      </c>
      <c r="T859">
        <v>2</v>
      </c>
      <c r="U859" s="20">
        <v>0</v>
      </c>
      <c r="V859">
        <v>0</v>
      </c>
      <c r="W859">
        <v>0</v>
      </c>
      <c r="X859">
        <v>3.7829999999999999</v>
      </c>
      <c r="Y859">
        <v>3.7829999999999999</v>
      </c>
      <c r="Z859">
        <v>27.18</v>
      </c>
      <c r="AA859" t="s">
        <v>1131</v>
      </c>
      <c r="AB859">
        <v>13.59</v>
      </c>
      <c r="AC859" s="20">
        <v>0</v>
      </c>
      <c r="AD859" s="20"/>
      <c r="AE859" s="20"/>
      <c r="AF859">
        <v>0</v>
      </c>
      <c r="AI859">
        <v>0</v>
      </c>
      <c r="AM859">
        <v>20</v>
      </c>
      <c r="AN859" s="44">
        <f t="shared" ref="AN859:AN860" si="214">X859*Y859*Z859</f>
        <v>388.97539902</v>
      </c>
      <c r="AO859" s="46">
        <v>0</v>
      </c>
      <c r="AP859" s="44">
        <v>0</v>
      </c>
      <c r="AQ859" s="44">
        <v>0</v>
      </c>
      <c r="AR859" s="41">
        <f t="shared" ref="AR859:AR860" si="215">T859*AM859/AN859</f>
        <v>0.10283426689908304</v>
      </c>
      <c r="AS859" s="40"/>
      <c r="AT859" s="41"/>
      <c r="AU859" s="41"/>
      <c r="AV859" s="23">
        <v>1.882352941176471</v>
      </c>
      <c r="AW859" s="23">
        <v>2.3529411764705879</v>
      </c>
      <c r="AX859" s="23">
        <v>0.35294117647058831</v>
      </c>
      <c r="AY859" s="23">
        <v>0.47058823529411759</v>
      </c>
      <c r="AZ859" s="23">
        <v>0.37209302325581389</v>
      </c>
      <c r="BA859" s="23">
        <v>0.46511627906976749</v>
      </c>
      <c r="BB859" s="23">
        <v>6.9767441860465129E-2</v>
      </c>
      <c r="BC859" s="23">
        <v>9.3023255813953487E-2</v>
      </c>
      <c r="BD859" s="20">
        <v>1.1399999999999999</v>
      </c>
      <c r="BE859" s="20">
        <v>3.44</v>
      </c>
      <c r="BF859" s="20">
        <v>2.2999999999999998</v>
      </c>
      <c r="BG859" s="20">
        <v>2.6882352941176468</v>
      </c>
      <c r="BH859">
        <v>2.6882352941176468</v>
      </c>
      <c r="BI859">
        <v>6.2192249941001183</v>
      </c>
      <c r="BJ859" s="64"/>
      <c r="BK859" s="64"/>
      <c r="BL859" s="64"/>
      <c r="BM859">
        <v>5.1417133449541519E-2</v>
      </c>
      <c r="BQ859">
        <v>0.102834266899083</v>
      </c>
      <c r="BR859">
        <v>5.1417133449541519E-2</v>
      </c>
      <c r="BS859">
        <v>0</v>
      </c>
      <c r="BT859" s="68" t="s">
        <v>1264</v>
      </c>
      <c r="BU859" s="68">
        <v>1273</v>
      </c>
      <c r="BV859" s="68">
        <v>10</v>
      </c>
      <c r="BX859" s="68" t="s">
        <v>1268</v>
      </c>
      <c r="BY859" s="68" t="s">
        <v>863</v>
      </c>
      <c r="BZ859" s="68">
        <v>1</v>
      </c>
      <c r="CA859" s="68">
        <v>21</v>
      </c>
      <c r="CB859" s="68">
        <v>0.5</v>
      </c>
      <c r="CC859" s="68">
        <v>1</v>
      </c>
      <c r="CD859" s="77" t="s">
        <v>464</v>
      </c>
      <c r="CE859" s="77" t="s">
        <v>464</v>
      </c>
      <c r="CF859" s="77" t="s">
        <v>1266</v>
      </c>
      <c r="CG859" s="77">
        <v>125</v>
      </c>
      <c r="CH859" s="77">
        <v>220</v>
      </c>
      <c r="CI859" s="77" t="s">
        <v>1287</v>
      </c>
      <c r="CJ859" s="77">
        <f t="shared" si="213"/>
        <v>288</v>
      </c>
      <c r="CK859" s="70">
        <v>4800</v>
      </c>
    </row>
    <row r="860" spans="1:89" x14ac:dyDescent="0.3">
      <c r="A860" t="s">
        <v>2582</v>
      </c>
      <c r="B860" t="s">
        <v>2776</v>
      </c>
      <c r="C860" t="s">
        <v>4284</v>
      </c>
      <c r="D860" s="12"/>
      <c r="E860">
        <v>3.58</v>
      </c>
      <c r="F860" t="s">
        <v>401</v>
      </c>
      <c r="G860" s="109" t="s">
        <v>2536</v>
      </c>
      <c r="J860" t="s">
        <v>1752</v>
      </c>
      <c r="M860" t="b">
        <v>1</v>
      </c>
      <c r="N860" t="b">
        <v>0</v>
      </c>
      <c r="O860" t="b">
        <v>0</v>
      </c>
      <c r="P860" t="b">
        <v>0</v>
      </c>
      <c r="Q860" t="s">
        <v>2606</v>
      </c>
      <c r="T860">
        <v>1</v>
      </c>
      <c r="U860" s="20">
        <v>0</v>
      </c>
      <c r="V860">
        <v>0</v>
      </c>
      <c r="W860">
        <v>0</v>
      </c>
      <c r="X860">
        <v>3.802</v>
      </c>
      <c r="Y860">
        <v>3.802</v>
      </c>
      <c r="Z860">
        <v>24.7</v>
      </c>
      <c r="AA860" t="s">
        <v>439</v>
      </c>
      <c r="AB860">
        <v>24.7</v>
      </c>
      <c r="AC860" s="20">
        <v>0</v>
      </c>
      <c r="AD860" s="20"/>
      <c r="AE860" s="20"/>
      <c r="AF860">
        <v>0</v>
      </c>
      <c r="AI860">
        <v>0</v>
      </c>
      <c r="AM860">
        <v>20</v>
      </c>
      <c r="AN860" s="44">
        <f t="shared" si="214"/>
        <v>357.04353880000002</v>
      </c>
      <c r="AO860" s="46">
        <v>0</v>
      </c>
      <c r="AP860" s="44">
        <v>0</v>
      </c>
      <c r="AQ860" s="44">
        <v>0</v>
      </c>
      <c r="AR860" s="41">
        <f t="shared" si="215"/>
        <v>5.6015577448113731E-2</v>
      </c>
      <c r="AS860" s="40"/>
      <c r="AT860" s="41"/>
      <c r="AU860" s="41"/>
      <c r="AV860" s="23">
        <v>1.606060606060606</v>
      </c>
      <c r="AW860" s="23">
        <v>1.545454545454545</v>
      </c>
      <c r="AX860" s="23">
        <v>0.1818181818181818</v>
      </c>
      <c r="AY860" s="23">
        <v>0.2424242424242424</v>
      </c>
      <c r="AZ860" s="23">
        <v>0.44915254237288132</v>
      </c>
      <c r="BA860" s="23">
        <v>0.43220338983050849</v>
      </c>
      <c r="BB860" s="23">
        <v>5.0847457627118647E-2</v>
      </c>
      <c r="BC860" s="23">
        <v>6.7796610169491525E-2</v>
      </c>
      <c r="BD860" s="20">
        <v>1.1399999999999999</v>
      </c>
      <c r="BE860" s="20">
        <v>3.44</v>
      </c>
      <c r="BF860" s="20">
        <v>2.2999999999999998</v>
      </c>
      <c r="BG860" s="20">
        <v>2.51939393939394</v>
      </c>
      <c r="BH860">
        <v>2.51939393939394</v>
      </c>
      <c r="BI860">
        <v>6.5741021946079687</v>
      </c>
      <c r="BJ860" s="64"/>
      <c r="BK860" s="64"/>
      <c r="BL860" s="64"/>
      <c r="BM860">
        <v>2.8007788724056869E-2</v>
      </c>
      <c r="BQ860">
        <v>5.6015577448113731E-2</v>
      </c>
      <c r="BR860">
        <v>2.8007788724056869E-2</v>
      </c>
      <c r="BS860">
        <v>0</v>
      </c>
      <c r="BT860" s="68" t="s">
        <v>1264</v>
      </c>
      <c r="BU860" s="68">
        <v>1273</v>
      </c>
      <c r="BV860" s="68">
        <v>10</v>
      </c>
      <c r="BX860" s="68" t="s">
        <v>1268</v>
      </c>
      <c r="BY860" s="68" t="s">
        <v>863</v>
      </c>
      <c r="BZ860" s="68">
        <v>1</v>
      </c>
      <c r="CB860" s="68">
        <v>0.5</v>
      </c>
      <c r="CC860" s="68">
        <v>1</v>
      </c>
      <c r="CD860" s="77" t="s">
        <v>464</v>
      </c>
      <c r="CE860" s="77" t="s">
        <v>464</v>
      </c>
      <c r="CF860" s="77" t="s">
        <v>1266</v>
      </c>
      <c r="CG860" s="77">
        <v>125</v>
      </c>
      <c r="CH860" s="77">
        <v>220</v>
      </c>
      <c r="CI860" s="77" t="s">
        <v>1287</v>
      </c>
      <c r="CJ860" s="77">
        <f t="shared" si="213"/>
        <v>288</v>
      </c>
      <c r="CK860" s="70">
        <v>68000</v>
      </c>
    </row>
    <row r="861" spans="1:89" x14ac:dyDescent="0.3">
      <c r="A861" t="s">
        <v>2582</v>
      </c>
      <c r="B861" t="s">
        <v>2776</v>
      </c>
      <c r="C861" t="s">
        <v>4284</v>
      </c>
      <c r="D861" s="12"/>
      <c r="E861">
        <v>3.58</v>
      </c>
      <c r="F861" t="s">
        <v>401</v>
      </c>
      <c r="G861" s="109" t="s">
        <v>2536</v>
      </c>
      <c r="J861" t="s">
        <v>1752</v>
      </c>
      <c r="M861" t="b">
        <v>1</v>
      </c>
      <c r="N861" t="b">
        <v>0</v>
      </c>
      <c r="O861" t="b">
        <v>0</v>
      </c>
      <c r="P861" t="b">
        <v>0</v>
      </c>
      <c r="Q861" t="s">
        <v>2616</v>
      </c>
      <c r="T861">
        <v>1</v>
      </c>
      <c r="U861" s="20">
        <v>0</v>
      </c>
      <c r="V861">
        <v>0</v>
      </c>
      <c r="W861">
        <v>0</v>
      </c>
      <c r="X861">
        <v>3.802</v>
      </c>
      <c r="Y861">
        <v>3.802</v>
      </c>
      <c r="Z861">
        <v>24.7</v>
      </c>
      <c r="AA861" t="s">
        <v>439</v>
      </c>
      <c r="AB861">
        <v>24.7</v>
      </c>
      <c r="AC861" s="20">
        <v>0</v>
      </c>
      <c r="AD861" s="20"/>
      <c r="AE861" s="20"/>
      <c r="AF861">
        <v>0</v>
      </c>
      <c r="AI861">
        <v>0</v>
      </c>
      <c r="AM861">
        <v>20</v>
      </c>
      <c r="AN861" s="44">
        <f t="shared" ref="AN861" si="216">X861*Y861*Z861</f>
        <v>357.04353880000002</v>
      </c>
      <c r="AO861" s="46">
        <v>0</v>
      </c>
      <c r="AP861" s="44">
        <v>0</v>
      </c>
      <c r="AQ861" s="44">
        <v>0</v>
      </c>
      <c r="AR861" s="41">
        <f t="shared" ref="AR861" si="217">T861*AM861/AN861</f>
        <v>5.6015577448113731E-2</v>
      </c>
      <c r="AS861" s="40"/>
      <c r="AT861" s="41"/>
      <c r="AU861" s="41"/>
      <c r="AV861" s="23">
        <v>1.606060606060606</v>
      </c>
      <c r="AW861" s="23">
        <v>1.545454545454545</v>
      </c>
      <c r="AX861" s="23">
        <v>0.1818181818181818</v>
      </c>
      <c r="AY861" s="23">
        <v>0.2424242424242424</v>
      </c>
      <c r="AZ861" s="23">
        <v>0.44915254237288132</v>
      </c>
      <c r="BA861" s="23">
        <v>0.43220338983050849</v>
      </c>
      <c r="BB861" s="23">
        <v>5.0847457627118647E-2</v>
      </c>
      <c r="BC861" s="23">
        <v>6.7796610169491525E-2</v>
      </c>
      <c r="BD861" s="20">
        <v>1.1399999999999999</v>
      </c>
      <c r="BE861" s="20">
        <v>3.44</v>
      </c>
      <c r="BF861" s="20">
        <v>2.2999999999999998</v>
      </c>
      <c r="BG861" s="20">
        <v>2.51939393939394</v>
      </c>
      <c r="BH861">
        <v>2.51939393939394</v>
      </c>
      <c r="BI861">
        <v>6.5741021946079687</v>
      </c>
      <c r="BJ861" s="64"/>
      <c r="BK861" s="64"/>
      <c r="BL861" s="64"/>
      <c r="BM861">
        <v>2.8007788724056869E-2</v>
      </c>
      <c r="BQ861">
        <v>5.6015577448113731E-2</v>
      </c>
      <c r="BR861">
        <v>2.8007788724056869E-2</v>
      </c>
      <c r="BS861">
        <v>0</v>
      </c>
      <c r="BT861" s="68" t="s">
        <v>1264</v>
      </c>
      <c r="BU861" s="68">
        <v>1273</v>
      </c>
      <c r="BV861" s="68">
        <v>10</v>
      </c>
      <c r="BX861" s="68" t="s">
        <v>1268</v>
      </c>
      <c r="BY861" s="68" t="s">
        <v>863</v>
      </c>
      <c r="BZ861" s="68">
        <v>1</v>
      </c>
      <c r="CB861" s="68">
        <v>0.5</v>
      </c>
      <c r="CC861" s="68">
        <v>0.2</v>
      </c>
      <c r="CD861" s="77" t="s">
        <v>464</v>
      </c>
      <c r="CE861" s="77" t="s">
        <v>464</v>
      </c>
      <c r="CF861" s="77" t="s">
        <v>1266</v>
      </c>
      <c r="CG861" s="77">
        <v>125</v>
      </c>
      <c r="CH861" s="77">
        <v>220</v>
      </c>
      <c r="CI861" s="77" t="s">
        <v>1287</v>
      </c>
      <c r="CJ861" s="77">
        <f t="shared" si="213"/>
        <v>288</v>
      </c>
      <c r="CK861" s="70">
        <v>8000</v>
      </c>
    </row>
    <row r="862" spans="1:89" x14ac:dyDescent="0.3">
      <c r="A862" t="s">
        <v>2582</v>
      </c>
      <c r="B862" t="s">
        <v>2776</v>
      </c>
      <c r="C862" t="s">
        <v>4284</v>
      </c>
      <c r="D862" s="12"/>
      <c r="E862">
        <v>3.58</v>
      </c>
      <c r="F862" t="s">
        <v>401</v>
      </c>
      <c r="G862" s="109" t="s">
        <v>2536</v>
      </c>
      <c r="J862" t="s">
        <v>1752</v>
      </c>
      <c r="M862" t="b">
        <v>1</v>
      </c>
      <c r="N862" t="b">
        <v>0</v>
      </c>
      <c r="O862" t="b">
        <v>0</v>
      </c>
      <c r="P862" t="b">
        <v>0</v>
      </c>
      <c r="Q862" t="s">
        <v>2617</v>
      </c>
      <c r="T862">
        <v>1</v>
      </c>
      <c r="U862" s="20">
        <v>0</v>
      </c>
      <c r="V862">
        <v>0</v>
      </c>
      <c r="W862">
        <v>0</v>
      </c>
      <c r="X862">
        <v>3.802</v>
      </c>
      <c r="Y862">
        <v>3.802</v>
      </c>
      <c r="Z862">
        <v>24.7</v>
      </c>
      <c r="AA862" t="s">
        <v>439</v>
      </c>
      <c r="AB862">
        <v>24.7</v>
      </c>
      <c r="AC862" s="20">
        <v>0</v>
      </c>
      <c r="AD862" s="20"/>
      <c r="AE862" s="20"/>
      <c r="AF862">
        <v>0</v>
      </c>
      <c r="AI862">
        <v>0</v>
      </c>
      <c r="AM862">
        <v>20</v>
      </c>
      <c r="AN862" s="44">
        <f t="shared" ref="AN862" si="218">X862*Y862*Z862</f>
        <v>357.04353880000002</v>
      </c>
      <c r="AO862" s="46">
        <v>0</v>
      </c>
      <c r="AP862" s="44">
        <v>0</v>
      </c>
      <c r="AQ862" s="44">
        <v>0</v>
      </c>
      <c r="AR862" s="41">
        <f t="shared" ref="AR862" si="219">T862*AM862/AN862</f>
        <v>5.6015577448113731E-2</v>
      </c>
      <c r="AS862" s="40"/>
      <c r="AT862" s="41"/>
      <c r="AU862" s="41"/>
      <c r="AV862" s="23">
        <v>1.606060606060606</v>
      </c>
      <c r="AW862" s="23">
        <v>1.545454545454545</v>
      </c>
      <c r="AX862" s="23">
        <v>0.1818181818181818</v>
      </c>
      <c r="AY862" s="23">
        <v>0.2424242424242424</v>
      </c>
      <c r="AZ862" s="23">
        <v>0.44915254237288132</v>
      </c>
      <c r="BA862" s="23">
        <v>0.43220338983050849</v>
      </c>
      <c r="BB862" s="23">
        <v>5.0847457627118647E-2</v>
      </c>
      <c r="BC862" s="23">
        <v>6.7796610169491525E-2</v>
      </c>
      <c r="BD862" s="20">
        <v>1.1399999999999999</v>
      </c>
      <c r="BE862" s="20">
        <v>3.44</v>
      </c>
      <c r="BF862" s="20">
        <v>2.2999999999999998</v>
      </c>
      <c r="BG862" s="20">
        <v>2.51939393939394</v>
      </c>
      <c r="BH862">
        <v>2.51939393939394</v>
      </c>
      <c r="BI862">
        <v>6.5741021946079687</v>
      </c>
      <c r="BJ862" s="64"/>
      <c r="BK862" s="64"/>
      <c r="BL862" s="64"/>
      <c r="BM862">
        <v>2.8007788724056869E-2</v>
      </c>
      <c r="BQ862">
        <v>5.6015577448113731E-2</v>
      </c>
      <c r="BR862">
        <v>2.8007788724056869E-2</v>
      </c>
      <c r="BS862">
        <v>0</v>
      </c>
      <c r="BT862" s="68" t="s">
        <v>1264</v>
      </c>
      <c r="BU862" s="68">
        <v>1273</v>
      </c>
      <c r="BV862" s="68">
        <v>10</v>
      </c>
      <c r="BX862" s="68" t="s">
        <v>1268</v>
      </c>
      <c r="BY862" s="68" t="s">
        <v>863</v>
      </c>
      <c r="BZ862" s="68">
        <v>1</v>
      </c>
      <c r="CB862" s="68">
        <v>0.5</v>
      </c>
      <c r="CC862" s="68">
        <v>0.5</v>
      </c>
      <c r="CD862" s="77" t="s">
        <v>464</v>
      </c>
      <c r="CE862" s="77" t="s">
        <v>464</v>
      </c>
      <c r="CF862" s="77" t="s">
        <v>1266</v>
      </c>
      <c r="CG862" s="77">
        <v>125</v>
      </c>
      <c r="CH862" s="77">
        <v>220</v>
      </c>
      <c r="CI862" s="77" t="s">
        <v>1287</v>
      </c>
      <c r="CJ862" s="77">
        <f t="shared" si="213"/>
        <v>288</v>
      </c>
      <c r="CK862" s="70">
        <v>20000</v>
      </c>
    </row>
    <row r="863" spans="1:89" x14ac:dyDescent="0.3">
      <c r="A863" t="s">
        <v>2582</v>
      </c>
      <c r="B863" t="s">
        <v>2776</v>
      </c>
      <c r="C863" t="s">
        <v>4284</v>
      </c>
      <c r="D863" s="12"/>
      <c r="E863">
        <v>3.58</v>
      </c>
      <c r="F863" t="s">
        <v>401</v>
      </c>
      <c r="G863" s="109" t="s">
        <v>2536</v>
      </c>
      <c r="J863" t="s">
        <v>1752</v>
      </c>
      <c r="M863" t="b">
        <v>1</v>
      </c>
      <c r="N863" t="b">
        <v>0</v>
      </c>
      <c r="O863" t="b">
        <v>0</v>
      </c>
      <c r="P863" t="b">
        <v>0</v>
      </c>
      <c r="Q863" t="s">
        <v>2618</v>
      </c>
      <c r="T863">
        <v>1</v>
      </c>
      <c r="U863" s="20">
        <v>0</v>
      </c>
      <c r="V863">
        <v>0</v>
      </c>
      <c r="W863">
        <v>0</v>
      </c>
      <c r="X863">
        <v>3.802</v>
      </c>
      <c r="Y863">
        <v>3.802</v>
      </c>
      <c r="Z863">
        <v>24.7</v>
      </c>
      <c r="AA863" t="s">
        <v>439</v>
      </c>
      <c r="AB863">
        <v>24.7</v>
      </c>
      <c r="AC863" s="20">
        <v>0</v>
      </c>
      <c r="AD863" s="20"/>
      <c r="AE863" s="20"/>
      <c r="AF863">
        <v>0</v>
      </c>
      <c r="AI863">
        <v>0</v>
      </c>
      <c r="AM863">
        <v>20</v>
      </c>
      <c r="AN863" s="44">
        <f t="shared" ref="AN863" si="220">X863*Y863*Z863</f>
        <v>357.04353880000002</v>
      </c>
      <c r="AO863" s="46">
        <v>0</v>
      </c>
      <c r="AP863" s="44">
        <v>0</v>
      </c>
      <c r="AQ863" s="44">
        <v>0</v>
      </c>
      <c r="AR863" s="41">
        <f t="shared" ref="AR863" si="221">T863*AM863/AN863</f>
        <v>5.6015577448113731E-2</v>
      </c>
      <c r="AS863" s="40"/>
      <c r="AT863" s="41"/>
      <c r="AU863" s="41"/>
      <c r="AV863" s="23">
        <v>1.606060606060606</v>
      </c>
      <c r="AW863" s="23">
        <v>1.545454545454545</v>
      </c>
      <c r="AX863" s="23">
        <v>0.1818181818181818</v>
      </c>
      <c r="AY863" s="23">
        <v>0.2424242424242424</v>
      </c>
      <c r="AZ863" s="23">
        <v>0.44915254237288132</v>
      </c>
      <c r="BA863" s="23">
        <v>0.43220338983050849</v>
      </c>
      <c r="BB863" s="23">
        <v>5.0847457627118647E-2</v>
      </c>
      <c r="BC863" s="23">
        <v>6.7796610169491525E-2</v>
      </c>
      <c r="BD863" s="20">
        <v>1.1399999999999999</v>
      </c>
      <c r="BE863" s="20">
        <v>3.44</v>
      </c>
      <c r="BF863" s="20">
        <v>2.2999999999999998</v>
      </c>
      <c r="BG863" s="20">
        <v>2.51939393939394</v>
      </c>
      <c r="BH863">
        <v>2.51939393939394</v>
      </c>
      <c r="BI863">
        <v>6.5741021946079687</v>
      </c>
      <c r="BJ863" s="64"/>
      <c r="BK863" s="64"/>
      <c r="BL863" s="64"/>
      <c r="BM863">
        <v>2.8007788724056869E-2</v>
      </c>
      <c r="BQ863">
        <v>5.6015577448113731E-2</v>
      </c>
      <c r="BR863">
        <v>2.8007788724056869E-2</v>
      </c>
      <c r="BS863">
        <v>0</v>
      </c>
      <c r="BT863" s="68" t="s">
        <v>1264</v>
      </c>
      <c r="BU863" s="68">
        <v>1273</v>
      </c>
      <c r="BV863" s="68">
        <v>10</v>
      </c>
      <c r="BX863" s="68" t="s">
        <v>1268</v>
      </c>
      <c r="BY863" s="68" t="s">
        <v>863</v>
      </c>
      <c r="BZ863" s="68">
        <v>1</v>
      </c>
      <c r="CB863" s="68">
        <v>0.5</v>
      </c>
      <c r="CC863" s="68">
        <v>0.75</v>
      </c>
      <c r="CD863" s="77" t="s">
        <v>464</v>
      </c>
      <c r="CE863" s="77" t="s">
        <v>464</v>
      </c>
      <c r="CF863" s="77" t="s">
        <v>1266</v>
      </c>
      <c r="CG863" s="77">
        <v>125</v>
      </c>
      <c r="CH863" s="77">
        <v>220</v>
      </c>
      <c r="CI863" s="77" t="s">
        <v>1287</v>
      </c>
      <c r="CJ863" s="77">
        <f t="shared" si="213"/>
        <v>288</v>
      </c>
      <c r="CK863" s="70">
        <v>52000</v>
      </c>
    </row>
    <row r="864" spans="1:89" x14ac:dyDescent="0.3">
      <c r="A864" t="s">
        <v>2582</v>
      </c>
      <c r="B864" t="s">
        <v>2776</v>
      </c>
      <c r="C864" t="s">
        <v>4284</v>
      </c>
      <c r="D864" s="12"/>
      <c r="E864">
        <v>3.58</v>
      </c>
      <c r="F864" t="s">
        <v>401</v>
      </c>
      <c r="G864" s="109" t="s">
        <v>2536</v>
      </c>
      <c r="J864" t="s">
        <v>1752</v>
      </c>
      <c r="M864" t="b">
        <v>1</v>
      </c>
      <c r="N864" t="b">
        <v>0</v>
      </c>
      <c r="O864" t="b">
        <v>0</v>
      </c>
      <c r="P864" t="b">
        <v>0</v>
      </c>
      <c r="Q864" t="s">
        <v>2619</v>
      </c>
      <c r="T864">
        <v>1</v>
      </c>
      <c r="U864" s="20">
        <v>0</v>
      </c>
      <c r="V864">
        <v>0</v>
      </c>
      <c r="W864">
        <v>0</v>
      </c>
      <c r="X864">
        <v>3.802</v>
      </c>
      <c r="Y864">
        <v>3.802</v>
      </c>
      <c r="Z864">
        <v>24.7</v>
      </c>
      <c r="AA864" t="s">
        <v>439</v>
      </c>
      <c r="AB864">
        <v>24.7</v>
      </c>
      <c r="AC864" s="20">
        <v>0</v>
      </c>
      <c r="AD864" s="20"/>
      <c r="AE864" s="20"/>
      <c r="AF864">
        <v>0</v>
      </c>
      <c r="AI864">
        <v>0</v>
      </c>
      <c r="AM864">
        <v>20</v>
      </c>
      <c r="AN864" s="44">
        <f t="shared" ref="AN864:AN866" si="222">X864*Y864*Z864</f>
        <v>357.04353880000002</v>
      </c>
      <c r="AO864" s="46">
        <v>0</v>
      </c>
      <c r="AP864" s="44">
        <v>0</v>
      </c>
      <c r="AQ864" s="44">
        <v>0</v>
      </c>
      <c r="AR864" s="41">
        <f t="shared" ref="AR864:AR866" si="223">T864*AM864/AN864</f>
        <v>5.6015577448113731E-2</v>
      </c>
      <c r="AS864" s="40"/>
      <c r="AT864" s="41"/>
      <c r="AU864" s="41"/>
      <c r="AV864" s="23">
        <v>1.606060606060606</v>
      </c>
      <c r="AW864" s="23">
        <v>1.545454545454545</v>
      </c>
      <c r="AX864" s="23">
        <v>0.1818181818181818</v>
      </c>
      <c r="AY864" s="23">
        <v>0.2424242424242424</v>
      </c>
      <c r="AZ864" s="23">
        <v>0.44915254237288132</v>
      </c>
      <c r="BA864" s="23">
        <v>0.43220338983050849</v>
      </c>
      <c r="BB864" s="23">
        <v>5.0847457627118647E-2</v>
      </c>
      <c r="BC864" s="23">
        <v>6.7796610169491525E-2</v>
      </c>
      <c r="BD864" s="20">
        <v>1.1399999999999999</v>
      </c>
      <c r="BE864" s="20">
        <v>3.44</v>
      </c>
      <c r="BF864" s="20">
        <v>2.2999999999999998</v>
      </c>
      <c r="BG864" s="20">
        <v>2.51939393939394</v>
      </c>
      <c r="BH864">
        <v>2.51939393939394</v>
      </c>
      <c r="BI864">
        <v>6.5741021946079687</v>
      </c>
      <c r="BJ864" s="64"/>
      <c r="BK864" s="64"/>
      <c r="BL864" s="64"/>
      <c r="BM864">
        <v>2.8007788724056869E-2</v>
      </c>
      <c r="BQ864">
        <v>5.6015577448113731E-2</v>
      </c>
      <c r="BR864">
        <v>2.8007788724056869E-2</v>
      </c>
      <c r="BS864">
        <v>0</v>
      </c>
      <c r="BT864" s="68" t="s">
        <v>1264</v>
      </c>
      <c r="BU864" s="68">
        <v>1273</v>
      </c>
      <c r="BV864" s="68">
        <v>10</v>
      </c>
      <c r="BX864" s="68" t="s">
        <v>1268</v>
      </c>
      <c r="BY864" s="68" t="s">
        <v>863</v>
      </c>
      <c r="BZ864" s="68">
        <v>1</v>
      </c>
      <c r="CB864" s="68">
        <v>0.5</v>
      </c>
      <c r="CC864" s="68">
        <v>2</v>
      </c>
      <c r="CD864" s="77" t="s">
        <v>464</v>
      </c>
      <c r="CE864" s="77" t="s">
        <v>464</v>
      </c>
      <c r="CF864" s="77" t="s">
        <v>1266</v>
      </c>
      <c r="CG864" s="77">
        <v>125</v>
      </c>
      <c r="CH864" s="77">
        <v>220</v>
      </c>
      <c r="CI864" s="77" t="s">
        <v>1287</v>
      </c>
      <c r="CJ864" s="77">
        <f t="shared" si="213"/>
        <v>288</v>
      </c>
      <c r="CK864" s="70">
        <v>100000</v>
      </c>
    </row>
    <row r="865" spans="1:89" x14ac:dyDescent="0.3">
      <c r="A865" t="s">
        <v>2582</v>
      </c>
      <c r="B865" t="s">
        <v>2776</v>
      </c>
      <c r="C865" t="s">
        <v>4284</v>
      </c>
      <c r="D865" s="12"/>
      <c r="E865">
        <v>3.58</v>
      </c>
      <c r="F865" t="s">
        <v>401</v>
      </c>
      <c r="G865" s="109" t="s">
        <v>2536</v>
      </c>
      <c r="J865" t="s">
        <v>1752</v>
      </c>
      <c r="M865" t="b">
        <v>1</v>
      </c>
      <c r="N865" t="b">
        <v>0</v>
      </c>
      <c r="O865" t="b">
        <v>0</v>
      </c>
      <c r="P865" t="b">
        <v>0</v>
      </c>
      <c r="Q865" t="s">
        <v>2620</v>
      </c>
      <c r="T865">
        <v>1</v>
      </c>
      <c r="U865" s="20">
        <v>0</v>
      </c>
      <c r="V865">
        <v>0</v>
      </c>
      <c r="W865">
        <v>0</v>
      </c>
      <c r="X865">
        <v>3.802</v>
      </c>
      <c r="Y865">
        <v>3.802</v>
      </c>
      <c r="Z865">
        <v>24.7</v>
      </c>
      <c r="AA865" t="s">
        <v>439</v>
      </c>
      <c r="AB865">
        <v>24.7</v>
      </c>
      <c r="AC865" s="20">
        <v>0</v>
      </c>
      <c r="AD865" s="20"/>
      <c r="AE865" s="20"/>
      <c r="AF865">
        <v>0</v>
      </c>
      <c r="AI865">
        <v>0</v>
      </c>
      <c r="AM865">
        <v>20</v>
      </c>
      <c r="AN865" s="44">
        <f t="shared" si="222"/>
        <v>357.04353880000002</v>
      </c>
      <c r="AO865" s="46">
        <v>0</v>
      </c>
      <c r="AP865" s="44">
        <v>0</v>
      </c>
      <c r="AQ865" s="44">
        <v>0</v>
      </c>
      <c r="AR865" s="41">
        <f t="shared" si="223"/>
        <v>5.6015577448113731E-2</v>
      </c>
      <c r="AS865" s="40"/>
      <c r="AT865" s="41"/>
      <c r="AU865" s="41"/>
      <c r="AV865" s="23">
        <v>1.606060606060606</v>
      </c>
      <c r="AW865" s="23">
        <v>1.545454545454545</v>
      </c>
      <c r="AX865" s="23">
        <v>0.1818181818181818</v>
      </c>
      <c r="AY865" s="23">
        <v>0.2424242424242424</v>
      </c>
      <c r="AZ865" s="23">
        <v>0.44915254237288132</v>
      </c>
      <c r="BA865" s="23">
        <v>0.43220338983050849</v>
      </c>
      <c r="BB865" s="23">
        <v>5.0847457627118647E-2</v>
      </c>
      <c r="BC865" s="23">
        <v>6.7796610169491525E-2</v>
      </c>
      <c r="BD865" s="20">
        <v>1.1399999999999999</v>
      </c>
      <c r="BE865" s="20">
        <v>3.44</v>
      </c>
      <c r="BF865" s="20">
        <v>2.2999999999999998</v>
      </c>
      <c r="BG865" s="20">
        <v>2.51939393939394</v>
      </c>
      <c r="BH865">
        <v>2.51939393939394</v>
      </c>
      <c r="BI865">
        <v>6.5741021946079687</v>
      </c>
      <c r="BJ865" s="64"/>
      <c r="BK865" s="64"/>
      <c r="BL865" s="64"/>
      <c r="BM865">
        <v>2.8007788724056869E-2</v>
      </c>
      <c r="BQ865">
        <v>5.6015577448113731E-2</v>
      </c>
      <c r="BR865">
        <v>2.8007788724056869E-2</v>
      </c>
      <c r="BS865">
        <v>0</v>
      </c>
      <c r="BT865" s="68" t="s">
        <v>1264</v>
      </c>
      <c r="BU865" s="68">
        <v>1273</v>
      </c>
      <c r="BV865" s="68">
        <v>10</v>
      </c>
      <c r="BX865" s="68" t="s">
        <v>1268</v>
      </c>
      <c r="BY865" s="68" t="s">
        <v>863</v>
      </c>
      <c r="BZ865" s="68">
        <v>1</v>
      </c>
      <c r="CB865" s="68">
        <v>0.5</v>
      </c>
      <c r="CC865" s="68">
        <v>6</v>
      </c>
      <c r="CD865" s="77" t="s">
        <v>464</v>
      </c>
      <c r="CE865" s="77" t="s">
        <v>464</v>
      </c>
      <c r="CF865" s="77" t="s">
        <v>1266</v>
      </c>
      <c r="CG865" s="77">
        <v>125</v>
      </c>
      <c r="CH865" s="77">
        <v>220</v>
      </c>
      <c r="CI865" s="77" t="s">
        <v>1287</v>
      </c>
      <c r="CJ865" s="77">
        <f t="shared" si="213"/>
        <v>288</v>
      </c>
      <c r="CK865" s="70">
        <v>140000</v>
      </c>
    </row>
    <row r="866" spans="1:89" x14ac:dyDescent="0.3">
      <c r="A866" t="s">
        <v>2582</v>
      </c>
      <c r="B866" t="s">
        <v>2776</v>
      </c>
      <c r="C866" t="s">
        <v>4284</v>
      </c>
      <c r="D866" s="12"/>
      <c r="E866">
        <v>3.58</v>
      </c>
      <c r="F866" t="s">
        <v>401</v>
      </c>
      <c r="G866" s="109" t="s">
        <v>2536</v>
      </c>
      <c r="J866" t="s">
        <v>1752</v>
      </c>
      <c r="M866" t="b">
        <v>1</v>
      </c>
      <c r="N866" t="b">
        <v>0</v>
      </c>
      <c r="O866" t="b">
        <v>0</v>
      </c>
      <c r="P866" t="b">
        <v>0</v>
      </c>
      <c r="Q866" t="s">
        <v>2621</v>
      </c>
      <c r="T866">
        <v>1</v>
      </c>
      <c r="U866" s="20">
        <v>0</v>
      </c>
      <c r="V866">
        <v>0</v>
      </c>
      <c r="W866">
        <v>0</v>
      </c>
      <c r="X866">
        <v>3.802</v>
      </c>
      <c r="Y866">
        <v>3.802</v>
      </c>
      <c r="Z866">
        <v>24.7</v>
      </c>
      <c r="AA866" t="s">
        <v>439</v>
      </c>
      <c r="AB866">
        <v>24.7</v>
      </c>
      <c r="AC866" s="20">
        <v>0</v>
      </c>
      <c r="AD866" s="20"/>
      <c r="AE866" s="20"/>
      <c r="AF866">
        <v>0</v>
      </c>
      <c r="AI866">
        <v>0</v>
      </c>
      <c r="AM866">
        <v>20</v>
      </c>
      <c r="AN866" s="44">
        <f t="shared" si="222"/>
        <v>357.04353880000002</v>
      </c>
      <c r="AO866" s="46">
        <v>0</v>
      </c>
      <c r="AP866" s="44">
        <v>0</v>
      </c>
      <c r="AQ866" s="44">
        <v>0</v>
      </c>
      <c r="AR866" s="41">
        <f t="shared" si="223"/>
        <v>5.6015577448113731E-2</v>
      </c>
      <c r="AS866" s="40"/>
      <c r="AT866" s="41"/>
      <c r="AU866" s="41"/>
      <c r="AV866" s="23">
        <v>1.606060606060606</v>
      </c>
      <c r="AW866" s="23">
        <v>1.545454545454545</v>
      </c>
      <c r="AX866" s="23">
        <v>0.1818181818181818</v>
      </c>
      <c r="AY866" s="23">
        <v>0.2424242424242424</v>
      </c>
      <c r="AZ866" s="23">
        <v>0.44915254237288132</v>
      </c>
      <c r="BA866" s="23">
        <v>0.43220338983050849</v>
      </c>
      <c r="BB866" s="23">
        <v>5.0847457627118647E-2</v>
      </c>
      <c r="BC866" s="23">
        <v>6.7796610169491525E-2</v>
      </c>
      <c r="BD866" s="20">
        <v>1.1399999999999999</v>
      </c>
      <c r="BE866" s="20">
        <v>3.44</v>
      </c>
      <c r="BF866" s="20">
        <v>2.2999999999999998</v>
      </c>
      <c r="BG866" s="20">
        <v>2.51939393939394</v>
      </c>
      <c r="BH866">
        <v>2.51939393939394</v>
      </c>
      <c r="BI866">
        <v>6.5741021946079687</v>
      </c>
      <c r="BJ866" s="64"/>
      <c r="BK866" s="64"/>
      <c r="BL866" s="64"/>
      <c r="BM866">
        <v>2.8007788724056869E-2</v>
      </c>
      <c r="BQ866">
        <v>5.6015577448113731E-2</v>
      </c>
      <c r="BR866">
        <v>2.8007788724056869E-2</v>
      </c>
      <c r="BS866">
        <v>0</v>
      </c>
      <c r="BT866" s="68" t="s">
        <v>1264</v>
      </c>
      <c r="BU866" s="68">
        <v>1273</v>
      </c>
      <c r="BV866" s="68">
        <v>10</v>
      </c>
      <c r="BX866" s="68" t="s">
        <v>1268</v>
      </c>
      <c r="BY866" s="68" t="s">
        <v>863</v>
      </c>
      <c r="BZ866" s="68">
        <v>1</v>
      </c>
      <c r="CB866" s="68">
        <v>0.5</v>
      </c>
      <c r="CC866" s="68">
        <v>10</v>
      </c>
      <c r="CD866" s="77" t="s">
        <v>464</v>
      </c>
      <c r="CE866" s="77" t="s">
        <v>464</v>
      </c>
      <c r="CF866" s="77" t="s">
        <v>1266</v>
      </c>
      <c r="CG866" s="77">
        <v>125</v>
      </c>
      <c r="CH866" s="77">
        <v>220</v>
      </c>
      <c r="CI866" s="77" t="s">
        <v>1287</v>
      </c>
      <c r="CJ866" s="77">
        <f t="shared" si="213"/>
        <v>288</v>
      </c>
      <c r="CK866" s="70">
        <v>152000</v>
      </c>
    </row>
    <row r="867" spans="1:89" x14ac:dyDescent="0.3">
      <c r="A867" t="s">
        <v>2582</v>
      </c>
      <c r="B867" t="s">
        <v>2776</v>
      </c>
      <c r="C867" t="s">
        <v>4284</v>
      </c>
      <c r="D867" s="12"/>
      <c r="E867">
        <v>3.58</v>
      </c>
      <c r="F867" t="s">
        <v>401</v>
      </c>
      <c r="G867" s="109" t="s">
        <v>2536</v>
      </c>
      <c r="J867" t="s">
        <v>1752</v>
      </c>
      <c r="M867" t="b">
        <v>1</v>
      </c>
      <c r="N867" t="b">
        <v>0</v>
      </c>
      <c r="O867" t="b">
        <v>0</v>
      </c>
      <c r="P867" t="b">
        <v>0</v>
      </c>
      <c r="Q867" t="s">
        <v>2622</v>
      </c>
      <c r="T867">
        <v>1</v>
      </c>
      <c r="U867" s="20">
        <v>0</v>
      </c>
      <c r="V867">
        <v>0</v>
      </c>
      <c r="W867">
        <v>0</v>
      </c>
      <c r="X867">
        <v>3.802</v>
      </c>
      <c r="Y867">
        <v>3.802</v>
      </c>
      <c r="Z867">
        <v>24.7</v>
      </c>
      <c r="AA867" t="s">
        <v>439</v>
      </c>
      <c r="AB867">
        <v>24.7</v>
      </c>
      <c r="AC867" s="20">
        <v>0</v>
      </c>
      <c r="AD867" s="20"/>
      <c r="AE867" s="20"/>
      <c r="AF867">
        <v>0</v>
      </c>
      <c r="AI867">
        <v>0</v>
      </c>
      <c r="AM867">
        <v>20</v>
      </c>
      <c r="AN867" s="44">
        <f t="shared" ref="AN867" si="224">X867*Y867*Z867</f>
        <v>357.04353880000002</v>
      </c>
      <c r="AO867" s="46">
        <v>0</v>
      </c>
      <c r="AP867" s="44">
        <v>0</v>
      </c>
      <c r="AQ867" s="44">
        <v>0</v>
      </c>
      <c r="AR867" s="41">
        <f t="shared" ref="AR867" si="225">T867*AM867/AN867</f>
        <v>5.6015577448113731E-2</v>
      </c>
      <c r="AS867" s="40"/>
      <c r="AT867" s="41"/>
      <c r="AU867" s="41"/>
      <c r="AV867" s="23">
        <v>1.606060606060606</v>
      </c>
      <c r="AW867" s="23">
        <v>1.545454545454545</v>
      </c>
      <c r="AX867" s="23">
        <v>0.1818181818181818</v>
      </c>
      <c r="AY867" s="23">
        <v>0.2424242424242424</v>
      </c>
      <c r="AZ867" s="23">
        <v>0.44915254237288132</v>
      </c>
      <c r="BA867" s="23">
        <v>0.43220338983050849</v>
      </c>
      <c r="BB867" s="23">
        <v>5.0847457627118647E-2</v>
      </c>
      <c r="BC867" s="23">
        <v>6.7796610169491525E-2</v>
      </c>
      <c r="BD867" s="20">
        <v>1.1399999999999999</v>
      </c>
      <c r="BE867" s="20">
        <v>3.44</v>
      </c>
      <c r="BF867" s="20">
        <v>2.2999999999999998</v>
      </c>
      <c r="BG867" s="20">
        <v>2.51939393939394</v>
      </c>
      <c r="BH867">
        <v>2.51939393939394</v>
      </c>
      <c r="BI867">
        <v>6.5741021946079687</v>
      </c>
      <c r="BJ867" s="64"/>
      <c r="BK867" s="64"/>
      <c r="BL867" s="64"/>
      <c r="BM867">
        <v>2.8007788724056869E-2</v>
      </c>
      <c r="BQ867">
        <v>5.6015577448113731E-2</v>
      </c>
      <c r="BR867">
        <v>2.8007788724056869E-2</v>
      </c>
      <c r="BS867">
        <v>0</v>
      </c>
      <c r="BT867" s="68" t="s">
        <v>1264</v>
      </c>
      <c r="BU867" s="68">
        <v>1273</v>
      </c>
      <c r="BV867" s="68">
        <v>10</v>
      </c>
      <c r="BX867" s="68" t="s">
        <v>1268</v>
      </c>
      <c r="BY867" s="68" t="s">
        <v>863</v>
      </c>
      <c r="BZ867" s="68">
        <v>0</v>
      </c>
      <c r="CB867" s="68">
        <v>0.5</v>
      </c>
      <c r="CC867" s="68">
        <v>1</v>
      </c>
      <c r="CD867" s="77" t="s">
        <v>464</v>
      </c>
      <c r="CE867" s="77" t="s">
        <v>464</v>
      </c>
      <c r="CF867" s="77" t="s">
        <v>1266</v>
      </c>
      <c r="CG867" s="77">
        <v>125</v>
      </c>
      <c r="CH867" s="77">
        <v>220</v>
      </c>
      <c r="CI867" s="77" t="s">
        <v>1287</v>
      </c>
      <c r="CJ867" s="77">
        <f t="shared" si="213"/>
        <v>288</v>
      </c>
      <c r="CK867" s="70">
        <v>6000</v>
      </c>
    </row>
    <row r="868" spans="1:89" x14ac:dyDescent="0.3">
      <c r="A868" t="s">
        <v>2582</v>
      </c>
      <c r="B868" t="s">
        <v>2776</v>
      </c>
      <c r="C868" t="s">
        <v>4284</v>
      </c>
      <c r="D868" s="12"/>
      <c r="E868">
        <v>3.58</v>
      </c>
      <c r="F868" t="s">
        <v>401</v>
      </c>
      <c r="G868" s="109" t="s">
        <v>2536</v>
      </c>
      <c r="J868" t="s">
        <v>1752</v>
      </c>
      <c r="M868" t="b">
        <v>1</v>
      </c>
      <c r="N868" t="b">
        <v>0</v>
      </c>
      <c r="O868" t="b">
        <v>0</v>
      </c>
      <c r="P868" t="b">
        <v>0</v>
      </c>
      <c r="Q868" t="s">
        <v>2623</v>
      </c>
      <c r="T868">
        <v>1</v>
      </c>
      <c r="U868" s="20">
        <v>0</v>
      </c>
      <c r="V868">
        <v>0</v>
      </c>
      <c r="W868">
        <v>0</v>
      </c>
      <c r="X868">
        <v>3.802</v>
      </c>
      <c r="Y868">
        <v>3.802</v>
      </c>
      <c r="Z868">
        <v>24.7</v>
      </c>
      <c r="AA868" t="s">
        <v>439</v>
      </c>
      <c r="AB868">
        <v>24.7</v>
      </c>
      <c r="AC868" s="20">
        <v>0</v>
      </c>
      <c r="AD868" s="20"/>
      <c r="AE868" s="20"/>
      <c r="AF868">
        <v>0</v>
      </c>
      <c r="AI868">
        <v>0</v>
      </c>
      <c r="AM868">
        <v>20</v>
      </c>
      <c r="AN868" s="44">
        <f t="shared" ref="AN868" si="226">X868*Y868*Z868</f>
        <v>357.04353880000002</v>
      </c>
      <c r="AO868" s="46">
        <v>0</v>
      </c>
      <c r="AP868" s="44">
        <v>0</v>
      </c>
      <c r="AQ868" s="44">
        <v>0</v>
      </c>
      <c r="AR868" s="41">
        <f t="shared" ref="AR868" si="227">T868*AM868/AN868</f>
        <v>5.6015577448113731E-2</v>
      </c>
      <c r="AS868" s="40"/>
      <c r="AT868" s="41"/>
      <c r="AU868" s="41"/>
      <c r="AV868" s="23">
        <v>1.606060606060606</v>
      </c>
      <c r="AW868" s="23">
        <v>1.545454545454545</v>
      </c>
      <c r="AX868" s="23">
        <v>0.1818181818181818</v>
      </c>
      <c r="AY868" s="23">
        <v>0.2424242424242424</v>
      </c>
      <c r="AZ868" s="23">
        <v>0.44915254237288132</v>
      </c>
      <c r="BA868" s="23">
        <v>0.43220338983050849</v>
      </c>
      <c r="BB868" s="23">
        <v>5.0847457627118647E-2</v>
      </c>
      <c r="BC868" s="23">
        <v>6.7796610169491525E-2</v>
      </c>
      <c r="BD868" s="20">
        <v>1.1399999999999999</v>
      </c>
      <c r="BE868" s="20">
        <v>3.44</v>
      </c>
      <c r="BF868" s="20">
        <v>2.2999999999999998</v>
      </c>
      <c r="BG868" s="20">
        <v>2.51939393939394</v>
      </c>
      <c r="BH868">
        <v>2.51939393939394</v>
      </c>
      <c r="BI868">
        <v>6.5741021946079687</v>
      </c>
      <c r="BJ868" s="64"/>
      <c r="BK868" s="64"/>
      <c r="BL868" s="64"/>
      <c r="BM868">
        <v>2.8007788724056869E-2</v>
      </c>
      <c r="BQ868">
        <v>5.6015577448113731E-2</v>
      </c>
      <c r="BR868">
        <v>2.8007788724056869E-2</v>
      </c>
      <c r="BS868">
        <v>0</v>
      </c>
      <c r="BT868" s="68" t="s">
        <v>1264</v>
      </c>
      <c r="BU868" s="68">
        <v>1273</v>
      </c>
      <c r="BV868" s="68">
        <v>10</v>
      </c>
      <c r="BX868" s="68" t="s">
        <v>1268</v>
      </c>
      <c r="BY868" s="68" t="s">
        <v>863</v>
      </c>
      <c r="BZ868" s="68">
        <v>0.25</v>
      </c>
      <c r="CB868" s="68">
        <v>0.5</v>
      </c>
      <c r="CC868" s="68">
        <v>1</v>
      </c>
      <c r="CD868" s="77" t="s">
        <v>464</v>
      </c>
      <c r="CE868" s="77" t="s">
        <v>464</v>
      </c>
      <c r="CF868" s="77" t="s">
        <v>1266</v>
      </c>
      <c r="CG868" s="77">
        <v>125</v>
      </c>
      <c r="CH868" s="77">
        <v>220</v>
      </c>
      <c r="CI868" s="77" t="s">
        <v>1287</v>
      </c>
      <c r="CJ868" s="77">
        <f t="shared" si="213"/>
        <v>288</v>
      </c>
      <c r="CK868" s="70">
        <v>36000</v>
      </c>
    </row>
    <row r="869" spans="1:89" x14ac:dyDescent="0.3">
      <c r="A869" t="s">
        <v>2582</v>
      </c>
      <c r="B869" t="s">
        <v>2776</v>
      </c>
      <c r="C869" t="s">
        <v>4284</v>
      </c>
      <c r="D869" s="12"/>
      <c r="E869">
        <v>3.58</v>
      </c>
      <c r="F869" t="s">
        <v>401</v>
      </c>
      <c r="G869" s="109" t="s">
        <v>2536</v>
      </c>
      <c r="J869" t="s">
        <v>1752</v>
      </c>
      <c r="M869" t="b">
        <v>1</v>
      </c>
      <c r="N869" t="b">
        <v>0</v>
      </c>
      <c r="O869" t="b">
        <v>0</v>
      </c>
      <c r="P869" t="b">
        <v>0</v>
      </c>
      <c r="Q869" t="s">
        <v>2624</v>
      </c>
      <c r="T869">
        <v>1</v>
      </c>
      <c r="U869" s="20">
        <v>0</v>
      </c>
      <c r="V869">
        <v>0</v>
      </c>
      <c r="W869">
        <v>0</v>
      </c>
      <c r="X869">
        <v>3.802</v>
      </c>
      <c r="Y869">
        <v>3.802</v>
      </c>
      <c r="Z869">
        <v>24.7</v>
      </c>
      <c r="AA869" t="s">
        <v>439</v>
      </c>
      <c r="AB869">
        <v>24.7</v>
      </c>
      <c r="AC869" s="20">
        <v>0</v>
      </c>
      <c r="AD869" s="20"/>
      <c r="AE869" s="20"/>
      <c r="AF869">
        <v>0</v>
      </c>
      <c r="AI869">
        <v>0</v>
      </c>
      <c r="AM869">
        <v>20</v>
      </c>
      <c r="AN869" s="44">
        <f t="shared" ref="AN869:AN871" si="228">X869*Y869*Z869</f>
        <v>357.04353880000002</v>
      </c>
      <c r="AO869" s="46">
        <v>0</v>
      </c>
      <c r="AP869" s="44">
        <v>0</v>
      </c>
      <c r="AQ869" s="44">
        <v>0</v>
      </c>
      <c r="AR869" s="41">
        <f t="shared" ref="AR869:AR871" si="229">T869*AM869/AN869</f>
        <v>5.6015577448113731E-2</v>
      </c>
      <c r="AS869" s="40"/>
      <c r="AT869" s="41"/>
      <c r="AU869" s="41"/>
      <c r="AV869" s="23">
        <v>1.606060606060606</v>
      </c>
      <c r="AW869" s="23">
        <v>1.545454545454545</v>
      </c>
      <c r="AX869" s="23">
        <v>0.1818181818181818</v>
      </c>
      <c r="AY869" s="23">
        <v>0.2424242424242424</v>
      </c>
      <c r="AZ869" s="23">
        <v>0.44915254237288132</v>
      </c>
      <c r="BA869" s="23">
        <v>0.43220338983050849</v>
      </c>
      <c r="BB869" s="23">
        <v>5.0847457627118647E-2</v>
      </c>
      <c r="BC869" s="23">
        <v>6.7796610169491525E-2</v>
      </c>
      <c r="BD869" s="20">
        <v>1.1399999999999999</v>
      </c>
      <c r="BE869" s="20">
        <v>3.44</v>
      </c>
      <c r="BF869" s="20">
        <v>2.2999999999999998</v>
      </c>
      <c r="BG869" s="20">
        <v>2.51939393939394</v>
      </c>
      <c r="BH869">
        <v>2.51939393939394</v>
      </c>
      <c r="BI869">
        <v>6.5741021946079687</v>
      </c>
      <c r="BJ869" s="64"/>
      <c r="BK869" s="64"/>
      <c r="BL869" s="64"/>
      <c r="BM869">
        <v>2.8007788724056869E-2</v>
      </c>
      <c r="BQ869">
        <v>5.6015577448113731E-2</v>
      </c>
      <c r="BR869">
        <v>2.8007788724056869E-2</v>
      </c>
      <c r="BS869">
        <v>0</v>
      </c>
      <c r="BT869" s="68" t="s">
        <v>1264</v>
      </c>
      <c r="BU869" s="68">
        <v>1273</v>
      </c>
      <c r="BV869" s="68">
        <v>10</v>
      </c>
      <c r="BX869" s="68" t="s">
        <v>1268</v>
      </c>
      <c r="BY869" s="68" t="s">
        <v>863</v>
      </c>
      <c r="BZ869" s="68">
        <v>0.5</v>
      </c>
      <c r="CB869" s="68">
        <v>0.5</v>
      </c>
      <c r="CC869" s="68">
        <v>1</v>
      </c>
      <c r="CD869" s="77" t="s">
        <v>464</v>
      </c>
      <c r="CE869" s="77" t="s">
        <v>464</v>
      </c>
      <c r="CF869" s="77" t="s">
        <v>1266</v>
      </c>
      <c r="CG869" s="77">
        <v>125</v>
      </c>
      <c r="CH869" s="77">
        <v>220</v>
      </c>
      <c r="CI869" s="77" t="s">
        <v>1287</v>
      </c>
      <c r="CJ869" s="77">
        <f t="shared" si="213"/>
        <v>288</v>
      </c>
      <c r="CK869" s="70">
        <v>62000</v>
      </c>
    </row>
    <row r="870" spans="1:89" x14ac:dyDescent="0.3">
      <c r="A870" t="s">
        <v>2582</v>
      </c>
      <c r="B870" t="s">
        <v>2776</v>
      </c>
      <c r="C870" t="s">
        <v>4284</v>
      </c>
      <c r="D870" s="12"/>
      <c r="E870">
        <v>3.58</v>
      </c>
      <c r="F870" t="s">
        <v>401</v>
      </c>
      <c r="G870" s="109" t="s">
        <v>2536</v>
      </c>
      <c r="J870" t="s">
        <v>1752</v>
      </c>
      <c r="M870" t="b">
        <v>1</v>
      </c>
      <c r="N870" t="b">
        <v>0</v>
      </c>
      <c r="O870" t="b">
        <v>0</v>
      </c>
      <c r="P870" t="b">
        <v>0</v>
      </c>
      <c r="Q870" t="s">
        <v>2625</v>
      </c>
      <c r="T870">
        <v>1</v>
      </c>
      <c r="U870" s="20">
        <v>0</v>
      </c>
      <c r="V870">
        <v>0</v>
      </c>
      <c r="W870">
        <v>0</v>
      </c>
      <c r="X870">
        <v>3.802</v>
      </c>
      <c r="Y870">
        <v>3.802</v>
      </c>
      <c r="Z870">
        <v>24.7</v>
      </c>
      <c r="AA870" t="s">
        <v>439</v>
      </c>
      <c r="AB870">
        <v>24.7</v>
      </c>
      <c r="AC870" s="20">
        <v>0</v>
      </c>
      <c r="AD870" s="20"/>
      <c r="AE870" s="20"/>
      <c r="AF870">
        <v>0</v>
      </c>
      <c r="AI870">
        <v>0</v>
      </c>
      <c r="AM870">
        <v>20</v>
      </c>
      <c r="AN870" s="44">
        <f t="shared" si="228"/>
        <v>357.04353880000002</v>
      </c>
      <c r="AO870" s="46">
        <v>0</v>
      </c>
      <c r="AP870" s="44">
        <v>0</v>
      </c>
      <c r="AQ870" s="44">
        <v>0</v>
      </c>
      <c r="AR870" s="41">
        <f t="shared" si="229"/>
        <v>5.6015577448113731E-2</v>
      </c>
      <c r="AS870" s="40"/>
      <c r="AT870" s="41"/>
      <c r="AU870" s="41"/>
      <c r="AV870" s="23">
        <v>1.606060606060606</v>
      </c>
      <c r="AW870" s="23">
        <v>1.545454545454545</v>
      </c>
      <c r="AX870" s="23">
        <v>0.1818181818181818</v>
      </c>
      <c r="AY870" s="23">
        <v>0.2424242424242424</v>
      </c>
      <c r="AZ870" s="23">
        <v>0.44915254237288132</v>
      </c>
      <c r="BA870" s="23">
        <v>0.43220338983050849</v>
      </c>
      <c r="BB870" s="23">
        <v>5.0847457627118647E-2</v>
      </c>
      <c r="BC870" s="23">
        <v>6.7796610169491525E-2</v>
      </c>
      <c r="BD870" s="20">
        <v>1.1399999999999999</v>
      </c>
      <c r="BE870" s="20">
        <v>3.44</v>
      </c>
      <c r="BF870" s="20">
        <v>2.2999999999999998</v>
      </c>
      <c r="BG870" s="20">
        <v>2.51939393939394</v>
      </c>
      <c r="BH870">
        <v>2.51939393939394</v>
      </c>
      <c r="BI870">
        <v>6.5741021946079687</v>
      </c>
      <c r="BJ870" s="64"/>
      <c r="BK870" s="64"/>
      <c r="BL870" s="64"/>
      <c r="BM870">
        <v>2.8007788724056869E-2</v>
      </c>
      <c r="BQ870">
        <v>5.6015577448113731E-2</v>
      </c>
      <c r="BR870">
        <v>2.8007788724056869E-2</v>
      </c>
      <c r="BS870">
        <v>0</v>
      </c>
      <c r="BT870" s="68" t="s">
        <v>1264</v>
      </c>
      <c r="BU870" s="68">
        <v>1273</v>
      </c>
      <c r="BV870" s="68">
        <v>10</v>
      </c>
      <c r="BX870" s="68" t="s">
        <v>1268</v>
      </c>
      <c r="BY870" s="68" t="s">
        <v>863</v>
      </c>
      <c r="BZ870" s="68">
        <v>0.75</v>
      </c>
      <c r="CB870" s="68">
        <v>0.5</v>
      </c>
      <c r="CC870" s="68">
        <v>1</v>
      </c>
      <c r="CD870" s="77" t="s">
        <v>464</v>
      </c>
      <c r="CE870" s="77" t="s">
        <v>464</v>
      </c>
      <c r="CF870" s="77" t="s">
        <v>1266</v>
      </c>
      <c r="CG870" s="77">
        <v>125</v>
      </c>
      <c r="CH870" s="77">
        <v>220</v>
      </c>
      <c r="CI870" s="77" t="s">
        <v>1287</v>
      </c>
      <c r="CJ870" s="77">
        <f t="shared" si="213"/>
        <v>288</v>
      </c>
      <c r="CK870" s="70">
        <v>74000</v>
      </c>
    </row>
    <row r="871" spans="1:89" x14ac:dyDescent="0.3">
      <c r="A871" t="s">
        <v>2582</v>
      </c>
      <c r="B871" t="s">
        <v>2776</v>
      </c>
      <c r="C871" t="s">
        <v>4284</v>
      </c>
      <c r="D871" s="12"/>
      <c r="E871">
        <v>3.58</v>
      </c>
      <c r="F871" t="s">
        <v>401</v>
      </c>
      <c r="G871" s="109" t="s">
        <v>2536</v>
      </c>
      <c r="J871" t="s">
        <v>1752</v>
      </c>
      <c r="M871" t="b">
        <v>1</v>
      </c>
      <c r="N871" t="b">
        <v>0</v>
      </c>
      <c r="O871" t="b">
        <v>0</v>
      </c>
      <c r="P871" t="b">
        <v>0</v>
      </c>
      <c r="Q871" t="s">
        <v>2626</v>
      </c>
      <c r="T871">
        <v>1</v>
      </c>
      <c r="U871" s="20">
        <v>0</v>
      </c>
      <c r="V871">
        <v>0</v>
      </c>
      <c r="W871">
        <v>0</v>
      </c>
      <c r="X871">
        <v>3.802</v>
      </c>
      <c r="Y871">
        <v>3.802</v>
      </c>
      <c r="Z871">
        <v>24.7</v>
      </c>
      <c r="AA871" t="s">
        <v>439</v>
      </c>
      <c r="AB871">
        <v>24.7</v>
      </c>
      <c r="AC871" s="20">
        <v>0</v>
      </c>
      <c r="AD871" s="20"/>
      <c r="AE871" s="20"/>
      <c r="AF871">
        <v>0</v>
      </c>
      <c r="AI871">
        <v>0</v>
      </c>
      <c r="AM871">
        <v>20</v>
      </c>
      <c r="AN871" s="44">
        <f t="shared" si="228"/>
        <v>357.04353880000002</v>
      </c>
      <c r="AO871" s="46">
        <v>0</v>
      </c>
      <c r="AP871" s="44">
        <v>0</v>
      </c>
      <c r="AQ871" s="44">
        <v>0</v>
      </c>
      <c r="AR871" s="41">
        <f t="shared" si="229"/>
        <v>5.6015577448113731E-2</v>
      </c>
      <c r="AS871" s="40"/>
      <c r="AT871" s="41"/>
      <c r="AU871" s="41"/>
      <c r="AV871" s="23">
        <v>1.606060606060606</v>
      </c>
      <c r="AW871" s="23">
        <v>1.545454545454545</v>
      </c>
      <c r="AX871" s="23">
        <v>0.1818181818181818</v>
      </c>
      <c r="AY871" s="23">
        <v>0.2424242424242424</v>
      </c>
      <c r="AZ871" s="23">
        <v>0.44915254237288132</v>
      </c>
      <c r="BA871" s="23">
        <v>0.43220338983050849</v>
      </c>
      <c r="BB871" s="23">
        <v>5.0847457627118647E-2</v>
      </c>
      <c r="BC871" s="23">
        <v>6.7796610169491525E-2</v>
      </c>
      <c r="BD871" s="20">
        <v>1.1399999999999999</v>
      </c>
      <c r="BE871" s="20">
        <v>3.44</v>
      </c>
      <c r="BF871" s="20">
        <v>2.2999999999999998</v>
      </c>
      <c r="BG871" s="20">
        <v>2.51939393939394</v>
      </c>
      <c r="BH871">
        <v>2.51939393939394</v>
      </c>
      <c r="BI871">
        <v>6.5741021946079687</v>
      </c>
      <c r="BJ871" s="64"/>
      <c r="BK871" s="64"/>
      <c r="BL871" s="64"/>
      <c r="BM871">
        <v>2.8007788724056869E-2</v>
      </c>
      <c r="BQ871">
        <v>5.6015577448113731E-2</v>
      </c>
      <c r="BR871">
        <v>2.8007788724056869E-2</v>
      </c>
      <c r="BS871">
        <v>0</v>
      </c>
      <c r="BT871" s="68" t="s">
        <v>1264</v>
      </c>
      <c r="BU871" s="68">
        <v>1273</v>
      </c>
      <c r="BV871" s="68">
        <v>10</v>
      </c>
      <c r="BX871" s="68" t="s">
        <v>1268</v>
      </c>
      <c r="BY871" s="68" t="s">
        <v>863</v>
      </c>
      <c r="BZ871" s="68">
        <v>2</v>
      </c>
      <c r="CB871" s="68">
        <v>0.5</v>
      </c>
      <c r="CC871" s="68">
        <v>1</v>
      </c>
      <c r="CD871" s="77" t="s">
        <v>464</v>
      </c>
      <c r="CE871" s="77" t="s">
        <v>464</v>
      </c>
      <c r="CF871" s="77" t="s">
        <v>1266</v>
      </c>
      <c r="CG871" s="77">
        <v>125</v>
      </c>
      <c r="CH871" s="77">
        <v>220</v>
      </c>
      <c r="CI871" s="77" t="s">
        <v>1287</v>
      </c>
      <c r="CJ871" s="77">
        <f t="shared" si="213"/>
        <v>288</v>
      </c>
      <c r="CK871" s="70">
        <v>68000</v>
      </c>
    </row>
    <row r="872" spans="1:89" x14ac:dyDescent="0.3">
      <c r="A872" t="s">
        <v>2582</v>
      </c>
      <c r="B872" t="s">
        <v>2776</v>
      </c>
      <c r="C872" t="s">
        <v>4284</v>
      </c>
      <c r="D872" s="12"/>
      <c r="E872">
        <v>3.58</v>
      </c>
      <c r="F872" t="s">
        <v>401</v>
      </c>
      <c r="G872" s="109" t="s">
        <v>2536</v>
      </c>
      <c r="J872" t="s">
        <v>1752</v>
      </c>
      <c r="M872" t="b">
        <v>1</v>
      </c>
      <c r="N872" t="b">
        <v>0</v>
      </c>
      <c r="O872" t="b">
        <v>0</v>
      </c>
      <c r="P872" t="b">
        <v>0</v>
      </c>
      <c r="Q872" t="s">
        <v>2627</v>
      </c>
      <c r="T872">
        <v>1</v>
      </c>
      <c r="U872" s="20">
        <v>0</v>
      </c>
      <c r="V872">
        <v>0</v>
      </c>
      <c r="W872">
        <v>0</v>
      </c>
      <c r="X872">
        <v>3.802</v>
      </c>
      <c r="Y872">
        <v>3.802</v>
      </c>
      <c r="Z872">
        <v>24.7</v>
      </c>
      <c r="AA872" t="s">
        <v>439</v>
      </c>
      <c r="AB872">
        <v>24.7</v>
      </c>
      <c r="AC872" s="20">
        <v>0</v>
      </c>
      <c r="AD872" s="20"/>
      <c r="AE872" s="20"/>
      <c r="AF872">
        <v>0</v>
      </c>
      <c r="AI872">
        <v>0</v>
      </c>
      <c r="AM872">
        <v>20</v>
      </c>
      <c r="AN872" s="44">
        <f t="shared" ref="AN872" si="230">X872*Y872*Z872</f>
        <v>357.04353880000002</v>
      </c>
      <c r="AO872" s="46">
        <v>0</v>
      </c>
      <c r="AP872" s="44">
        <v>0</v>
      </c>
      <c r="AQ872" s="44">
        <v>0</v>
      </c>
      <c r="AR872" s="41">
        <f t="shared" ref="AR872" si="231">T872*AM872/AN872</f>
        <v>5.6015577448113731E-2</v>
      </c>
      <c r="AS872" s="40"/>
      <c r="AT872" s="41"/>
      <c r="AU872" s="41"/>
      <c r="AV872" s="23">
        <v>1.606060606060606</v>
      </c>
      <c r="AW872" s="23">
        <v>1.545454545454545</v>
      </c>
      <c r="AX872" s="23">
        <v>0.1818181818181818</v>
      </c>
      <c r="AY872" s="23">
        <v>0.2424242424242424</v>
      </c>
      <c r="AZ872" s="23">
        <v>0.44915254237288132</v>
      </c>
      <c r="BA872" s="23">
        <v>0.43220338983050849</v>
      </c>
      <c r="BB872" s="23">
        <v>5.0847457627118647E-2</v>
      </c>
      <c r="BC872" s="23">
        <v>6.7796610169491525E-2</v>
      </c>
      <c r="BD872" s="20">
        <v>1.1399999999999999</v>
      </c>
      <c r="BE872" s="20">
        <v>3.44</v>
      </c>
      <c r="BF872" s="20">
        <v>2.2999999999999998</v>
      </c>
      <c r="BG872" s="20">
        <v>2.51939393939394</v>
      </c>
      <c r="BH872">
        <v>2.51939393939394</v>
      </c>
      <c r="BI872">
        <v>6.5741021946079687</v>
      </c>
      <c r="BJ872" s="64"/>
      <c r="BK872" s="64"/>
      <c r="BL872" s="64"/>
      <c r="BM872">
        <v>2.8007788724056869E-2</v>
      </c>
      <c r="BQ872">
        <v>5.6015577448113731E-2</v>
      </c>
      <c r="BR872">
        <v>2.8007788724056869E-2</v>
      </c>
      <c r="BS872">
        <v>0</v>
      </c>
      <c r="BT872" s="68" t="s">
        <v>1264</v>
      </c>
      <c r="BU872" s="68">
        <v>1273</v>
      </c>
      <c r="BV872" s="68">
        <v>10</v>
      </c>
      <c r="BX872" s="68" t="s">
        <v>1268</v>
      </c>
      <c r="BY872" s="68" t="s">
        <v>863</v>
      </c>
      <c r="BZ872" s="68">
        <v>5</v>
      </c>
      <c r="CB872" s="68">
        <v>0.5</v>
      </c>
      <c r="CC872" s="68">
        <v>1</v>
      </c>
      <c r="CD872" s="77" t="s">
        <v>464</v>
      </c>
      <c r="CE872" s="77" t="s">
        <v>464</v>
      </c>
      <c r="CF872" s="77" t="s">
        <v>1266</v>
      </c>
      <c r="CG872" s="77">
        <v>125</v>
      </c>
      <c r="CH872" s="77">
        <v>220</v>
      </c>
      <c r="CI872" s="77" t="s">
        <v>1287</v>
      </c>
      <c r="CJ872" s="77">
        <f t="shared" si="213"/>
        <v>288</v>
      </c>
      <c r="CK872" s="70">
        <v>44000</v>
      </c>
    </row>
    <row r="873" spans="1:89" x14ac:dyDescent="0.3">
      <c r="A873" t="s">
        <v>2582</v>
      </c>
      <c r="B873" t="s">
        <v>2776</v>
      </c>
      <c r="C873" t="s">
        <v>4284</v>
      </c>
      <c r="D873" s="12"/>
      <c r="E873">
        <v>3.58</v>
      </c>
      <c r="F873" t="s">
        <v>401</v>
      </c>
      <c r="G873" s="109" t="s">
        <v>2536</v>
      </c>
      <c r="J873" t="s">
        <v>1752</v>
      </c>
      <c r="M873" t="b">
        <v>1</v>
      </c>
      <c r="N873" t="b">
        <v>0</v>
      </c>
      <c r="O873" t="b">
        <v>0</v>
      </c>
      <c r="P873" t="b">
        <v>0</v>
      </c>
      <c r="Q873" t="s">
        <v>2628</v>
      </c>
      <c r="T873">
        <v>1</v>
      </c>
      <c r="U873" s="20">
        <v>0</v>
      </c>
      <c r="V873">
        <v>0</v>
      </c>
      <c r="W873">
        <v>0</v>
      </c>
      <c r="X873">
        <v>3.802</v>
      </c>
      <c r="Y873">
        <v>3.802</v>
      </c>
      <c r="Z873">
        <v>24.7</v>
      </c>
      <c r="AA873" t="s">
        <v>439</v>
      </c>
      <c r="AB873">
        <v>24.7</v>
      </c>
      <c r="AC873" s="20">
        <v>0</v>
      </c>
      <c r="AD873" s="20"/>
      <c r="AE873" s="20"/>
      <c r="AF873">
        <v>0</v>
      </c>
      <c r="AI873">
        <v>0</v>
      </c>
      <c r="AM873">
        <v>20</v>
      </c>
      <c r="AN873" s="44">
        <f t="shared" ref="AN873" si="232">X873*Y873*Z873</f>
        <v>357.04353880000002</v>
      </c>
      <c r="AO873" s="46">
        <v>0</v>
      </c>
      <c r="AP873" s="44">
        <v>0</v>
      </c>
      <c r="AQ873" s="44">
        <v>0</v>
      </c>
      <c r="AR873" s="41">
        <f t="shared" ref="AR873" si="233">T873*AM873/AN873</f>
        <v>5.6015577448113731E-2</v>
      </c>
      <c r="AS873" s="40"/>
      <c r="AT873" s="41"/>
      <c r="AU873" s="41"/>
      <c r="AV873" s="23">
        <v>1.606060606060606</v>
      </c>
      <c r="AW873" s="23">
        <v>1.545454545454545</v>
      </c>
      <c r="AX873" s="23">
        <v>0.1818181818181818</v>
      </c>
      <c r="AY873" s="23">
        <v>0.2424242424242424</v>
      </c>
      <c r="AZ873" s="23">
        <v>0.44915254237288132</v>
      </c>
      <c r="BA873" s="23">
        <v>0.43220338983050849</v>
      </c>
      <c r="BB873" s="23">
        <v>5.0847457627118647E-2</v>
      </c>
      <c r="BC873" s="23">
        <v>6.7796610169491525E-2</v>
      </c>
      <c r="BD873" s="20">
        <v>1.1399999999999999</v>
      </c>
      <c r="BE873" s="20">
        <v>3.44</v>
      </c>
      <c r="BF873" s="20">
        <v>2.2999999999999998</v>
      </c>
      <c r="BG873" s="20">
        <v>2.51939393939394</v>
      </c>
      <c r="BH873">
        <v>2.51939393939394</v>
      </c>
      <c r="BI873">
        <v>6.5741021946079687</v>
      </c>
      <c r="BJ873" s="64"/>
      <c r="BK873" s="64"/>
      <c r="BL873" s="64"/>
      <c r="BM873">
        <v>2.8007788724056869E-2</v>
      </c>
      <c r="BQ873">
        <v>5.6015577448113731E-2</v>
      </c>
      <c r="BR873">
        <v>2.8007788724056869E-2</v>
      </c>
      <c r="BS873">
        <v>0</v>
      </c>
      <c r="BT873" s="68" t="s">
        <v>1264</v>
      </c>
      <c r="BU873" s="68">
        <v>1273</v>
      </c>
      <c r="BV873" s="68">
        <v>10</v>
      </c>
      <c r="BX873" s="68" t="s">
        <v>1268</v>
      </c>
      <c r="BY873" s="68" t="s">
        <v>863</v>
      </c>
      <c r="BZ873" s="68">
        <v>1</v>
      </c>
      <c r="CB873" s="68">
        <v>0</v>
      </c>
      <c r="CC873" s="68">
        <v>1</v>
      </c>
      <c r="CD873" s="77" t="s">
        <v>464</v>
      </c>
      <c r="CE873" s="77" t="s">
        <v>464</v>
      </c>
      <c r="CF873" s="77" t="s">
        <v>1266</v>
      </c>
      <c r="CG873" s="77">
        <v>125</v>
      </c>
      <c r="CH873" s="77">
        <v>220</v>
      </c>
      <c r="CI873" s="77" t="s">
        <v>1287</v>
      </c>
      <c r="CJ873" s="77">
        <f t="shared" si="213"/>
        <v>288</v>
      </c>
      <c r="CK873" s="70">
        <v>0</v>
      </c>
    </row>
    <row r="874" spans="1:89" x14ac:dyDescent="0.3">
      <c r="A874" t="s">
        <v>2582</v>
      </c>
      <c r="B874" t="s">
        <v>2776</v>
      </c>
      <c r="C874" t="s">
        <v>4284</v>
      </c>
      <c r="D874" s="12"/>
      <c r="E874">
        <v>3.58</v>
      </c>
      <c r="F874" t="s">
        <v>401</v>
      </c>
      <c r="G874" s="109" t="s">
        <v>2536</v>
      </c>
      <c r="J874" t="s">
        <v>1752</v>
      </c>
      <c r="M874" t="b">
        <v>1</v>
      </c>
      <c r="N874" t="b">
        <v>0</v>
      </c>
      <c r="O874" t="b">
        <v>0</v>
      </c>
      <c r="P874" t="b">
        <v>0</v>
      </c>
      <c r="Q874" t="s">
        <v>2629</v>
      </c>
      <c r="T874">
        <v>1</v>
      </c>
      <c r="U874" s="20">
        <v>0</v>
      </c>
      <c r="V874">
        <v>0</v>
      </c>
      <c r="W874">
        <v>0</v>
      </c>
      <c r="X874">
        <v>3.802</v>
      </c>
      <c r="Y874">
        <v>3.802</v>
      </c>
      <c r="Z874">
        <v>24.7</v>
      </c>
      <c r="AA874" t="s">
        <v>439</v>
      </c>
      <c r="AB874">
        <v>24.7</v>
      </c>
      <c r="AC874" s="20">
        <v>0</v>
      </c>
      <c r="AD874" s="20"/>
      <c r="AE874" s="20"/>
      <c r="AF874">
        <v>0</v>
      </c>
      <c r="AI874">
        <v>0</v>
      </c>
      <c r="AM874">
        <v>20</v>
      </c>
      <c r="AN874" s="44">
        <f t="shared" ref="AN874" si="234">X874*Y874*Z874</f>
        <v>357.04353880000002</v>
      </c>
      <c r="AO874" s="46">
        <v>0</v>
      </c>
      <c r="AP874" s="44">
        <v>0</v>
      </c>
      <c r="AQ874" s="44">
        <v>0</v>
      </c>
      <c r="AR874" s="41">
        <f t="shared" ref="AR874" si="235">T874*AM874/AN874</f>
        <v>5.6015577448113731E-2</v>
      </c>
      <c r="AS874" s="40"/>
      <c r="AT874" s="41"/>
      <c r="AU874" s="41"/>
      <c r="AV874" s="23">
        <v>1.606060606060606</v>
      </c>
      <c r="AW874" s="23">
        <v>1.545454545454545</v>
      </c>
      <c r="AX874" s="23">
        <v>0.1818181818181818</v>
      </c>
      <c r="AY874" s="23">
        <v>0.2424242424242424</v>
      </c>
      <c r="AZ874" s="23">
        <v>0.44915254237288132</v>
      </c>
      <c r="BA874" s="23">
        <v>0.43220338983050849</v>
      </c>
      <c r="BB874" s="23">
        <v>5.0847457627118647E-2</v>
      </c>
      <c r="BC874" s="23">
        <v>6.7796610169491525E-2</v>
      </c>
      <c r="BD874" s="20">
        <v>1.1399999999999999</v>
      </c>
      <c r="BE874" s="20">
        <v>3.44</v>
      </c>
      <c r="BF874" s="20">
        <v>2.2999999999999998</v>
      </c>
      <c r="BG874" s="20">
        <v>2.51939393939394</v>
      </c>
      <c r="BH874">
        <v>2.51939393939394</v>
      </c>
      <c r="BI874">
        <v>6.5741021946079687</v>
      </c>
      <c r="BJ874" s="64"/>
      <c r="BK874" s="64"/>
      <c r="BL874" s="64"/>
      <c r="BM874">
        <v>2.8007788724056869E-2</v>
      </c>
      <c r="BQ874">
        <v>5.6015577448113731E-2</v>
      </c>
      <c r="BR874">
        <v>2.8007788724056869E-2</v>
      </c>
      <c r="BS874">
        <v>0</v>
      </c>
      <c r="BT874" s="68" t="s">
        <v>1264</v>
      </c>
      <c r="BU874" s="68">
        <v>1273</v>
      </c>
      <c r="BV874" s="68">
        <v>10</v>
      </c>
      <c r="BX874" s="68" t="s">
        <v>1268</v>
      </c>
      <c r="BY874" s="68" t="s">
        <v>863</v>
      </c>
      <c r="BZ874" s="68">
        <v>1</v>
      </c>
      <c r="CB874" s="68">
        <f>0.008/0.05</f>
        <v>0.16</v>
      </c>
      <c r="CC874" s="68">
        <v>1</v>
      </c>
      <c r="CD874" s="77" t="s">
        <v>464</v>
      </c>
      <c r="CE874" s="77" t="s">
        <v>464</v>
      </c>
      <c r="CF874" s="77" t="s">
        <v>1266</v>
      </c>
      <c r="CG874" s="77">
        <v>125</v>
      </c>
      <c r="CH874" s="77">
        <v>220</v>
      </c>
      <c r="CI874" s="77" t="s">
        <v>1287</v>
      </c>
      <c r="CJ874" s="77">
        <f t="shared" si="213"/>
        <v>288</v>
      </c>
      <c r="CK874" s="70">
        <v>30000</v>
      </c>
    </row>
    <row r="875" spans="1:89" x14ac:dyDescent="0.3">
      <c r="A875" t="s">
        <v>2582</v>
      </c>
      <c r="B875" t="s">
        <v>2776</v>
      </c>
      <c r="C875" t="s">
        <v>4284</v>
      </c>
      <c r="D875" s="12"/>
      <c r="E875">
        <v>3.58</v>
      </c>
      <c r="F875" t="s">
        <v>401</v>
      </c>
      <c r="G875" s="109" t="s">
        <v>2536</v>
      </c>
      <c r="J875" t="s">
        <v>1752</v>
      </c>
      <c r="M875" t="b">
        <v>1</v>
      </c>
      <c r="N875" t="b">
        <v>0</v>
      </c>
      <c r="O875" t="b">
        <v>0</v>
      </c>
      <c r="P875" t="b">
        <v>0</v>
      </c>
      <c r="Q875" t="s">
        <v>2630</v>
      </c>
      <c r="T875">
        <v>1</v>
      </c>
      <c r="U875" s="20">
        <v>0</v>
      </c>
      <c r="V875">
        <v>0</v>
      </c>
      <c r="W875">
        <v>0</v>
      </c>
      <c r="X875">
        <v>3.802</v>
      </c>
      <c r="Y875">
        <v>3.802</v>
      </c>
      <c r="Z875">
        <v>24.7</v>
      </c>
      <c r="AA875" t="s">
        <v>439</v>
      </c>
      <c r="AB875">
        <v>24.7</v>
      </c>
      <c r="AC875" s="20">
        <v>0</v>
      </c>
      <c r="AD875" s="20"/>
      <c r="AE875" s="20"/>
      <c r="AF875">
        <v>0</v>
      </c>
      <c r="AI875">
        <v>0</v>
      </c>
      <c r="AM875">
        <v>20</v>
      </c>
      <c r="AN875" s="44">
        <f t="shared" ref="AN875" si="236">X875*Y875*Z875</f>
        <v>357.04353880000002</v>
      </c>
      <c r="AO875" s="46">
        <v>0</v>
      </c>
      <c r="AP875" s="44">
        <v>0</v>
      </c>
      <c r="AQ875" s="44">
        <v>0</v>
      </c>
      <c r="AR875" s="41">
        <f t="shared" ref="AR875" si="237">T875*AM875/AN875</f>
        <v>5.6015577448113731E-2</v>
      </c>
      <c r="AS875" s="40"/>
      <c r="AT875" s="41"/>
      <c r="AU875" s="41"/>
      <c r="AV875" s="23">
        <v>1.606060606060606</v>
      </c>
      <c r="AW875" s="23">
        <v>1.545454545454545</v>
      </c>
      <c r="AX875" s="23">
        <v>0.1818181818181818</v>
      </c>
      <c r="AY875" s="23">
        <v>0.2424242424242424</v>
      </c>
      <c r="AZ875" s="23">
        <v>0.44915254237288132</v>
      </c>
      <c r="BA875" s="23">
        <v>0.43220338983050849</v>
      </c>
      <c r="BB875" s="23">
        <v>5.0847457627118647E-2</v>
      </c>
      <c r="BC875" s="23">
        <v>6.7796610169491525E-2</v>
      </c>
      <c r="BD875" s="20">
        <v>1.1399999999999999</v>
      </c>
      <c r="BE875" s="20">
        <v>3.44</v>
      </c>
      <c r="BF875" s="20">
        <v>2.2999999999999998</v>
      </c>
      <c r="BG875" s="20">
        <v>2.51939393939394</v>
      </c>
      <c r="BH875">
        <v>2.51939393939394</v>
      </c>
      <c r="BI875">
        <v>6.5741021946079687</v>
      </c>
      <c r="BJ875" s="64"/>
      <c r="BK875" s="64"/>
      <c r="BL875" s="64"/>
      <c r="BM875">
        <v>2.8007788724056869E-2</v>
      </c>
      <c r="BQ875">
        <v>5.6015577448113731E-2</v>
      </c>
      <c r="BR875">
        <v>2.8007788724056869E-2</v>
      </c>
      <c r="BS875">
        <v>0</v>
      </c>
      <c r="BT875" s="68" t="s">
        <v>1264</v>
      </c>
      <c r="BU875" s="68">
        <v>1273</v>
      </c>
      <c r="BV875" s="68">
        <v>10</v>
      </c>
      <c r="BX875" s="68" t="s">
        <v>1268</v>
      </c>
      <c r="BY875" s="68" t="s">
        <v>863</v>
      </c>
      <c r="BZ875" s="68">
        <v>1</v>
      </c>
      <c r="CB875" s="68">
        <f>2*CB874</f>
        <v>0.32</v>
      </c>
      <c r="CC875" s="68">
        <v>1</v>
      </c>
      <c r="CD875" s="77" t="s">
        <v>464</v>
      </c>
      <c r="CE875" s="77" t="s">
        <v>464</v>
      </c>
      <c r="CF875" s="77" t="s">
        <v>1266</v>
      </c>
      <c r="CG875" s="77">
        <v>125</v>
      </c>
      <c r="CH875" s="77">
        <v>220</v>
      </c>
      <c r="CI875" s="77" t="s">
        <v>1287</v>
      </c>
      <c r="CJ875" s="77">
        <f t="shared" si="213"/>
        <v>288</v>
      </c>
      <c r="CK875" s="70">
        <v>64000</v>
      </c>
    </row>
    <row r="876" spans="1:89" x14ac:dyDescent="0.3">
      <c r="A876" t="s">
        <v>2582</v>
      </c>
      <c r="B876" t="s">
        <v>2776</v>
      </c>
      <c r="C876" t="s">
        <v>4284</v>
      </c>
      <c r="D876" s="12"/>
      <c r="E876">
        <v>3.58</v>
      </c>
      <c r="F876" t="s">
        <v>401</v>
      </c>
      <c r="G876" s="109" t="s">
        <v>2536</v>
      </c>
      <c r="J876" t="s">
        <v>1752</v>
      </c>
      <c r="M876" t="b">
        <v>1</v>
      </c>
      <c r="N876" t="b">
        <v>0</v>
      </c>
      <c r="O876" t="b">
        <v>0</v>
      </c>
      <c r="P876" t="b">
        <v>0</v>
      </c>
      <c r="Q876" t="s">
        <v>2631</v>
      </c>
      <c r="T876">
        <v>1</v>
      </c>
      <c r="U876" s="20">
        <v>0</v>
      </c>
      <c r="V876">
        <v>0</v>
      </c>
      <c r="W876">
        <v>0</v>
      </c>
      <c r="X876">
        <v>3.802</v>
      </c>
      <c r="Y876">
        <v>3.802</v>
      </c>
      <c r="Z876">
        <v>24.7</v>
      </c>
      <c r="AA876" t="s">
        <v>439</v>
      </c>
      <c r="AB876">
        <v>24.7</v>
      </c>
      <c r="AC876" s="20">
        <v>0</v>
      </c>
      <c r="AD876" s="20"/>
      <c r="AE876" s="20"/>
      <c r="AF876">
        <v>0</v>
      </c>
      <c r="AI876">
        <v>0</v>
      </c>
      <c r="AM876">
        <v>20</v>
      </c>
      <c r="AN876" s="44">
        <f t="shared" ref="AN876" si="238">X876*Y876*Z876</f>
        <v>357.04353880000002</v>
      </c>
      <c r="AO876" s="46">
        <v>0</v>
      </c>
      <c r="AP876" s="44">
        <v>0</v>
      </c>
      <c r="AQ876" s="44">
        <v>0</v>
      </c>
      <c r="AR876" s="41">
        <f t="shared" ref="AR876" si="239">T876*AM876/AN876</f>
        <v>5.6015577448113731E-2</v>
      </c>
      <c r="AS876" s="40"/>
      <c r="AT876" s="41"/>
      <c r="AU876" s="41"/>
      <c r="AV876" s="23">
        <v>1.606060606060606</v>
      </c>
      <c r="AW876" s="23">
        <v>1.545454545454545</v>
      </c>
      <c r="AX876" s="23">
        <v>0.1818181818181818</v>
      </c>
      <c r="AY876" s="23">
        <v>0.2424242424242424</v>
      </c>
      <c r="AZ876" s="23">
        <v>0.44915254237288132</v>
      </c>
      <c r="BA876" s="23">
        <v>0.43220338983050849</v>
      </c>
      <c r="BB876" s="23">
        <v>5.0847457627118647E-2</v>
      </c>
      <c r="BC876" s="23">
        <v>6.7796610169491525E-2</v>
      </c>
      <c r="BD876" s="20">
        <v>1.1399999999999999</v>
      </c>
      <c r="BE876" s="20">
        <v>3.44</v>
      </c>
      <c r="BF876" s="20">
        <v>2.2999999999999998</v>
      </c>
      <c r="BG876" s="20">
        <v>2.51939393939394</v>
      </c>
      <c r="BH876">
        <v>2.51939393939394</v>
      </c>
      <c r="BI876">
        <v>6.5741021946079687</v>
      </c>
      <c r="BJ876" s="64"/>
      <c r="BK876" s="64"/>
      <c r="BL876" s="64"/>
      <c r="BM876">
        <v>2.8007788724056869E-2</v>
      </c>
      <c r="BQ876">
        <v>5.6015577448113731E-2</v>
      </c>
      <c r="BR876">
        <v>2.8007788724056869E-2</v>
      </c>
      <c r="BS876">
        <v>0</v>
      </c>
      <c r="BT876" s="68" t="s">
        <v>1264</v>
      </c>
      <c r="BU876" s="68">
        <v>1273</v>
      </c>
      <c r="BV876" s="68">
        <v>10</v>
      </c>
      <c r="BX876" s="68" t="s">
        <v>1268</v>
      </c>
      <c r="BY876" s="68" t="s">
        <v>863</v>
      </c>
      <c r="BZ876" s="68">
        <v>1</v>
      </c>
      <c r="CB876" s="68">
        <f>0.05/0.05</f>
        <v>1</v>
      </c>
      <c r="CC876" s="68">
        <v>1</v>
      </c>
      <c r="CD876" s="77" t="s">
        <v>464</v>
      </c>
      <c r="CE876" s="77" t="s">
        <v>464</v>
      </c>
      <c r="CF876" s="77" t="s">
        <v>1266</v>
      </c>
      <c r="CG876" s="77">
        <v>125</v>
      </c>
      <c r="CH876" s="77">
        <v>220</v>
      </c>
      <c r="CI876" s="77" t="s">
        <v>1287</v>
      </c>
      <c r="CJ876" s="77">
        <f t="shared" si="213"/>
        <v>288</v>
      </c>
      <c r="CK876" s="70">
        <v>88000</v>
      </c>
    </row>
    <row r="877" spans="1:89" x14ac:dyDescent="0.3">
      <c r="A877" t="s">
        <v>2582</v>
      </c>
      <c r="B877" t="s">
        <v>2776</v>
      </c>
      <c r="C877" t="s">
        <v>4284</v>
      </c>
      <c r="D877" s="12"/>
      <c r="E877">
        <v>3.58</v>
      </c>
      <c r="F877" t="s">
        <v>401</v>
      </c>
      <c r="G877" s="109" t="s">
        <v>2536</v>
      </c>
      <c r="J877" t="s">
        <v>1752</v>
      </c>
      <c r="M877" t="b">
        <v>1</v>
      </c>
      <c r="N877" t="b">
        <v>0</v>
      </c>
      <c r="O877" t="b">
        <v>0</v>
      </c>
      <c r="P877" t="b">
        <v>0</v>
      </c>
      <c r="Q877" t="s">
        <v>2632</v>
      </c>
      <c r="T877">
        <v>1</v>
      </c>
      <c r="U877" s="20">
        <v>0</v>
      </c>
      <c r="V877">
        <v>0</v>
      </c>
      <c r="W877">
        <v>0</v>
      </c>
      <c r="X877">
        <v>3.802</v>
      </c>
      <c r="Y877">
        <v>3.802</v>
      </c>
      <c r="Z877">
        <v>24.7</v>
      </c>
      <c r="AA877" t="s">
        <v>439</v>
      </c>
      <c r="AB877">
        <v>24.7</v>
      </c>
      <c r="AC877" s="20">
        <v>0</v>
      </c>
      <c r="AD877" s="20"/>
      <c r="AE877" s="20"/>
      <c r="AF877">
        <v>0</v>
      </c>
      <c r="AI877">
        <v>0</v>
      </c>
      <c r="AM877">
        <v>20</v>
      </c>
      <c r="AN877" s="44">
        <f t="shared" ref="AN877" si="240">X877*Y877*Z877</f>
        <v>357.04353880000002</v>
      </c>
      <c r="AO877" s="46">
        <v>0</v>
      </c>
      <c r="AP877" s="44">
        <v>0</v>
      </c>
      <c r="AQ877" s="44">
        <v>0</v>
      </c>
      <c r="AR877" s="41">
        <f t="shared" ref="AR877" si="241">T877*AM877/AN877</f>
        <v>5.6015577448113731E-2</v>
      </c>
      <c r="AS877" s="40"/>
      <c r="AT877" s="41"/>
      <c r="AU877" s="41"/>
      <c r="AV877" s="23">
        <v>1.606060606060606</v>
      </c>
      <c r="AW877" s="23">
        <v>1.545454545454545</v>
      </c>
      <c r="AX877" s="23">
        <v>0.1818181818181818</v>
      </c>
      <c r="AY877" s="23">
        <v>0.2424242424242424</v>
      </c>
      <c r="AZ877" s="23">
        <v>0.44915254237288132</v>
      </c>
      <c r="BA877" s="23">
        <v>0.43220338983050849</v>
      </c>
      <c r="BB877" s="23">
        <v>5.0847457627118647E-2</v>
      </c>
      <c r="BC877" s="23">
        <v>6.7796610169491525E-2</v>
      </c>
      <c r="BD877" s="20">
        <v>1.1399999999999999</v>
      </c>
      <c r="BE877" s="20">
        <v>3.44</v>
      </c>
      <c r="BF877" s="20">
        <v>2.2999999999999998</v>
      </c>
      <c r="BG877" s="20">
        <v>2.51939393939394</v>
      </c>
      <c r="BH877">
        <v>2.51939393939394</v>
      </c>
      <c r="BI877">
        <v>6.5741021946079687</v>
      </c>
      <c r="BJ877" s="64"/>
      <c r="BK877" s="64"/>
      <c r="BL877" s="64"/>
      <c r="BM877">
        <v>2.8007788724056869E-2</v>
      </c>
      <c r="BQ877">
        <v>5.6015577448113731E-2</v>
      </c>
      <c r="BR877">
        <v>2.8007788724056869E-2</v>
      </c>
      <c r="BS877">
        <v>0</v>
      </c>
      <c r="BT877" s="68" t="s">
        <v>1264</v>
      </c>
      <c r="BU877" s="68">
        <v>1273</v>
      </c>
      <c r="BV877" s="68">
        <v>10</v>
      </c>
      <c r="BX877" s="68" t="s">
        <v>1268</v>
      </c>
      <c r="BY877" s="68" t="s">
        <v>863</v>
      </c>
      <c r="BZ877" s="68">
        <v>1</v>
      </c>
      <c r="CB877" s="68">
        <f>2</f>
        <v>2</v>
      </c>
      <c r="CC877" s="68">
        <v>1</v>
      </c>
      <c r="CD877" s="77" t="s">
        <v>464</v>
      </c>
      <c r="CE877" s="77" t="s">
        <v>464</v>
      </c>
      <c r="CF877" s="77" t="s">
        <v>1266</v>
      </c>
      <c r="CG877" s="77">
        <v>125</v>
      </c>
      <c r="CH877" s="77">
        <v>220</v>
      </c>
      <c r="CI877" s="77" t="s">
        <v>1287</v>
      </c>
      <c r="CJ877" s="77">
        <f t="shared" si="213"/>
        <v>288</v>
      </c>
      <c r="CK877" s="70">
        <v>84000</v>
      </c>
    </row>
    <row r="878" spans="1:89" x14ac:dyDescent="0.3">
      <c r="A878" t="s">
        <v>51</v>
      </c>
      <c r="C878" t="s">
        <v>3941</v>
      </c>
      <c r="D878" s="12"/>
      <c r="E878">
        <v>5.5</v>
      </c>
      <c r="F878" t="s">
        <v>52</v>
      </c>
      <c r="G878" s="98" t="s">
        <v>536</v>
      </c>
      <c r="H878" t="s">
        <v>617</v>
      </c>
      <c r="M878" t="b">
        <v>1</v>
      </c>
      <c r="N878" t="b">
        <v>1</v>
      </c>
      <c r="O878" t="b">
        <v>0</v>
      </c>
      <c r="P878" t="b">
        <v>0</v>
      </c>
      <c r="Q878" t="s">
        <v>536</v>
      </c>
      <c r="R878" t="s">
        <v>617</v>
      </c>
      <c r="T878" s="1">
        <v>4</v>
      </c>
      <c r="U878" s="20">
        <v>1</v>
      </c>
      <c r="V878">
        <v>4</v>
      </c>
      <c r="W878">
        <v>0</v>
      </c>
      <c r="X878" s="1">
        <v>5.4729999999999999</v>
      </c>
      <c r="Y878" s="1">
        <v>5.5269999999999992</v>
      </c>
      <c r="Z878" s="1">
        <v>25.030999999999999</v>
      </c>
      <c r="AB878" s="1">
        <v>12.515499999999999</v>
      </c>
      <c r="AC878" s="20">
        <v>12.88926011</v>
      </c>
      <c r="AD878" s="20">
        <v>12.88926011</v>
      </c>
      <c r="AE878" s="20">
        <v>12.88926011</v>
      </c>
      <c r="AF878">
        <v>5.5223699999999996</v>
      </c>
      <c r="AG878">
        <v>5.5240799999999997</v>
      </c>
      <c r="AH878">
        <v>25.026399999999999</v>
      </c>
      <c r="AI878">
        <v>0</v>
      </c>
      <c r="AM878">
        <v>18</v>
      </c>
      <c r="AN878" s="44">
        <f t="shared" si="210"/>
        <v>757.16950240099993</v>
      </c>
      <c r="AO878" s="46">
        <v>195.03203980213701</v>
      </c>
      <c r="AP878" s="44">
        <v>763.45570050087724</v>
      </c>
      <c r="AQ878" s="44">
        <v>0</v>
      </c>
      <c r="AR878" s="41"/>
      <c r="AS878" s="40">
        <v>9.2292528029042184E-2</v>
      </c>
      <c r="AT878" s="41">
        <v>9.4308025930991482E-2</v>
      </c>
      <c r="AU878" s="41"/>
      <c r="AV878" s="23">
        <v>2</v>
      </c>
      <c r="AW878" s="23">
        <v>3</v>
      </c>
      <c r="AX878" s="23">
        <v>1.857142857142857</v>
      </c>
      <c r="AY878" s="23">
        <v>4</v>
      </c>
      <c r="AZ878" s="23">
        <v>0.18421052631578949</v>
      </c>
      <c r="BA878" s="23">
        <v>0.27631578947368418</v>
      </c>
      <c r="BB878" s="23">
        <v>0.1710526315789474</v>
      </c>
      <c r="BC878" s="23">
        <v>0.36842105263157893</v>
      </c>
      <c r="BD878" s="20">
        <v>0.95</v>
      </c>
      <c r="BE878" s="20">
        <v>3.44</v>
      </c>
      <c r="BF878" s="20">
        <v>2.4900000000000002</v>
      </c>
      <c r="BG878" s="20">
        <v>2.782142857142857</v>
      </c>
      <c r="BH878">
        <v>2.7821428571428579</v>
      </c>
      <c r="BI878">
        <v>6.2021612289285706</v>
      </c>
      <c r="BJ878" s="64">
        <v>0.52524560229640982</v>
      </c>
      <c r="BK878" s="64">
        <v>0.53671599358424449</v>
      </c>
      <c r="BL878" s="64"/>
      <c r="BN878">
        <v>4.6146264014521092E-2</v>
      </c>
      <c r="BO878">
        <v>4.7154012965495741E-2</v>
      </c>
      <c r="BQ878">
        <v>9.3300276980016833E-2</v>
      </c>
      <c r="BR878">
        <v>4.6650138490008423E-2</v>
      </c>
      <c r="BS878">
        <v>0.53098079794032715</v>
      </c>
      <c r="CD878" s="68" t="s">
        <v>464</v>
      </c>
      <c r="CE878" s="68" t="s">
        <v>464</v>
      </c>
    </row>
    <row r="879" spans="1:89" x14ac:dyDescent="0.3">
      <c r="A879" t="s">
        <v>403</v>
      </c>
      <c r="B879" t="s">
        <v>2776</v>
      </c>
      <c r="C879" t="s">
        <v>4300</v>
      </c>
      <c r="D879" s="12"/>
      <c r="E879">
        <v>3.76</v>
      </c>
      <c r="F879" t="s">
        <v>402</v>
      </c>
      <c r="G879" s="99" t="s">
        <v>549</v>
      </c>
      <c r="H879">
        <v>-1</v>
      </c>
      <c r="J879" t="s">
        <v>2252</v>
      </c>
      <c r="M879" t="b">
        <v>1</v>
      </c>
      <c r="N879" t="b">
        <v>0</v>
      </c>
      <c r="O879" t="b">
        <v>0</v>
      </c>
      <c r="P879" t="b">
        <v>0</v>
      </c>
      <c r="Q879" t="s">
        <v>2633</v>
      </c>
      <c r="R879">
        <v>-1</v>
      </c>
      <c r="T879">
        <v>2</v>
      </c>
      <c r="U879" s="20">
        <v>0</v>
      </c>
      <c r="V879">
        <v>0</v>
      </c>
      <c r="W879">
        <v>0</v>
      </c>
      <c r="X879">
        <v>3.9</v>
      </c>
      <c r="Y879">
        <v>3.9</v>
      </c>
      <c r="Z879">
        <f>15.91*2</f>
        <v>31.82</v>
      </c>
      <c r="AB879">
        <v>15.91</v>
      </c>
      <c r="AC879" s="20">
        <v>0</v>
      </c>
      <c r="AD879" s="20"/>
      <c r="AE879" s="20"/>
      <c r="AF879">
        <v>0</v>
      </c>
      <c r="AI879">
        <v>0</v>
      </c>
      <c r="AM879">
        <v>20</v>
      </c>
      <c r="AN879" s="44">
        <f t="shared" si="210"/>
        <v>483.98219999999998</v>
      </c>
      <c r="AO879" s="46">
        <v>0</v>
      </c>
      <c r="AP879" s="44">
        <v>0</v>
      </c>
      <c r="AQ879" s="44">
        <v>0</v>
      </c>
      <c r="AR879" s="41">
        <f>T879*AM879/AN879</f>
        <v>8.2647667620833989E-2</v>
      </c>
      <c r="AS879" s="40"/>
      <c r="AT879" s="41"/>
      <c r="AU879" s="41"/>
      <c r="AV879" s="23">
        <v>1.882352941176471</v>
      </c>
      <c r="AW879" s="23">
        <v>2.3529411764705879</v>
      </c>
      <c r="AX879" s="23">
        <v>0.43529411764705878</v>
      </c>
      <c r="AY879" s="23">
        <v>0.82352941176470584</v>
      </c>
      <c r="AZ879" s="23">
        <v>0.34261241970021411</v>
      </c>
      <c r="BA879" s="23">
        <v>0.42826552462526768</v>
      </c>
      <c r="BB879" s="23">
        <v>7.922912205567452E-2</v>
      </c>
      <c r="BC879" s="23">
        <v>0.1498929336188437</v>
      </c>
      <c r="BD879" s="20">
        <v>0.82</v>
      </c>
      <c r="BE879" s="20">
        <v>3.44</v>
      </c>
      <c r="BF879" s="20">
        <v>2.62</v>
      </c>
      <c r="BG879" s="20">
        <v>2.5324117647058819</v>
      </c>
      <c r="BH879">
        <v>2.532941176470588</v>
      </c>
      <c r="BI879">
        <v>5.690008021176471</v>
      </c>
      <c r="BJ879" s="64"/>
      <c r="BK879" s="64"/>
      <c r="BL879" s="64"/>
      <c r="BM879">
        <v>4.1323833810416988E-2</v>
      </c>
      <c r="BQ879">
        <v>8.2647667620833989E-2</v>
      </c>
      <c r="BR879">
        <v>4.1323833810416988E-2</v>
      </c>
      <c r="BS879">
        <v>0</v>
      </c>
      <c r="CD879" s="68" t="s">
        <v>464</v>
      </c>
      <c r="CE879" s="68" t="s">
        <v>464</v>
      </c>
    </row>
    <row r="880" spans="1:89" x14ac:dyDescent="0.3">
      <c r="A880" t="s">
        <v>404</v>
      </c>
      <c r="B880" t="s">
        <v>2776</v>
      </c>
      <c r="C880" t="s">
        <v>4301</v>
      </c>
      <c r="D880" s="12"/>
      <c r="E880">
        <v>3.88</v>
      </c>
      <c r="F880" t="s">
        <v>402</v>
      </c>
      <c r="G880" s="99" t="s">
        <v>549</v>
      </c>
      <c r="H880">
        <v>-1</v>
      </c>
      <c r="J880" t="s">
        <v>2253</v>
      </c>
      <c r="M880" t="b">
        <v>1</v>
      </c>
      <c r="N880" t="b">
        <v>0</v>
      </c>
      <c r="O880" t="b">
        <v>0</v>
      </c>
      <c r="P880" t="b">
        <v>0</v>
      </c>
      <c r="Q880" t="s">
        <v>2634</v>
      </c>
      <c r="R880">
        <v>-1</v>
      </c>
      <c r="T880">
        <v>2</v>
      </c>
      <c r="U880" s="20">
        <v>0</v>
      </c>
      <c r="V880">
        <v>0</v>
      </c>
      <c r="W880">
        <v>0</v>
      </c>
      <c r="X880">
        <v>3.8050000000000002</v>
      </c>
      <c r="Y880">
        <v>3.8050000000000002</v>
      </c>
      <c r="Z880">
        <v>27.44</v>
      </c>
      <c r="AA880" t="s">
        <v>1131</v>
      </c>
      <c r="AB880">
        <v>13.72</v>
      </c>
      <c r="AC880" s="20">
        <v>0</v>
      </c>
      <c r="AD880" s="20"/>
      <c r="AE880" s="20"/>
      <c r="AF880">
        <v>0</v>
      </c>
      <c r="AI880">
        <v>0</v>
      </c>
      <c r="AM880">
        <v>20</v>
      </c>
      <c r="AN880" s="44">
        <f t="shared" si="210"/>
        <v>397.27700600000003</v>
      </c>
      <c r="AO880" s="46">
        <v>0</v>
      </c>
      <c r="AP880" s="44">
        <v>0</v>
      </c>
      <c r="AQ880" s="44">
        <v>0</v>
      </c>
      <c r="AR880" s="41">
        <f>T880*AM880/AN880</f>
        <v>0.10068541444857747</v>
      </c>
      <c r="AS880" s="40"/>
      <c r="AT880" s="41"/>
      <c r="AU880" s="41"/>
      <c r="AV880">
        <v>1.882352941176471</v>
      </c>
      <c r="AW880">
        <v>2.3529411764705879</v>
      </c>
      <c r="AX880">
        <v>0.43529411764705878</v>
      </c>
      <c r="AY880">
        <v>0.82352941176470584</v>
      </c>
      <c r="AZ880">
        <v>0.34261241970021411</v>
      </c>
      <c r="BA880">
        <v>0.42826552462526768</v>
      </c>
      <c r="BB880">
        <v>7.922912205567452E-2</v>
      </c>
      <c r="BC880">
        <v>0.1498929336188437</v>
      </c>
      <c r="BD880" s="20">
        <v>1.1850000000000001</v>
      </c>
      <c r="BE880" s="20">
        <v>3.44</v>
      </c>
      <c r="BF880" s="20">
        <v>2.2549999999999999</v>
      </c>
      <c r="BG880" s="20">
        <v>2.6947647058823532</v>
      </c>
      <c r="BH880">
        <v>2.6952941176470588</v>
      </c>
      <c r="BI880">
        <v>6.2494732999824709</v>
      </c>
      <c r="BJ880" s="64"/>
      <c r="BK880" s="64"/>
      <c r="BL880" s="64"/>
      <c r="BM880">
        <v>5.0342707224288727E-2</v>
      </c>
      <c r="BQ880">
        <v>0.1006854144485775</v>
      </c>
      <c r="BR880">
        <v>5.0342707224288727E-2</v>
      </c>
      <c r="BS880">
        <v>0</v>
      </c>
      <c r="CD880" s="68" t="s">
        <v>464</v>
      </c>
      <c r="CE880" s="68" t="s">
        <v>464</v>
      </c>
    </row>
    <row r="881" spans="1:83" x14ac:dyDescent="0.3">
      <c r="A881" t="s">
        <v>405</v>
      </c>
      <c r="B881" t="s">
        <v>153</v>
      </c>
      <c r="C881" t="s">
        <v>4302</v>
      </c>
      <c r="D881" s="12"/>
      <c r="E881">
        <v>4.51</v>
      </c>
      <c r="F881" t="s">
        <v>402</v>
      </c>
      <c r="G881" s="99" t="s">
        <v>576</v>
      </c>
      <c r="H881">
        <v>-1</v>
      </c>
      <c r="I881" s="1" t="s">
        <v>1184</v>
      </c>
      <c r="J881" s="103" t="s">
        <v>2254</v>
      </c>
      <c r="K881" s="1"/>
      <c r="L881" s="1"/>
      <c r="M881" t="b">
        <v>1</v>
      </c>
      <c r="N881" t="b">
        <v>0</v>
      </c>
      <c r="O881" t="b">
        <v>0</v>
      </c>
      <c r="P881" t="b">
        <v>0</v>
      </c>
      <c r="Q881" t="s">
        <v>2635</v>
      </c>
      <c r="R881">
        <v>-1</v>
      </c>
      <c r="S881" t="s">
        <v>1184</v>
      </c>
      <c r="U881" s="20">
        <v>0</v>
      </c>
      <c r="V881">
        <v>0</v>
      </c>
      <c r="W881">
        <v>0</v>
      </c>
      <c r="X881">
        <v>-1</v>
      </c>
      <c r="AC881" s="20">
        <v>0</v>
      </c>
      <c r="AD881" s="20"/>
      <c r="AE881" s="20"/>
      <c r="AF881">
        <v>0</v>
      </c>
      <c r="AI881">
        <v>0</v>
      </c>
      <c r="AM881">
        <v>14</v>
      </c>
      <c r="AN881" s="44">
        <f t="shared" si="210"/>
        <v>0</v>
      </c>
      <c r="AO881" s="46">
        <v>0</v>
      </c>
      <c r="AP881" s="44">
        <v>0</v>
      </c>
      <c r="AQ881" s="44">
        <v>0</v>
      </c>
      <c r="AR881" s="41"/>
      <c r="AS881" s="40"/>
      <c r="AT881" s="41"/>
      <c r="AU881" s="41"/>
      <c r="AV881" s="23">
        <v>1.9090909090909089</v>
      </c>
      <c r="AW881" s="23">
        <v>2.545454545454545</v>
      </c>
      <c r="AX881" s="23">
        <v>0.60909090909090913</v>
      </c>
      <c r="AY881" s="23">
        <v>2.790909090909091</v>
      </c>
      <c r="AZ881" s="23">
        <v>0.24305555555555561</v>
      </c>
      <c r="BA881" s="23">
        <v>0.32407407407407413</v>
      </c>
      <c r="BB881" s="23">
        <v>7.7546296296296308E-2</v>
      </c>
      <c r="BC881" s="23">
        <v>0.35532407407407413</v>
      </c>
      <c r="BD881" s="20">
        <v>0.82</v>
      </c>
      <c r="BE881" s="20">
        <v>3.44</v>
      </c>
      <c r="BF881" s="20">
        <v>2.62</v>
      </c>
      <c r="BG881" s="20">
        <v>2.6393636363636359</v>
      </c>
      <c r="BH881">
        <v>2.6363636363636358</v>
      </c>
      <c r="BI881">
        <v>6.0025089159090914</v>
      </c>
      <c r="BJ881" s="64"/>
      <c r="BK881" s="64"/>
      <c r="BL881" s="64"/>
      <c r="BQ881">
        <v>0</v>
      </c>
      <c r="BR881">
        <v>0</v>
      </c>
      <c r="BS881">
        <v>0</v>
      </c>
      <c r="CD881" s="68" t="s">
        <v>464</v>
      </c>
      <c r="CE881" s="68" t="s">
        <v>464</v>
      </c>
    </row>
    <row r="882" spans="1:83" x14ac:dyDescent="0.3">
      <c r="A882" t="s">
        <v>1190</v>
      </c>
      <c r="B882" t="s">
        <v>4</v>
      </c>
      <c r="C882" t="s">
        <v>4303</v>
      </c>
      <c r="D882" s="12"/>
      <c r="E882">
        <v>5.4</v>
      </c>
      <c r="F882" t="s">
        <v>402</v>
      </c>
      <c r="G882" s="99" t="s">
        <v>576</v>
      </c>
      <c r="H882">
        <v>-1</v>
      </c>
      <c r="I882" t="s">
        <v>1164</v>
      </c>
      <c r="J882" s="103" t="s">
        <v>2255</v>
      </c>
      <c r="M882" t="b">
        <v>1</v>
      </c>
      <c r="N882" t="b">
        <v>0</v>
      </c>
      <c r="O882" t="b">
        <v>0</v>
      </c>
      <c r="P882" t="b">
        <v>0</v>
      </c>
      <c r="Q882" t="s">
        <v>2636</v>
      </c>
      <c r="R882">
        <v>-1</v>
      </c>
      <c r="S882" t="s">
        <v>1164</v>
      </c>
      <c r="T882">
        <v>1</v>
      </c>
      <c r="U882" s="20">
        <v>0</v>
      </c>
      <c r="V882">
        <v>0</v>
      </c>
      <c r="W882">
        <v>1</v>
      </c>
      <c r="X882">
        <v>3.89</v>
      </c>
      <c r="Y882">
        <v>3.89</v>
      </c>
      <c r="Z882">
        <v>10.34</v>
      </c>
      <c r="AA882" t="s">
        <v>440</v>
      </c>
      <c r="AB882">
        <v>10.34</v>
      </c>
      <c r="AC882" s="20">
        <v>0</v>
      </c>
      <c r="AD882" s="20"/>
      <c r="AE882" s="20"/>
      <c r="AF882">
        <v>0</v>
      </c>
      <c r="AI882">
        <v>3.88</v>
      </c>
      <c r="AJ882">
        <v>3.88</v>
      </c>
      <c r="AK882">
        <v>10.66</v>
      </c>
      <c r="AM882">
        <v>14</v>
      </c>
      <c r="AN882" s="44">
        <f t="shared" si="210"/>
        <v>156.465914</v>
      </c>
      <c r="AO882" s="46">
        <v>0</v>
      </c>
      <c r="AP882" s="44">
        <v>0</v>
      </c>
      <c r="AQ882" s="44">
        <v>160.479904</v>
      </c>
      <c r="AR882" s="41"/>
      <c r="AS882" s="40"/>
      <c r="AT882" s="41"/>
      <c r="AU882" s="56">
        <f>W882*AM882/AQ882</f>
        <v>8.7238337331009372E-2</v>
      </c>
      <c r="AV882">
        <v>2</v>
      </c>
      <c r="AW882">
        <v>2.8</v>
      </c>
      <c r="AX882">
        <v>0.67</v>
      </c>
      <c r="AY882">
        <v>3.07</v>
      </c>
      <c r="AZ882">
        <v>0.23419203747072601</v>
      </c>
      <c r="BA882">
        <v>0.32786885245901642</v>
      </c>
      <c r="BB882">
        <v>7.8454332552693226E-2</v>
      </c>
      <c r="BC882">
        <v>0.35948477751756441</v>
      </c>
      <c r="BD882" s="20">
        <v>1.1000000000000001</v>
      </c>
      <c r="BE882" s="20">
        <v>3.44</v>
      </c>
      <c r="BF882" s="20">
        <v>2.34</v>
      </c>
      <c r="BG882" s="20">
        <v>2.8212999999999999</v>
      </c>
      <c r="BH882">
        <v>2.8180000000000001</v>
      </c>
      <c r="BI882">
        <v>6.3696075919999986</v>
      </c>
      <c r="BJ882" s="64"/>
      <c r="BK882" s="64"/>
      <c r="BL882" s="64">
        <v>0</v>
      </c>
      <c r="BP882">
        <v>4.3619168665504693E-2</v>
      </c>
      <c r="BQ882">
        <v>8.7238337331009372E-2</v>
      </c>
      <c r="BR882">
        <v>4.3619168665504693E-2</v>
      </c>
      <c r="BS882">
        <v>0</v>
      </c>
      <c r="CD882" s="68" t="s">
        <v>464</v>
      </c>
      <c r="CE882" s="68" t="s">
        <v>464</v>
      </c>
    </row>
    <row r="883" spans="1:83" x14ac:dyDescent="0.3">
      <c r="A883" t="s">
        <v>406</v>
      </c>
      <c r="C883" t="s">
        <v>960</v>
      </c>
      <c r="D883" s="12"/>
      <c r="E883">
        <v>0.01</v>
      </c>
      <c r="F883" t="s">
        <v>408</v>
      </c>
      <c r="G883" s="8">
        <v>-1</v>
      </c>
      <c r="H883">
        <v>4101345</v>
      </c>
      <c r="M883" t="b">
        <v>0</v>
      </c>
      <c r="N883" t="b">
        <v>1</v>
      </c>
      <c r="O883" t="b">
        <v>0</v>
      </c>
      <c r="P883" t="b">
        <v>0</v>
      </c>
      <c r="Q883">
        <v>-1</v>
      </c>
      <c r="R883">
        <v>4101345</v>
      </c>
      <c r="U883" s="20">
        <v>0</v>
      </c>
      <c r="V883">
        <v>2</v>
      </c>
      <c r="W883">
        <v>2</v>
      </c>
      <c r="X883">
        <v>5.3959999999999999</v>
      </c>
      <c r="Y883">
        <v>5.4489999999999998</v>
      </c>
      <c r="Z883">
        <v>20.521999999999998</v>
      </c>
      <c r="AA883" t="s">
        <v>1135</v>
      </c>
      <c r="AC883" s="20">
        <v>0</v>
      </c>
      <c r="AD883" s="20"/>
      <c r="AE883" s="20"/>
      <c r="AF883">
        <v>3.9685999999999999</v>
      </c>
      <c r="AG883">
        <v>3.9685999999999999</v>
      </c>
      <c r="AH883">
        <v>19.3154</v>
      </c>
      <c r="AI883">
        <v>0</v>
      </c>
      <c r="AM883">
        <v>13.84</v>
      </c>
      <c r="AN883" s="44">
        <f t="shared" si="210"/>
        <v>603.40434368799993</v>
      </c>
      <c r="AO883" s="46">
        <v>0</v>
      </c>
      <c r="AP883" s="44">
        <v>0</v>
      </c>
      <c r="AQ883" s="44">
        <v>304.20999999999998</v>
      </c>
      <c r="AR883" s="41"/>
      <c r="AS883" s="40"/>
      <c r="AT883" s="41"/>
      <c r="AU883" s="56">
        <f>W883*AM883/AQ883</f>
        <v>9.0989776798921798E-2</v>
      </c>
      <c r="AV883" s="23">
        <v>2</v>
      </c>
      <c r="AW883" s="23">
        <v>2.3221476510067109</v>
      </c>
      <c r="AX883" s="23">
        <v>1.593959731543624</v>
      </c>
      <c r="AY883" s="23">
        <v>0</v>
      </c>
      <c r="AZ883" s="23">
        <v>0.33806012478729441</v>
      </c>
      <c r="BA883" s="23">
        <v>0.39251276233692572</v>
      </c>
      <c r="BB883" s="23">
        <v>0.26942711287577992</v>
      </c>
      <c r="BC883" s="23">
        <v>0</v>
      </c>
      <c r="BD883" s="20">
        <v>1.1000000000000001</v>
      </c>
      <c r="BE883" s="20">
        <v>3.44</v>
      </c>
      <c r="BF883" s="20">
        <v>2.34</v>
      </c>
      <c r="BG883" s="20">
        <v>2.5943624161073831</v>
      </c>
      <c r="BH883">
        <v>2.5943624161073831</v>
      </c>
      <c r="BI883">
        <v>5.8869633505033558</v>
      </c>
      <c r="BJ883" s="64"/>
      <c r="BK883" s="64">
        <v>0.46352185946891089</v>
      </c>
      <c r="BL883" s="64"/>
      <c r="BO883" t="s">
        <v>459</v>
      </c>
      <c r="BP883">
        <v>4.5494888399460899E-2</v>
      </c>
      <c r="BQ883">
        <v>9.0989776798921798E-2</v>
      </c>
      <c r="BR883" t="s">
        <v>459</v>
      </c>
      <c r="BS883">
        <v>0.46352185946891089</v>
      </c>
      <c r="CD883" s="68" t="s">
        <v>464</v>
      </c>
      <c r="CE883" s="68" t="s">
        <v>464</v>
      </c>
    </row>
    <row r="884" spans="1:83" x14ac:dyDescent="0.3">
      <c r="A884" t="s">
        <v>407</v>
      </c>
      <c r="C884" t="s">
        <v>961</v>
      </c>
      <c r="D884" s="12"/>
      <c r="E884">
        <v>0.15</v>
      </c>
      <c r="F884" t="s">
        <v>408</v>
      </c>
      <c r="G884" s="8">
        <v>-1</v>
      </c>
      <c r="H884" t="s">
        <v>673</v>
      </c>
      <c r="M884" t="b">
        <v>0</v>
      </c>
      <c r="N884" t="b">
        <v>1</v>
      </c>
      <c r="O884" t="b">
        <v>0</v>
      </c>
      <c r="P884" t="b">
        <v>0</v>
      </c>
      <c r="Q884">
        <v>-1</v>
      </c>
      <c r="R884" t="s">
        <v>673</v>
      </c>
      <c r="U884" s="20">
        <v>0</v>
      </c>
      <c r="V884">
        <v>2</v>
      </c>
      <c r="W884">
        <v>2</v>
      </c>
      <c r="X884">
        <v>5.484</v>
      </c>
      <c r="Y884">
        <v>5.4790000000000001</v>
      </c>
      <c r="Z884">
        <v>20.064</v>
      </c>
      <c r="AA884" t="s">
        <v>1135</v>
      </c>
      <c r="AC884" s="20">
        <v>0</v>
      </c>
      <c r="AD884" s="20"/>
      <c r="AE884" s="20"/>
      <c r="AF884">
        <v>3.9685999999999999</v>
      </c>
      <c r="AG884">
        <v>3.9685999999999999</v>
      </c>
      <c r="AH884">
        <v>19.3154</v>
      </c>
      <c r="AI884">
        <v>0</v>
      </c>
      <c r="AM884">
        <v>12.7</v>
      </c>
      <c r="AN884" s="44">
        <f t="shared" si="210"/>
        <v>602.85971750399995</v>
      </c>
      <c r="AO884" s="46">
        <v>0</v>
      </c>
      <c r="AP884" s="44">
        <v>304.21341573178398</v>
      </c>
      <c r="AQ884" s="44"/>
      <c r="AR884" s="41"/>
      <c r="AS884" s="40"/>
      <c r="AT884" s="41">
        <v>9.098875515866349E-2</v>
      </c>
      <c r="AU884" s="41"/>
      <c r="AV884" s="23">
        <v>2</v>
      </c>
      <c r="AW884" s="23">
        <v>2.2378854625550662</v>
      </c>
      <c r="AX884" s="23">
        <v>1.6740088105726869</v>
      </c>
      <c r="AY884" s="23">
        <v>0</v>
      </c>
      <c r="AZ884" s="23">
        <v>0.33830104321907611</v>
      </c>
      <c r="BA884" s="23">
        <v>0.37853949329359171</v>
      </c>
      <c r="BB884" s="23">
        <v>0.2831594634873324</v>
      </c>
      <c r="BC884" s="23">
        <v>0</v>
      </c>
      <c r="BD884" s="20">
        <v>1.1000000000000001</v>
      </c>
      <c r="BE884" s="20">
        <v>3.44</v>
      </c>
      <c r="BF884" s="20">
        <v>2.34</v>
      </c>
      <c r="BG884" s="20">
        <v>2.5518942731277532</v>
      </c>
      <c r="BH884">
        <v>2.5518942731277532</v>
      </c>
      <c r="BI884">
        <v>5.8039684980176212</v>
      </c>
      <c r="BJ884" s="64"/>
      <c r="BK884" s="64">
        <v>0.46352185946891089</v>
      </c>
      <c r="BL884" s="64"/>
      <c r="BO884">
        <v>4.1747008327855002E-2</v>
      </c>
      <c r="BQ884">
        <v>9.098875515866349E-2</v>
      </c>
      <c r="BR884">
        <v>4.1747008327855002E-2</v>
      </c>
      <c r="BS884">
        <v>0.46352185946891089</v>
      </c>
      <c r="CD884" s="68" t="s">
        <v>464</v>
      </c>
      <c r="CE884" s="68" t="s">
        <v>464</v>
      </c>
    </row>
    <row r="885" spans="1:83" x14ac:dyDescent="0.3">
      <c r="A885" t="s">
        <v>3916</v>
      </c>
      <c r="C885" t="s">
        <v>4304</v>
      </c>
      <c r="D885" s="12"/>
      <c r="E885">
        <v>3.22</v>
      </c>
      <c r="F885" t="s">
        <v>411</v>
      </c>
      <c r="G885" s="8">
        <v>-1</v>
      </c>
      <c r="H885">
        <v>-1</v>
      </c>
      <c r="M885" t="b">
        <v>0</v>
      </c>
      <c r="N885" t="b">
        <v>0</v>
      </c>
      <c r="O885" t="b">
        <v>0</v>
      </c>
      <c r="P885" t="b">
        <v>1</v>
      </c>
      <c r="Q885">
        <v>-1</v>
      </c>
      <c r="R885">
        <v>-1</v>
      </c>
      <c r="U885" s="20">
        <v>0</v>
      </c>
      <c r="V885">
        <v>2</v>
      </c>
      <c r="W885">
        <v>0</v>
      </c>
      <c r="X885">
        <v>7.8239999999999998</v>
      </c>
      <c r="Y885">
        <v>7.8432000000000004</v>
      </c>
      <c r="Z885">
        <v>7.9165000000000001</v>
      </c>
      <c r="AA885" t="s">
        <v>1136</v>
      </c>
      <c r="AC885" s="20">
        <v>0</v>
      </c>
      <c r="AD885" s="20"/>
      <c r="AE885" s="20"/>
      <c r="AF885">
        <v>3.9685999999999999</v>
      </c>
      <c r="AG885">
        <v>3.9685999999999999</v>
      </c>
      <c r="AH885">
        <v>19.3154</v>
      </c>
      <c r="AI885">
        <v>0</v>
      </c>
      <c r="AM885">
        <v>6</v>
      </c>
      <c r="AN885" s="44">
        <f t="shared" si="210"/>
        <v>485.79758046720002</v>
      </c>
      <c r="AO885" s="46">
        <v>0</v>
      </c>
      <c r="AP885" s="44">
        <v>304.21341573178398</v>
      </c>
      <c r="AQ885" s="44">
        <v>0</v>
      </c>
      <c r="AR885" s="41"/>
      <c r="AS885" s="40"/>
      <c r="AT885" s="41">
        <v>8.3494016655709991E-2</v>
      </c>
      <c r="AU885" s="41"/>
      <c r="AV885" s="23">
        <v>1.7690531177829101</v>
      </c>
      <c r="AW885" s="23">
        <v>2.7713625866050808</v>
      </c>
      <c r="AX885" s="23">
        <v>1</v>
      </c>
      <c r="AY885" s="23">
        <v>0</v>
      </c>
      <c r="AZ885" s="23">
        <v>0.31929970821175491</v>
      </c>
      <c r="BA885" s="23">
        <v>0.50020842017507294</v>
      </c>
      <c r="BB885" s="23">
        <v>0.18049187161317221</v>
      </c>
      <c r="BC885" s="23">
        <v>0</v>
      </c>
      <c r="BD885" s="20">
        <v>1.1000000000000001</v>
      </c>
      <c r="BE885" s="20">
        <v>3.44</v>
      </c>
      <c r="BF885" s="20">
        <v>2.34</v>
      </c>
      <c r="BG885" s="20">
        <v>2.8367205542725169</v>
      </c>
      <c r="BH885">
        <v>2.8367205542725169</v>
      </c>
      <c r="BI885">
        <v>6.3438920491916866</v>
      </c>
      <c r="BJ885" s="64"/>
      <c r="BK885" s="64"/>
      <c r="BL885" s="64"/>
      <c r="BO885">
        <v>1.9722996060403931E-2</v>
      </c>
      <c r="BQ885">
        <v>8.3494016655709991E-2</v>
      </c>
      <c r="BR885">
        <v>1.9722996060403931E-2</v>
      </c>
      <c r="BS885">
        <v>0</v>
      </c>
      <c r="CD885" s="68" t="s">
        <v>464</v>
      </c>
      <c r="CE885" s="68" t="s">
        <v>464</v>
      </c>
    </row>
    <row r="886" spans="1:83" x14ac:dyDescent="0.3">
      <c r="A886" t="s">
        <v>3917</v>
      </c>
      <c r="C886" t="s">
        <v>4305</v>
      </c>
      <c r="D886" s="12"/>
      <c r="E886">
        <v>3.87</v>
      </c>
      <c r="F886" t="s">
        <v>411</v>
      </c>
      <c r="G886" s="8">
        <v>-1</v>
      </c>
      <c r="H886">
        <v>-1</v>
      </c>
      <c r="M886" t="b">
        <v>0</v>
      </c>
      <c r="N886" t="b">
        <v>0</v>
      </c>
      <c r="O886" t="b">
        <v>0</v>
      </c>
      <c r="P886" t="b">
        <v>1</v>
      </c>
      <c r="Q886">
        <v>-1</v>
      </c>
      <c r="R886">
        <v>-1</v>
      </c>
      <c r="U886" s="20">
        <v>0</v>
      </c>
      <c r="V886">
        <v>0</v>
      </c>
      <c r="W886">
        <v>0</v>
      </c>
      <c r="X886">
        <v>3.9186000000000001</v>
      </c>
      <c r="Y886">
        <v>3.9186000000000001</v>
      </c>
      <c r="Z886">
        <v>7.9149000000000003</v>
      </c>
      <c r="AA886" t="s">
        <v>439</v>
      </c>
      <c r="AC886" s="20">
        <v>0</v>
      </c>
      <c r="AD886" s="20"/>
      <c r="AE886" s="20"/>
      <c r="AF886">
        <v>0</v>
      </c>
      <c r="AI886">
        <v>0</v>
      </c>
      <c r="AM886">
        <v>6</v>
      </c>
      <c r="AN886" s="44">
        <f t="shared" si="210"/>
        <v>121.536660930804</v>
      </c>
      <c r="AO886" s="46">
        <v>0</v>
      </c>
      <c r="AP886" s="44">
        <v>0</v>
      </c>
      <c r="AQ886" s="44">
        <v>0</v>
      </c>
      <c r="AR886" s="41"/>
      <c r="AS886" s="40"/>
      <c r="AT886" s="41"/>
      <c r="AU886" s="41"/>
      <c r="AV886" s="23">
        <v>2</v>
      </c>
      <c r="AW886" s="23">
        <v>2.7713625866050808</v>
      </c>
      <c r="AX886" s="23">
        <v>0.76905311778290997</v>
      </c>
      <c r="AY886" s="23">
        <v>3.2332563510392611</v>
      </c>
      <c r="AZ886" s="23">
        <v>0.2279547249276126</v>
      </c>
      <c r="BA886" s="23">
        <v>0.31587259805211898</v>
      </c>
      <c r="BB886" s="23">
        <v>8.765464595946304E-2</v>
      </c>
      <c r="BC886" s="23">
        <v>0.36851803106080561</v>
      </c>
      <c r="BD886" s="20">
        <v>1.1000000000000001</v>
      </c>
      <c r="BE886" s="20">
        <v>3.44</v>
      </c>
      <c r="BF886" s="20">
        <v>2.34</v>
      </c>
      <c r="BG886" s="20">
        <v>2.813625866050808</v>
      </c>
      <c r="BH886">
        <v>2.8136258660508089</v>
      </c>
      <c r="BI886">
        <v>6.3665749591224019</v>
      </c>
      <c r="BJ886" s="64"/>
      <c r="BK886" s="64"/>
      <c r="BL886" s="64"/>
      <c r="BQ886">
        <v>0</v>
      </c>
      <c r="BR886">
        <v>0</v>
      </c>
      <c r="BS886">
        <v>0</v>
      </c>
      <c r="CD886" s="68" t="s">
        <v>464</v>
      </c>
      <c r="CE886" s="68" t="s">
        <v>464</v>
      </c>
    </row>
    <row r="887" spans="1:83" x14ac:dyDescent="0.3">
      <c r="A887" t="s">
        <v>410</v>
      </c>
      <c r="C887" t="s">
        <v>4306</v>
      </c>
      <c r="D887" s="12"/>
      <c r="E887">
        <v>3.56</v>
      </c>
      <c r="F887" t="s">
        <v>411</v>
      </c>
      <c r="G887" s="8" t="s">
        <v>602</v>
      </c>
      <c r="H887" t="s">
        <v>674</v>
      </c>
      <c r="M887" t="b">
        <v>1</v>
      </c>
      <c r="N887" t="b">
        <v>1</v>
      </c>
      <c r="O887" t="b">
        <v>0</v>
      </c>
      <c r="P887" t="b">
        <v>0</v>
      </c>
      <c r="Q887" t="s">
        <v>602</v>
      </c>
      <c r="R887" t="s">
        <v>674</v>
      </c>
      <c r="U887" s="20">
        <v>2</v>
      </c>
      <c r="V887">
        <v>0</v>
      </c>
      <c r="W887">
        <v>0</v>
      </c>
      <c r="AC887" s="20">
        <v>5.44114334</v>
      </c>
      <c r="AD887" s="20">
        <v>5.44114334</v>
      </c>
      <c r="AE887" s="20">
        <v>5.44114334</v>
      </c>
      <c r="AF887">
        <v>0</v>
      </c>
      <c r="AI887">
        <v>0</v>
      </c>
      <c r="AM887">
        <v>6</v>
      </c>
      <c r="AN887" s="44">
        <f t="shared" si="210"/>
        <v>0</v>
      </c>
      <c r="AO887" s="46">
        <v>112.4131248985337</v>
      </c>
      <c r="AP887" s="44">
        <v>0</v>
      </c>
      <c r="AQ887" s="44">
        <v>0</v>
      </c>
      <c r="AR887" s="41"/>
      <c r="AS887" s="40">
        <v>0.106749100790779</v>
      </c>
      <c r="AT887" s="41"/>
      <c r="AU887" s="41"/>
      <c r="AV887" s="23">
        <v>2</v>
      </c>
      <c r="AW887" s="23">
        <v>2.4</v>
      </c>
      <c r="AX887" s="23">
        <v>0.4</v>
      </c>
      <c r="AY887" s="23">
        <v>0</v>
      </c>
      <c r="AZ887" s="23">
        <v>0.41666666666666669</v>
      </c>
      <c r="BA887" s="23">
        <v>0.5</v>
      </c>
      <c r="BB887" s="23">
        <v>8.3333333333333343E-2</v>
      </c>
      <c r="BC887" s="23">
        <v>0</v>
      </c>
      <c r="BD887" s="20">
        <v>1</v>
      </c>
      <c r="BE887" s="20">
        <v>3.44</v>
      </c>
      <c r="BF887" s="20">
        <v>2.44</v>
      </c>
      <c r="BG887" s="20">
        <v>2.5720000000000001</v>
      </c>
      <c r="BH887">
        <v>2.5720000000000001</v>
      </c>
      <c r="BI887">
        <v>5.8278852370000003</v>
      </c>
      <c r="BJ887" s="64">
        <v>0.58846120068676144</v>
      </c>
      <c r="BK887" s="64">
        <v>0.59176212397517092</v>
      </c>
      <c r="BL887" s="64"/>
      <c r="BN887">
        <v>5.3374550395389492E-2</v>
      </c>
      <c r="BQ887">
        <v>0.106749100790779</v>
      </c>
      <c r="BR887">
        <v>5.3374550395389492E-2</v>
      </c>
      <c r="BS887">
        <v>0.59011166233096612</v>
      </c>
      <c r="CD887" s="68" t="s">
        <v>464</v>
      </c>
      <c r="CE887" s="68" t="s">
        <v>464</v>
      </c>
    </row>
    <row r="888" spans="1:83" x14ac:dyDescent="0.3">
      <c r="A888" t="s">
        <v>413</v>
      </c>
      <c r="C888" t="s">
        <v>4307</v>
      </c>
      <c r="D888" s="12"/>
      <c r="E888">
        <v>2.86</v>
      </c>
      <c r="F888" t="s">
        <v>412</v>
      </c>
      <c r="G888" s="8">
        <v>-1</v>
      </c>
      <c r="H888">
        <v>-1</v>
      </c>
      <c r="I888" t="s">
        <v>1244</v>
      </c>
      <c r="M888" t="b">
        <v>0</v>
      </c>
      <c r="N888" t="b">
        <v>0</v>
      </c>
      <c r="O888" t="b">
        <v>1</v>
      </c>
      <c r="P888" t="b">
        <v>0</v>
      </c>
      <c r="Q888">
        <v>-1</v>
      </c>
      <c r="R888">
        <v>-1</v>
      </c>
      <c r="S888" t="s">
        <v>1244</v>
      </c>
      <c r="T888">
        <v>1</v>
      </c>
      <c r="U888" s="20">
        <v>0</v>
      </c>
      <c r="V888">
        <v>4</v>
      </c>
      <c r="W888">
        <v>0</v>
      </c>
      <c r="X888">
        <v>3.91</v>
      </c>
      <c r="Y888">
        <v>3.91</v>
      </c>
      <c r="Z888">
        <v>18.495999999999999</v>
      </c>
      <c r="AA888" t="s">
        <v>439</v>
      </c>
      <c r="AB888">
        <v>18.495999999999999</v>
      </c>
      <c r="AC888" s="20">
        <v>0</v>
      </c>
      <c r="AD888" s="20"/>
      <c r="AE888" s="20"/>
      <c r="AF888">
        <v>5.38</v>
      </c>
      <c r="AG888">
        <v>5.44</v>
      </c>
      <c r="AH888">
        <v>7.6390000000000002</v>
      </c>
      <c r="AI888">
        <v>0</v>
      </c>
      <c r="AM888">
        <v>22</v>
      </c>
      <c r="AN888" s="44">
        <f t="shared" si="210"/>
        <v>282.7686976</v>
      </c>
      <c r="AO888" s="46">
        <v>0</v>
      </c>
      <c r="AP888" s="44">
        <v>223.5721408</v>
      </c>
      <c r="AQ888" s="44">
        <v>0</v>
      </c>
      <c r="AR888" s="41"/>
      <c r="AS888" s="40"/>
      <c r="AT888" s="41">
        <v>0.1073479008347001</v>
      </c>
      <c r="AU888" s="41"/>
      <c r="AV888" s="23">
        <v>2</v>
      </c>
      <c r="AW888" s="23">
        <v>3.052631578947369</v>
      </c>
      <c r="AX888" s="23">
        <v>1.8947368421052631</v>
      </c>
      <c r="AY888" s="23">
        <v>3.6842105263157889</v>
      </c>
      <c r="AZ888" s="23">
        <v>0.18811881188118809</v>
      </c>
      <c r="BA888" s="23">
        <v>0.28712871287128722</v>
      </c>
      <c r="BB888" s="23">
        <v>0.17821782178217821</v>
      </c>
      <c r="BC888" s="23">
        <v>0.34653465346534651</v>
      </c>
      <c r="BD888" s="20">
        <v>0.95</v>
      </c>
      <c r="BE888" s="20">
        <v>3.44</v>
      </c>
      <c r="BF888" s="20">
        <v>2.4900000000000002</v>
      </c>
      <c r="BG888" s="20">
        <v>2.7347368421052631</v>
      </c>
      <c r="BH888">
        <v>2.7347368421052631</v>
      </c>
      <c r="BI888">
        <v>6.1677369702631566</v>
      </c>
      <c r="BJ888" s="64"/>
      <c r="BK888" s="64"/>
      <c r="BL888" s="64">
        <v>0</v>
      </c>
      <c r="BM888">
        <v>3.8901052674367873E-2</v>
      </c>
      <c r="BO888">
        <v>0.19680448486361679</v>
      </c>
      <c r="BQ888">
        <v>0.1073479008347001</v>
      </c>
      <c r="BR888">
        <v>0.1178527687689923</v>
      </c>
      <c r="BS888">
        <v>0</v>
      </c>
      <c r="CD888" s="68" t="s">
        <v>464</v>
      </c>
      <c r="CE888" s="68" t="s">
        <v>464</v>
      </c>
    </row>
    <row r="889" spans="1:83" x14ac:dyDescent="0.3">
      <c r="A889" t="s">
        <v>414</v>
      </c>
      <c r="C889" t="s">
        <v>4308</v>
      </c>
      <c r="D889" s="12"/>
      <c r="E889">
        <v>2.58</v>
      </c>
      <c r="F889" t="s">
        <v>412</v>
      </c>
      <c r="G889" s="8">
        <v>-1</v>
      </c>
      <c r="H889">
        <v>-1</v>
      </c>
      <c r="I889" s="58" t="s">
        <v>1244</v>
      </c>
      <c r="J889" s="58"/>
      <c r="K889" s="58"/>
      <c r="L889" t="s">
        <v>1757</v>
      </c>
      <c r="M889" t="b">
        <v>0</v>
      </c>
      <c r="N889" t="b">
        <v>0</v>
      </c>
      <c r="O889" t="b">
        <v>1</v>
      </c>
      <c r="P889" t="b">
        <v>0</v>
      </c>
      <c r="Q889">
        <v>-1</v>
      </c>
      <c r="R889">
        <v>-1</v>
      </c>
      <c r="S889" t="s">
        <v>2479</v>
      </c>
      <c r="T889">
        <v>1</v>
      </c>
      <c r="U889" s="20">
        <v>0</v>
      </c>
      <c r="V889">
        <v>0</v>
      </c>
      <c r="W889">
        <v>0</v>
      </c>
      <c r="X889">
        <v>3.9119999999999999</v>
      </c>
      <c r="Y889">
        <v>3.9119999999999999</v>
      </c>
      <c r="Z889">
        <v>18.582000000000001</v>
      </c>
      <c r="AA889" t="s">
        <v>439</v>
      </c>
      <c r="AB889">
        <v>18.582000000000001</v>
      </c>
      <c r="AC889" s="20">
        <v>0</v>
      </c>
      <c r="AD889" s="20"/>
      <c r="AE889" s="20"/>
      <c r="AF889">
        <v>0</v>
      </c>
      <c r="AI889">
        <v>0</v>
      </c>
      <c r="AM889">
        <v>22</v>
      </c>
      <c r="AN889" s="44">
        <f t="shared" si="210"/>
        <v>284.37417100800002</v>
      </c>
      <c r="AO889" s="46">
        <v>0</v>
      </c>
      <c r="AP889" s="44">
        <v>0</v>
      </c>
      <c r="AQ889" s="44">
        <v>0</v>
      </c>
      <c r="AR889" s="41">
        <f>T889*AM889/AN889</f>
        <v>7.7362862885958422E-2</v>
      </c>
      <c r="AS889" s="40"/>
      <c r="AT889" s="41"/>
      <c r="AU889" s="41"/>
      <c r="AV889" s="23">
        <v>2</v>
      </c>
      <c r="AW889" s="23">
        <v>3.1578947368421049</v>
      </c>
      <c r="AX889" s="23">
        <v>2.4210526315789469</v>
      </c>
      <c r="AY889" s="23">
        <v>4.4210526315789478</v>
      </c>
      <c r="AZ889" s="23">
        <v>0.16666666666666671</v>
      </c>
      <c r="BA889" s="23">
        <v>0.26315789473684209</v>
      </c>
      <c r="BB889" s="23">
        <v>0.2017543859649123</v>
      </c>
      <c r="BC889" s="23">
        <v>0.36842105263157898</v>
      </c>
      <c r="BD889" s="20">
        <v>0.95</v>
      </c>
      <c r="BE889" s="20">
        <v>3.44</v>
      </c>
      <c r="BF889" s="20">
        <v>2.4900000000000002</v>
      </c>
      <c r="BG889" s="20">
        <v>2.8073684210526308</v>
      </c>
      <c r="BH889">
        <v>2.8073684210526308</v>
      </c>
      <c r="BI889">
        <v>6.2210650663157896</v>
      </c>
      <c r="BJ889" s="64"/>
      <c r="BK889" s="64"/>
      <c r="BL889" s="64">
        <v>0</v>
      </c>
      <c r="BM889">
        <v>3.8681431442979211E-2</v>
      </c>
      <c r="BQ889">
        <v>7.7362862885958422E-2</v>
      </c>
      <c r="BR889">
        <v>3.8681431442979211E-2</v>
      </c>
      <c r="BS889">
        <v>0</v>
      </c>
      <c r="CD889" s="68" t="s">
        <v>464</v>
      </c>
      <c r="CE889" s="68" t="s">
        <v>464</v>
      </c>
    </row>
    <row r="890" spans="1:83" x14ac:dyDescent="0.3">
      <c r="A890" t="s">
        <v>415</v>
      </c>
      <c r="C890" t="s">
        <v>4309</v>
      </c>
      <c r="D890" s="12"/>
      <c r="E890">
        <v>2.57</v>
      </c>
      <c r="F890" t="s">
        <v>412</v>
      </c>
      <c r="G890" s="8">
        <v>-1</v>
      </c>
      <c r="H890">
        <v>-1</v>
      </c>
      <c r="I890" s="58" t="s">
        <v>1244</v>
      </c>
      <c r="J890" s="58"/>
      <c r="K890" s="58"/>
      <c r="L890" s="58" t="s">
        <v>1753</v>
      </c>
      <c r="M890" t="b">
        <v>0</v>
      </c>
      <c r="N890" t="b">
        <v>0</v>
      </c>
      <c r="O890" t="b">
        <v>1</v>
      </c>
      <c r="P890" t="b">
        <v>0</v>
      </c>
      <c r="Q890">
        <v>-1</v>
      </c>
      <c r="R890">
        <v>-1</v>
      </c>
      <c r="S890" t="s">
        <v>2480</v>
      </c>
      <c r="T890">
        <v>1</v>
      </c>
      <c r="U890" s="20">
        <v>0</v>
      </c>
      <c r="V890">
        <v>0</v>
      </c>
      <c r="W890">
        <v>0</v>
      </c>
      <c r="X890">
        <v>3.9607600000000001</v>
      </c>
      <c r="Y890">
        <v>3.9607600000000001</v>
      </c>
      <c r="Z890">
        <v>18.789100000000001</v>
      </c>
      <c r="AA890" t="s">
        <v>439</v>
      </c>
      <c r="AB890">
        <v>18.789100000000001</v>
      </c>
      <c r="AC890" s="20">
        <v>0</v>
      </c>
      <c r="AD890" s="20"/>
      <c r="AE890" s="20"/>
      <c r="AF890">
        <v>0</v>
      </c>
      <c r="AI890">
        <v>0</v>
      </c>
      <c r="AM890">
        <v>22</v>
      </c>
      <c r="AN890" s="44">
        <f t="shared" si="210"/>
        <v>294.75625676330418</v>
      </c>
      <c r="AO890" s="46">
        <v>0</v>
      </c>
      <c r="AP890" s="44">
        <v>0</v>
      </c>
      <c r="AQ890" s="44">
        <v>0</v>
      </c>
      <c r="AR890" s="41">
        <f>T890*AM890/AN890</f>
        <v>7.4637940655035831E-2</v>
      </c>
      <c r="AS890" s="40"/>
      <c r="AT890" s="41"/>
      <c r="AU890" s="41"/>
      <c r="AV890" s="23">
        <v>2</v>
      </c>
      <c r="AW890" s="23">
        <v>3.052631578947369</v>
      </c>
      <c r="AX890" s="23">
        <v>1.8947368421052631</v>
      </c>
      <c r="AY890" s="23">
        <v>3.6842105263157889</v>
      </c>
      <c r="AZ890" s="23">
        <v>0.18811881188118809</v>
      </c>
      <c r="BA890" s="23">
        <v>0.28712871287128722</v>
      </c>
      <c r="BB890" s="23">
        <v>0.17821782178217821</v>
      </c>
      <c r="BC890" s="23">
        <v>0.34653465346534651</v>
      </c>
      <c r="BD890" s="20">
        <v>0.89</v>
      </c>
      <c r="BE890" s="20">
        <v>3.44</v>
      </c>
      <c r="BF890" s="20">
        <v>2.5499999999999998</v>
      </c>
      <c r="BG890" s="20">
        <v>2.7284210526315791</v>
      </c>
      <c r="BH890">
        <v>2.7284210526315791</v>
      </c>
      <c r="BI890">
        <v>6.1471768202631578</v>
      </c>
      <c r="BJ890" s="64"/>
      <c r="BK890" s="64"/>
      <c r="BL890" s="64">
        <v>0</v>
      </c>
      <c r="BM890">
        <v>3.7318970327517922E-2</v>
      </c>
      <c r="BQ890">
        <v>7.4637940655035831E-2</v>
      </c>
      <c r="BR890">
        <v>3.7318970327517922E-2</v>
      </c>
      <c r="BS890">
        <v>0</v>
      </c>
      <c r="CD890" s="68" t="s">
        <v>464</v>
      </c>
      <c r="CE890" s="68" t="s">
        <v>464</v>
      </c>
    </row>
    <row r="891" spans="1:83" x14ac:dyDescent="0.3">
      <c r="A891" t="s">
        <v>416</v>
      </c>
      <c r="C891" t="s">
        <v>4310</v>
      </c>
      <c r="D891" s="12"/>
      <c r="E891">
        <v>2.6</v>
      </c>
      <c r="F891" t="s">
        <v>412</v>
      </c>
      <c r="G891" s="8">
        <v>-1</v>
      </c>
      <c r="H891">
        <v>-1</v>
      </c>
      <c r="I891" s="58" t="s">
        <v>1244</v>
      </c>
      <c r="J891" s="58"/>
      <c r="K891" s="58"/>
      <c r="L891" t="s">
        <v>1758</v>
      </c>
      <c r="M891" t="b">
        <v>0</v>
      </c>
      <c r="N891" t="b">
        <v>0</v>
      </c>
      <c r="O891" t="b">
        <v>1</v>
      </c>
      <c r="P891" t="b">
        <v>0</v>
      </c>
      <c r="Q891">
        <v>-1</v>
      </c>
      <c r="R891">
        <v>-1</v>
      </c>
      <c r="S891" t="s">
        <v>2481</v>
      </c>
      <c r="T891">
        <v>1</v>
      </c>
      <c r="U891" s="20">
        <v>0</v>
      </c>
      <c r="V891">
        <v>0</v>
      </c>
      <c r="W891">
        <v>0</v>
      </c>
      <c r="X891">
        <v>3.9350499999999999</v>
      </c>
      <c r="Y891">
        <v>3.9350499999999999</v>
      </c>
      <c r="Z891">
        <v>18.790900000000001</v>
      </c>
      <c r="AA891" t="s">
        <v>439</v>
      </c>
      <c r="AB891">
        <v>18.790900000000001</v>
      </c>
      <c r="AC891" s="20">
        <v>0</v>
      </c>
      <c r="AD891" s="20"/>
      <c r="AE891" s="20"/>
      <c r="AF891">
        <v>0</v>
      </c>
      <c r="AI891">
        <v>0</v>
      </c>
      <c r="AM891">
        <v>22</v>
      </c>
      <c r="AN891" s="44">
        <f t="shared" si="210"/>
        <v>290.96991781862727</v>
      </c>
      <c r="AO891" s="46">
        <v>0</v>
      </c>
      <c r="AP891" s="44">
        <v>0</v>
      </c>
      <c r="AQ891" s="44">
        <v>0</v>
      </c>
      <c r="AR891" s="41">
        <f t="shared" ref="AR891:AR916" si="242">T891*AM891/AN891</f>
        <v>7.5609190685180877E-2</v>
      </c>
      <c r="AS891" s="40"/>
      <c r="AT891" s="41"/>
      <c r="AU891" s="41"/>
      <c r="AV891" s="23">
        <v>2</v>
      </c>
      <c r="AW891" s="23">
        <v>3.1578947368421049</v>
      </c>
      <c r="AX891" s="23">
        <v>2.4210526315789469</v>
      </c>
      <c r="AY891" s="23">
        <v>4.4210526315789478</v>
      </c>
      <c r="AZ891" s="23">
        <v>0.16666666666666671</v>
      </c>
      <c r="BA891" s="23">
        <v>0.26315789473684209</v>
      </c>
      <c r="BB891" s="23">
        <v>0.2017543859649123</v>
      </c>
      <c r="BC891" s="23">
        <v>0.36842105263157898</v>
      </c>
      <c r="BD891" s="20">
        <v>0.89</v>
      </c>
      <c r="BE891" s="20">
        <v>3.44</v>
      </c>
      <c r="BF891" s="20">
        <v>2.5499999999999998</v>
      </c>
      <c r="BG891" s="20">
        <v>2.804210526315789</v>
      </c>
      <c r="BH891">
        <v>2.804210526315789</v>
      </c>
      <c r="BI891">
        <v>6.2107849913157898</v>
      </c>
      <c r="BJ891" s="64"/>
      <c r="BK891" s="64"/>
      <c r="BL891" s="64">
        <v>0</v>
      </c>
      <c r="BM891">
        <v>3.7804595342590439E-2</v>
      </c>
      <c r="BQ891">
        <v>7.5609190685180877E-2</v>
      </c>
      <c r="BR891">
        <v>3.7804595342590439E-2</v>
      </c>
      <c r="BS891">
        <v>0</v>
      </c>
      <c r="CD891" s="68" t="s">
        <v>464</v>
      </c>
      <c r="CE891" s="68" t="s">
        <v>464</v>
      </c>
    </row>
    <row r="892" spans="1:83" x14ac:dyDescent="0.3">
      <c r="A892" t="s">
        <v>417</v>
      </c>
      <c r="C892" t="s">
        <v>4311</v>
      </c>
      <c r="D892" s="12"/>
      <c r="E892">
        <v>2.57</v>
      </c>
      <c r="F892" t="s">
        <v>412</v>
      </c>
      <c r="G892" s="8">
        <v>-1</v>
      </c>
      <c r="H892">
        <v>-1</v>
      </c>
      <c r="I892" s="58" t="s">
        <v>1761</v>
      </c>
      <c r="K892" s="58"/>
      <c r="L892" s="58" t="s">
        <v>1735</v>
      </c>
      <c r="M892" t="b">
        <v>0</v>
      </c>
      <c r="N892" t="b">
        <v>0</v>
      </c>
      <c r="O892" t="b">
        <v>1</v>
      </c>
      <c r="P892" t="b">
        <v>0</v>
      </c>
      <c r="Q892">
        <v>-1</v>
      </c>
      <c r="R892">
        <v>-1</v>
      </c>
      <c r="S892" t="s">
        <v>2607</v>
      </c>
      <c r="T892">
        <v>1</v>
      </c>
      <c r="U892" s="20">
        <v>0</v>
      </c>
      <c r="V892">
        <v>0</v>
      </c>
      <c r="W892">
        <v>0</v>
      </c>
      <c r="X892">
        <v>3.8856000000000002</v>
      </c>
      <c r="Y892">
        <v>3.8856000000000002</v>
      </c>
      <c r="Z892">
        <v>18.356999999999999</v>
      </c>
      <c r="AA892" t="s">
        <v>439</v>
      </c>
      <c r="AB892">
        <v>18.356999999999999</v>
      </c>
      <c r="AC892" s="20">
        <v>0</v>
      </c>
      <c r="AD892" s="20"/>
      <c r="AE892" s="20"/>
      <c r="AF892">
        <v>0</v>
      </c>
      <c r="AI892">
        <v>0</v>
      </c>
      <c r="AM892">
        <v>22</v>
      </c>
      <c r="AN892" s="44">
        <f t="shared" si="210"/>
        <v>277.15191826751999</v>
      </c>
      <c r="AO892" s="46">
        <v>0</v>
      </c>
      <c r="AP892" s="44">
        <v>0</v>
      </c>
      <c r="AQ892" s="44">
        <v>0</v>
      </c>
      <c r="AR892" s="41">
        <f t="shared" si="242"/>
        <v>7.9378848025019155E-2</v>
      </c>
      <c r="AS892" s="40"/>
      <c r="AT892" s="41"/>
      <c r="AU892" s="41"/>
      <c r="AV892" s="23">
        <v>2</v>
      </c>
      <c r="AW892" s="23">
        <v>3.2105263157894739</v>
      </c>
      <c r="AX892" s="23">
        <v>2.3684210526315792</v>
      </c>
      <c r="AY892" s="23">
        <v>3.6842105263157889</v>
      </c>
      <c r="AZ892" s="23">
        <v>0.17757009345794389</v>
      </c>
      <c r="BA892" s="23">
        <v>0.28504672897196259</v>
      </c>
      <c r="BB892" s="23">
        <v>0.2102803738317757</v>
      </c>
      <c r="BC892" s="23">
        <v>0.32710280373831768</v>
      </c>
      <c r="BD892" s="20">
        <v>0.95</v>
      </c>
      <c r="BE892" s="20">
        <v>3.44</v>
      </c>
      <c r="BF892" s="20">
        <v>2.4900000000000002</v>
      </c>
      <c r="BG892" s="20">
        <v>2.7931578947368418</v>
      </c>
      <c r="BH892">
        <v>2.7931578947368418</v>
      </c>
      <c r="BI892">
        <v>6.207524303947368</v>
      </c>
      <c r="BJ892" s="64"/>
      <c r="BK892" s="64"/>
      <c r="BL892" s="64">
        <v>0</v>
      </c>
      <c r="BM892">
        <v>3.9689424012509578E-2</v>
      </c>
      <c r="BQ892">
        <v>7.9378848025019155E-2</v>
      </c>
      <c r="BR892">
        <v>3.9689424012509578E-2</v>
      </c>
      <c r="BS892">
        <v>0</v>
      </c>
      <c r="CD892" s="68" t="s">
        <v>464</v>
      </c>
      <c r="CE892" s="68" t="s">
        <v>464</v>
      </c>
    </row>
    <row r="893" spans="1:83" x14ac:dyDescent="0.3">
      <c r="A893" t="s">
        <v>418</v>
      </c>
      <c r="C893" t="s">
        <v>4312</v>
      </c>
      <c r="D893" s="12"/>
      <c r="E893">
        <v>2.5</v>
      </c>
      <c r="F893" t="s">
        <v>412</v>
      </c>
      <c r="G893" s="8">
        <v>-1</v>
      </c>
      <c r="H893">
        <v>-1</v>
      </c>
      <c r="I893" s="58" t="s">
        <v>1761</v>
      </c>
      <c r="J893" s="58"/>
      <c r="K893" s="58"/>
      <c r="L893" s="58" t="s">
        <v>2256</v>
      </c>
      <c r="M893" t="b">
        <v>0</v>
      </c>
      <c r="N893" t="b">
        <v>0</v>
      </c>
      <c r="O893" t="b">
        <v>1</v>
      </c>
      <c r="P893" t="b">
        <v>0</v>
      </c>
      <c r="Q893">
        <v>-1</v>
      </c>
      <c r="R893">
        <v>-1</v>
      </c>
      <c r="S893" t="s">
        <v>2608</v>
      </c>
      <c r="T893">
        <v>1</v>
      </c>
      <c r="U893" s="20">
        <v>0</v>
      </c>
      <c r="V893">
        <v>0</v>
      </c>
      <c r="W893">
        <v>0</v>
      </c>
      <c r="X893">
        <v>3.9121999999999999</v>
      </c>
      <c r="Y893">
        <v>3.9121999999999999</v>
      </c>
      <c r="Z893">
        <v>18.724299999999999</v>
      </c>
      <c r="AA893" t="s">
        <v>439</v>
      </c>
      <c r="AB893">
        <v>18.724299999999999</v>
      </c>
      <c r="AC893" s="20">
        <v>0</v>
      </c>
      <c r="AD893" s="20"/>
      <c r="AE893" s="20"/>
      <c r="AF893">
        <v>0</v>
      </c>
      <c r="AI893">
        <v>0</v>
      </c>
      <c r="AM893">
        <v>22</v>
      </c>
      <c r="AN893" s="44">
        <f t="shared" si="210"/>
        <v>286.58119431281199</v>
      </c>
      <c r="AO893" s="46">
        <v>0</v>
      </c>
      <c r="AP893" s="44">
        <v>0</v>
      </c>
      <c r="AQ893" s="44">
        <v>0</v>
      </c>
      <c r="AR893" s="41">
        <f t="shared" si="242"/>
        <v>7.6767074869491747E-2</v>
      </c>
      <c r="AS893" s="40"/>
      <c r="AT893" s="41"/>
      <c r="AU893" s="41"/>
      <c r="AV893" s="23">
        <v>2</v>
      </c>
      <c r="AW893" s="23">
        <v>3.2105263157894739</v>
      </c>
      <c r="AX893" s="23">
        <v>2.3684210526315792</v>
      </c>
      <c r="AY893" s="23">
        <v>3.6842105263157889</v>
      </c>
      <c r="AZ893" s="23">
        <v>0.17757009345794389</v>
      </c>
      <c r="BA893" s="23">
        <v>0.28504672897196259</v>
      </c>
      <c r="BB893" s="23">
        <v>0.2102803738317757</v>
      </c>
      <c r="BC893" s="23">
        <v>0.32710280373831768</v>
      </c>
      <c r="BD893" s="20">
        <v>0.89</v>
      </c>
      <c r="BE893" s="20">
        <v>3.44</v>
      </c>
      <c r="BF893" s="20">
        <v>2.5499999999999998</v>
      </c>
      <c r="BG893" s="20">
        <v>2.79</v>
      </c>
      <c r="BH893">
        <v>2.79</v>
      </c>
      <c r="BI893">
        <v>6.1972442289473681</v>
      </c>
      <c r="BJ893" s="64"/>
      <c r="BK893" s="64"/>
      <c r="BL893" s="64">
        <v>0</v>
      </c>
      <c r="BM893">
        <v>3.8383537434745867E-2</v>
      </c>
      <c r="BQ893">
        <v>7.6767074869491747E-2</v>
      </c>
      <c r="BR893">
        <v>3.8383537434745867E-2</v>
      </c>
      <c r="BS893">
        <v>0</v>
      </c>
      <c r="CD893" s="68" t="s">
        <v>464</v>
      </c>
      <c r="CE893" s="68" t="s">
        <v>464</v>
      </c>
    </row>
    <row r="894" spans="1:83" x14ac:dyDescent="0.3">
      <c r="A894" t="s">
        <v>419</v>
      </c>
      <c r="C894" t="s">
        <v>4313</v>
      </c>
      <c r="D894" s="12"/>
      <c r="E894">
        <v>2.6</v>
      </c>
      <c r="F894" t="s">
        <v>412</v>
      </c>
      <c r="G894" s="8">
        <v>-1</v>
      </c>
      <c r="H894">
        <v>-1</v>
      </c>
      <c r="I894" s="58" t="s">
        <v>1761</v>
      </c>
      <c r="J894" s="58"/>
      <c r="K894" s="58"/>
      <c r="L894" s="58" t="s">
        <v>2257</v>
      </c>
      <c r="M894" t="b">
        <v>0</v>
      </c>
      <c r="N894" t="b">
        <v>0</v>
      </c>
      <c r="O894" t="b">
        <v>1</v>
      </c>
      <c r="P894" t="b">
        <v>0</v>
      </c>
      <c r="Q894">
        <v>-1</v>
      </c>
      <c r="R894">
        <v>-1</v>
      </c>
      <c r="S894" t="s">
        <v>2609</v>
      </c>
      <c r="T894">
        <v>1</v>
      </c>
      <c r="U894" s="20">
        <v>0</v>
      </c>
      <c r="V894">
        <v>0</v>
      </c>
      <c r="W894">
        <v>0</v>
      </c>
      <c r="X894">
        <v>3.8752</v>
      </c>
      <c r="Y894">
        <v>3.8752</v>
      </c>
      <c r="Z894">
        <v>18.687000000000001</v>
      </c>
      <c r="AA894" t="s">
        <v>439</v>
      </c>
      <c r="AB894">
        <v>18.687000000000001</v>
      </c>
      <c r="AC894" s="20">
        <v>0</v>
      </c>
      <c r="AD894" s="20"/>
      <c r="AE894" s="20"/>
      <c r="AF894">
        <v>0</v>
      </c>
      <c r="AI894">
        <v>0</v>
      </c>
      <c r="AM894">
        <v>22</v>
      </c>
      <c r="AN894" s="44">
        <f t="shared" si="210"/>
        <v>280.62594997247999</v>
      </c>
      <c r="AO894" s="46">
        <v>0</v>
      </c>
      <c r="AP894" s="44">
        <v>0</v>
      </c>
      <c r="AQ894" s="44">
        <v>0</v>
      </c>
      <c r="AR894" s="41">
        <f t="shared" si="242"/>
        <v>7.8396171138690005E-2</v>
      </c>
      <c r="AS894" s="40"/>
      <c r="AT894" s="41"/>
      <c r="AU894" s="41"/>
      <c r="AV894" s="23">
        <v>2</v>
      </c>
      <c r="AW894" s="23">
        <v>3.3157894736842111</v>
      </c>
      <c r="AX894" s="23">
        <v>2.8947368421052628</v>
      </c>
      <c r="AY894" s="23">
        <v>4.4210526315789478</v>
      </c>
      <c r="AZ894" s="23">
        <v>0.1583333333333333</v>
      </c>
      <c r="BA894" s="23">
        <v>0.26250000000000001</v>
      </c>
      <c r="BB894" s="23">
        <v>0.22916666666666671</v>
      </c>
      <c r="BC894" s="23">
        <v>0.35</v>
      </c>
      <c r="BD894" s="20">
        <v>1.5</v>
      </c>
      <c r="BE894" s="20">
        <v>3.44</v>
      </c>
      <c r="BF894" s="20">
        <v>1.94</v>
      </c>
      <c r="BG894" s="20">
        <v>2.86578947368421</v>
      </c>
      <c r="BH894">
        <v>2.8657894736842109</v>
      </c>
      <c r="BI894">
        <v>6.2608524000000001</v>
      </c>
      <c r="BJ894" s="64"/>
      <c r="BK894" s="64"/>
      <c r="BL894" s="64">
        <v>0</v>
      </c>
      <c r="BM894">
        <v>3.9198085569345002E-2</v>
      </c>
      <c r="BQ894">
        <v>7.8396171138690005E-2</v>
      </c>
      <c r="BR894">
        <v>3.9198085569345002E-2</v>
      </c>
      <c r="BS894">
        <v>0</v>
      </c>
      <c r="CD894" s="68" t="s">
        <v>464</v>
      </c>
      <c r="CE894" s="68" t="s">
        <v>464</v>
      </c>
    </row>
    <row r="895" spans="1:83" x14ac:dyDescent="0.3">
      <c r="A895" t="s">
        <v>426</v>
      </c>
      <c r="C895" t="s">
        <v>4314</v>
      </c>
      <c r="D895" s="12"/>
      <c r="E895">
        <v>2.82</v>
      </c>
      <c r="F895" t="s">
        <v>412</v>
      </c>
      <c r="G895" s="8">
        <v>-1</v>
      </c>
      <c r="H895">
        <v>-1</v>
      </c>
      <c r="I895" s="58" t="s">
        <v>1244</v>
      </c>
      <c r="J895" s="58"/>
      <c r="K895" s="58"/>
      <c r="L895" s="58" t="s">
        <v>1756</v>
      </c>
      <c r="M895" t="b">
        <v>0</v>
      </c>
      <c r="N895" t="b">
        <v>0</v>
      </c>
      <c r="O895" t="b">
        <v>1</v>
      </c>
      <c r="P895" t="b">
        <v>0</v>
      </c>
      <c r="Q895">
        <v>-1</v>
      </c>
      <c r="R895">
        <v>-1</v>
      </c>
      <c r="S895" t="s">
        <v>2610</v>
      </c>
      <c r="T895">
        <v>1</v>
      </c>
      <c r="U895" s="20">
        <v>0</v>
      </c>
      <c r="V895">
        <v>0</v>
      </c>
      <c r="W895">
        <v>0</v>
      </c>
      <c r="X895">
        <v>3.9108999999999998</v>
      </c>
      <c r="Y895">
        <v>3.9108999999999998</v>
      </c>
      <c r="Z895">
        <v>18.454999999999998</v>
      </c>
      <c r="AA895" t="s">
        <v>439</v>
      </c>
      <c r="AB895">
        <v>18.454999999999998</v>
      </c>
      <c r="AC895" s="20">
        <v>0</v>
      </c>
      <c r="AD895" s="20"/>
      <c r="AE895" s="20"/>
      <c r="AF895">
        <v>0</v>
      </c>
      <c r="AI895">
        <v>0</v>
      </c>
      <c r="AM895">
        <v>22</v>
      </c>
      <c r="AN895" s="44">
        <f t="shared" si="210"/>
        <v>282.27178673854996</v>
      </c>
      <c r="AO895" s="46">
        <v>0</v>
      </c>
      <c r="AP895" s="44">
        <v>0</v>
      </c>
      <c r="AQ895" s="44">
        <v>0</v>
      </c>
      <c r="AR895" s="41">
        <f t="shared" si="242"/>
        <v>7.7939068066966155E-2</v>
      </c>
      <c r="AS895" s="40"/>
      <c r="AT895" s="41"/>
      <c r="AU895" s="41"/>
      <c r="AV895" s="23">
        <v>1.8947368421052631</v>
      </c>
      <c r="AW895" s="23">
        <v>3.052631578947369</v>
      </c>
      <c r="AX895" s="23">
        <v>2</v>
      </c>
      <c r="AY895" s="23">
        <v>2.2105263157894739</v>
      </c>
      <c r="AZ895" s="23">
        <v>0.2068965517241379</v>
      </c>
      <c r="BA895" s="23">
        <v>0.33333333333333343</v>
      </c>
      <c r="BB895" s="23">
        <v>0.21839080459770119</v>
      </c>
      <c r="BC895" s="23">
        <v>0.2413793103448276</v>
      </c>
      <c r="BD895" s="20">
        <v>0.95</v>
      </c>
      <c r="BE895" s="20">
        <v>3.44</v>
      </c>
      <c r="BF895" s="20">
        <v>2.4900000000000002</v>
      </c>
      <c r="BG895" s="20">
        <v>2.7452631578947368</v>
      </c>
      <c r="BH895">
        <v>2.7452631578947368</v>
      </c>
      <c r="BI895">
        <v>6.1573983386842102</v>
      </c>
      <c r="BJ895" s="64"/>
      <c r="BK895" s="64"/>
      <c r="BL895" s="64">
        <v>0</v>
      </c>
      <c r="BM895">
        <v>3.8969534033483078E-2</v>
      </c>
      <c r="BQ895">
        <v>7.7939068066966155E-2</v>
      </c>
      <c r="BR895">
        <v>3.8969534033483078E-2</v>
      </c>
      <c r="BS895">
        <v>0</v>
      </c>
      <c r="CD895" s="68" t="s">
        <v>464</v>
      </c>
      <c r="CE895" s="68" t="s">
        <v>464</v>
      </c>
    </row>
    <row r="896" spans="1:83" x14ac:dyDescent="0.3">
      <c r="A896" t="s">
        <v>420</v>
      </c>
      <c r="C896" t="s">
        <v>4315</v>
      </c>
      <c r="D896" s="12"/>
      <c r="E896">
        <v>2.59</v>
      </c>
      <c r="F896" t="s">
        <v>412</v>
      </c>
      <c r="G896" s="8">
        <v>-1</v>
      </c>
      <c r="H896">
        <v>-1</v>
      </c>
      <c r="I896" s="58" t="s">
        <v>1244</v>
      </c>
      <c r="J896" s="58"/>
      <c r="K896" s="58"/>
      <c r="L896" t="s">
        <v>1759</v>
      </c>
      <c r="M896" t="b">
        <v>0</v>
      </c>
      <c r="N896" t="b">
        <v>0</v>
      </c>
      <c r="O896" t="b">
        <v>1</v>
      </c>
      <c r="P896" t="b">
        <v>0</v>
      </c>
      <c r="Q896">
        <v>-1</v>
      </c>
      <c r="R896">
        <v>-1</v>
      </c>
      <c r="S896" t="s">
        <v>2611</v>
      </c>
      <c r="T896">
        <v>1</v>
      </c>
      <c r="U896" s="20">
        <v>0</v>
      </c>
      <c r="V896">
        <v>0</v>
      </c>
      <c r="W896">
        <v>0</v>
      </c>
      <c r="X896">
        <v>3.91</v>
      </c>
      <c r="Y896">
        <v>3.91</v>
      </c>
      <c r="Z896">
        <v>18.651</v>
      </c>
      <c r="AA896" t="s">
        <v>439</v>
      </c>
      <c r="AB896">
        <v>18.651</v>
      </c>
      <c r="AC896" s="20">
        <v>0</v>
      </c>
      <c r="AD896" s="20"/>
      <c r="AE896" s="20"/>
      <c r="AF896">
        <v>0</v>
      </c>
      <c r="AI896">
        <v>0</v>
      </c>
      <c r="AM896">
        <v>22</v>
      </c>
      <c r="AN896" s="44">
        <f t="shared" si="210"/>
        <v>285.13835310000002</v>
      </c>
      <c r="AO896" s="46">
        <v>0</v>
      </c>
      <c r="AP896" s="44">
        <v>0</v>
      </c>
      <c r="AQ896" s="44">
        <v>0</v>
      </c>
      <c r="AR896" s="41">
        <f t="shared" si="242"/>
        <v>7.7155527345998398E-2</v>
      </c>
      <c r="AS896" s="40"/>
      <c r="AT896" s="41"/>
      <c r="AU896" s="41"/>
      <c r="AV896" s="23">
        <v>1.8947368421052631</v>
      </c>
      <c r="AW896" s="23">
        <v>3.1578947368421049</v>
      </c>
      <c r="AX896" s="23">
        <v>2.5263157894736841</v>
      </c>
      <c r="AY896" s="23">
        <v>2.947368421052631</v>
      </c>
      <c r="AZ896" s="23">
        <v>0.18</v>
      </c>
      <c r="BA896" s="23">
        <v>0.3</v>
      </c>
      <c r="BB896" s="23">
        <v>0.24</v>
      </c>
      <c r="BC896" s="23">
        <v>0.28000000000000003</v>
      </c>
      <c r="BD896" s="20">
        <v>0.95</v>
      </c>
      <c r="BE896" s="20">
        <v>3.44</v>
      </c>
      <c r="BF896" s="20">
        <v>2.4900000000000002</v>
      </c>
      <c r="BG896" s="20">
        <v>2.817894736842105</v>
      </c>
      <c r="BH896">
        <v>2.817894736842105</v>
      </c>
      <c r="BI896">
        <v>6.2107264347368423</v>
      </c>
      <c r="BJ896" s="64"/>
      <c r="BK896" s="64"/>
      <c r="BL896" s="64">
        <v>0</v>
      </c>
      <c r="BM896">
        <v>3.8577763672999199E-2</v>
      </c>
      <c r="BQ896">
        <v>7.7155527345998398E-2</v>
      </c>
      <c r="BR896">
        <v>3.8577763672999199E-2</v>
      </c>
      <c r="BS896">
        <v>0</v>
      </c>
      <c r="CD896" s="68" t="s">
        <v>464</v>
      </c>
      <c r="CE896" s="68" t="s">
        <v>464</v>
      </c>
    </row>
    <row r="897" spans="1:89" x14ac:dyDescent="0.3">
      <c r="A897" t="s">
        <v>421</v>
      </c>
      <c r="C897" t="s">
        <v>4316</v>
      </c>
      <c r="D897" s="12"/>
      <c r="E897">
        <v>2.66</v>
      </c>
      <c r="F897" t="s">
        <v>412</v>
      </c>
      <c r="G897" s="8">
        <v>-1</v>
      </c>
      <c r="H897">
        <v>-1</v>
      </c>
      <c r="I897" s="58" t="s">
        <v>1244</v>
      </c>
      <c r="J897" s="58"/>
      <c r="K897" s="58"/>
      <c r="L897" s="58" t="s">
        <v>1754</v>
      </c>
      <c r="M897" t="b">
        <v>0</v>
      </c>
      <c r="N897" t="b">
        <v>0</v>
      </c>
      <c r="O897" t="b">
        <v>1</v>
      </c>
      <c r="P897" t="b">
        <v>0</v>
      </c>
      <c r="Q897">
        <v>-1</v>
      </c>
      <c r="R897">
        <v>-1</v>
      </c>
      <c r="S897" t="s">
        <v>2612</v>
      </c>
      <c r="T897">
        <v>1</v>
      </c>
      <c r="U897" s="20">
        <v>0</v>
      </c>
      <c r="V897">
        <v>0</v>
      </c>
      <c r="W897">
        <v>0</v>
      </c>
      <c r="X897">
        <v>3.9683000000000002</v>
      </c>
      <c r="Y897">
        <v>3.9683000000000002</v>
      </c>
      <c r="Z897">
        <v>18.798999999999999</v>
      </c>
      <c r="AA897" t="s">
        <v>439</v>
      </c>
      <c r="AB897">
        <v>18.798999999999999</v>
      </c>
      <c r="AC897" s="20">
        <v>0</v>
      </c>
      <c r="AD897" s="20"/>
      <c r="AE897" s="20"/>
      <c r="AF897">
        <v>0</v>
      </c>
      <c r="AI897">
        <v>0</v>
      </c>
      <c r="AM897">
        <v>22</v>
      </c>
      <c r="AN897" s="44">
        <f t="shared" si="210"/>
        <v>296.03546452711004</v>
      </c>
      <c r="AO897" s="46">
        <v>0</v>
      </c>
      <c r="AP897" s="44">
        <v>0</v>
      </c>
      <c r="AQ897" s="44">
        <v>0</v>
      </c>
      <c r="AR897" s="41">
        <f t="shared" si="242"/>
        <v>7.4315420401211113E-2</v>
      </c>
      <c r="AS897" s="40"/>
      <c r="AT897" s="41"/>
      <c r="AU897" s="41"/>
      <c r="AV897" s="23">
        <v>1.8947368421052631</v>
      </c>
      <c r="AW897" s="23">
        <v>3.052631578947369</v>
      </c>
      <c r="AX897" s="23">
        <v>2</v>
      </c>
      <c r="AY897" s="23">
        <v>2.2105263157894739</v>
      </c>
      <c r="AZ897" s="23">
        <v>0.2068965517241379</v>
      </c>
      <c r="BA897" s="23">
        <v>0.33333333333333343</v>
      </c>
      <c r="BB897" s="23">
        <v>0.21839080459770119</v>
      </c>
      <c r="BC897" s="23">
        <v>0.2413793103448276</v>
      </c>
      <c r="BD897" s="20">
        <v>0.89</v>
      </c>
      <c r="BE897" s="20">
        <v>3.44</v>
      </c>
      <c r="BF897" s="20">
        <v>2.5499999999999998</v>
      </c>
      <c r="BG897" s="20">
        <v>2.7389473684210519</v>
      </c>
      <c r="BH897">
        <v>2.7389473684210519</v>
      </c>
      <c r="BI897">
        <v>6.1368381886842096</v>
      </c>
      <c r="BJ897" s="64"/>
      <c r="BK897" s="64"/>
      <c r="BL897" s="64">
        <v>0</v>
      </c>
      <c r="BM897">
        <v>3.7157710200605563E-2</v>
      </c>
      <c r="BQ897">
        <v>7.4315420401211113E-2</v>
      </c>
      <c r="BR897">
        <v>3.7157710200605563E-2</v>
      </c>
      <c r="BS897">
        <v>0</v>
      </c>
      <c r="CD897" s="68" t="s">
        <v>464</v>
      </c>
      <c r="CE897" s="68" t="s">
        <v>464</v>
      </c>
    </row>
    <row r="898" spans="1:89" x14ac:dyDescent="0.3">
      <c r="A898" t="s">
        <v>422</v>
      </c>
      <c r="C898" t="s">
        <v>4317</v>
      </c>
      <c r="D898" s="12"/>
      <c r="E898">
        <v>2.56</v>
      </c>
      <c r="F898" t="s">
        <v>412</v>
      </c>
      <c r="G898" s="8">
        <v>-1</v>
      </c>
      <c r="H898">
        <v>-1</v>
      </c>
      <c r="I898" s="58" t="s">
        <v>1244</v>
      </c>
      <c r="J898" s="58"/>
      <c r="K898" s="58"/>
      <c r="L898" t="s">
        <v>1760</v>
      </c>
      <c r="M898" t="b">
        <v>0</v>
      </c>
      <c r="N898" t="b">
        <v>0</v>
      </c>
      <c r="O898" t="b">
        <v>1</v>
      </c>
      <c r="P898" t="b">
        <v>0</v>
      </c>
      <c r="Q898">
        <v>-1</v>
      </c>
      <c r="R898">
        <v>-1</v>
      </c>
      <c r="S898" t="s">
        <v>2613</v>
      </c>
      <c r="T898">
        <v>1</v>
      </c>
      <c r="U898" s="20">
        <v>0</v>
      </c>
      <c r="V898">
        <v>0</v>
      </c>
      <c r="W898">
        <v>0</v>
      </c>
      <c r="X898">
        <v>3.9487999999999999</v>
      </c>
      <c r="Y898">
        <v>3.9487999999999999</v>
      </c>
      <c r="Z898">
        <v>18.829999999999998</v>
      </c>
      <c r="AA898" t="s">
        <v>439</v>
      </c>
      <c r="AB898">
        <v>18.829999999999998</v>
      </c>
      <c r="AC898" s="20">
        <v>0</v>
      </c>
      <c r="AD898" s="20"/>
      <c r="AE898" s="20"/>
      <c r="AF898">
        <v>0</v>
      </c>
      <c r="AI898">
        <v>0</v>
      </c>
      <c r="AM898">
        <v>22</v>
      </c>
      <c r="AN898" s="44">
        <f t="shared" si="210"/>
        <v>293.61659371519994</v>
      </c>
      <c r="AO898" s="46">
        <v>0</v>
      </c>
      <c r="AP898" s="44">
        <v>0</v>
      </c>
      <c r="AQ898" s="44">
        <v>0</v>
      </c>
      <c r="AR898" s="41">
        <f t="shared" si="242"/>
        <v>7.4927645340574306E-2</v>
      </c>
      <c r="AS898" s="40"/>
      <c r="AT898" s="41"/>
      <c r="AU898" s="41"/>
      <c r="AV898" s="23">
        <v>1.8947368421052631</v>
      </c>
      <c r="AW898" s="23">
        <v>3.1578947368421049</v>
      </c>
      <c r="AX898" s="23">
        <v>2.5263157894736841</v>
      </c>
      <c r="AY898" s="23">
        <v>2.947368421052631</v>
      </c>
      <c r="AZ898" s="23">
        <v>0.18</v>
      </c>
      <c r="BA898" s="23">
        <v>0.3</v>
      </c>
      <c r="BB898" s="23">
        <v>0.24</v>
      </c>
      <c r="BC898" s="23">
        <v>0.28000000000000003</v>
      </c>
      <c r="BD898" s="20">
        <v>0.89</v>
      </c>
      <c r="BE898" s="20">
        <v>3.44</v>
      </c>
      <c r="BF898" s="20">
        <v>2.5499999999999998</v>
      </c>
      <c r="BG898" s="20">
        <v>2.8147368421052632</v>
      </c>
      <c r="BH898">
        <v>2.8147368421052632</v>
      </c>
      <c r="BI898">
        <v>6.2004463597368424</v>
      </c>
      <c r="BJ898" s="64"/>
      <c r="BK898" s="64"/>
      <c r="BL898" s="64">
        <v>0</v>
      </c>
      <c r="BM898">
        <v>3.7463822670287153E-2</v>
      </c>
      <c r="BQ898">
        <v>7.4927645340574306E-2</v>
      </c>
      <c r="BR898">
        <v>3.7463822670287153E-2</v>
      </c>
      <c r="BS898">
        <v>0</v>
      </c>
      <c r="CD898" s="68" t="s">
        <v>464</v>
      </c>
      <c r="CE898" s="68" t="s">
        <v>464</v>
      </c>
    </row>
    <row r="899" spans="1:89" x14ac:dyDescent="0.3">
      <c r="A899" t="s">
        <v>423</v>
      </c>
      <c r="C899" t="s">
        <v>4318</v>
      </c>
      <c r="D899" s="12"/>
      <c r="E899">
        <v>2.5099999999999998</v>
      </c>
      <c r="F899" t="s">
        <v>412</v>
      </c>
      <c r="G899" s="8">
        <v>-1</v>
      </c>
      <c r="H899">
        <v>-1</v>
      </c>
      <c r="I899" s="58" t="s">
        <v>1761</v>
      </c>
      <c r="J899" s="58"/>
      <c r="K899" s="58"/>
      <c r="L899" s="58"/>
      <c r="M899" t="b">
        <v>0</v>
      </c>
      <c r="N899" t="b">
        <v>0</v>
      </c>
      <c r="O899" t="b">
        <v>1</v>
      </c>
      <c r="P899" t="b">
        <v>0</v>
      </c>
      <c r="Q899">
        <v>-1</v>
      </c>
      <c r="R899">
        <v>-1</v>
      </c>
      <c r="S899" t="s">
        <v>1761</v>
      </c>
      <c r="T899">
        <v>1</v>
      </c>
      <c r="U899" s="20">
        <v>0</v>
      </c>
      <c r="V899">
        <v>0</v>
      </c>
      <c r="W899">
        <v>0</v>
      </c>
      <c r="X899">
        <v>3.8788399999999998</v>
      </c>
      <c r="Y899">
        <v>3.8788399999999998</v>
      </c>
      <c r="Z899">
        <v>18.3658</v>
      </c>
      <c r="AA899" t="s">
        <v>439</v>
      </c>
      <c r="AB899">
        <v>18.3658</v>
      </c>
      <c r="AC899" s="20">
        <v>0</v>
      </c>
      <c r="AD899" s="20"/>
      <c r="AE899" s="20"/>
      <c r="AF899">
        <v>0</v>
      </c>
      <c r="AI899">
        <v>0</v>
      </c>
      <c r="AM899">
        <v>22</v>
      </c>
      <c r="AN899" s="44">
        <f t="shared" si="210"/>
        <v>276.32080264774049</v>
      </c>
      <c r="AO899" s="46">
        <v>0</v>
      </c>
      <c r="AP899" s="44">
        <v>0</v>
      </c>
      <c r="AQ899" s="44">
        <v>0</v>
      </c>
      <c r="AR899" s="41">
        <f t="shared" si="242"/>
        <v>7.9617603123591299E-2</v>
      </c>
      <c r="AS899" s="40"/>
      <c r="AT899" s="41"/>
      <c r="AU899" s="41"/>
      <c r="AV899" s="23">
        <v>1.9473684210526321</v>
      </c>
      <c r="AW899" s="23">
        <v>3.2105263157894739</v>
      </c>
      <c r="AX899" s="23">
        <v>2.4210526315789469</v>
      </c>
      <c r="AY899" s="23">
        <v>2.947368421052631</v>
      </c>
      <c r="AZ899" s="23">
        <v>0.185</v>
      </c>
      <c r="BA899" s="23">
        <v>0.30499999999999999</v>
      </c>
      <c r="BB899" s="23">
        <v>0.23</v>
      </c>
      <c r="BC899" s="23">
        <v>0.28000000000000003</v>
      </c>
      <c r="BD899" s="20">
        <v>0.95</v>
      </c>
      <c r="BE899" s="20">
        <v>3.44</v>
      </c>
      <c r="BF899" s="20">
        <v>2.4900000000000002</v>
      </c>
      <c r="BG899" s="20">
        <v>2.798421052631578</v>
      </c>
      <c r="BH899">
        <v>2.7984210526315789</v>
      </c>
      <c r="BI899">
        <v>6.2023549881578939</v>
      </c>
      <c r="BJ899" s="64"/>
      <c r="BK899" s="64"/>
      <c r="BL899" s="64">
        <v>0</v>
      </c>
      <c r="BM899">
        <v>3.9808801561795649E-2</v>
      </c>
      <c r="BQ899">
        <v>7.9617603123591299E-2</v>
      </c>
      <c r="BR899">
        <v>3.9808801561795649E-2</v>
      </c>
      <c r="BS899">
        <v>0</v>
      </c>
      <c r="CD899" s="68" t="s">
        <v>464</v>
      </c>
      <c r="CE899" s="68" t="s">
        <v>464</v>
      </c>
    </row>
    <row r="900" spans="1:89" x14ac:dyDescent="0.3">
      <c r="A900" t="s">
        <v>424</v>
      </c>
      <c r="C900" t="s">
        <v>4319</v>
      </c>
      <c r="D900" s="12"/>
      <c r="E900">
        <v>2.48</v>
      </c>
      <c r="F900" t="s">
        <v>412</v>
      </c>
      <c r="G900" s="8">
        <v>-1</v>
      </c>
      <c r="H900">
        <v>-1</v>
      </c>
      <c r="I900" s="58" t="s">
        <v>1761</v>
      </c>
      <c r="J900" s="58"/>
      <c r="K900" s="58"/>
      <c r="L900" s="58" t="s">
        <v>1754</v>
      </c>
      <c r="M900" t="b">
        <v>0</v>
      </c>
      <c r="N900" t="b">
        <v>0</v>
      </c>
      <c r="O900" t="b">
        <v>1</v>
      </c>
      <c r="P900" t="b">
        <v>0</v>
      </c>
      <c r="Q900">
        <v>-1</v>
      </c>
      <c r="R900">
        <v>-1</v>
      </c>
      <c r="S900" t="s">
        <v>2614</v>
      </c>
      <c r="T900">
        <v>1</v>
      </c>
      <c r="U900" s="20">
        <v>0</v>
      </c>
      <c r="V900">
        <v>0</v>
      </c>
      <c r="W900">
        <v>0</v>
      </c>
      <c r="X900">
        <v>3.9116</v>
      </c>
      <c r="Y900">
        <v>3.9116</v>
      </c>
      <c r="Z900">
        <v>18.6922</v>
      </c>
      <c r="AA900" t="s">
        <v>439</v>
      </c>
      <c r="AB900">
        <v>18.6922</v>
      </c>
      <c r="AC900" s="20">
        <v>0</v>
      </c>
      <c r="AD900" s="20"/>
      <c r="AE900" s="20"/>
      <c r="AF900">
        <v>0</v>
      </c>
      <c r="AI900">
        <v>0</v>
      </c>
      <c r="AM900">
        <v>22</v>
      </c>
      <c r="AN900" s="44">
        <f t="shared" si="210"/>
        <v>286.00214747843199</v>
      </c>
      <c r="AO900" s="46">
        <v>0</v>
      </c>
      <c r="AP900" s="44">
        <v>0</v>
      </c>
      <c r="AQ900" s="44">
        <v>0</v>
      </c>
      <c r="AR900" s="41">
        <f t="shared" si="242"/>
        <v>7.6922499337733347E-2</v>
      </c>
      <c r="AS900" s="40"/>
      <c r="AT900" s="41"/>
      <c r="AU900" s="41"/>
      <c r="AV900" s="23">
        <v>1.9473684210526321</v>
      </c>
      <c r="AW900" s="23">
        <v>3.2105263157894739</v>
      </c>
      <c r="AX900" s="23">
        <v>2.4210526315789469</v>
      </c>
      <c r="AY900" s="23">
        <v>2.947368421052631</v>
      </c>
      <c r="AZ900" s="23">
        <v>0.185</v>
      </c>
      <c r="BA900" s="23">
        <v>0.30499999999999999</v>
      </c>
      <c r="BB900" s="23">
        <v>0.23</v>
      </c>
      <c r="BC900" s="23">
        <v>0.28000000000000003</v>
      </c>
      <c r="BD900" s="20">
        <v>0.89</v>
      </c>
      <c r="BE900" s="20">
        <v>3.44</v>
      </c>
      <c r="BF900" s="20">
        <v>2.5499999999999998</v>
      </c>
      <c r="BG900" s="20">
        <v>2.7952631578947358</v>
      </c>
      <c r="BH900">
        <v>2.7952631578947371</v>
      </c>
      <c r="BI900">
        <v>6.1920749131578949</v>
      </c>
      <c r="BJ900" s="64"/>
      <c r="BK900" s="64"/>
      <c r="BL900" s="64">
        <v>0</v>
      </c>
      <c r="BM900">
        <v>3.8461249668866673E-2</v>
      </c>
      <c r="BQ900">
        <v>7.6922499337733347E-2</v>
      </c>
      <c r="BR900">
        <v>3.8461249668866673E-2</v>
      </c>
      <c r="BS900">
        <v>0</v>
      </c>
      <c r="CD900" s="68" t="s">
        <v>464</v>
      </c>
      <c r="CE900" s="68" t="s">
        <v>464</v>
      </c>
    </row>
    <row r="901" spans="1:89" x14ac:dyDescent="0.3">
      <c r="A901" t="s">
        <v>425</v>
      </c>
      <c r="C901" t="s">
        <v>4320</v>
      </c>
      <c r="D901" s="12"/>
      <c r="E901">
        <v>2.5299999999999998</v>
      </c>
      <c r="F901" t="s">
        <v>412</v>
      </c>
      <c r="G901" s="8">
        <v>-1</v>
      </c>
      <c r="H901">
        <v>-1</v>
      </c>
      <c r="I901" s="58" t="s">
        <v>1761</v>
      </c>
      <c r="J901" s="58"/>
      <c r="K901" s="58"/>
      <c r="L901" s="58" t="s">
        <v>1762</v>
      </c>
      <c r="M901" t="b">
        <v>0</v>
      </c>
      <c r="N901" t="b">
        <v>0</v>
      </c>
      <c r="O901" t="b">
        <v>1</v>
      </c>
      <c r="P901" t="b">
        <v>0</v>
      </c>
      <c r="Q901">
        <v>-1</v>
      </c>
      <c r="R901">
        <v>-1</v>
      </c>
      <c r="S901" t="s">
        <v>2615</v>
      </c>
      <c r="T901">
        <v>1</v>
      </c>
      <c r="U901" s="20">
        <v>0</v>
      </c>
      <c r="V901">
        <v>0</v>
      </c>
      <c r="W901">
        <v>0</v>
      </c>
      <c r="X901">
        <v>3.8759000000000001</v>
      </c>
      <c r="Y901">
        <v>3.8759000000000001</v>
      </c>
      <c r="Z901">
        <v>18.463000000000001</v>
      </c>
      <c r="AA901" t="s">
        <v>439</v>
      </c>
      <c r="AB901">
        <v>18.463000000000001</v>
      </c>
      <c r="AC901" s="20">
        <v>0</v>
      </c>
      <c r="AD901" s="20"/>
      <c r="AE901" s="20"/>
      <c r="AF901">
        <v>0</v>
      </c>
      <c r="AI901">
        <v>0</v>
      </c>
      <c r="AM901">
        <v>22</v>
      </c>
      <c r="AN901" s="44">
        <f t="shared" si="210"/>
        <v>277.36227875502999</v>
      </c>
      <c r="AO901" s="46">
        <v>0</v>
      </c>
      <c r="AP901" s="44">
        <v>0</v>
      </c>
      <c r="AQ901" s="44">
        <v>0</v>
      </c>
      <c r="AR901" s="41">
        <f t="shared" si="242"/>
        <v>7.9318644549465536E-2</v>
      </c>
      <c r="AS901" s="40"/>
      <c r="AT901" s="41"/>
      <c r="AU901" s="41"/>
      <c r="AV901" s="23">
        <v>1.9473684210526321</v>
      </c>
      <c r="AW901" s="23">
        <v>3.3157894736842111</v>
      </c>
      <c r="AX901" s="23">
        <v>2.947368421052631</v>
      </c>
      <c r="AY901" s="23">
        <v>3.6842105263157889</v>
      </c>
      <c r="AZ901" s="23">
        <v>0.16371681415929201</v>
      </c>
      <c r="BA901" s="23">
        <v>0.27876106194690259</v>
      </c>
      <c r="BB901" s="23">
        <v>0.247787610619469</v>
      </c>
      <c r="BC901" s="23">
        <v>0.30973451327433632</v>
      </c>
      <c r="BD901" s="20">
        <v>1.54</v>
      </c>
      <c r="BE901" s="20">
        <v>3.44</v>
      </c>
      <c r="BF901" s="20">
        <v>1.9</v>
      </c>
      <c r="BG901" s="20">
        <v>2.8710526315789471</v>
      </c>
      <c r="BH901">
        <v>2.871052631578948</v>
      </c>
      <c r="BI901">
        <v>6.255683084210526</v>
      </c>
      <c r="BJ901" s="64"/>
      <c r="BK901" s="64"/>
      <c r="BL901" s="64">
        <v>0</v>
      </c>
      <c r="BM901">
        <v>3.9659322274732768E-2</v>
      </c>
      <c r="BQ901">
        <v>7.9318644549465536E-2</v>
      </c>
      <c r="BR901">
        <v>3.9659322274732768E-2</v>
      </c>
      <c r="BS901">
        <v>0</v>
      </c>
      <c r="CD901" s="68" t="s">
        <v>464</v>
      </c>
      <c r="CE901" s="68" t="s">
        <v>464</v>
      </c>
    </row>
    <row r="902" spans="1:89" x14ac:dyDescent="0.3">
      <c r="A902" t="s">
        <v>63</v>
      </c>
      <c r="B902" t="s">
        <v>4</v>
      </c>
      <c r="C902" t="s">
        <v>3928</v>
      </c>
      <c r="D902" s="12"/>
      <c r="E902">
        <v>3.45</v>
      </c>
      <c r="F902" t="s">
        <v>1455</v>
      </c>
      <c r="G902" s="99" t="s">
        <v>587</v>
      </c>
      <c r="H902" s="58">
        <v>1522043</v>
      </c>
      <c r="J902" t="s">
        <v>1729</v>
      </c>
      <c r="K902" t="s">
        <v>1729</v>
      </c>
      <c r="M902" t="b">
        <v>1</v>
      </c>
      <c r="N902" t="b">
        <v>1</v>
      </c>
      <c r="O902" t="b">
        <v>0</v>
      </c>
      <c r="P902" t="b">
        <v>0</v>
      </c>
      <c r="Q902" t="s">
        <v>2637</v>
      </c>
      <c r="R902" t="s">
        <v>2339</v>
      </c>
      <c r="T902">
        <v>1</v>
      </c>
      <c r="U902" s="20">
        <v>0</v>
      </c>
      <c r="V902">
        <v>0</v>
      </c>
      <c r="W902">
        <v>0</v>
      </c>
      <c r="X902">
        <v>3.8531</v>
      </c>
      <c r="Y902">
        <v>3.8531</v>
      </c>
      <c r="Z902">
        <v>16.2151</v>
      </c>
      <c r="AA902" t="s">
        <v>1137</v>
      </c>
      <c r="AB902">
        <v>16.2151</v>
      </c>
      <c r="AC902" s="20">
        <v>0</v>
      </c>
      <c r="AD902" s="20"/>
      <c r="AE902" s="20"/>
      <c r="AF902">
        <v>0</v>
      </c>
      <c r="AI902">
        <v>0</v>
      </c>
      <c r="AM902">
        <v>20</v>
      </c>
      <c r="AN902" s="44">
        <f t="shared" si="210"/>
        <v>240.73553001411099</v>
      </c>
      <c r="AO902" s="46">
        <v>0</v>
      </c>
      <c r="AP902" s="44">
        <v>0</v>
      </c>
      <c r="AQ902" s="44">
        <v>0</v>
      </c>
      <c r="AR902" s="41">
        <f t="shared" si="242"/>
        <v>8.3078721279022161E-2</v>
      </c>
      <c r="AS902" s="40"/>
      <c r="AT902" s="41"/>
      <c r="AU902" s="41"/>
      <c r="AV902" s="23">
        <v>1.75</v>
      </c>
      <c r="AW902" s="23">
        <v>2.5</v>
      </c>
      <c r="AX902" s="23">
        <v>0.75</v>
      </c>
      <c r="AY902" s="23">
        <v>0</v>
      </c>
      <c r="AZ902" s="23">
        <v>0.35</v>
      </c>
      <c r="BA902" s="23">
        <v>0.5</v>
      </c>
      <c r="BB902" s="23">
        <v>0.15</v>
      </c>
      <c r="BC902" s="23">
        <v>0</v>
      </c>
      <c r="BD902" s="20">
        <v>1</v>
      </c>
      <c r="BE902" s="20">
        <v>3.44</v>
      </c>
      <c r="BF902" s="20">
        <v>2.44</v>
      </c>
      <c r="BG902" s="20">
        <v>2.7124999999999999</v>
      </c>
      <c r="BH902">
        <v>2.7124999999999999</v>
      </c>
      <c r="BI902">
        <v>6.264025610615688</v>
      </c>
      <c r="BJ902" s="64"/>
      <c r="BK902" s="64"/>
      <c r="BL902" s="64"/>
      <c r="BM902">
        <v>4.153936063951108E-2</v>
      </c>
      <c r="BQ902">
        <v>8.3078721279022161E-2</v>
      </c>
      <c r="BR902">
        <v>4.153936063951108E-2</v>
      </c>
      <c r="BS902">
        <v>0</v>
      </c>
      <c r="BT902" s="68" t="s">
        <v>1264</v>
      </c>
      <c r="BU902" s="68">
        <v>1373</v>
      </c>
      <c r="BV902" s="68">
        <v>24</v>
      </c>
      <c r="BX902" s="68" t="s">
        <v>464</v>
      </c>
      <c r="BY902" s="68" t="s">
        <v>464</v>
      </c>
      <c r="BZ902" s="68">
        <v>0</v>
      </c>
      <c r="CB902" s="68">
        <v>0.5</v>
      </c>
      <c r="CC902" s="68">
        <v>1</v>
      </c>
      <c r="CD902" s="77" t="s">
        <v>464</v>
      </c>
      <c r="CE902" s="77" t="s">
        <v>464</v>
      </c>
      <c r="CF902" s="77" t="s">
        <v>1266</v>
      </c>
      <c r="CG902" s="77">
        <v>125</v>
      </c>
      <c r="CH902" s="77">
        <v>220</v>
      </c>
      <c r="CI902" s="77" t="s">
        <v>1287</v>
      </c>
      <c r="CJ902" s="77">
        <f t="shared" ref="CJ902:CJ911" si="243">273+15</f>
        <v>288</v>
      </c>
      <c r="CK902" s="70">
        <v>3896.3136115165944</v>
      </c>
    </row>
    <row r="903" spans="1:89" x14ac:dyDescent="0.3">
      <c r="A903" t="s">
        <v>63</v>
      </c>
      <c r="B903" t="s">
        <v>4</v>
      </c>
      <c r="C903" t="s">
        <v>3928</v>
      </c>
      <c r="D903" s="12"/>
      <c r="E903">
        <v>3.5</v>
      </c>
      <c r="F903" t="s">
        <v>1455</v>
      </c>
      <c r="G903" s="99" t="s">
        <v>587</v>
      </c>
      <c r="H903" s="58">
        <v>1522043</v>
      </c>
      <c r="J903" t="s">
        <v>1729</v>
      </c>
      <c r="K903" t="s">
        <v>1729</v>
      </c>
      <c r="M903" t="b">
        <v>1</v>
      </c>
      <c r="N903" t="b">
        <v>1</v>
      </c>
      <c r="O903" t="b">
        <v>0</v>
      </c>
      <c r="P903" t="b">
        <v>0</v>
      </c>
      <c r="Q903" t="s">
        <v>2638</v>
      </c>
      <c r="R903" t="s">
        <v>2341</v>
      </c>
      <c r="T903">
        <v>2</v>
      </c>
      <c r="U903" s="20">
        <v>0</v>
      </c>
      <c r="V903">
        <v>0</v>
      </c>
      <c r="W903">
        <v>0</v>
      </c>
      <c r="X903">
        <v>3.843</v>
      </c>
      <c r="Y903">
        <v>3.843</v>
      </c>
      <c r="Z903">
        <v>32.261000000000003</v>
      </c>
      <c r="AA903" t="s">
        <v>1138</v>
      </c>
      <c r="AB903">
        <v>16.130500000000001</v>
      </c>
      <c r="AC903" s="20">
        <v>0</v>
      </c>
      <c r="AF903">
        <v>0</v>
      </c>
      <c r="AI903">
        <v>0</v>
      </c>
      <c r="AM903">
        <v>20</v>
      </c>
      <c r="AN903" s="44">
        <f t="shared" si="210"/>
        <v>476.45138538900005</v>
      </c>
      <c r="AO903" s="46">
        <v>0</v>
      </c>
      <c r="AP903" s="44">
        <v>0</v>
      </c>
      <c r="AQ903" s="44">
        <v>0</v>
      </c>
      <c r="AR903" s="41">
        <f t="shared" si="242"/>
        <v>8.3954000820759267E-2</v>
      </c>
      <c r="AS903" s="41"/>
      <c r="AT903" s="41"/>
      <c r="AU903" s="41"/>
      <c r="AV903" s="23">
        <v>1.75</v>
      </c>
      <c r="AW903" s="23">
        <v>2.5</v>
      </c>
      <c r="AX903" s="23">
        <v>0.75</v>
      </c>
      <c r="AY903" s="23">
        <v>0</v>
      </c>
      <c r="AZ903" s="23">
        <v>0.35</v>
      </c>
      <c r="BA903" s="23">
        <v>0.5</v>
      </c>
      <c r="BB903" s="23">
        <v>0.15</v>
      </c>
      <c r="BC903" s="23">
        <v>0</v>
      </c>
      <c r="BD903" s="20">
        <v>1</v>
      </c>
      <c r="BE903" s="20">
        <v>3.44</v>
      </c>
      <c r="BF903" s="20">
        <v>2.44</v>
      </c>
      <c r="BG903" s="20">
        <v>2.7124999999999999</v>
      </c>
      <c r="BH903">
        <v>2.7124999999999999</v>
      </c>
      <c r="BI903">
        <v>6.264025610615688</v>
      </c>
      <c r="BJ903" s="64"/>
      <c r="BK903" s="64"/>
      <c r="BL903" s="64"/>
      <c r="BM903">
        <v>4.1977000410379627E-2</v>
      </c>
      <c r="BQ903">
        <v>8.3954000820759267E-2</v>
      </c>
      <c r="BR903">
        <v>4.1977000410379627E-2</v>
      </c>
      <c r="BS903">
        <v>0</v>
      </c>
      <c r="BT903" s="68" t="s">
        <v>1264</v>
      </c>
      <c r="BU903" s="68">
        <v>1373</v>
      </c>
      <c r="BV903" s="68">
        <v>24</v>
      </c>
      <c r="BX903" s="68" t="s">
        <v>1268</v>
      </c>
      <c r="BY903" s="68" t="s">
        <v>863</v>
      </c>
      <c r="BZ903" s="68">
        <v>1</v>
      </c>
      <c r="CB903" s="68">
        <v>0.5</v>
      </c>
      <c r="CC903" s="68">
        <v>1</v>
      </c>
      <c r="CD903" s="77" t="s">
        <v>464</v>
      </c>
      <c r="CE903" s="77" t="s">
        <v>464</v>
      </c>
      <c r="CF903" s="77" t="s">
        <v>1266</v>
      </c>
      <c r="CG903" s="77">
        <v>125</v>
      </c>
      <c r="CH903" s="77">
        <v>220</v>
      </c>
      <c r="CI903" s="77" t="s">
        <v>1287</v>
      </c>
      <c r="CJ903" s="77">
        <f t="shared" si="243"/>
        <v>288</v>
      </c>
      <c r="CK903" s="70">
        <v>22289.937710558934</v>
      </c>
    </row>
    <row r="904" spans="1:89" x14ac:dyDescent="0.3">
      <c r="A904" t="s">
        <v>2568</v>
      </c>
      <c r="B904" t="s">
        <v>4</v>
      </c>
      <c r="C904" t="s">
        <v>4265</v>
      </c>
      <c r="D904" s="12"/>
      <c r="E904">
        <v>3.52</v>
      </c>
      <c r="F904" t="s">
        <v>1455</v>
      </c>
      <c r="G904" s="109" t="s">
        <v>2503</v>
      </c>
      <c r="H904">
        <v>-1</v>
      </c>
      <c r="J904" t="s">
        <v>1756</v>
      </c>
      <c r="M904" t="b">
        <v>1</v>
      </c>
      <c r="N904" t="b">
        <v>0</v>
      </c>
      <c r="O904" t="b">
        <v>0</v>
      </c>
      <c r="P904" t="b">
        <v>0</v>
      </c>
      <c r="Q904" t="s">
        <v>2639</v>
      </c>
      <c r="R904">
        <v>-1</v>
      </c>
      <c r="T904">
        <v>1</v>
      </c>
      <c r="U904" s="20">
        <v>0</v>
      </c>
      <c r="V904">
        <v>0</v>
      </c>
      <c r="W904">
        <v>0</v>
      </c>
      <c r="X904">
        <v>3.8693</v>
      </c>
      <c r="Y904">
        <v>3.8693</v>
      </c>
      <c r="Z904">
        <v>16.124700000000001</v>
      </c>
      <c r="AA904" t="s">
        <v>1138</v>
      </c>
      <c r="AB904">
        <v>16.124700000000001</v>
      </c>
      <c r="AC904" s="20">
        <v>0</v>
      </c>
      <c r="AF904">
        <v>0</v>
      </c>
      <c r="AI904">
        <v>0</v>
      </c>
      <c r="AM904">
        <v>20</v>
      </c>
      <c r="AN904" s="44">
        <f t="shared" si="210"/>
        <v>241.41066370650302</v>
      </c>
      <c r="AO904" s="46">
        <v>0</v>
      </c>
      <c r="AP904" s="44">
        <v>0</v>
      </c>
      <c r="AQ904" s="44">
        <v>0</v>
      </c>
      <c r="AR904" s="41">
        <f t="shared" si="242"/>
        <v>8.2846381733638591E-2</v>
      </c>
      <c r="AS904" s="41"/>
      <c r="AT904" s="41"/>
      <c r="AU904" s="41"/>
      <c r="AV904" s="23">
        <v>1.6086956521739131</v>
      </c>
      <c r="AW904" s="23">
        <v>1.956521739130435</v>
      </c>
      <c r="AX904" s="23">
        <v>0.52173913043478259</v>
      </c>
      <c r="AY904" s="23">
        <v>0</v>
      </c>
      <c r="AZ904" s="23">
        <v>0.3936170212765957</v>
      </c>
      <c r="BA904" s="23">
        <v>0.47872340425531912</v>
      </c>
      <c r="BB904" s="23">
        <v>0.1276595744680851</v>
      </c>
      <c r="BC904" s="23">
        <v>0</v>
      </c>
      <c r="BD904" s="20">
        <v>1</v>
      </c>
      <c r="BE904" s="20">
        <v>3.44</v>
      </c>
      <c r="BF904" s="20">
        <v>2.44</v>
      </c>
      <c r="BG904" s="20">
        <v>2.6082608695652172</v>
      </c>
      <c r="BH904">
        <v>2.6082608695652181</v>
      </c>
      <c r="BI904">
        <v>6.5043590032654777</v>
      </c>
      <c r="BJ904" s="64"/>
      <c r="BK904" s="64"/>
      <c r="BL904" s="64"/>
      <c r="BM904">
        <v>4.1423190866819302E-2</v>
      </c>
      <c r="BQ904">
        <v>8.2846381733638591E-2</v>
      </c>
      <c r="BR904">
        <v>4.1423190866819302E-2</v>
      </c>
      <c r="BS904">
        <v>0</v>
      </c>
      <c r="BT904" s="68" t="s">
        <v>1264</v>
      </c>
      <c r="BU904" s="68">
        <v>1373</v>
      </c>
      <c r="BV904" s="68">
        <v>24</v>
      </c>
      <c r="BX904" s="68" t="s">
        <v>464</v>
      </c>
      <c r="BY904" s="68" t="s">
        <v>464</v>
      </c>
      <c r="BZ904" s="68">
        <v>0</v>
      </c>
      <c r="CB904" s="68">
        <v>0.5</v>
      </c>
      <c r="CC904" s="68">
        <v>1</v>
      </c>
      <c r="CD904" s="77" t="s">
        <v>464</v>
      </c>
      <c r="CE904" s="77" t="s">
        <v>464</v>
      </c>
      <c r="CF904" s="77" t="s">
        <v>1266</v>
      </c>
      <c r="CG904" s="77">
        <v>125</v>
      </c>
      <c r="CH904" s="77">
        <v>220</v>
      </c>
      <c r="CI904" s="77" t="s">
        <v>1287</v>
      </c>
      <c r="CJ904" s="77">
        <f t="shared" si="243"/>
        <v>288</v>
      </c>
      <c r="CK904" s="70">
        <v>660.00811688311694</v>
      </c>
    </row>
    <row r="905" spans="1:89" x14ac:dyDescent="0.3">
      <c r="A905" t="s">
        <v>2565</v>
      </c>
      <c r="B905" t="s">
        <v>4</v>
      </c>
      <c r="C905" t="s">
        <v>4262</v>
      </c>
      <c r="D905" s="12"/>
      <c r="E905">
        <v>3.58</v>
      </c>
      <c r="F905" t="s">
        <v>1455</v>
      </c>
      <c r="G905" s="109" t="s">
        <v>2506</v>
      </c>
      <c r="H905">
        <v>-1</v>
      </c>
      <c r="J905" t="s">
        <v>1756</v>
      </c>
      <c r="M905" t="b">
        <v>1</v>
      </c>
      <c r="N905" t="b">
        <v>0</v>
      </c>
      <c r="O905" t="b">
        <v>0</v>
      </c>
      <c r="P905" t="b">
        <v>0</v>
      </c>
      <c r="Q905" t="s">
        <v>2640</v>
      </c>
      <c r="R905">
        <v>-1</v>
      </c>
      <c r="T905">
        <v>1</v>
      </c>
      <c r="U905" s="20">
        <v>0</v>
      </c>
      <c r="V905">
        <v>0</v>
      </c>
      <c r="W905">
        <v>0</v>
      </c>
      <c r="X905">
        <v>3.8614999999999999</v>
      </c>
      <c r="Y905">
        <v>3.8614999999999999</v>
      </c>
      <c r="Z905">
        <v>25.281600000000001</v>
      </c>
      <c r="AA905" t="s">
        <v>1137</v>
      </c>
      <c r="AB905">
        <v>25.281600000000001</v>
      </c>
      <c r="AC905" s="20">
        <v>0</v>
      </c>
      <c r="AF905">
        <v>0</v>
      </c>
      <c r="AI905">
        <v>0</v>
      </c>
      <c r="AM905">
        <v>20</v>
      </c>
      <c r="AN905" s="44">
        <f t="shared" si="210"/>
        <v>376.97854517159999</v>
      </c>
      <c r="AO905" s="46">
        <v>0</v>
      </c>
      <c r="AP905" s="44">
        <v>0</v>
      </c>
      <c r="AQ905" s="44">
        <v>0</v>
      </c>
      <c r="AR905" s="41">
        <f t="shared" si="242"/>
        <v>5.3053417113952825E-2</v>
      </c>
      <c r="AS905" s="41"/>
      <c r="AT905" s="41"/>
      <c r="AU905" s="41"/>
      <c r="AV905" s="23">
        <v>1.53125</v>
      </c>
      <c r="AW905" s="23">
        <v>1.59375</v>
      </c>
      <c r="AX905" s="23">
        <v>0.375</v>
      </c>
      <c r="AY905" s="23">
        <v>0</v>
      </c>
      <c r="AZ905" s="23">
        <v>0.4375</v>
      </c>
      <c r="BA905" s="23">
        <v>0.45535714285714279</v>
      </c>
      <c r="BB905" s="23">
        <v>0.1071428571428571</v>
      </c>
      <c r="BC905" s="23">
        <v>0</v>
      </c>
      <c r="BD905" s="20">
        <v>1</v>
      </c>
      <c r="BE905" s="20">
        <v>3.44</v>
      </c>
      <c r="BF905" s="20">
        <v>2.44</v>
      </c>
      <c r="BG905" s="20">
        <v>2.5262500000000001</v>
      </c>
      <c r="BH905">
        <v>2.5262500000000001</v>
      </c>
      <c r="BI905">
        <v>6.6075924153816246</v>
      </c>
      <c r="BJ905" s="64"/>
      <c r="BK905" s="64"/>
      <c r="BL905" s="64"/>
      <c r="BM905">
        <v>2.6526708556976409E-2</v>
      </c>
      <c r="BQ905">
        <v>5.3053417113952818E-2</v>
      </c>
      <c r="BR905">
        <v>2.6526708556976409E-2</v>
      </c>
      <c r="BS905">
        <v>0</v>
      </c>
      <c r="BT905" s="68" t="s">
        <v>1264</v>
      </c>
      <c r="BU905" s="68">
        <v>1373</v>
      </c>
      <c r="BV905" s="68">
        <v>24</v>
      </c>
      <c r="BX905" s="68" t="s">
        <v>464</v>
      </c>
      <c r="BY905" s="68" t="s">
        <v>464</v>
      </c>
      <c r="BZ905" s="68">
        <v>0</v>
      </c>
      <c r="CB905" s="68">
        <v>0.5</v>
      </c>
      <c r="CC905" s="68">
        <v>1</v>
      </c>
      <c r="CD905" s="77" t="s">
        <v>464</v>
      </c>
      <c r="CE905" s="77" t="s">
        <v>464</v>
      </c>
      <c r="CF905" s="77" t="s">
        <v>1266</v>
      </c>
      <c r="CG905" s="77">
        <v>125</v>
      </c>
      <c r="CH905" s="77">
        <v>220</v>
      </c>
      <c r="CI905" s="77" t="s">
        <v>1287</v>
      </c>
      <c r="CJ905" s="77">
        <f t="shared" si="243"/>
        <v>288</v>
      </c>
      <c r="CK905" s="70">
        <v>5619.0110334674409</v>
      </c>
    </row>
    <row r="906" spans="1:89" x14ac:dyDescent="0.3">
      <c r="A906" t="s">
        <v>2571</v>
      </c>
      <c r="B906" t="s">
        <v>4</v>
      </c>
      <c r="C906" t="s">
        <v>4269</v>
      </c>
      <c r="D906" s="12"/>
      <c r="E906">
        <v>3.52</v>
      </c>
      <c r="F906" t="s">
        <v>1455</v>
      </c>
      <c r="G906" s="109" t="s">
        <v>2508</v>
      </c>
      <c r="H906">
        <v>-1</v>
      </c>
      <c r="J906" t="s">
        <v>1756</v>
      </c>
      <c r="M906" t="b">
        <v>1</v>
      </c>
      <c r="N906" t="b">
        <v>0</v>
      </c>
      <c r="O906" t="b">
        <v>0</v>
      </c>
      <c r="P906" t="b">
        <v>0</v>
      </c>
      <c r="Q906" t="s">
        <v>2641</v>
      </c>
      <c r="R906">
        <v>-1</v>
      </c>
      <c r="T906">
        <v>1</v>
      </c>
      <c r="U906" s="20">
        <v>0</v>
      </c>
      <c r="V906">
        <v>0</v>
      </c>
      <c r="W906">
        <v>0</v>
      </c>
      <c r="X906">
        <v>3.8675999999999999</v>
      </c>
      <c r="Y906">
        <v>3.8675999999999999</v>
      </c>
      <c r="Z906">
        <v>34.564999999999998</v>
      </c>
      <c r="AA906" t="s">
        <v>1139</v>
      </c>
      <c r="AB906">
        <v>34.564999999999998</v>
      </c>
      <c r="AC906" s="20">
        <v>0</v>
      </c>
      <c r="AF906">
        <v>0</v>
      </c>
      <c r="AI906">
        <v>0</v>
      </c>
      <c r="AM906">
        <v>20</v>
      </c>
      <c r="AN906" s="44">
        <f t="shared" si="210"/>
        <v>517.03466815439992</v>
      </c>
      <c r="AO906" s="46">
        <v>0</v>
      </c>
      <c r="AP906" s="44">
        <v>0</v>
      </c>
      <c r="AQ906" s="44">
        <v>0</v>
      </c>
      <c r="AR906" s="41">
        <f t="shared" si="242"/>
        <v>3.8682125652022011E-2</v>
      </c>
      <c r="AS906" s="41"/>
      <c r="AT906" s="41"/>
      <c r="AU906" s="41"/>
      <c r="AV906" s="23">
        <v>1.4772727272727271</v>
      </c>
      <c r="AW906" s="23">
        <v>1.3409090909090911</v>
      </c>
      <c r="AX906" s="23">
        <v>0.27272727272727271</v>
      </c>
      <c r="AY906" s="23">
        <v>0</v>
      </c>
      <c r="AZ906" s="23">
        <v>0.47794117647058831</v>
      </c>
      <c r="BA906" s="23">
        <v>0.43382352941176472</v>
      </c>
      <c r="BB906" s="23">
        <v>8.8235294117647051E-2</v>
      </c>
      <c r="BC906" s="23">
        <v>0</v>
      </c>
      <c r="BD906" s="20">
        <v>1</v>
      </c>
      <c r="BE906" s="20">
        <v>3.44</v>
      </c>
      <c r="BF906" s="20">
        <v>2.44</v>
      </c>
      <c r="BG906" s="20">
        <v>2.4690909090909088</v>
      </c>
      <c r="BH906">
        <v>2.4690909090909088</v>
      </c>
      <c r="BI906">
        <v>6.679542975341362</v>
      </c>
      <c r="BJ906" s="64"/>
      <c r="BK906" s="64"/>
      <c r="BL906" s="64"/>
      <c r="BM906">
        <v>1.9341062826011009E-2</v>
      </c>
      <c r="BQ906">
        <v>3.8682125652022011E-2</v>
      </c>
      <c r="BR906">
        <v>1.9341062826011009E-2</v>
      </c>
      <c r="BS906">
        <v>0</v>
      </c>
      <c r="BT906" s="68" t="s">
        <v>1264</v>
      </c>
      <c r="BU906" s="68">
        <v>1373</v>
      </c>
      <c r="BV906" s="68">
        <v>24</v>
      </c>
      <c r="BX906" s="68" t="s">
        <v>464</v>
      </c>
      <c r="BY906" s="68" t="s">
        <v>464</v>
      </c>
      <c r="BZ906" s="68">
        <v>0</v>
      </c>
      <c r="CB906" s="68">
        <v>0.5</v>
      </c>
      <c r="CC906" s="68">
        <v>1</v>
      </c>
      <c r="CD906" s="77" t="s">
        <v>464</v>
      </c>
      <c r="CE906" s="77" t="s">
        <v>464</v>
      </c>
      <c r="CF906" s="77" t="s">
        <v>1266</v>
      </c>
      <c r="CG906" s="77">
        <v>125</v>
      </c>
      <c r="CH906" s="77">
        <v>220</v>
      </c>
      <c r="CI906" s="77" t="s">
        <v>1287</v>
      </c>
      <c r="CJ906" s="77">
        <f t="shared" si="243"/>
        <v>288</v>
      </c>
      <c r="CK906" s="70">
        <v>14227.337383817163</v>
      </c>
    </row>
    <row r="907" spans="1:89" x14ac:dyDescent="0.3">
      <c r="A907" t="s">
        <v>2568</v>
      </c>
      <c r="B907" t="s">
        <v>4</v>
      </c>
      <c r="C907" t="s">
        <v>4265</v>
      </c>
      <c r="D907" s="12"/>
      <c r="E907">
        <v>3.58</v>
      </c>
      <c r="F907" t="s">
        <v>1455</v>
      </c>
      <c r="G907" s="109" t="s">
        <v>2503</v>
      </c>
      <c r="H907">
        <v>-1</v>
      </c>
      <c r="J907" t="s">
        <v>1756</v>
      </c>
      <c r="M907" t="b">
        <v>1</v>
      </c>
      <c r="N907" t="b">
        <v>0</v>
      </c>
      <c r="O907" t="b">
        <v>0</v>
      </c>
      <c r="P907" t="b">
        <v>0</v>
      </c>
      <c r="Q907" t="s">
        <v>2642</v>
      </c>
      <c r="R907">
        <v>-1</v>
      </c>
      <c r="T907">
        <v>2</v>
      </c>
      <c r="U907" s="20">
        <v>0</v>
      </c>
      <c r="V907">
        <v>0</v>
      </c>
      <c r="W907">
        <v>0</v>
      </c>
      <c r="X907">
        <v>3.8532999999999999</v>
      </c>
      <c r="Y907">
        <v>3.8532999999999999</v>
      </c>
      <c r="Z907">
        <v>31.7422</v>
      </c>
      <c r="AA907" t="s">
        <v>1138</v>
      </c>
      <c r="AB907">
        <v>15.8711</v>
      </c>
      <c r="AC907" s="20">
        <v>0</v>
      </c>
      <c r="AF907">
        <v>0</v>
      </c>
      <c r="AI907">
        <v>0</v>
      </c>
      <c r="AM907">
        <v>20</v>
      </c>
      <c r="AN907" s="44">
        <f t="shared" si="210"/>
        <v>471.30567447455797</v>
      </c>
      <c r="AO907" s="46">
        <v>0</v>
      </c>
      <c r="AP907" s="44">
        <v>0</v>
      </c>
      <c r="AQ907" s="44">
        <v>0</v>
      </c>
      <c r="AR907" s="41">
        <f t="shared" si="242"/>
        <v>8.4870609810914294E-2</v>
      </c>
      <c r="AS907" s="41"/>
      <c r="AT907" s="41"/>
      <c r="AU907" s="41"/>
      <c r="AV907" s="23">
        <v>1.6086956521739131</v>
      </c>
      <c r="AW907" s="23">
        <v>1.956521739130435</v>
      </c>
      <c r="AX907" s="23">
        <v>0.52173913043478259</v>
      </c>
      <c r="AY907" s="23">
        <v>0</v>
      </c>
      <c r="AZ907" s="23">
        <v>0.3936170212765957</v>
      </c>
      <c r="BA907" s="23">
        <v>0.47872340425531912</v>
      </c>
      <c r="BB907" s="23">
        <v>0.1276595744680851</v>
      </c>
      <c r="BC907" s="23">
        <v>0</v>
      </c>
      <c r="BD907" s="20">
        <v>1</v>
      </c>
      <c r="BE907" s="20">
        <v>3.44</v>
      </c>
      <c r="BF907" s="20">
        <v>2.44</v>
      </c>
      <c r="BG907" s="20">
        <v>2.6082608695652172</v>
      </c>
      <c r="BH907">
        <v>2.6082608695652181</v>
      </c>
      <c r="BI907">
        <v>6.5043590032654777</v>
      </c>
      <c r="BJ907" s="64"/>
      <c r="BK907" s="64"/>
      <c r="BL907" s="64"/>
      <c r="BM907">
        <v>4.2435304905457147E-2</v>
      </c>
      <c r="BQ907">
        <v>8.4870609810914294E-2</v>
      </c>
      <c r="BR907">
        <v>4.2435304905457147E-2</v>
      </c>
      <c r="BS907">
        <v>0</v>
      </c>
      <c r="BT907" s="68" t="s">
        <v>1264</v>
      </c>
      <c r="BU907" s="68">
        <v>1373</v>
      </c>
      <c r="BV907" s="68">
        <v>24</v>
      </c>
      <c r="BX907" s="68" t="s">
        <v>1268</v>
      </c>
      <c r="BY907" s="68" t="s">
        <v>863</v>
      </c>
      <c r="BZ907" s="68">
        <v>1</v>
      </c>
      <c r="CB907" s="68">
        <v>0.5</v>
      </c>
      <c r="CC907" s="68">
        <v>1</v>
      </c>
      <c r="CD907" s="77" t="s">
        <v>464</v>
      </c>
      <c r="CE907" s="77" t="s">
        <v>464</v>
      </c>
      <c r="CF907" s="77" t="s">
        <v>1266</v>
      </c>
      <c r="CG907" s="77">
        <v>125</v>
      </c>
      <c r="CH907" s="77">
        <v>220</v>
      </c>
      <c r="CI907" s="77" t="s">
        <v>1287</v>
      </c>
      <c r="CJ907" s="77">
        <f t="shared" si="243"/>
        <v>288</v>
      </c>
      <c r="CK907" s="70">
        <v>2414.5178870043005</v>
      </c>
    </row>
    <row r="908" spans="1:89" x14ac:dyDescent="0.3">
      <c r="A908" t="s">
        <v>2565</v>
      </c>
      <c r="B908" t="s">
        <v>4</v>
      </c>
      <c r="C908" t="s">
        <v>4262</v>
      </c>
      <c r="D908" s="12"/>
      <c r="E908">
        <v>3.59</v>
      </c>
      <c r="F908" t="s">
        <v>1455</v>
      </c>
      <c r="G908" s="109" t="s">
        <v>2506</v>
      </c>
      <c r="H908">
        <v>-1</v>
      </c>
      <c r="J908" t="s">
        <v>1756</v>
      </c>
      <c r="M908" t="b">
        <v>1</v>
      </c>
      <c r="N908" t="b">
        <v>0</v>
      </c>
      <c r="O908" t="b">
        <v>0</v>
      </c>
      <c r="P908" t="b">
        <v>0</v>
      </c>
      <c r="Q908" t="s">
        <v>2643</v>
      </c>
      <c r="R908">
        <v>-1</v>
      </c>
      <c r="T908">
        <v>1</v>
      </c>
      <c r="U908" s="20">
        <v>0</v>
      </c>
      <c r="V908">
        <v>0</v>
      </c>
      <c r="W908">
        <v>0</v>
      </c>
      <c r="X908">
        <v>3.8580000000000001</v>
      </c>
      <c r="Y908">
        <v>3.8580000000000001</v>
      </c>
      <c r="Z908">
        <v>23.879799999999999</v>
      </c>
      <c r="AA908" t="s">
        <v>1137</v>
      </c>
      <c r="AB908">
        <v>23.879799999999999</v>
      </c>
      <c r="AC908" s="20">
        <v>0</v>
      </c>
      <c r="AF908">
        <v>0</v>
      </c>
      <c r="AI908">
        <v>0</v>
      </c>
      <c r="AM908">
        <v>20</v>
      </c>
      <c r="AN908" s="44">
        <f t="shared" ref="AN908:AN918" si="244">X908*Y908*Z908</f>
        <v>355.4308594872</v>
      </c>
      <c r="AO908" s="46">
        <v>0</v>
      </c>
      <c r="AP908" s="44">
        <v>0</v>
      </c>
      <c r="AQ908" s="44">
        <v>0</v>
      </c>
      <c r="AR908" s="41">
        <f t="shared" si="242"/>
        <v>5.6269734228634849E-2</v>
      </c>
      <c r="AS908" s="41"/>
      <c r="AT908" s="41"/>
      <c r="AU908" s="41"/>
      <c r="AV908" s="23">
        <v>1.53125</v>
      </c>
      <c r="AW908" s="23">
        <v>1.59375</v>
      </c>
      <c r="AX908" s="23">
        <v>0.375</v>
      </c>
      <c r="AY908" s="23">
        <v>0</v>
      </c>
      <c r="AZ908" s="23">
        <v>0.4375</v>
      </c>
      <c r="BA908" s="23">
        <v>0.45535714285714279</v>
      </c>
      <c r="BB908" s="23">
        <v>0.1071428571428571</v>
      </c>
      <c r="BC908" s="23">
        <v>0</v>
      </c>
      <c r="BD908" s="20">
        <v>1</v>
      </c>
      <c r="BE908" s="20">
        <v>3.44</v>
      </c>
      <c r="BF908" s="20">
        <v>2.44</v>
      </c>
      <c r="BG908" s="20">
        <v>2.5262500000000001</v>
      </c>
      <c r="BH908">
        <v>2.5262500000000001</v>
      </c>
      <c r="BI908">
        <v>6.6075924153816246</v>
      </c>
      <c r="BJ908" s="64"/>
      <c r="BK908" s="64"/>
      <c r="BL908" s="64"/>
      <c r="BM908">
        <v>2.8134867114317421E-2</v>
      </c>
      <c r="BQ908">
        <v>5.6269734228634849E-2</v>
      </c>
      <c r="BR908">
        <v>2.8134867114317421E-2</v>
      </c>
      <c r="BS908">
        <v>0</v>
      </c>
      <c r="BT908" s="68" t="s">
        <v>1264</v>
      </c>
      <c r="BU908" s="68">
        <v>1373</v>
      </c>
      <c r="BV908" s="68">
        <v>24</v>
      </c>
      <c r="BX908" s="68" t="s">
        <v>1268</v>
      </c>
      <c r="BY908" s="68" t="s">
        <v>863</v>
      </c>
      <c r="BZ908" s="68">
        <v>1</v>
      </c>
      <c r="CB908" s="68">
        <v>0.5</v>
      </c>
      <c r="CC908" s="68">
        <v>1</v>
      </c>
      <c r="CD908" s="77" t="s">
        <v>464</v>
      </c>
      <c r="CE908" s="77" t="s">
        <v>464</v>
      </c>
      <c r="CF908" s="77" t="s">
        <v>1266</v>
      </c>
      <c r="CG908" s="77">
        <v>125</v>
      </c>
      <c r="CH908" s="77">
        <v>220</v>
      </c>
      <c r="CI908" s="77" t="s">
        <v>1287</v>
      </c>
      <c r="CJ908" s="77">
        <f t="shared" si="243"/>
        <v>288</v>
      </c>
      <c r="CK908" s="70">
        <v>37970.449996693293</v>
      </c>
    </row>
    <row r="909" spans="1:89" x14ac:dyDescent="0.3">
      <c r="A909" t="s">
        <v>2571</v>
      </c>
      <c r="B909" t="s">
        <v>4</v>
      </c>
      <c r="C909" t="s">
        <v>4269</v>
      </c>
      <c r="D909" s="12"/>
      <c r="E909">
        <v>3.62</v>
      </c>
      <c r="F909" t="s">
        <v>1455</v>
      </c>
      <c r="G909" s="109" t="s">
        <v>2508</v>
      </c>
      <c r="H909">
        <v>-1</v>
      </c>
      <c r="J909" t="s">
        <v>1756</v>
      </c>
      <c r="M909" t="b">
        <v>1</v>
      </c>
      <c r="N909" t="b">
        <v>0</v>
      </c>
      <c r="O909" t="b">
        <v>0</v>
      </c>
      <c r="P909" t="b">
        <v>0</v>
      </c>
      <c r="Q909" t="s">
        <v>2644</v>
      </c>
      <c r="R909">
        <v>-1</v>
      </c>
      <c r="T909">
        <v>1</v>
      </c>
      <c r="U909" s="20">
        <v>0</v>
      </c>
      <c r="V909">
        <v>0</v>
      </c>
      <c r="W909">
        <v>0</v>
      </c>
      <c r="X909">
        <v>3.8639000000000001</v>
      </c>
      <c r="Y909">
        <v>3.8639000000000001</v>
      </c>
      <c r="Z909">
        <v>34.090000000000003</v>
      </c>
      <c r="AA909" t="s">
        <v>1138</v>
      </c>
      <c r="AB909">
        <v>34.090000000000003</v>
      </c>
      <c r="AC909" s="20">
        <v>0</v>
      </c>
      <c r="AF909">
        <v>0</v>
      </c>
      <c r="AI909">
        <v>0</v>
      </c>
      <c r="AM909">
        <v>20</v>
      </c>
      <c r="AN909" s="44">
        <f t="shared" si="244"/>
        <v>508.95426422890006</v>
      </c>
      <c r="AO909" s="46">
        <v>0</v>
      </c>
      <c r="AP909" s="44">
        <v>0</v>
      </c>
      <c r="AQ909" s="44">
        <v>0</v>
      </c>
      <c r="AR909" s="41">
        <f t="shared" si="242"/>
        <v>3.9296261777669442E-2</v>
      </c>
      <c r="AS909" s="41"/>
      <c r="AT909" s="41"/>
      <c r="AU909" s="41"/>
      <c r="AV909" s="23">
        <v>1.4772727272727271</v>
      </c>
      <c r="AW909" s="23">
        <v>1.3409090909090911</v>
      </c>
      <c r="AX909" s="23">
        <v>0.27272727272727271</v>
      </c>
      <c r="AY909" s="23">
        <v>0</v>
      </c>
      <c r="AZ909" s="23">
        <v>0.47794117647058831</v>
      </c>
      <c r="BA909" s="23">
        <v>0.43382352941176472</v>
      </c>
      <c r="BB909" s="23">
        <v>8.8235294117647051E-2</v>
      </c>
      <c r="BC909" s="23">
        <v>0</v>
      </c>
      <c r="BD909" s="20">
        <v>1</v>
      </c>
      <c r="BE909" s="20">
        <v>3.44</v>
      </c>
      <c r="BF909" s="20">
        <v>2.44</v>
      </c>
      <c r="BG909" s="20">
        <v>2.4690909090909088</v>
      </c>
      <c r="BH909">
        <v>2.4690909090909088</v>
      </c>
      <c r="BI909">
        <v>6.679542975341362</v>
      </c>
      <c r="BJ909" s="64"/>
      <c r="BK909" s="64"/>
      <c r="BL909" s="64"/>
      <c r="BM909">
        <v>1.9648130888834721E-2</v>
      </c>
      <c r="BQ909">
        <v>3.9296261777669442E-2</v>
      </c>
      <c r="BR909">
        <v>1.9648130888834721E-2</v>
      </c>
      <c r="BS909">
        <v>0</v>
      </c>
      <c r="BT909" s="68" t="s">
        <v>1264</v>
      </c>
      <c r="BU909" s="68">
        <v>1373</v>
      </c>
      <c r="BV909" s="68">
        <v>24</v>
      </c>
      <c r="BX909" s="68" t="s">
        <v>1268</v>
      </c>
      <c r="BY909" s="68" t="s">
        <v>863</v>
      </c>
      <c r="BZ909" s="68">
        <v>1</v>
      </c>
      <c r="CB909" s="68">
        <v>0.5</v>
      </c>
      <c r="CC909" s="68">
        <v>1</v>
      </c>
      <c r="CD909" s="77" t="s">
        <v>464</v>
      </c>
      <c r="CE909" s="77" t="s">
        <v>464</v>
      </c>
      <c r="CF909" s="77" t="s">
        <v>1266</v>
      </c>
      <c r="CG909" s="77">
        <v>125</v>
      </c>
      <c r="CH909" s="77">
        <v>220</v>
      </c>
      <c r="CI909" s="77" t="s">
        <v>1287</v>
      </c>
      <c r="CJ909" s="77">
        <f t="shared" si="243"/>
        <v>288</v>
      </c>
      <c r="CK909" s="70">
        <v>10657.604586693549</v>
      </c>
    </row>
    <row r="910" spans="1:89" x14ac:dyDescent="0.3">
      <c r="A910" t="s">
        <v>1289</v>
      </c>
      <c r="B910" t="s">
        <v>2777</v>
      </c>
      <c r="C910" t="s">
        <v>3952</v>
      </c>
      <c r="D910" s="12"/>
      <c r="E910" s="58">
        <v>3</v>
      </c>
      <c r="F910" t="s">
        <v>1455</v>
      </c>
      <c r="G910" s="8">
        <v>-1</v>
      </c>
      <c r="H910">
        <v>-1</v>
      </c>
      <c r="I910" t="s">
        <v>1292</v>
      </c>
      <c r="M910" t="b">
        <v>0</v>
      </c>
      <c r="N910" t="b">
        <v>0</v>
      </c>
      <c r="O910" t="b">
        <v>1</v>
      </c>
      <c r="P910" t="b">
        <v>0</v>
      </c>
      <c r="Q910">
        <v>-1</v>
      </c>
      <c r="R910">
        <v>-1</v>
      </c>
      <c r="S910" t="s">
        <v>1292</v>
      </c>
      <c r="U910" s="20"/>
      <c r="AC910" s="20">
        <v>0</v>
      </c>
      <c r="AF910">
        <v>0</v>
      </c>
      <c r="AI910">
        <v>0</v>
      </c>
      <c r="AM910">
        <v>20</v>
      </c>
      <c r="AN910" s="44">
        <f t="shared" ref="AN910" si="245">X910*Y910*Z910</f>
        <v>0</v>
      </c>
      <c r="AO910" s="46">
        <v>0</v>
      </c>
      <c r="AP910" s="44">
        <v>0</v>
      </c>
      <c r="AQ910" s="44">
        <v>0</v>
      </c>
      <c r="AR910" s="41" t="e">
        <f t="shared" ref="AR910" si="246">T910*AM910/AN910</f>
        <v>#DIV/0!</v>
      </c>
      <c r="AS910" s="41"/>
      <c r="AT910" s="41"/>
      <c r="AU910" s="41"/>
      <c r="AV910" s="23">
        <v>1.4772727272727271</v>
      </c>
      <c r="AW910" s="23">
        <v>1.3409090909090911</v>
      </c>
      <c r="AX910" s="23">
        <v>0.27272727272727271</v>
      </c>
      <c r="AY910" s="23">
        <v>0</v>
      </c>
      <c r="AZ910" s="23">
        <v>0.47794117647058831</v>
      </c>
      <c r="BA910" s="23">
        <v>0.43382352941176472</v>
      </c>
      <c r="BB910" s="23">
        <v>8.8235294117647051E-2</v>
      </c>
      <c r="BC910" s="23">
        <v>0</v>
      </c>
      <c r="BD910" s="20">
        <v>1</v>
      </c>
      <c r="BE910" s="20">
        <v>3.44</v>
      </c>
      <c r="BF910" s="20">
        <v>2.44</v>
      </c>
      <c r="BG910" s="20">
        <v>2.4690909090909088</v>
      </c>
      <c r="BH910">
        <v>2.4690909090909088</v>
      </c>
      <c r="BI910">
        <v>6.679542975341362</v>
      </c>
      <c r="BJ910" s="64"/>
      <c r="BK910" s="64"/>
      <c r="BL910" s="64"/>
      <c r="BM910">
        <v>1.9648130888834721E-2</v>
      </c>
      <c r="BQ910">
        <v>3.9296261777669442E-2</v>
      </c>
      <c r="BR910">
        <v>1.9648130888834721E-2</v>
      </c>
      <c r="BS910">
        <v>0</v>
      </c>
      <c r="BT910" s="68" t="s">
        <v>1290</v>
      </c>
      <c r="BX910" s="68" t="s">
        <v>464</v>
      </c>
      <c r="BY910" s="68" t="s">
        <v>464</v>
      </c>
      <c r="BZ910" s="68">
        <v>0</v>
      </c>
      <c r="CB910" s="68">
        <v>0.5</v>
      </c>
      <c r="CC910" s="68">
        <v>1</v>
      </c>
      <c r="CD910" s="77" t="s">
        <v>464</v>
      </c>
      <c r="CE910" s="77" t="s">
        <v>464</v>
      </c>
      <c r="CF910" s="77" t="s">
        <v>1266</v>
      </c>
      <c r="CG910" s="77">
        <v>125</v>
      </c>
      <c r="CH910" s="77">
        <v>220</v>
      </c>
      <c r="CI910" s="77" t="s">
        <v>1287</v>
      </c>
      <c r="CJ910" s="77">
        <f t="shared" si="243"/>
        <v>288</v>
      </c>
      <c r="CK910" s="70">
        <v>95.454545454545453</v>
      </c>
    </row>
    <row r="911" spans="1:89" x14ac:dyDescent="0.3">
      <c r="A911" t="s">
        <v>1289</v>
      </c>
      <c r="B911" t="s">
        <v>2777</v>
      </c>
      <c r="C911" t="s">
        <v>3952</v>
      </c>
      <c r="D911" s="12"/>
      <c r="E911" s="58">
        <v>3</v>
      </c>
      <c r="F911" t="s">
        <v>1455</v>
      </c>
      <c r="G911" s="8">
        <v>-1</v>
      </c>
      <c r="H911">
        <v>-1</v>
      </c>
      <c r="I911" t="s">
        <v>1292</v>
      </c>
      <c r="M911" t="b">
        <v>0</v>
      </c>
      <c r="N911" t="b">
        <v>0</v>
      </c>
      <c r="O911" t="b">
        <v>1</v>
      </c>
      <c r="P911" t="b">
        <v>0</v>
      </c>
      <c r="Q911">
        <v>-1</v>
      </c>
      <c r="R911">
        <v>-1</v>
      </c>
      <c r="S911" t="s">
        <v>1292</v>
      </c>
      <c r="U911" s="20"/>
      <c r="AC911" s="20">
        <v>0</v>
      </c>
      <c r="AF911">
        <v>0</v>
      </c>
      <c r="AI911">
        <v>0</v>
      </c>
      <c r="AM911">
        <v>20</v>
      </c>
      <c r="AN911" s="44">
        <f t="shared" ref="AN911" si="247">X911*Y911*Z911</f>
        <v>0</v>
      </c>
      <c r="AO911" s="46">
        <v>0</v>
      </c>
      <c r="AP911" s="44">
        <v>0</v>
      </c>
      <c r="AQ911" s="44">
        <v>0</v>
      </c>
      <c r="AR911" s="41" t="e">
        <f t="shared" ref="AR911" si="248">T911*AM911/AN911</f>
        <v>#DIV/0!</v>
      </c>
      <c r="AS911" s="41"/>
      <c r="AT911" s="41"/>
      <c r="AU911" s="41"/>
      <c r="AV911" s="23">
        <v>1.4772727272727271</v>
      </c>
      <c r="AW911" s="23">
        <v>1.3409090909090911</v>
      </c>
      <c r="AX911" s="23">
        <v>0.27272727272727271</v>
      </c>
      <c r="AY911" s="23">
        <v>0</v>
      </c>
      <c r="AZ911" s="23">
        <v>0.47794117647058831</v>
      </c>
      <c r="BA911" s="23">
        <v>0.43382352941176472</v>
      </c>
      <c r="BB911" s="23">
        <v>8.8235294117647051E-2</v>
      </c>
      <c r="BC911" s="23">
        <v>0</v>
      </c>
      <c r="BD911" s="20">
        <v>1</v>
      </c>
      <c r="BE911" s="20">
        <v>3.44</v>
      </c>
      <c r="BF911" s="20">
        <v>2.44</v>
      </c>
      <c r="BG911" s="20">
        <v>2.4690909090909088</v>
      </c>
      <c r="BH911">
        <v>2.4690909090909088</v>
      </c>
      <c r="BI911">
        <v>6.679542975341362</v>
      </c>
      <c r="BJ911" s="64"/>
      <c r="BK911" s="64"/>
      <c r="BL911" s="64"/>
      <c r="BM911">
        <v>1.9648130888834721E-2</v>
      </c>
      <c r="BQ911">
        <v>3.9296261777669442E-2</v>
      </c>
      <c r="BR911">
        <v>1.9648130888834721E-2</v>
      </c>
      <c r="BS911">
        <v>0</v>
      </c>
      <c r="BT911" s="68" t="s">
        <v>1290</v>
      </c>
      <c r="BX911" s="68" t="s">
        <v>1268</v>
      </c>
      <c r="BY911" s="68" t="s">
        <v>863</v>
      </c>
      <c r="BZ911" s="68">
        <v>1</v>
      </c>
      <c r="CB911" s="68">
        <v>0.5</v>
      </c>
      <c r="CC911" s="68">
        <v>1</v>
      </c>
      <c r="CD911" s="77" t="s">
        <v>464</v>
      </c>
      <c r="CE911" s="77" t="s">
        <v>464</v>
      </c>
      <c r="CF911" s="77" t="s">
        <v>1266</v>
      </c>
      <c r="CG911" s="77">
        <v>125</v>
      </c>
      <c r="CH911" s="77">
        <v>220</v>
      </c>
      <c r="CI911" s="77" t="s">
        <v>1287</v>
      </c>
      <c r="CJ911" s="77">
        <f t="shared" si="243"/>
        <v>288</v>
      </c>
      <c r="CK911" s="70">
        <v>133.13466778756961</v>
      </c>
    </row>
    <row r="912" spans="1:89" x14ac:dyDescent="0.3">
      <c r="A912" t="s">
        <v>107</v>
      </c>
      <c r="C912" t="s">
        <v>4023</v>
      </c>
      <c r="D912" s="12"/>
      <c r="E912">
        <v>3.61</v>
      </c>
      <c r="G912" s="8" t="s">
        <v>555</v>
      </c>
      <c r="H912" t="s">
        <v>632</v>
      </c>
      <c r="M912" t="b">
        <v>1</v>
      </c>
      <c r="N912" t="b">
        <v>1</v>
      </c>
      <c r="O912" t="b">
        <v>0</v>
      </c>
      <c r="P912" t="b">
        <v>0</v>
      </c>
      <c r="Q912" t="s">
        <v>555</v>
      </c>
      <c r="R912" t="s">
        <v>632</v>
      </c>
      <c r="T912">
        <v>2</v>
      </c>
      <c r="U912" s="20">
        <v>0</v>
      </c>
      <c r="V912">
        <v>0</v>
      </c>
      <c r="W912">
        <v>0</v>
      </c>
      <c r="AF912">
        <v>0</v>
      </c>
      <c r="AI912">
        <v>0</v>
      </c>
      <c r="AM912">
        <v>20</v>
      </c>
      <c r="AN912" s="44">
        <f t="shared" si="244"/>
        <v>0</v>
      </c>
      <c r="AO912" s="46">
        <v>0</v>
      </c>
      <c r="AP912" s="44">
        <v>0</v>
      </c>
      <c r="AQ912" s="44">
        <v>0</v>
      </c>
      <c r="AR912" s="41" t="e">
        <f t="shared" si="242"/>
        <v>#DIV/0!</v>
      </c>
      <c r="AS912" s="41"/>
      <c r="AT912" s="41"/>
      <c r="AU912" s="41"/>
      <c r="AV912" s="23">
        <v>1.4772727272727271</v>
      </c>
      <c r="AW912" s="23">
        <v>1.3409090909090911</v>
      </c>
      <c r="AX912" s="23">
        <v>0.27272727272727271</v>
      </c>
      <c r="AY912" s="23">
        <v>0</v>
      </c>
      <c r="AZ912" s="23">
        <v>0.47794117647058831</v>
      </c>
      <c r="BA912" s="23">
        <v>0.43382352941176472</v>
      </c>
      <c r="BB912" s="23">
        <v>8.8235294117647051E-2</v>
      </c>
      <c r="BC912" s="23">
        <v>0</v>
      </c>
      <c r="BD912" s="20">
        <v>1</v>
      </c>
      <c r="BE912" s="20">
        <v>3.44</v>
      </c>
      <c r="BF912" s="20">
        <v>2.44</v>
      </c>
      <c r="BG912" s="20">
        <v>2.4690909090909088</v>
      </c>
      <c r="BH912">
        <v>2.4690909090909088</v>
      </c>
      <c r="BI912">
        <v>6.679542975341362</v>
      </c>
      <c r="BJ912" s="64"/>
      <c r="BK912" s="64"/>
      <c r="BL912" s="64"/>
      <c r="BM912">
        <v>3.8383725630432727E-2</v>
      </c>
      <c r="BQ912">
        <v>7.6767451260865469E-2</v>
      </c>
      <c r="BR912">
        <v>3.8383725630432727E-2</v>
      </c>
      <c r="BS912">
        <v>0</v>
      </c>
      <c r="BV912" s="68">
        <v>24</v>
      </c>
    </row>
    <row r="913" spans="1:89" x14ac:dyDescent="0.3">
      <c r="A913" t="s">
        <v>4</v>
      </c>
      <c r="B913" t="s">
        <v>4</v>
      </c>
      <c r="C913" t="s">
        <v>3921</v>
      </c>
      <c r="D913" s="12"/>
      <c r="E913">
        <v>3.5</v>
      </c>
      <c r="F913" s="3"/>
      <c r="G913" s="8" t="s">
        <v>527</v>
      </c>
      <c r="H913" t="s">
        <v>609</v>
      </c>
      <c r="M913" t="b">
        <v>1</v>
      </c>
      <c r="N913" t="b">
        <v>1</v>
      </c>
      <c r="O913" t="b">
        <v>0</v>
      </c>
      <c r="P913" t="b">
        <v>0</v>
      </c>
      <c r="Q913" t="s">
        <v>527</v>
      </c>
      <c r="R913" t="s">
        <v>609</v>
      </c>
      <c r="T913">
        <v>2</v>
      </c>
      <c r="V913">
        <v>0</v>
      </c>
      <c r="W913">
        <v>0</v>
      </c>
      <c r="X913">
        <v>3.86</v>
      </c>
      <c r="Y913">
        <v>3.86</v>
      </c>
      <c r="Z913">
        <v>29.5</v>
      </c>
      <c r="AB913">
        <v>14.75</v>
      </c>
      <c r="AF913">
        <v>0</v>
      </c>
      <c r="AI913">
        <v>0</v>
      </c>
      <c r="AM913">
        <v>20</v>
      </c>
      <c r="AN913" s="44">
        <f t="shared" si="244"/>
        <v>439.53819999999996</v>
      </c>
      <c r="AO913" s="44"/>
      <c r="AP913" s="44">
        <v>0</v>
      </c>
      <c r="AQ913" s="44">
        <v>0</v>
      </c>
      <c r="AR913" s="41">
        <f t="shared" si="242"/>
        <v>9.1004604377958515E-2</v>
      </c>
      <c r="AS913" s="41"/>
      <c r="AT913" s="41"/>
      <c r="AU913" s="41"/>
      <c r="AV913" s="23"/>
      <c r="AW913" s="23"/>
      <c r="AX913" s="23"/>
      <c r="AY913" s="23"/>
      <c r="AZ913" s="23"/>
      <c r="BA913" s="23"/>
      <c r="BB913" s="23"/>
      <c r="BC913" s="23"/>
      <c r="BJ913" s="64"/>
      <c r="BK913" s="64"/>
      <c r="BL913" s="64"/>
      <c r="BM913">
        <v>4.5502302188979257E-2</v>
      </c>
      <c r="BQ913">
        <v>9.1004604377958515E-2</v>
      </c>
      <c r="BR913">
        <v>4.5502302188979257E-2</v>
      </c>
      <c r="BS913">
        <v>0</v>
      </c>
      <c r="BV913" s="68">
        <v>24</v>
      </c>
    </row>
    <row r="914" spans="1:89" x14ac:dyDescent="0.3">
      <c r="A914" t="s">
        <v>1177</v>
      </c>
      <c r="B914" t="s">
        <v>4</v>
      </c>
      <c r="C914" t="s">
        <v>4321</v>
      </c>
      <c r="E914">
        <v>3.6</v>
      </c>
      <c r="G914" s="8" t="s">
        <v>527</v>
      </c>
      <c r="H914" t="s">
        <v>609</v>
      </c>
      <c r="J914" t="s">
        <v>2258</v>
      </c>
      <c r="K914" t="s">
        <v>2258</v>
      </c>
      <c r="M914" t="b">
        <v>1</v>
      </c>
      <c r="N914" t="b">
        <v>1</v>
      </c>
      <c r="O914" t="b">
        <v>0</v>
      </c>
      <c r="P914" t="b">
        <v>0</v>
      </c>
      <c r="Q914" t="s">
        <v>2645</v>
      </c>
      <c r="R914" t="s">
        <v>2343</v>
      </c>
      <c r="T914">
        <v>2</v>
      </c>
      <c r="V914">
        <v>4</v>
      </c>
      <c r="W914">
        <v>0</v>
      </c>
      <c r="X914">
        <v>3.85</v>
      </c>
      <c r="Y914">
        <v>3.85</v>
      </c>
      <c r="Z914">
        <v>29.5</v>
      </c>
      <c r="AB914">
        <v>14.75</v>
      </c>
      <c r="AF914">
        <v>3.8801999999999999</v>
      </c>
      <c r="AG914">
        <v>29.507999999999999</v>
      </c>
      <c r="AH914">
        <v>7.7140000000000004</v>
      </c>
      <c r="AI914">
        <v>0</v>
      </c>
      <c r="AM914">
        <v>20</v>
      </c>
      <c r="AN914" s="44">
        <f t="shared" si="244"/>
        <v>437.26375000000007</v>
      </c>
      <c r="AO914" s="44"/>
      <c r="AP914" s="44">
        <v>883.22940750240002</v>
      </c>
      <c r="AQ914" s="44">
        <v>0</v>
      </c>
      <c r="AR914" s="41">
        <f t="shared" si="242"/>
        <v>9.1477969532118758E-2</v>
      </c>
      <c r="AS914" s="41"/>
      <c r="AT914" s="41">
        <v>9.0576694254581439E-2</v>
      </c>
      <c r="AU914" s="41"/>
      <c r="AV914" s="23"/>
      <c r="AW914" s="23"/>
      <c r="AX914" s="23"/>
      <c r="AY914" s="23"/>
      <c r="AZ914" s="23"/>
      <c r="BA914" s="23"/>
      <c r="BB914" s="23"/>
      <c r="BC914" s="23"/>
      <c r="BJ914" s="64"/>
      <c r="BK914" s="64"/>
      <c r="BL914" s="64"/>
      <c r="BM914">
        <v>4.5738984766059379E-2</v>
      </c>
      <c r="BO914">
        <v>4.5288347127290719E-2</v>
      </c>
      <c r="BQ914">
        <v>9.1027331893350105E-2</v>
      </c>
      <c r="BR914">
        <v>4.5513665946675053E-2</v>
      </c>
      <c r="BS914">
        <v>0</v>
      </c>
      <c r="BV914" s="68">
        <v>24</v>
      </c>
    </row>
    <row r="915" spans="1:89" x14ac:dyDescent="0.3">
      <c r="A915" t="s">
        <v>1178</v>
      </c>
      <c r="B915" t="s">
        <v>4</v>
      </c>
      <c r="C915" t="s">
        <v>4322</v>
      </c>
      <c r="E915">
        <v>3.8</v>
      </c>
      <c r="G915" s="8" t="s">
        <v>527</v>
      </c>
      <c r="H915" t="s">
        <v>609</v>
      </c>
      <c r="J915" t="s">
        <v>2259</v>
      </c>
      <c r="K915" t="s">
        <v>2259</v>
      </c>
      <c r="M915" t="b">
        <v>1</v>
      </c>
      <c r="N915" t="b">
        <v>1</v>
      </c>
      <c r="O915" t="b">
        <v>0</v>
      </c>
      <c r="P915" t="b">
        <v>0</v>
      </c>
      <c r="Q915" t="s">
        <v>2646</v>
      </c>
      <c r="R915" t="s">
        <v>2345</v>
      </c>
      <c r="T915">
        <v>2</v>
      </c>
      <c r="V915">
        <v>0</v>
      </c>
      <c r="W915">
        <v>0</v>
      </c>
      <c r="X915">
        <v>3.88</v>
      </c>
      <c r="Y915">
        <v>3.88</v>
      </c>
      <c r="Z915">
        <v>29.8</v>
      </c>
      <c r="AB915">
        <v>14.9</v>
      </c>
      <c r="AF915">
        <v>0</v>
      </c>
      <c r="AI915">
        <v>0</v>
      </c>
      <c r="AM915">
        <v>20</v>
      </c>
      <c r="AN915" s="44">
        <f t="shared" si="244"/>
        <v>448.62112000000002</v>
      </c>
      <c r="AO915" s="44"/>
      <c r="AP915" s="44">
        <v>0</v>
      </c>
      <c r="AQ915" s="44">
        <v>0</v>
      </c>
      <c r="AR915" s="41">
        <f t="shared" si="242"/>
        <v>8.9162097406381577E-2</v>
      </c>
      <c r="AS915" s="41"/>
      <c r="AT915" s="41"/>
      <c r="AU915" s="41"/>
      <c r="AV915" s="23"/>
      <c r="AW915" s="23"/>
      <c r="AX915" s="23"/>
      <c r="AY915" s="23"/>
      <c r="AZ915" s="23"/>
      <c r="BA915" s="23"/>
      <c r="BB915" s="23"/>
      <c r="BC915" s="23"/>
      <c r="BJ915" s="64"/>
      <c r="BK915" s="64"/>
      <c r="BL915" s="64"/>
      <c r="BM915">
        <v>4.4581048703190788E-2</v>
      </c>
      <c r="BQ915">
        <v>8.9162097406381577E-2</v>
      </c>
      <c r="BR915">
        <v>4.4581048703190788E-2</v>
      </c>
      <c r="BS915">
        <v>0</v>
      </c>
      <c r="BV915" s="68">
        <v>24</v>
      </c>
    </row>
    <row r="916" spans="1:89" x14ac:dyDescent="0.3">
      <c r="A916" t="s">
        <v>308</v>
      </c>
      <c r="B916" t="s">
        <v>4</v>
      </c>
      <c r="C916" t="s">
        <v>4053</v>
      </c>
      <c r="E916">
        <v>4.2</v>
      </c>
      <c r="G916" s="8" t="s">
        <v>601</v>
      </c>
      <c r="H916" t="s">
        <v>672</v>
      </c>
      <c r="M916" t="b">
        <v>1</v>
      </c>
      <c r="N916" t="b">
        <v>1</v>
      </c>
      <c r="O916" t="b">
        <v>0</v>
      </c>
      <c r="P916" t="b">
        <v>0</v>
      </c>
      <c r="Q916" t="s">
        <v>601</v>
      </c>
      <c r="R916" t="s">
        <v>672</v>
      </c>
      <c r="T916">
        <v>2</v>
      </c>
      <c r="V916">
        <v>0</v>
      </c>
      <c r="W916">
        <v>0</v>
      </c>
      <c r="X916">
        <v>3.86</v>
      </c>
      <c r="Y916">
        <v>3.86</v>
      </c>
      <c r="Z916">
        <v>29.8</v>
      </c>
      <c r="AB916">
        <v>14.9</v>
      </c>
      <c r="AF916">
        <v>0</v>
      </c>
      <c r="AI916">
        <v>0</v>
      </c>
      <c r="AM916">
        <v>20</v>
      </c>
      <c r="AN916" s="44">
        <f t="shared" si="244"/>
        <v>444.00808000000001</v>
      </c>
      <c r="AO916" s="44"/>
      <c r="AP916" s="44">
        <v>0</v>
      </c>
      <c r="AQ916" s="44">
        <v>0</v>
      </c>
      <c r="AR916" s="41">
        <f t="shared" si="242"/>
        <v>9.0088450642609924E-2</v>
      </c>
      <c r="AS916" s="41"/>
      <c r="AT916" s="41"/>
      <c r="AU916" s="41"/>
      <c r="AV916" s="23"/>
      <c r="AW916" s="23"/>
      <c r="AX916" s="23"/>
      <c r="AY916" s="23"/>
      <c r="AZ916" s="23"/>
      <c r="BA916" s="23"/>
      <c r="BB916" s="23"/>
      <c r="BC916" s="23"/>
      <c r="BJ916" s="64"/>
      <c r="BK916" s="64"/>
      <c r="BL916" s="64"/>
      <c r="BM916">
        <v>4.5044225321304962E-2</v>
      </c>
      <c r="BQ916">
        <v>9.0088450642609924E-2</v>
      </c>
      <c r="BR916">
        <v>4.5044225321304962E-2</v>
      </c>
      <c r="BS916">
        <v>0</v>
      </c>
      <c r="BV916" s="68">
        <v>24</v>
      </c>
    </row>
    <row r="917" spans="1:89" x14ac:dyDescent="0.3">
      <c r="A917" t="s">
        <v>108</v>
      </c>
      <c r="C917" t="s">
        <v>4024</v>
      </c>
      <c r="E917">
        <v>3.34</v>
      </c>
      <c r="F917" t="s">
        <v>1456</v>
      </c>
      <c r="G917" t="s">
        <v>568</v>
      </c>
      <c r="I917" t="s">
        <v>1507</v>
      </c>
      <c r="M917" t="b">
        <v>1</v>
      </c>
      <c r="N917" t="b">
        <v>0</v>
      </c>
      <c r="O917" t="b">
        <v>1</v>
      </c>
      <c r="P917" t="b">
        <v>0</v>
      </c>
      <c r="Q917" t="s">
        <v>568</v>
      </c>
      <c r="S917" t="s">
        <v>1507</v>
      </c>
      <c r="T917">
        <v>4</v>
      </c>
      <c r="X917">
        <v>5.44</v>
      </c>
      <c r="Y917">
        <v>5.4059999999999997</v>
      </c>
      <c r="Z917">
        <v>25.135000000000002</v>
      </c>
      <c r="AA917" t="s">
        <v>450</v>
      </c>
      <c r="AN917" s="44">
        <f t="shared" si="244"/>
        <v>739.18616640000005</v>
      </c>
      <c r="BT917" s="68" t="s">
        <v>1393</v>
      </c>
      <c r="BU917" s="68">
        <v>1073</v>
      </c>
      <c r="BV917" s="68">
        <v>2</v>
      </c>
    </row>
    <row r="918" spans="1:89" x14ac:dyDescent="0.3">
      <c r="A918" t="s">
        <v>108</v>
      </c>
      <c r="C918" t="s">
        <v>4024</v>
      </c>
      <c r="E918">
        <v>3.21</v>
      </c>
      <c r="F918" t="s">
        <v>1456</v>
      </c>
      <c r="G918" t="s">
        <v>568</v>
      </c>
      <c r="I918" t="s">
        <v>1507</v>
      </c>
      <c r="M918" t="b">
        <v>1</v>
      </c>
      <c r="N918" t="b">
        <v>0</v>
      </c>
      <c r="O918" t="b">
        <v>1</v>
      </c>
      <c r="P918" t="b">
        <v>0</v>
      </c>
      <c r="Q918" t="s">
        <v>568</v>
      </c>
      <c r="S918" t="s">
        <v>1507</v>
      </c>
      <c r="T918">
        <v>4</v>
      </c>
      <c r="X918">
        <v>5.44</v>
      </c>
      <c r="Y918">
        <v>5.407</v>
      </c>
      <c r="Z918">
        <v>25.085999999999999</v>
      </c>
      <c r="AA918" t="s">
        <v>450</v>
      </c>
      <c r="AN918" s="44">
        <f t="shared" si="244"/>
        <v>737.88161088000004</v>
      </c>
      <c r="BT918" s="68" t="s">
        <v>1264</v>
      </c>
      <c r="BU918" s="68">
        <v>1173</v>
      </c>
      <c r="BV918" s="68">
        <v>2</v>
      </c>
    </row>
    <row r="919" spans="1:89" x14ac:dyDescent="0.3">
      <c r="A919" t="s">
        <v>318</v>
      </c>
      <c r="B919" t="s">
        <v>318</v>
      </c>
      <c r="C919" t="s">
        <v>4225</v>
      </c>
      <c r="E919">
        <v>3.45</v>
      </c>
      <c r="F919" t="s">
        <v>1457</v>
      </c>
      <c r="G919" t="s">
        <v>561</v>
      </c>
      <c r="I919" t="s">
        <v>1506</v>
      </c>
      <c r="J919" t="s">
        <v>1726</v>
      </c>
      <c r="M919" t="b">
        <v>1</v>
      </c>
      <c r="N919" t="b">
        <v>0</v>
      </c>
      <c r="O919" t="b">
        <v>0</v>
      </c>
      <c r="P919" t="b">
        <v>0</v>
      </c>
      <c r="Q919" t="s">
        <v>2647</v>
      </c>
      <c r="S919" t="s">
        <v>1506</v>
      </c>
      <c r="T919">
        <v>2</v>
      </c>
      <c r="X919">
        <v>3.7</v>
      </c>
      <c r="Y919">
        <v>3.7</v>
      </c>
      <c r="Z919">
        <v>12.2</v>
      </c>
      <c r="AB919">
        <v>12.2</v>
      </c>
      <c r="BT919" s="68" t="s">
        <v>1264</v>
      </c>
      <c r="BU919" s="68">
        <f t="shared" ref="BU919" si="249">825+273</f>
        <v>1098</v>
      </c>
      <c r="BV919" s="68">
        <v>12</v>
      </c>
      <c r="BX919" s="68" t="s">
        <v>464</v>
      </c>
      <c r="BY919" s="68" t="s">
        <v>464</v>
      </c>
      <c r="BZ919" s="68">
        <v>0</v>
      </c>
      <c r="CA919" s="68">
        <v>9.6999999999999993</v>
      </c>
      <c r="CB919" s="68">
        <v>0.5</v>
      </c>
      <c r="CC919" s="68">
        <v>1</v>
      </c>
      <c r="CD919" s="77" t="s">
        <v>464</v>
      </c>
      <c r="CE919" s="77" t="s">
        <v>464</v>
      </c>
      <c r="CF919" s="77" t="s">
        <v>1266</v>
      </c>
      <c r="CG919" s="77">
        <v>125</v>
      </c>
      <c r="CH919" s="77">
        <v>220</v>
      </c>
      <c r="CI919" s="77" t="s">
        <v>1287</v>
      </c>
      <c r="CJ919" s="77">
        <f t="shared" ref="CJ919:CJ923" si="250">273+15</f>
        <v>288</v>
      </c>
      <c r="CK919" s="70">
        <v>29.2</v>
      </c>
    </row>
    <row r="920" spans="1:89" x14ac:dyDescent="0.3">
      <c r="A920" t="s">
        <v>332</v>
      </c>
      <c r="B920" t="s">
        <v>318</v>
      </c>
      <c r="C920" t="s">
        <v>4238</v>
      </c>
      <c r="E920">
        <v>3.48</v>
      </c>
      <c r="F920" t="s">
        <v>1457</v>
      </c>
      <c r="G920" t="s">
        <v>561</v>
      </c>
      <c r="I920" t="s">
        <v>1505</v>
      </c>
      <c r="J920" t="s">
        <v>1752</v>
      </c>
      <c r="M920" t="b">
        <v>1</v>
      </c>
      <c r="N920" t="b">
        <v>0</v>
      </c>
      <c r="O920" t="b">
        <v>0</v>
      </c>
      <c r="P920" t="b">
        <v>0</v>
      </c>
      <c r="Q920" t="s">
        <v>2648</v>
      </c>
      <c r="S920" t="s">
        <v>1505</v>
      </c>
      <c r="T920">
        <v>2</v>
      </c>
      <c r="X920">
        <v>3.7</v>
      </c>
      <c r="Y920">
        <v>3.7</v>
      </c>
      <c r="Z920">
        <v>12.1</v>
      </c>
      <c r="AB920">
        <v>12.1</v>
      </c>
      <c r="BT920" s="68" t="s">
        <v>1264</v>
      </c>
      <c r="BU920" s="68">
        <f t="shared" ref="BU920" si="251">825+273</f>
        <v>1098</v>
      </c>
      <c r="BV920" s="68">
        <v>12</v>
      </c>
      <c r="BX920" s="68" t="s">
        <v>464</v>
      </c>
      <c r="BY920" s="68" t="s">
        <v>464</v>
      </c>
      <c r="BZ920" s="68">
        <v>0</v>
      </c>
      <c r="CA920" s="68">
        <v>8.6</v>
      </c>
      <c r="CB920" s="68">
        <v>0.5</v>
      </c>
      <c r="CC920" s="68">
        <v>1</v>
      </c>
      <c r="CD920" s="77" t="s">
        <v>464</v>
      </c>
      <c r="CE920" s="77" t="s">
        <v>464</v>
      </c>
      <c r="CF920" s="77" t="s">
        <v>1266</v>
      </c>
      <c r="CG920" s="77">
        <v>125</v>
      </c>
      <c r="CH920" s="77">
        <v>220</v>
      </c>
      <c r="CI920" s="77" t="s">
        <v>1287</v>
      </c>
      <c r="CJ920" s="77">
        <f t="shared" si="250"/>
        <v>288</v>
      </c>
      <c r="CK920" s="70">
        <v>29.2</v>
      </c>
    </row>
    <row r="921" spans="1:89" x14ac:dyDescent="0.3">
      <c r="A921" t="s">
        <v>353</v>
      </c>
      <c r="B921" t="s">
        <v>2776</v>
      </c>
      <c r="C921" t="s">
        <v>4259</v>
      </c>
      <c r="E921">
        <v>3.45</v>
      </c>
      <c r="F921" t="s">
        <v>1457</v>
      </c>
      <c r="G921" s="98" t="s">
        <v>549</v>
      </c>
      <c r="I921" t="s">
        <v>1242</v>
      </c>
      <c r="J921" t="s">
        <v>1726</v>
      </c>
      <c r="M921" t="b">
        <v>1</v>
      </c>
      <c r="N921" t="b">
        <v>0</v>
      </c>
      <c r="O921" t="b">
        <v>0</v>
      </c>
      <c r="P921" t="b">
        <v>0</v>
      </c>
      <c r="Q921" t="s">
        <v>2649</v>
      </c>
      <c r="S921" t="s">
        <v>1242</v>
      </c>
      <c r="T921">
        <v>1</v>
      </c>
      <c r="X921">
        <v>3.8</v>
      </c>
      <c r="Y921">
        <v>3.8</v>
      </c>
      <c r="Z921">
        <v>13.6</v>
      </c>
      <c r="AB921">
        <v>13.6</v>
      </c>
      <c r="BT921" s="68" t="s">
        <v>1264</v>
      </c>
      <c r="BU921" s="68">
        <v>1373</v>
      </c>
      <c r="BV921" s="68">
        <v>12</v>
      </c>
      <c r="BX921" s="68" t="s">
        <v>464</v>
      </c>
      <c r="BY921" s="68" t="s">
        <v>464</v>
      </c>
      <c r="BZ921" s="68">
        <v>0</v>
      </c>
      <c r="CA921" s="68">
        <v>3.2</v>
      </c>
      <c r="CB921" s="68">
        <v>0.5</v>
      </c>
      <c r="CC921" s="68">
        <v>1</v>
      </c>
      <c r="CD921" s="77" t="s">
        <v>464</v>
      </c>
      <c r="CE921" s="77" t="s">
        <v>464</v>
      </c>
      <c r="CF921" s="77" t="s">
        <v>1266</v>
      </c>
      <c r="CG921" s="77">
        <v>125</v>
      </c>
      <c r="CH921" s="77">
        <v>220</v>
      </c>
      <c r="CI921" s="77" t="s">
        <v>1287</v>
      </c>
      <c r="CJ921" s="77">
        <f t="shared" si="250"/>
        <v>288</v>
      </c>
      <c r="CK921" s="70">
        <v>50.8</v>
      </c>
    </row>
    <row r="922" spans="1:89" x14ac:dyDescent="0.3">
      <c r="A922" t="s">
        <v>381</v>
      </c>
      <c r="B922" t="s">
        <v>2776</v>
      </c>
      <c r="C922" t="s">
        <v>4280</v>
      </c>
      <c r="E922">
        <v>3.47</v>
      </c>
      <c r="F922" t="s">
        <v>1457</v>
      </c>
      <c r="G922" s="99" t="s">
        <v>549</v>
      </c>
      <c r="H922">
        <v>-1</v>
      </c>
      <c r="J922" t="s">
        <v>1752</v>
      </c>
      <c r="M922" t="b">
        <v>1</v>
      </c>
      <c r="N922" t="b">
        <v>0</v>
      </c>
      <c r="O922" t="b">
        <v>0</v>
      </c>
      <c r="P922" t="b">
        <v>0</v>
      </c>
      <c r="Q922" t="s">
        <v>2650</v>
      </c>
      <c r="R922">
        <v>-1</v>
      </c>
      <c r="T922">
        <v>1</v>
      </c>
      <c r="X922">
        <v>3.8</v>
      </c>
      <c r="Y922">
        <v>3.8</v>
      </c>
      <c r="Z922">
        <v>13.6</v>
      </c>
      <c r="AB922">
        <v>13.6</v>
      </c>
      <c r="BT922" s="68" t="s">
        <v>1264</v>
      </c>
      <c r="BU922" s="68">
        <v>1373</v>
      </c>
      <c r="BV922" s="68">
        <v>12</v>
      </c>
      <c r="BX922" s="68" t="s">
        <v>464</v>
      </c>
      <c r="BY922" s="68" t="s">
        <v>464</v>
      </c>
      <c r="BZ922" s="68">
        <v>0</v>
      </c>
      <c r="CA922" s="68">
        <v>3.1</v>
      </c>
      <c r="CB922" s="68">
        <v>0.5</v>
      </c>
      <c r="CC922" s="68">
        <v>1</v>
      </c>
      <c r="CD922" s="77" t="s">
        <v>464</v>
      </c>
      <c r="CE922" s="77" t="s">
        <v>464</v>
      </c>
      <c r="CF922" s="77" t="s">
        <v>1266</v>
      </c>
      <c r="CG922" s="77">
        <v>125</v>
      </c>
      <c r="CH922" s="77">
        <v>220</v>
      </c>
      <c r="CI922" s="77" t="s">
        <v>1287</v>
      </c>
      <c r="CJ922" s="77">
        <f t="shared" si="250"/>
        <v>288</v>
      </c>
      <c r="CK922" s="70">
        <v>80</v>
      </c>
    </row>
    <row r="923" spans="1:89" x14ac:dyDescent="0.3">
      <c r="A923" t="s">
        <v>318</v>
      </c>
      <c r="B923" t="s">
        <v>318</v>
      </c>
      <c r="C923" t="s">
        <v>4225</v>
      </c>
      <c r="E923">
        <v>3.4</v>
      </c>
      <c r="F923" t="s">
        <v>1457</v>
      </c>
      <c r="G923" t="s">
        <v>561</v>
      </c>
      <c r="I923" t="s">
        <v>1506</v>
      </c>
      <c r="J923" t="s">
        <v>1726</v>
      </c>
      <c r="M923" t="b">
        <v>1</v>
      </c>
      <c r="N923" t="b">
        <v>0</v>
      </c>
      <c r="O923" t="b">
        <v>0</v>
      </c>
      <c r="P923" t="b">
        <v>0</v>
      </c>
      <c r="Q923" t="s">
        <v>2651</v>
      </c>
      <c r="S923" t="s">
        <v>1506</v>
      </c>
      <c r="T923">
        <v>2</v>
      </c>
      <c r="X923">
        <v>3.7</v>
      </c>
      <c r="Y923">
        <v>3.7</v>
      </c>
      <c r="Z923">
        <v>14</v>
      </c>
      <c r="AB923">
        <v>14</v>
      </c>
      <c r="BT923" s="68" t="s">
        <v>1264</v>
      </c>
      <c r="BU923" s="68">
        <f t="shared" ref="BU923:BU924" si="252">825+273</f>
        <v>1098</v>
      </c>
      <c r="BV923" s="68">
        <v>12</v>
      </c>
      <c r="BX923" s="68" t="s">
        <v>464</v>
      </c>
      <c r="BY923" s="68" t="s">
        <v>464</v>
      </c>
      <c r="BZ923" s="68">
        <v>0</v>
      </c>
      <c r="CA923" s="68">
        <v>54</v>
      </c>
      <c r="CB923" s="68">
        <v>0.5</v>
      </c>
      <c r="CC923" s="68">
        <v>1</v>
      </c>
      <c r="CD923" s="77" t="s">
        <v>464</v>
      </c>
      <c r="CE923" s="77" t="s">
        <v>464</v>
      </c>
      <c r="CF923" s="77" t="s">
        <v>1266</v>
      </c>
      <c r="CG923" s="77">
        <v>125</v>
      </c>
      <c r="CH923" s="77">
        <v>220</v>
      </c>
      <c r="CI923" s="77" t="s">
        <v>1287</v>
      </c>
      <c r="CJ923" s="77">
        <f t="shared" si="250"/>
        <v>288</v>
      </c>
      <c r="CK923" s="70">
        <v>108.39999999999999</v>
      </c>
    </row>
    <row r="924" spans="1:89" x14ac:dyDescent="0.3">
      <c r="A924" t="s">
        <v>332</v>
      </c>
      <c r="B924" t="s">
        <v>318</v>
      </c>
      <c r="C924" t="s">
        <v>4238</v>
      </c>
      <c r="E924">
        <v>3.22</v>
      </c>
      <c r="F924" t="s">
        <v>1457</v>
      </c>
      <c r="G924" t="s">
        <v>561</v>
      </c>
      <c r="I924" t="s">
        <v>1505</v>
      </c>
      <c r="J924" t="s">
        <v>1752</v>
      </c>
      <c r="M924" t="b">
        <v>1</v>
      </c>
      <c r="N924" t="b">
        <v>0</v>
      </c>
      <c r="O924" t="b">
        <v>0</v>
      </c>
      <c r="P924" t="b">
        <v>0</v>
      </c>
      <c r="Q924" t="s">
        <v>2652</v>
      </c>
      <c r="S924" t="s">
        <v>1505</v>
      </c>
      <c r="T924">
        <v>2</v>
      </c>
      <c r="X924">
        <v>3.7</v>
      </c>
      <c r="Y924">
        <v>3.7</v>
      </c>
      <c r="Z924">
        <v>16</v>
      </c>
      <c r="AB924">
        <v>16</v>
      </c>
      <c r="BT924" s="68" t="s">
        <v>1264</v>
      </c>
      <c r="BU924" s="68">
        <f t="shared" si="252"/>
        <v>1098</v>
      </c>
      <c r="BV924" s="68">
        <v>12</v>
      </c>
      <c r="BX924" s="68" t="s">
        <v>464</v>
      </c>
      <c r="BY924" s="68" t="s">
        <v>464</v>
      </c>
      <c r="BZ924" s="68">
        <v>0</v>
      </c>
      <c r="CA924" s="68">
        <v>64</v>
      </c>
      <c r="CB924" s="68">
        <v>0.5</v>
      </c>
      <c r="CC924" s="68">
        <v>1</v>
      </c>
      <c r="CD924" s="77" t="s">
        <v>464</v>
      </c>
      <c r="CE924" s="77" t="s">
        <v>464</v>
      </c>
      <c r="CF924" s="77" t="s">
        <v>1266</v>
      </c>
      <c r="CG924" s="77">
        <v>125</v>
      </c>
      <c r="CH924" s="77">
        <v>220</v>
      </c>
      <c r="CI924" s="77" t="s">
        <v>1287</v>
      </c>
      <c r="CJ924" s="77">
        <f t="shared" ref="CJ924:CJ978" si="253">273+15</f>
        <v>288</v>
      </c>
      <c r="CK924" s="70">
        <v>37.599999999999994</v>
      </c>
    </row>
    <row r="925" spans="1:89" x14ac:dyDescent="0.3">
      <c r="A925" t="s">
        <v>353</v>
      </c>
      <c r="B925" t="s">
        <v>2776</v>
      </c>
      <c r="C925" t="s">
        <v>4259</v>
      </c>
      <c r="E925">
        <v>3.26</v>
      </c>
      <c r="F925" t="s">
        <v>1457</v>
      </c>
      <c r="G925" s="98" t="s">
        <v>549</v>
      </c>
      <c r="I925" t="s">
        <v>1242</v>
      </c>
      <c r="J925" t="s">
        <v>1726</v>
      </c>
      <c r="M925" t="b">
        <v>1</v>
      </c>
      <c r="N925" t="b">
        <v>0</v>
      </c>
      <c r="O925" t="b">
        <v>0</v>
      </c>
      <c r="P925" t="b">
        <v>0</v>
      </c>
      <c r="Q925" t="s">
        <v>2653</v>
      </c>
      <c r="S925" t="s">
        <v>1242</v>
      </c>
      <c r="T925">
        <v>2</v>
      </c>
      <c r="X925">
        <v>3.8</v>
      </c>
      <c r="Y925">
        <v>3.8</v>
      </c>
      <c r="Z925">
        <v>24</v>
      </c>
      <c r="AB925">
        <v>12</v>
      </c>
      <c r="BT925" s="68" t="s">
        <v>1264</v>
      </c>
      <c r="BU925" s="68">
        <v>1373</v>
      </c>
      <c r="BV925" s="68">
        <v>12</v>
      </c>
      <c r="BX925" s="68" t="s">
        <v>464</v>
      </c>
      <c r="BY925" s="68" t="s">
        <v>464</v>
      </c>
      <c r="BZ925" s="68">
        <v>0</v>
      </c>
      <c r="CA925" s="68">
        <v>21</v>
      </c>
      <c r="CB925" s="68">
        <v>0.5</v>
      </c>
      <c r="CC925" s="68">
        <v>1</v>
      </c>
      <c r="CD925" s="77" t="s">
        <v>464</v>
      </c>
      <c r="CE925" s="77" t="s">
        <v>464</v>
      </c>
      <c r="CF925" s="77" t="s">
        <v>1266</v>
      </c>
      <c r="CG925" s="77">
        <v>125</v>
      </c>
      <c r="CH925" s="77">
        <v>220</v>
      </c>
      <c r="CI925" s="77" t="s">
        <v>1287</v>
      </c>
      <c r="CJ925" s="77">
        <f t="shared" si="253"/>
        <v>288</v>
      </c>
      <c r="CK925" s="70">
        <v>784</v>
      </c>
    </row>
    <row r="926" spans="1:89" x14ac:dyDescent="0.3">
      <c r="A926" t="s">
        <v>381</v>
      </c>
      <c r="B926" t="s">
        <v>2776</v>
      </c>
      <c r="C926" t="s">
        <v>4280</v>
      </c>
      <c r="E926">
        <v>3.26</v>
      </c>
      <c r="F926" t="s">
        <v>1457</v>
      </c>
      <c r="G926" s="99" t="s">
        <v>549</v>
      </c>
      <c r="H926">
        <v>-1</v>
      </c>
      <c r="J926" t="s">
        <v>1752</v>
      </c>
      <c r="M926" t="b">
        <v>1</v>
      </c>
      <c r="N926" t="b">
        <v>0</v>
      </c>
      <c r="O926" t="b">
        <v>0</v>
      </c>
      <c r="P926" t="b">
        <v>0</v>
      </c>
      <c r="Q926" t="s">
        <v>2654</v>
      </c>
      <c r="R926">
        <v>-1</v>
      </c>
      <c r="T926">
        <v>2</v>
      </c>
      <c r="X926">
        <v>3.8</v>
      </c>
      <c r="Y926">
        <v>3.8</v>
      </c>
      <c r="Z926">
        <v>19.5</v>
      </c>
      <c r="AB926">
        <v>9.75</v>
      </c>
      <c r="BT926" s="68" t="s">
        <v>1264</v>
      </c>
      <c r="BU926" s="68">
        <v>1373</v>
      </c>
      <c r="BV926" s="68">
        <v>12</v>
      </c>
      <c r="BX926" s="68" t="s">
        <v>464</v>
      </c>
      <c r="BY926" s="68" t="s">
        <v>464</v>
      </c>
      <c r="BZ926" s="68">
        <v>0</v>
      </c>
      <c r="CA926" s="68">
        <v>15</v>
      </c>
      <c r="CB926" s="68">
        <v>0.5</v>
      </c>
      <c r="CC926" s="68">
        <v>1</v>
      </c>
      <c r="CD926" s="77" t="s">
        <v>464</v>
      </c>
      <c r="CE926" s="77" t="s">
        <v>464</v>
      </c>
      <c r="CF926" s="77" t="s">
        <v>1266</v>
      </c>
      <c r="CG926" s="77">
        <v>125</v>
      </c>
      <c r="CH926" s="77">
        <v>220</v>
      </c>
      <c r="CI926" s="77" t="s">
        <v>1287</v>
      </c>
      <c r="CJ926" s="77">
        <f t="shared" si="253"/>
        <v>288</v>
      </c>
      <c r="CK926" s="70">
        <v>389.2</v>
      </c>
    </row>
    <row r="927" spans="1:89" x14ac:dyDescent="0.3">
      <c r="A927" t="s">
        <v>318</v>
      </c>
      <c r="B927" t="s">
        <v>318</v>
      </c>
      <c r="C927" t="s">
        <v>4225</v>
      </c>
      <c r="E927">
        <v>3.45</v>
      </c>
      <c r="F927" t="s">
        <v>1457</v>
      </c>
      <c r="G927" t="s">
        <v>561</v>
      </c>
      <c r="I927" t="s">
        <v>1506</v>
      </c>
      <c r="J927" t="s">
        <v>1726</v>
      </c>
      <c r="M927" t="b">
        <v>1</v>
      </c>
      <c r="N927" t="b">
        <v>0</v>
      </c>
      <c r="O927" t="b">
        <v>0</v>
      </c>
      <c r="P927" t="b">
        <v>0</v>
      </c>
      <c r="Q927" t="s">
        <v>2655</v>
      </c>
      <c r="S927" t="s">
        <v>1506</v>
      </c>
      <c r="T927">
        <v>2</v>
      </c>
      <c r="X927">
        <v>3.7</v>
      </c>
      <c r="Y927">
        <v>3.7</v>
      </c>
      <c r="Z927">
        <v>12.2</v>
      </c>
      <c r="AB927">
        <v>12.2</v>
      </c>
      <c r="BT927" s="68" t="s">
        <v>1264</v>
      </c>
      <c r="BU927" s="68">
        <f t="shared" ref="BU927:BU928" si="254">825+273</f>
        <v>1098</v>
      </c>
      <c r="BV927" s="68">
        <v>12</v>
      </c>
      <c r="BX927" s="68" t="s">
        <v>1268</v>
      </c>
      <c r="BY927" s="68" t="s">
        <v>863</v>
      </c>
      <c r="BZ927" s="68">
        <v>1</v>
      </c>
      <c r="CA927" s="68">
        <v>9.6999999999999993</v>
      </c>
      <c r="CB927" s="68">
        <v>0.5</v>
      </c>
      <c r="CC927" s="68">
        <v>1</v>
      </c>
      <c r="CD927" s="77" t="s">
        <v>464</v>
      </c>
      <c r="CE927" s="77" t="s">
        <v>464</v>
      </c>
      <c r="CF927" s="77" t="s">
        <v>1266</v>
      </c>
      <c r="CG927" s="77">
        <v>125</v>
      </c>
      <c r="CH927" s="77">
        <v>220</v>
      </c>
      <c r="CI927" s="77" t="s">
        <v>1287</v>
      </c>
      <c r="CJ927" s="77">
        <f t="shared" si="253"/>
        <v>288</v>
      </c>
      <c r="CK927" s="70">
        <v>567.99999999999989</v>
      </c>
    </row>
    <row r="928" spans="1:89" x14ac:dyDescent="0.3">
      <c r="A928" t="s">
        <v>332</v>
      </c>
      <c r="B928" t="s">
        <v>318</v>
      </c>
      <c r="C928" t="s">
        <v>4238</v>
      </c>
      <c r="E928">
        <v>3.48</v>
      </c>
      <c r="F928" t="s">
        <v>1457</v>
      </c>
      <c r="G928" t="s">
        <v>561</v>
      </c>
      <c r="I928" t="s">
        <v>1505</v>
      </c>
      <c r="J928" t="s">
        <v>1752</v>
      </c>
      <c r="M928" t="b">
        <v>1</v>
      </c>
      <c r="N928" t="b">
        <v>0</v>
      </c>
      <c r="O928" t="b">
        <v>0</v>
      </c>
      <c r="P928" t="b">
        <v>0</v>
      </c>
      <c r="Q928" t="s">
        <v>2656</v>
      </c>
      <c r="S928" t="s">
        <v>1505</v>
      </c>
      <c r="T928">
        <v>2</v>
      </c>
      <c r="X928">
        <v>3.7</v>
      </c>
      <c r="Y928">
        <v>3.7</v>
      </c>
      <c r="Z928">
        <v>12.1</v>
      </c>
      <c r="AB928">
        <v>12.1</v>
      </c>
      <c r="BT928" s="68" t="s">
        <v>1264</v>
      </c>
      <c r="BU928" s="68">
        <f t="shared" si="254"/>
        <v>1098</v>
      </c>
      <c r="BV928" s="68">
        <v>12</v>
      </c>
      <c r="BX928" s="68" t="s">
        <v>1268</v>
      </c>
      <c r="BY928" s="68" t="s">
        <v>863</v>
      </c>
      <c r="BZ928" s="68">
        <v>1</v>
      </c>
      <c r="CA928" s="68">
        <v>8.6</v>
      </c>
      <c r="CB928" s="68">
        <v>0.5</v>
      </c>
      <c r="CC928" s="68">
        <v>1</v>
      </c>
      <c r="CD928" s="77" t="s">
        <v>464</v>
      </c>
      <c r="CE928" s="77" t="s">
        <v>464</v>
      </c>
      <c r="CF928" s="77" t="s">
        <v>1266</v>
      </c>
      <c r="CG928" s="77">
        <v>125</v>
      </c>
      <c r="CH928" s="77">
        <v>220</v>
      </c>
      <c r="CI928" s="77" t="s">
        <v>1287</v>
      </c>
      <c r="CJ928" s="77">
        <f t="shared" si="253"/>
        <v>288</v>
      </c>
      <c r="CK928" s="70">
        <v>249.20000000000002</v>
      </c>
    </row>
    <row r="929" spans="1:89" x14ac:dyDescent="0.3">
      <c r="A929" t="s">
        <v>353</v>
      </c>
      <c r="B929" t="s">
        <v>2776</v>
      </c>
      <c r="C929" t="s">
        <v>4259</v>
      </c>
      <c r="E929">
        <v>3.45</v>
      </c>
      <c r="F929" t="s">
        <v>1457</v>
      </c>
      <c r="G929" s="98" t="s">
        <v>549</v>
      </c>
      <c r="I929" t="s">
        <v>1242</v>
      </c>
      <c r="J929" t="s">
        <v>1726</v>
      </c>
      <c r="M929" t="b">
        <v>1</v>
      </c>
      <c r="N929" t="b">
        <v>0</v>
      </c>
      <c r="O929" t="b">
        <v>0</v>
      </c>
      <c r="P929" t="b">
        <v>0</v>
      </c>
      <c r="Q929" t="s">
        <v>2657</v>
      </c>
      <c r="S929" t="s">
        <v>1242</v>
      </c>
      <c r="T929">
        <v>1</v>
      </c>
      <c r="X929">
        <v>3.8</v>
      </c>
      <c r="Y929">
        <v>3.8</v>
      </c>
      <c r="Z929">
        <v>13.6</v>
      </c>
      <c r="AB929">
        <v>13.6</v>
      </c>
      <c r="BT929" s="68" t="s">
        <v>1264</v>
      </c>
      <c r="BU929" s="68">
        <v>1373</v>
      </c>
      <c r="BV929" s="68">
        <v>12</v>
      </c>
      <c r="BX929" s="68" t="s">
        <v>1268</v>
      </c>
      <c r="BY929" s="68" t="s">
        <v>863</v>
      </c>
      <c r="BZ929" s="68">
        <v>1</v>
      </c>
      <c r="CA929" s="68">
        <v>3.2</v>
      </c>
      <c r="CB929" s="68">
        <v>0.5</v>
      </c>
      <c r="CC929" s="68">
        <v>1</v>
      </c>
      <c r="CD929" s="77" t="s">
        <v>464</v>
      </c>
      <c r="CE929" s="77" t="s">
        <v>464</v>
      </c>
      <c r="CF929" s="77" t="s">
        <v>1266</v>
      </c>
      <c r="CG929" s="77">
        <v>125</v>
      </c>
      <c r="CH929" s="77">
        <v>220</v>
      </c>
      <c r="CI929" s="77" t="s">
        <v>1287</v>
      </c>
      <c r="CJ929" s="77">
        <f t="shared" si="253"/>
        <v>288</v>
      </c>
      <c r="CK929" s="70">
        <v>3403.9999999999995</v>
      </c>
    </row>
    <row r="930" spans="1:89" x14ac:dyDescent="0.3">
      <c r="A930" t="s">
        <v>381</v>
      </c>
      <c r="B930" t="s">
        <v>2776</v>
      </c>
      <c r="C930" t="s">
        <v>4280</v>
      </c>
      <c r="E930">
        <v>3.47</v>
      </c>
      <c r="F930" t="s">
        <v>1457</v>
      </c>
      <c r="G930" s="99" t="s">
        <v>549</v>
      </c>
      <c r="H930">
        <v>-1</v>
      </c>
      <c r="J930" t="s">
        <v>1752</v>
      </c>
      <c r="M930" t="b">
        <v>1</v>
      </c>
      <c r="N930" t="b">
        <v>0</v>
      </c>
      <c r="O930" t="b">
        <v>0</v>
      </c>
      <c r="P930" t="b">
        <v>0</v>
      </c>
      <c r="Q930" t="s">
        <v>2658</v>
      </c>
      <c r="R930">
        <v>-1</v>
      </c>
      <c r="T930">
        <v>1</v>
      </c>
      <c r="X930">
        <v>3.8</v>
      </c>
      <c r="Y930">
        <v>3.8</v>
      </c>
      <c r="Z930">
        <v>13.6</v>
      </c>
      <c r="AB930">
        <v>13.6</v>
      </c>
      <c r="BT930" s="68" t="s">
        <v>1264</v>
      </c>
      <c r="BU930" s="68">
        <v>1373</v>
      </c>
      <c r="BV930" s="68">
        <v>12</v>
      </c>
      <c r="BX930" s="68" t="s">
        <v>1268</v>
      </c>
      <c r="BY930" s="68" t="s">
        <v>863</v>
      </c>
      <c r="BZ930" s="68">
        <v>1</v>
      </c>
      <c r="CA930" s="68">
        <v>3.1</v>
      </c>
      <c r="CB930" s="68">
        <v>0.5</v>
      </c>
      <c r="CC930" s="68">
        <v>1</v>
      </c>
      <c r="CD930" s="77" t="s">
        <v>464</v>
      </c>
      <c r="CE930" s="77" t="s">
        <v>464</v>
      </c>
      <c r="CF930" s="77" t="s">
        <v>1266</v>
      </c>
      <c r="CG930" s="77">
        <v>125</v>
      </c>
      <c r="CH930" s="77">
        <v>220</v>
      </c>
      <c r="CI930" s="77" t="s">
        <v>1287</v>
      </c>
      <c r="CJ930" s="77">
        <f t="shared" si="253"/>
        <v>288</v>
      </c>
      <c r="CK930" s="70">
        <v>2760</v>
      </c>
    </row>
    <row r="931" spans="1:89" x14ac:dyDescent="0.3">
      <c r="A931" t="s">
        <v>318</v>
      </c>
      <c r="B931" t="s">
        <v>318</v>
      </c>
      <c r="C931" t="s">
        <v>4225</v>
      </c>
      <c r="E931">
        <v>3.4</v>
      </c>
      <c r="F931" t="s">
        <v>1457</v>
      </c>
      <c r="G931" t="s">
        <v>561</v>
      </c>
      <c r="I931" t="s">
        <v>1506</v>
      </c>
      <c r="J931" t="s">
        <v>1726</v>
      </c>
      <c r="M931" t="b">
        <v>1</v>
      </c>
      <c r="N931" t="b">
        <v>0</v>
      </c>
      <c r="O931" t="b">
        <v>0</v>
      </c>
      <c r="P931" t="b">
        <v>0</v>
      </c>
      <c r="Q931" t="s">
        <v>2659</v>
      </c>
      <c r="S931" t="s">
        <v>1506</v>
      </c>
      <c r="T931">
        <v>2</v>
      </c>
      <c r="X931">
        <v>3.7</v>
      </c>
      <c r="Y931">
        <v>3.7</v>
      </c>
      <c r="Z931">
        <v>14</v>
      </c>
      <c r="AB931">
        <v>14</v>
      </c>
      <c r="BT931" s="68" t="s">
        <v>1264</v>
      </c>
      <c r="BU931" s="68">
        <f t="shared" ref="BU931:BU932" si="255">825+273</f>
        <v>1098</v>
      </c>
      <c r="BV931" s="68">
        <v>12</v>
      </c>
      <c r="BX931" s="68" t="s">
        <v>1268</v>
      </c>
      <c r="BY931" s="68" t="s">
        <v>863</v>
      </c>
      <c r="BZ931" s="68">
        <v>1</v>
      </c>
      <c r="CA931" s="68">
        <v>54</v>
      </c>
      <c r="CB931" s="68">
        <v>0.5</v>
      </c>
      <c r="CC931" s="68">
        <v>1</v>
      </c>
      <c r="CD931" s="77" t="s">
        <v>464</v>
      </c>
      <c r="CE931" s="77" t="s">
        <v>464</v>
      </c>
      <c r="CF931" s="77" t="s">
        <v>1266</v>
      </c>
      <c r="CG931" s="77">
        <v>125</v>
      </c>
      <c r="CH931" s="77">
        <v>220</v>
      </c>
      <c r="CI931" s="77" t="s">
        <v>1287</v>
      </c>
      <c r="CJ931" s="77">
        <f t="shared" si="253"/>
        <v>288</v>
      </c>
      <c r="CK931" s="70">
        <v>8360</v>
      </c>
    </row>
    <row r="932" spans="1:89" x14ac:dyDescent="0.3">
      <c r="A932" t="s">
        <v>332</v>
      </c>
      <c r="B932" t="s">
        <v>318</v>
      </c>
      <c r="C932" t="s">
        <v>4238</v>
      </c>
      <c r="E932">
        <v>3.22</v>
      </c>
      <c r="F932" t="s">
        <v>1457</v>
      </c>
      <c r="G932" t="s">
        <v>561</v>
      </c>
      <c r="I932" t="s">
        <v>1505</v>
      </c>
      <c r="J932" t="s">
        <v>1752</v>
      </c>
      <c r="M932" t="b">
        <v>1</v>
      </c>
      <c r="N932" t="b">
        <v>0</v>
      </c>
      <c r="O932" t="b">
        <v>0</v>
      </c>
      <c r="P932" t="b">
        <v>0</v>
      </c>
      <c r="Q932" t="s">
        <v>2660</v>
      </c>
      <c r="S932" t="s">
        <v>1505</v>
      </c>
      <c r="T932">
        <v>2</v>
      </c>
      <c r="X932">
        <v>3.7</v>
      </c>
      <c r="Y932">
        <v>3.7</v>
      </c>
      <c r="Z932">
        <v>16</v>
      </c>
      <c r="AB932">
        <v>16</v>
      </c>
      <c r="BT932" s="68" t="s">
        <v>1264</v>
      </c>
      <c r="BU932" s="68">
        <f t="shared" si="255"/>
        <v>1098</v>
      </c>
      <c r="BV932" s="68">
        <v>12</v>
      </c>
      <c r="BX932" s="68" t="s">
        <v>1268</v>
      </c>
      <c r="BY932" s="68" t="s">
        <v>863</v>
      </c>
      <c r="BZ932" s="68">
        <v>1</v>
      </c>
      <c r="CA932" s="68">
        <v>64</v>
      </c>
      <c r="CB932" s="68">
        <v>0.5</v>
      </c>
      <c r="CC932" s="68">
        <v>1</v>
      </c>
      <c r="CD932" s="77" t="s">
        <v>464</v>
      </c>
      <c r="CE932" s="77" t="s">
        <v>464</v>
      </c>
      <c r="CF932" s="77" t="s">
        <v>1266</v>
      </c>
      <c r="CG932" s="77">
        <v>125</v>
      </c>
      <c r="CH932" s="77">
        <v>220</v>
      </c>
      <c r="CI932" s="77" t="s">
        <v>1287</v>
      </c>
      <c r="CJ932" s="77">
        <f t="shared" si="253"/>
        <v>288</v>
      </c>
      <c r="CK932" s="70">
        <v>396.4</v>
      </c>
    </row>
    <row r="933" spans="1:89" x14ac:dyDescent="0.3">
      <c r="A933" t="s">
        <v>353</v>
      </c>
      <c r="B933" t="s">
        <v>2776</v>
      </c>
      <c r="C933" t="s">
        <v>4259</v>
      </c>
      <c r="E933">
        <v>3.26</v>
      </c>
      <c r="F933" t="s">
        <v>1457</v>
      </c>
      <c r="G933" s="98" t="s">
        <v>549</v>
      </c>
      <c r="I933" t="s">
        <v>1242</v>
      </c>
      <c r="J933" t="s">
        <v>1726</v>
      </c>
      <c r="M933" t="b">
        <v>1</v>
      </c>
      <c r="N933" t="b">
        <v>0</v>
      </c>
      <c r="O933" t="b">
        <v>0</v>
      </c>
      <c r="P933" t="b">
        <v>0</v>
      </c>
      <c r="Q933" t="s">
        <v>2661</v>
      </c>
      <c r="S933" t="s">
        <v>1242</v>
      </c>
      <c r="T933">
        <v>2</v>
      </c>
      <c r="X933">
        <v>3.8</v>
      </c>
      <c r="Y933">
        <v>3.8</v>
      </c>
      <c r="Z933">
        <v>24</v>
      </c>
      <c r="AB933">
        <v>12</v>
      </c>
      <c r="BT933" s="68" t="s">
        <v>1264</v>
      </c>
      <c r="BU933" s="68">
        <v>1373</v>
      </c>
      <c r="BV933" s="68">
        <v>12</v>
      </c>
      <c r="BX933" s="68" t="s">
        <v>1268</v>
      </c>
      <c r="BY933" s="68" t="s">
        <v>863</v>
      </c>
      <c r="BZ933" s="68">
        <v>1</v>
      </c>
      <c r="CA933" s="68">
        <v>21</v>
      </c>
      <c r="CB933" s="68">
        <v>0.5</v>
      </c>
      <c r="CC933" s="68">
        <v>1</v>
      </c>
      <c r="CD933" s="77" t="s">
        <v>464</v>
      </c>
      <c r="CE933" s="77" t="s">
        <v>464</v>
      </c>
      <c r="CF933" s="77" t="s">
        <v>1266</v>
      </c>
      <c r="CG933" s="77">
        <v>125</v>
      </c>
      <c r="CH933" s="77">
        <v>220</v>
      </c>
      <c r="CI933" s="77" t="s">
        <v>1287</v>
      </c>
      <c r="CJ933" s="77">
        <f t="shared" si="253"/>
        <v>288</v>
      </c>
      <c r="CK933" s="70">
        <v>47600</v>
      </c>
    </row>
    <row r="934" spans="1:89" x14ac:dyDescent="0.3">
      <c r="A934" t="s">
        <v>381</v>
      </c>
      <c r="B934" t="s">
        <v>2776</v>
      </c>
      <c r="C934" t="s">
        <v>4280</v>
      </c>
      <c r="E934">
        <v>3.26</v>
      </c>
      <c r="F934" t="s">
        <v>1457</v>
      </c>
      <c r="G934" s="99" t="s">
        <v>549</v>
      </c>
      <c r="H934">
        <v>-1</v>
      </c>
      <c r="J934" t="s">
        <v>1752</v>
      </c>
      <c r="M934" t="b">
        <v>1</v>
      </c>
      <c r="N934" t="b">
        <v>0</v>
      </c>
      <c r="O934" t="b">
        <v>0</v>
      </c>
      <c r="P934" t="b">
        <v>0</v>
      </c>
      <c r="Q934" t="s">
        <v>2662</v>
      </c>
      <c r="R934">
        <v>-1</v>
      </c>
      <c r="T934">
        <v>2</v>
      </c>
      <c r="X934">
        <v>3.8</v>
      </c>
      <c r="Y934">
        <v>3.8</v>
      </c>
      <c r="Z934">
        <v>19.5</v>
      </c>
      <c r="AB934">
        <v>9.75</v>
      </c>
      <c r="BT934" s="68" t="s">
        <v>1264</v>
      </c>
      <c r="BU934" s="68">
        <v>1373</v>
      </c>
      <c r="BV934" s="68">
        <v>12</v>
      </c>
      <c r="BX934" s="68" t="s">
        <v>1268</v>
      </c>
      <c r="BY934" s="68" t="s">
        <v>863</v>
      </c>
      <c r="BZ934" s="68">
        <v>1</v>
      </c>
      <c r="CA934" s="68">
        <v>15</v>
      </c>
      <c r="CB934" s="68">
        <v>0.5</v>
      </c>
      <c r="CC934" s="68">
        <v>1</v>
      </c>
      <c r="CD934" s="77" t="s">
        <v>464</v>
      </c>
      <c r="CE934" s="77" t="s">
        <v>464</v>
      </c>
      <c r="CF934" s="77" t="s">
        <v>1266</v>
      </c>
      <c r="CG934" s="77">
        <v>125</v>
      </c>
      <c r="CH934" s="77">
        <v>220</v>
      </c>
      <c r="CI934" s="77" t="s">
        <v>1287</v>
      </c>
      <c r="CJ934" s="77">
        <f t="shared" si="253"/>
        <v>288</v>
      </c>
      <c r="CK934" s="70">
        <v>20920</v>
      </c>
    </row>
    <row r="935" spans="1:89" x14ac:dyDescent="0.3">
      <c r="A935" t="s">
        <v>44</v>
      </c>
      <c r="B935" t="s">
        <v>2776</v>
      </c>
      <c r="C935" t="s">
        <v>3997</v>
      </c>
      <c r="E935">
        <v>3.63</v>
      </c>
      <c r="F935" t="s">
        <v>1458</v>
      </c>
      <c r="G935" s="98" t="s">
        <v>549</v>
      </c>
      <c r="I935" t="s">
        <v>1505</v>
      </c>
      <c r="M935" t="b">
        <v>1</v>
      </c>
      <c r="N935" t="b">
        <v>0</v>
      </c>
      <c r="O935" t="b">
        <v>0</v>
      </c>
      <c r="P935" t="b">
        <v>0</v>
      </c>
      <c r="Q935" t="s">
        <v>549</v>
      </c>
      <c r="S935" t="s">
        <v>1505</v>
      </c>
      <c r="BT935" s="68" t="s">
        <v>1264</v>
      </c>
      <c r="BU935" s="68">
        <f>1100+273</f>
        <v>1373</v>
      </c>
      <c r="BV935" s="68">
        <v>15</v>
      </c>
      <c r="BX935" s="68" t="s">
        <v>464</v>
      </c>
      <c r="BY935" s="68" t="s">
        <v>464</v>
      </c>
      <c r="BZ935" s="68">
        <v>0</v>
      </c>
      <c r="CA935" s="68">
        <v>1.8</v>
      </c>
      <c r="CB935" s="68">
        <v>0.5</v>
      </c>
      <c r="CC935" s="68">
        <v>1</v>
      </c>
      <c r="CD935" s="77" t="s">
        <v>464</v>
      </c>
      <c r="CE935" s="77" t="s">
        <v>464</v>
      </c>
      <c r="CF935" s="77" t="s">
        <v>1266</v>
      </c>
      <c r="CG935" s="77">
        <v>125</v>
      </c>
      <c r="CH935" s="77">
        <v>220</v>
      </c>
      <c r="CI935" s="77" t="s">
        <v>1287</v>
      </c>
      <c r="CJ935" s="77">
        <f t="shared" si="253"/>
        <v>288</v>
      </c>
      <c r="CK935" s="70">
        <v>216</v>
      </c>
    </row>
    <row r="936" spans="1:89" x14ac:dyDescent="0.3">
      <c r="A936" t="s">
        <v>44</v>
      </c>
      <c r="B936" t="s">
        <v>2776</v>
      </c>
      <c r="C936" t="s">
        <v>3997</v>
      </c>
      <c r="E936">
        <v>3.63</v>
      </c>
      <c r="F936" t="s">
        <v>1458</v>
      </c>
      <c r="G936" s="98" t="s">
        <v>549</v>
      </c>
      <c r="I936" t="s">
        <v>1505</v>
      </c>
      <c r="M936" t="b">
        <v>1</v>
      </c>
      <c r="N936" t="b">
        <v>0</v>
      </c>
      <c r="O936" t="b">
        <v>0</v>
      </c>
      <c r="P936" t="b">
        <v>0</v>
      </c>
      <c r="Q936" t="s">
        <v>549</v>
      </c>
      <c r="S936" t="s">
        <v>1505</v>
      </c>
      <c r="BT936" s="68" t="s">
        <v>1264</v>
      </c>
      <c r="BU936" s="68">
        <f>1100+273</f>
        <v>1373</v>
      </c>
      <c r="BV936" s="68">
        <v>15</v>
      </c>
      <c r="BX936" s="68" t="s">
        <v>1268</v>
      </c>
      <c r="BY936" s="68" t="s">
        <v>863</v>
      </c>
      <c r="BZ936" s="68">
        <v>1</v>
      </c>
      <c r="CB936" s="68">
        <v>0.5</v>
      </c>
      <c r="CC936" s="68">
        <v>1</v>
      </c>
      <c r="CD936" s="77" t="s">
        <v>464</v>
      </c>
      <c r="CE936" s="77" t="s">
        <v>464</v>
      </c>
      <c r="CF936" s="77" t="s">
        <v>1266</v>
      </c>
      <c r="CG936" s="77">
        <v>125</v>
      </c>
      <c r="CH936" s="77">
        <v>220</v>
      </c>
      <c r="CI936" s="77" t="s">
        <v>1287</v>
      </c>
      <c r="CJ936" s="77">
        <f t="shared" si="253"/>
        <v>288</v>
      </c>
      <c r="CK936" s="70">
        <v>45600</v>
      </c>
    </row>
    <row r="937" spans="1:89" x14ac:dyDescent="0.3">
      <c r="A937" t="s">
        <v>44</v>
      </c>
      <c r="B937" t="s">
        <v>2776</v>
      </c>
      <c r="C937" t="s">
        <v>3997</v>
      </c>
      <c r="E937">
        <v>3.56</v>
      </c>
      <c r="F937" t="s">
        <v>1458</v>
      </c>
      <c r="G937" s="98" t="s">
        <v>549</v>
      </c>
      <c r="I937" t="s">
        <v>1505</v>
      </c>
      <c r="M937" t="b">
        <v>1</v>
      </c>
      <c r="N937" t="b">
        <v>0</v>
      </c>
      <c r="O937" t="b">
        <v>0</v>
      </c>
      <c r="P937" t="b">
        <v>0</v>
      </c>
      <c r="Q937" t="s">
        <v>549</v>
      </c>
      <c r="S937" t="s">
        <v>1505</v>
      </c>
      <c r="BT937" s="68" t="s">
        <v>1407</v>
      </c>
      <c r="BX937" s="68" t="s">
        <v>464</v>
      </c>
      <c r="BY937" s="68" t="s">
        <v>464</v>
      </c>
      <c r="BZ937" s="68">
        <v>0</v>
      </c>
      <c r="CA937" s="68">
        <v>20</v>
      </c>
      <c r="CB937" s="68">
        <v>0.5</v>
      </c>
      <c r="CC937" s="68">
        <v>1</v>
      </c>
      <c r="CD937" s="77" t="s">
        <v>464</v>
      </c>
      <c r="CE937" s="77" t="s">
        <v>464</v>
      </c>
      <c r="CF937" s="77" t="s">
        <v>1266</v>
      </c>
      <c r="CG937" s="77">
        <v>125</v>
      </c>
      <c r="CH937" s="77">
        <v>220</v>
      </c>
      <c r="CI937" s="77" t="s">
        <v>1287</v>
      </c>
      <c r="CJ937" s="77">
        <f t="shared" si="253"/>
        <v>288</v>
      </c>
      <c r="CK937" s="70">
        <v>564</v>
      </c>
    </row>
    <row r="938" spans="1:89" x14ac:dyDescent="0.3">
      <c r="A938" t="s">
        <v>44</v>
      </c>
      <c r="B938" t="s">
        <v>2776</v>
      </c>
      <c r="C938" t="s">
        <v>3997</v>
      </c>
      <c r="E938">
        <v>3.56</v>
      </c>
      <c r="F938" t="s">
        <v>1458</v>
      </c>
      <c r="G938" s="98" t="s">
        <v>549</v>
      </c>
      <c r="I938" t="s">
        <v>1505</v>
      </c>
      <c r="M938" t="b">
        <v>1</v>
      </c>
      <c r="N938" t="b">
        <v>0</v>
      </c>
      <c r="O938" t="b">
        <v>0</v>
      </c>
      <c r="P938" t="b">
        <v>0</v>
      </c>
      <c r="Q938" t="s">
        <v>549</v>
      </c>
      <c r="S938" t="s">
        <v>1505</v>
      </c>
      <c r="BT938" s="68" t="s">
        <v>1407</v>
      </c>
      <c r="BX938" s="68" t="s">
        <v>1268</v>
      </c>
      <c r="BY938" s="68" t="s">
        <v>863</v>
      </c>
      <c r="BZ938" s="68">
        <v>1</v>
      </c>
      <c r="CB938" s="68">
        <v>0.5</v>
      </c>
      <c r="CC938" s="68">
        <v>1</v>
      </c>
      <c r="CD938" s="77" t="s">
        <v>464</v>
      </c>
      <c r="CE938" s="77" t="s">
        <v>464</v>
      </c>
      <c r="CF938" s="77" t="s">
        <v>1266</v>
      </c>
      <c r="CG938" s="77">
        <v>125</v>
      </c>
      <c r="CH938" s="77">
        <v>220</v>
      </c>
      <c r="CI938" s="77" t="s">
        <v>1287</v>
      </c>
      <c r="CJ938" s="77">
        <f t="shared" si="253"/>
        <v>288</v>
      </c>
      <c r="CK938" s="70">
        <v>9880</v>
      </c>
    </row>
    <row r="939" spans="1:89" x14ac:dyDescent="0.3">
      <c r="A939" t="s">
        <v>2575</v>
      </c>
      <c r="B939" t="s">
        <v>2776</v>
      </c>
      <c r="C939" t="s">
        <v>4274</v>
      </c>
      <c r="E939" s="58">
        <v>3.4</v>
      </c>
      <c r="F939" t="s">
        <v>1455</v>
      </c>
      <c r="G939" s="109" t="s">
        <v>2538</v>
      </c>
      <c r="J939" t="s">
        <v>1726</v>
      </c>
      <c r="M939" t="b">
        <v>1</v>
      </c>
      <c r="N939" t="b">
        <v>0</v>
      </c>
      <c r="O939" t="b">
        <v>0</v>
      </c>
      <c r="P939" t="b">
        <v>0</v>
      </c>
      <c r="Q939" t="s">
        <v>2663</v>
      </c>
      <c r="T939">
        <v>2</v>
      </c>
      <c r="X939">
        <v>3.835</v>
      </c>
      <c r="Y939">
        <v>3.835</v>
      </c>
      <c r="Z939">
        <v>34.43</v>
      </c>
      <c r="AA939" t="s">
        <v>439</v>
      </c>
      <c r="AB939">
        <v>17.215</v>
      </c>
      <c r="BT939" s="68" t="s">
        <v>1264</v>
      </c>
      <c r="BU939" s="68">
        <v>1273</v>
      </c>
      <c r="BV939" s="68">
        <v>10</v>
      </c>
      <c r="BX939" s="68" t="s">
        <v>464</v>
      </c>
      <c r="BY939" s="68" t="s">
        <v>464</v>
      </c>
      <c r="BZ939" s="68">
        <v>0</v>
      </c>
      <c r="CB939" s="68">
        <v>0.5</v>
      </c>
      <c r="CC939" s="68">
        <v>0</v>
      </c>
      <c r="CD939" s="77" t="s">
        <v>464</v>
      </c>
      <c r="CE939" s="77" t="s">
        <v>464</v>
      </c>
      <c r="CF939" s="77" t="s">
        <v>1266</v>
      </c>
      <c r="CG939" s="77">
        <v>125</v>
      </c>
      <c r="CH939" s="77">
        <v>220</v>
      </c>
      <c r="CI939" s="77" t="s">
        <v>1287</v>
      </c>
      <c r="CJ939" s="77">
        <f t="shared" si="253"/>
        <v>288</v>
      </c>
      <c r="CK939" s="70">
        <v>3.28</v>
      </c>
    </row>
    <row r="940" spans="1:89" x14ac:dyDescent="0.3">
      <c r="A940" t="s">
        <v>2575</v>
      </c>
      <c r="B940" t="s">
        <v>2776</v>
      </c>
      <c r="C940" t="s">
        <v>4274</v>
      </c>
      <c r="E940" s="58">
        <v>3.4</v>
      </c>
      <c r="F940" t="s">
        <v>1455</v>
      </c>
      <c r="G940" s="109" t="s">
        <v>2538</v>
      </c>
      <c r="J940" t="s">
        <v>1726</v>
      </c>
      <c r="M940" t="b">
        <v>1</v>
      </c>
      <c r="N940" t="b">
        <v>0</v>
      </c>
      <c r="O940" t="b">
        <v>0</v>
      </c>
      <c r="P940" t="b">
        <v>0</v>
      </c>
      <c r="Q940" t="s">
        <v>2664</v>
      </c>
      <c r="T940">
        <v>2</v>
      </c>
      <c r="X940">
        <v>3.835</v>
      </c>
      <c r="Y940">
        <v>3.835</v>
      </c>
      <c r="Z940">
        <v>34.43</v>
      </c>
      <c r="AA940" t="s">
        <v>439</v>
      </c>
      <c r="AB940">
        <v>17.215</v>
      </c>
      <c r="BT940" s="68" t="s">
        <v>1264</v>
      </c>
      <c r="BU940" s="68">
        <v>1273</v>
      </c>
      <c r="BV940" s="68">
        <v>10</v>
      </c>
      <c r="BX940" s="68" t="s">
        <v>464</v>
      </c>
      <c r="BY940" s="68" t="s">
        <v>464</v>
      </c>
      <c r="BZ940" s="68">
        <v>0</v>
      </c>
      <c r="CB940" s="68">
        <v>0.5</v>
      </c>
      <c r="CC940" s="68">
        <v>0.1</v>
      </c>
      <c r="CD940" s="77" t="s">
        <v>464</v>
      </c>
      <c r="CE940" s="77" t="s">
        <v>464</v>
      </c>
      <c r="CF940" s="77" t="s">
        <v>1266</v>
      </c>
      <c r="CG940" s="77">
        <v>125</v>
      </c>
      <c r="CH940" s="77">
        <v>220</v>
      </c>
      <c r="CI940" s="77" t="s">
        <v>1287</v>
      </c>
      <c r="CJ940" s="77">
        <f t="shared" si="253"/>
        <v>288</v>
      </c>
      <c r="CK940" s="70">
        <v>8.1599999999999984</v>
      </c>
    </row>
    <row r="941" spans="1:89" x14ac:dyDescent="0.3">
      <c r="A941" t="s">
        <v>2575</v>
      </c>
      <c r="B941" t="s">
        <v>2776</v>
      </c>
      <c r="C941" t="s">
        <v>4274</v>
      </c>
      <c r="E941" s="58">
        <v>3.4</v>
      </c>
      <c r="F941" t="s">
        <v>1455</v>
      </c>
      <c r="G941" s="109" t="s">
        <v>2538</v>
      </c>
      <c r="J941" t="s">
        <v>1726</v>
      </c>
      <c r="M941" t="b">
        <v>1</v>
      </c>
      <c r="N941" t="b">
        <v>0</v>
      </c>
      <c r="O941" t="b">
        <v>0</v>
      </c>
      <c r="P941" t="b">
        <v>0</v>
      </c>
      <c r="Q941" t="s">
        <v>2665</v>
      </c>
      <c r="T941">
        <v>2</v>
      </c>
      <c r="X941">
        <v>3.835</v>
      </c>
      <c r="Y941">
        <v>3.835</v>
      </c>
      <c r="Z941">
        <v>34.43</v>
      </c>
      <c r="AA941" t="s">
        <v>439</v>
      </c>
      <c r="AB941">
        <v>17.215</v>
      </c>
      <c r="BT941" s="68" t="s">
        <v>1264</v>
      </c>
      <c r="BU941" s="68">
        <v>1273</v>
      </c>
      <c r="BV941" s="68">
        <v>10</v>
      </c>
      <c r="BX941" s="68" t="s">
        <v>464</v>
      </c>
      <c r="BY941" s="68" t="s">
        <v>464</v>
      </c>
      <c r="BZ941" s="68">
        <v>0</v>
      </c>
      <c r="CB941" s="68">
        <v>0.5</v>
      </c>
      <c r="CC941" s="68">
        <v>0.2</v>
      </c>
      <c r="CD941" s="77" t="s">
        <v>464</v>
      </c>
      <c r="CE941" s="77" t="s">
        <v>464</v>
      </c>
      <c r="CF941" s="77" t="s">
        <v>1266</v>
      </c>
      <c r="CG941" s="77">
        <v>125</v>
      </c>
      <c r="CH941" s="77">
        <v>220</v>
      </c>
      <c r="CI941" s="77" t="s">
        <v>1287</v>
      </c>
      <c r="CJ941" s="77">
        <f t="shared" si="253"/>
        <v>288</v>
      </c>
      <c r="CK941" s="70">
        <v>8.2799999999999994</v>
      </c>
    </row>
    <row r="942" spans="1:89" x14ac:dyDescent="0.3">
      <c r="A942" t="s">
        <v>2575</v>
      </c>
      <c r="B942" t="s">
        <v>2776</v>
      </c>
      <c r="C942" t="s">
        <v>4274</v>
      </c>
      <c r="E942" s="58">
        <v>3.4</v>
      </c>
      <c r="F942" t="s">
        <v>1455</v>
      </c>
      <c r="G942" s="109" t="s">
        <v>2538</v>
      </c>
      <c r="J942" t="s">
        <v>1726</v>
      </c>
      <c r="M942" t="b">
        <v>1</v>
      </c>
      <c r="N942" t="b">
        <v>0</v>
      </c>
      <c r="O942" t="b">
        <v>0</v>
      </c>
      <c r="P942" t="b">
        <v>0</v>
      </c>
      <c r="Q942" t="s">
        <v>2666</v>
      </c>
      <c r="T942">
        <v>2</v>
      </c>
      <c r="X942">
        <v>3.835</v>
      </c>
      <c r="Y942">
        <v>3.835</v>
      </c>
      <c r="Z942">
        <v>34.43</v>
      </c>
      <c r="AA942" t="s">
        <v>439</v>
      </c>
      <c r="AB942">
        <v>17.215</v>
      </c>
      <c r="BT942" s="68" t="s">
        <v>1264</v>
      </c>
      <c r="BU942" s="68">
        <v>1273</v>
      </c>
      <c r="BV942" s="68">
        <v>10</v>
      </c>
      <c r="BX942" s="68" t="s">
        <v>464</v>
      </c>
      <c r="BY942" s="68" t="s">
        <v>464</v>
      </c>
      <c r="BZ942" s="68">
        <v>0</v>
      </c>
      <c r="CB942" s="68">
        <v>0.5</v>
      </c>
      <c r="CC942" s="68">
        <v>0.5</v>
      </c>
      <c r="CD942" s="77" t="s">
        <v>464</v>
      </c>
      <c r="CE942" s="77" t="s">
        <v>464</v>
      </c>
      <c r="CF942" s="77" t="s">
        <v>1266</v>
      </c>
      <c r="CG942" s="77">
        <v>125</v>
      </c>
      <c r="CH942" s="77">
        <v>220</v>
      </c>
      <c r="CI942" s="77" t="s">
        <v>1287</v>
      </c>
      <c r="CJ942" s="77">
        <f t="shared" si="253"/>
        <v>288</v>
      </c>
      <c r="CK942" s="70">
        <v>19.119999999999997</v>
      </c>
    </row>
    <row r="943" spans="1:89" x14ac:dyDescent="0.3">
      <c r="A943" t="s">
        <v>2575</v>
      </c>
      <c r="B943" t="s">
        <v>2776</v>
      </c>
      <c r="C943" t="s">
        <v>4274</v>
      </c>
      <c r="E943" s="58">
        <v>3.4</v>
      </c>
      <c r="F943" t="s">
        <v>1455</v>
      </c>
      <c r="G943" s="109" t="s">
        <v>2538</v>
      </c>
      <c r="J943" t="s">
        <v>1726</v>
      </c>
      <c r="M943" t="b">
        <v>1</v>
      </c>
      <c r="N943" t="b">
        <v>0</v>
      </c>
      <c r="O943" t="b">
        <v>0</v>
      </c>
      <c r="P943" t="b">
        <v>0</v>
      </c>
      <c r="Q943" t="s">
        <v>2667</v>
      </c>
      <c r="T943">
        <v>2</v>
      </c>
      <c r="X943">
        <v>3.835</v>
      </c>
      <c r="Y943">
        <v>3.835</v>
      </c>
      <c r="Z943">
        <v>34.43</v>
      </c>
      <c r="AA943" t="s">
        <v>439</v>
      </c>
      <c r="AB943">
        <v>17.215</v>
      </c>
      <c r="BT943" s="68" t="s">
        <v>1264</v>
      </c>
      <c r="BU943" s="68">
        <v>1273</v>
      </c>
      <c r="BV943" s="68">
        <v>10</v>
      </c>
      <c r="BX943" s="68" t="s">
        <v>464</v>
      </c>
      <c r="BY943" s="68" t="s">
        <v>464</v>
      </c>
      <c r="BZ943" s="68">
        <v>0</v>
      </c>
      <c r="CB943" s="68">
        <v>0.5</v>
      </c>
      <c r="CC943" s="68">
        <v>1</v>
      </c>
      <c r="CD943" s="77" t="s">
        <v>464</v>
      </c>
      <c r="CE943" s="77" t="s">
        <v>464</v>
      </c>
      <c r="CF943" s="77" t="s">
        <v>1266</v>
      </c>
      <c r="CG943" s="77">
        <v>125</v>
      </c>
      <c r="CH943" s="77">
        <v>220</v>
      </c>
      <c r="CI943" s="77" t="s">
        <v>1287</v>
      </c>
      <c r="CJ943" s="77">
        <f t="shared" si="253"/>
        <v>288</v>
      </c>
      <c r="CK943" s="70">
        <v>31.08</v>
      </c>
    </row>
    <row r="944" spans="1:89" x14ac:dyDescent="0.3">
      <c r="A944" t="s">
        <v>2575</v>
      </c>
      <c r="B944" t="s">
        <v>2776</v>
      </c>
      <c r="C944" t="s">
        <v>4274</v>
      </c>
      <c r="E944" s="58">
        <v>3.4</v>
      </c>
      <c r="F944" t="s">
        <v>1455</v>
      </c>
      <c r="G944" s="110" t="s">
        <v>2538</v>
      </c>
      <c r="J944" t="s">
        <v>1726</v>
      </c>
      <c r="M944" t="b">
        <v>1</v>
      </c>
      <c r="N944" t="b">
        <v>0</v>
      </c>
      <c r="O944" t="b">
        <v>0</v>
      </c>
      <c r="P944" t="b">
        <v>0</v>
      </c>
      <c r="Q944" t="s">
        <v>2668</v>
      </c>
      <c r="T944">
        <v>2</v>
      </c>
      <c r="X944">
        <v>3.835</v>
      </c>
      <c r="Y944">
        <v>3.835</v>
      </c>
      <c r="Z944">
        <v>34.43</v>
      </c>
      <c r="AA944" t="s">
        <v>439</v>
      </c>
      <c r="AB944">
        <v>17.215</v>
      </c>
      <c r="BT944" s="68" t="s">
        <v>1264</v>
      </c>
      <c r="BU944" s="68">
        <v>1273</v>
      </c>
      <c r="BV944" s="68">
        <v>10</v>
      </c>
      <c r="BX944" s="68" t="s">
        <v>464</v>
      </c>
      <c r="BY944" s="68" t="s">
        <v>464</v>
      </c>
      <c r="BZ944" s="68">
        <v>0</v>
      </c>
      <c r="CB944" s="68">
        <v>0.5</v>
      </c>
      <c r="CC944" s="68">
        <v>2</v>
      </c>
      <c r="CD944" s="77" t="s">
        <v>464</v>
      </c>
      <c r="CE944" s="77" t="s">
        <v>464</v>
      </c>
      <c r="CF944" s="77" t="s">
        <v>1266</v>
      </c>
      <c r="CG944" s="77">
        <v>125</v>
      </c>
      <c r="CH944" s="77">
        <v>220</v>
      </c>
      <c r="CI944" s="77" t="s">
        <v>1287</v>
      </c>
      <c r="CJ944" s="77">
        <f t="shared" si="253"/>
        <v>288</v>
      </c>
      <c r="CK944" s="70">
        <v>56.719999999999992</v>
      </c>
    </row>
    <row r="945" spans="1:89" x14ac:dyDescent="0.3">
      <c r="A945" t="s">
        <v>2575</v>
      </c>
      <c r="B945" t="s">
        <v>2776</v>
      </c>
      <c r="C945" t="s">
        <v>4274</v>
      </c>
      <c r="E945" s="58">
        <v>3.4</v>
      </c>
      <c r="F945" t="s">
        <v>1455</v>
      </c>
      <c r="G945" s="109" t="s">
        <v>2538</v>
      </c>
      <c r="J945" t="s">
        <v>1726</v>
      </c>
      <c r="M945" t="b">
        <v>1</v>
      </c>
      <c r="N945" t="b">
        <v>0</v>
      </c>
      <c r="O945" t="b">
        <v>0</v>
      </c>
      <c r="P945" t="b">
        <v>0</v>
      </c>
      <c r="Q945" t="s">
        <v>2669</v>
      </c>
      <c r="T945">
        <v>2</v>
      </c>
      <c r="X945">
        <v>3.835</v>
      </c>
      <c r="Y945">
        <v>3.835</v>
      </c>
      <c r="Z945">
        <v>34.43</v>
      </c>
      <c r="AA945" t="s">
        <v>439</v>
      </c>
      <c r="AB945">
        <v>17.215</v>
      </c>
      <c r="BT945" s="68" t="s">
        <v>1264</v>
      </c>
      <c r="BU945" s="68">
        <v>1273</v>
      </c>
      <c r="BV945" s="68">
        <v>10</v>
      </c>
      <c r="BX945" s="68" t="s">
        <v>464</v>
      </c>
      <c r="BY945" s="68" t="s">
        <v>464</v>
      </c>
      <c r="BZ945" s="68">
        <v>0</v>
      </c>
      <c r="CB945" s="68">
        <v>0.5</v>
      </c>
      <c r="CC945" s="68">
        <v>5</v>
      </c>
      <c r="CD945" s="77" t="s">
        <v>464</v>
      </c>
      <c r="CE945" s="77" t="s">
        <v>464</v>
      </c>
      <c r="CF945" s="77" t="s">
        <v>1266</v>
      </c>
      <c r="CG945" s="77">
        <v>125</v>
      </c>
      <c r="CH945" s="77">
        <v>220</v>
      </c>
      <c r="CI945" s="77" t="s">
        <v>1287</v>
      </c>
      <c r="CJ945" s="77">
        <f t="shared" si="253"/>
        <v>288</v>
      </c>
      <c r="CK945" s="70">
        <v>89.28</v>
      </c>
    </row>
    <row r="946" spans="1:89" x14ac:dyDescent="0.3">
      <c r="A946" t="s">
        <v>2575</v>
      </c>
      <c r="B946" t="s">
        <v>2776</v>
      </c>
      <c r="C946" t="s">
        <v>4274</v>
      </c>
      <c r="E946" s="58">
        <v>3.4</v>
      </c>
      <c r="F946" t="s">
        <v>1455</v>
      </c>
      <c r="G946" s="109" t="s">
        <v>2538</v>
      </c>
      <c r="J946" t="s">
        <v>1726</v>
      </c>
      <c r="M946" t="b">
        <v>1</v>
      </c>
      <c r="N946" t="b">
        <v>0</v>
      </c>
      <c r="O946" t="b">
        <v>0</v>
      </c>
      <c r="P946" t="b">
        <v>0</v>
      </c>
      <c r="Q946" t="s">
        <v>2670</v>
      </c>
      <c r="T946">
        <v>2</v>
      </c>
      <c r="X946">
        <v>3.835</v>
      </c>
      <c r="Y946">
        <v>3.835</v>
      </c>
      <c r="Z946">
        <v>34.43</v>
      </c>
      <c r="AA946" t="s">
        <v>439</v>
      </c>
      <c r="AB946">
        <v>17.215</v>
      </c>
      <c r="BT946" s="68" t="s">
        <v>1264</v>
      </c>
      <c r="BU946" s="68">
        <v>1273</v>
      </c>
      <c r="BV946" s="68">
        <v>10</v>
      </c>
      <c r="BX946" s="68" t="s">
        <v>464</v>
      </c>
      <c r="BY946" s="68" t="s">
        <v>464</v>
      </c>
      <c r="BZ946" s="68">
        <v>0</v>
      </c>
      <c r="CB946" s="68">
        <v>0.5</v>
      </c>
      <c r="CC946" s="68">
        <v>10</v>
      </c>
      <c r="CD946" s="77" t="s">
        <v>464</v>
      </c>
      <c r="CE946" s="77" t="s">
        <v>464</v>
      </c>
      <c r="CF946" s="77" t="s">
        <v>1266</v>
      </c>
      <c r="CG946" s="77">
        <v>125</v>
      </c>
      <c r="CH946" s="77">
        <v>220</v>
      </c>
      <c r="CI946" s="77" t="s">
        <v>1287</v>
      </c>
      <c r="CJ946" s="77">
        <f t="shared" si="253"/>
        <v>288</v>
      </c>
      <c r="CK946" s="70">
        <v>103.52</v>
      </c>
    </row>
    <row r="947" spans="1:89" x14ac:dyDescent="0.3">
      <c r="A947" t="s">
        <v>2575</v>
      </c>
      <c r="B947" t="s">
        <v>2776</v>
      </c>
      <c r="C947" t="s">
        <v>4274</v>
      </c>
      <c r="E947" s="58">
        <v>3.4</v>
      </c>
      <c r="F947" t="s">
        <v>1455</v>
      </c>
      <c r="G947" s="109" t="s">
        <v>2538</v>
      </c>
      <c r="J947" t="s">
        <v>1726</v>
      </c>
      <c r="M947" t="b">
        <v>1</v>
      </c>
      <c r="N947" t="b">
        <v>0</v>
      </c>
      <c r="O947" t="b">
        <v>0</v>
      </c>
      <c r="P947" t="b">
        <v>0</v>
      </c>
      <c r="Q947" t="s">
        <v>2671</v>
      </c>
      <c r="T947">
        <v>2</v>
      </c>
      <c r="X947">
        <v>3.835</v>
      </c>
      <c r="Y947">
        <v>3.835</v>
      </c>
      <c r="Z947">
        <v>34.43</v>
      </c>
      <c r="AA947" t="s">
        <v>439</v>
      </c>
      <c r="AB947">
        <v>17.215</v>
      </c>
      <c r="BT947" s="68" t="s">
        <v>1264</v>
      </c>
      <c r="BU947" s="68">
        <v>1273</v>
      </c>
      <c r="BV947" s="68">
        <v>10</v>
      </c>
      <c r="BX947" s="68" t="s">
        <v>464</v>
      </c>
      <c r="BY947" s="68" t="s">
        <v>464</v>
      </c>
      <c r="BZ947" s="68">
        <v>0</v>
      </c>
      <c r="CB947" s="68">
        <v>0.5</v>
      </c>
      <c r="CC947" s="68">
        <v>25</v>
      </c>
      <c r="CD947" s="77" t="s">
        <v>464</v>
      </c>
      <c r="CE947" s="77" t="s">
        <v>464</v>
      </c>
      <c r="CF947" s="77" t="s">
        <v>1266</v>
      </c>
      <c r="CG947" s="77">
        <v>125</v>
      </c>
      <c r="CH947" s="77">
        <v>220</v>
      </c>
      <c r="CI947" s="77" t="s">
        <v>1287</v>
      </c>
      <c r="CJ947" s="77">
        <f t="shared" si="253"/>
        <v>288</v>
      </c>
      <c r="CK947" s="70">
        <v>113.11999999999999</v>
      </c>
    </row>
    <row r="948" spans="1:89" x14ac:dyDescent="0.3">
      <c r="A948" t="s">
        <v>2575</v>
      </c>
      <c r="B948" t="s">
        <v>2776</v>
      </c>
      <c r="C948" t="s">
        <v>4274</v>
      </c>
      <c r="E948" s="58">
        <v>3.4</v>
      </c>
      <c r="F948" t="s">
        <v>1455</v>
      </c>
      <c r="G948" s="109" t="s">
        <v>2538</v>
      </c>
      <c r="J948" t="s">
        <v>1726</v>
      </c>
      <c r="M948" t="b">
        <v>1</v>
      </c>
      <c r="N948" t="b">
        <v>0</v>
      </c>
      <c r="O948" t="b">
        <v>0</v>
      </c>
      <c r="P948" t="b">
        <v>0</v>
      </c>
      <c r="Q948" t="s">
        <v>2672</v>
      </c>
      <c r="T948">
        <v>2</v>
      </c>
      <c r="X948">
        <v>3.835</v>
      </c>
      <c r="Y948">
        <v>3.835</v>
      </c>
      <c r="Z948">
        <v>34.43</v>
      </c>
      <c r="AA948" t="s">
        <v>439</v>
      </c>
      <c r="AB948">
        <v>17.215</v>
      </c>
      <c r="BT948" s="68" t="s">
        <v>1264</v>
      </c>
      <c r="BU948" s="68">
        <v>1273</v>
      </c>
      <c r="BV948" s="68">
        <v>10</v>
      </c>
      <c r="BX948" s="68" t="s">
        <v>464</v>
      </c>
      <c r="BY948" s="68" t="s">
        <v>464</v>
      </c>
      <c r="BZ948" s="68">
        <v>0</v>
      </c>
      <c r="CB948" s="68">
        <v>0.5</v>
      </c>
      <c r="CC948" s="68">
        <v>50</v>
      </c>
      <c r="CD948" s="77" t="s">
        <v>464</v>
      </c>
      <c r="CE948" s="77" t="s">
        <v>464</v>
      </c>
      <c r="CF948" s="77" t="s">
        <v>1266</v>
      </c>
      <c r="CG948" s="77">
        <v>125</v>
      </c>
      <c r="CH948" s="77">
        <v>220</v>
      </c>
      <c r="CI948" s="77" t="s">
        <v>1287</v>
      </c>
      <c r="CJ948" s="77">
        <f t="shared" si="253"/>
        <v>288</v>
      </c>
      <c r="CK948" s="70">
        <v>112.27999999999999</v>
      </c>
    </row>
    <row r="949" spans="1:89" x14ac:dyDescent="0.3">
      <c r="A949" t="s">
        <v>2575</v>
      </c>
      <c r="B949" t="s">
        <v>2776</v>
      </c>
      <c r="C949" t="s">
        <v>4274</v>
      </c>
      <c r="E949" s="58">
        <v>3.4</v>
      </c>
      <c r="F949" t="s">
        <v>1455</v>
      </c>
      <c r="G949" s="109" t="s">
        <v>2538</v>
      </c>
      <c r="J949" t="s">
        <v>1726</v>
      </c>
      <c r="M949" t="b">
        <v>1</v>
      </c>
      <c r="N949" t="b">
        <v>0</v>
      </c>
      <c r="O949" t="b">
        <v>0</v>
      </c>
      <c r="P949" t="b">
        <v>0</v>
      </c>
      <c r="Q949" t="s">
        <v>2673</v>
      </c>
      <c r="T949">
        <v>2</v>
      </c>
      <c r="X949">
        <v>3.835</v>
      </c>
      <c r="Y949">
        <v>3.835</v>
      </c>
      <c r="Z949">
        <v>34.43</v>
      </c>
      <c r="AA949" t="s">
        <v>439</v>
      </c>
      <c r="AB949">
        <v>17.215</v>
      </c>
      <c r="BT949" s="68" t="s">
        <v>1264</v>
      </c>
      <c r="BU949" s="68">
        <v>1273</v>
      </c>
      <c r="BV949" s="68">
        <v>10</v>
      </c>
      <c r="BX949" s="68" t="s">
        <v>464</v>
      </c>
      <c r="BY949" s="68" t="s">
        <v>464</v>
      </c>
      <c r="BZ949" s="68">
        <v>0</v>
      </c>
      <c r="CB949" s="68">
        <v>0.5</v>
      </c>
      <c r="CC949" s="68">
        <v>90</v>
      </c>
      <c r="CD949" s="77" t="s">
        <v>464</v>
      </c>
      <c r="CE949" s="77" t="s">
        <v>464</v>
      </c>
      <c r="CF949" s="77" t="s">
        <v>1266</v>
      </c>
      <c r="CG949" s="77">
        <v>125</v>
      </c>
      <c r="CH949" s="77">
        <v>220</v>
      </c>
      <c r="CI949" s="77" t="s">
        <v>1287</v>
      </c>
      <c r="CJ949" s="77">
        <f t="shared" si="253"/>
        <v>288</v>
      </c>
      <c r="CK949" s="70">
        <v>123.52</v>
      </c>
    </row>
    <row r="950" spans="1:89" x14ac:dyDescent="0.3">
      <c r="A950" t="s">
        <v>353</v>
      </c>
      <c r="B950" t="s">
        <v>2776</v>
      </c>
      <c r="C950" t="s">
        <v>4259</v>
      </c>
      <c r="E950" s="58">
        <v>3.4112499999999999</v>
      </c>
      <c r="F950" t="s">
        <v>1459</v>
      </c>
      <c r="G950" s="98" t="s">
        <v>549</v>
      </c>
      <c r="I950" t="s">
        <v>1242</v>
      </c>
      <c r="J950" t="s">
        <v>1726</v>
      </c>
      <c r="M950" t="b">
        <v>1</v>
      </c>
      <c r="N950" t="b">
        <v>0</v>
      </c>
      <c r="O950" t="b">
        <v>0</v>
      </c>
      <c r="P950" t="b">
        <v>0</v>
      </c>
      <c r="Q950" t="s">
        <v>2674</v>
      </c>
      <c r="S950" t="s">
        <v>1242</v>
      </c>
      <c r="T950">
        <v>2</v>
      </c>
      <c r="X950">
        <v>3.81</v>
      </c>
      <c r="Y950">
        <v>3.81</v>
      </c>
      <c r="Z950">
        <v>27.41</v>
      </c>
      <c r="AA950" t="s">
        <v>1131</v>
      </c>
      <c r="AB950">
        <v>13.705</v>
      </c>
      <c r="BT950" s="68" t="s">
        <v>1264</v>
      </c>
      <c r="BU950" s="68">
        <v>1273</v>
      </c>
      <c r="BV950" s="68">
        <v>10</v>
      </c>
      <c r="BX950" s="68" t="s">
        <v>1268</v>
      </c>
      <c r="BY950" s="68" t="s">
        <v>863</v>
      </c>
      <c r="BZ950" s="68">
        <v>1</v>
      </c>
      <c r="CB950" s="68">
        <v>0.5</v>
      </c>
      <c r="CC950" s="68">
        <v>1</v>
      </c>
      <c r="CD950" s="77" t="s">
        <v>464</v>
      </c>
      <c r="CE950" s="77" t="s">
        <v>464</v>
      </c>
      <c r="CF950" s="77" t="s">
        <v>1266</v>
      </c>
      <c r="CG950" s="77">
        <v>125</v>
      </c>
      <c r="CH950" s="77">
        <v>220</v>
      </c>
      <c r="CI950" s="77" t="s">
        <v>1287</v>
      </c>
      <c r="CJ950" s="77">
        <f t="shared" si="253"/>
        <v>288</v>
      </c>
      <c r="CK950" s="70">
        <v>6000</v>
      </c>
    </row>
    <row r="951" spans="1:89" x14ac:dyDescent="0.3">
      <c r="A951" t="s">
        <v>2573</v>
      </c>
      <c r="B951" t="s">
        <v>2776</v>
      </c>
      <c r="C951" t="s">
        <v>4272</v>
      </c>
      <c r="E951" s="58">
        <v>3.42</v>
      </c>
      <c r="F951" t="s">
        <v>1459</v>
      </c>
      <c r="G951" s="109" t="s">
        <v>2536</v>
      </c>
      <c r="J951" t="s">
        <v>1726</v>
      </c>
      <c r="M951" t="b">
        <v>1</v>
      </c>
      <c r="N951" t="b">
        <v>0</v>
      </c>
      <c r="O951" t="b">
        <v>0</v>
      </c>
      <c r="P951" t="b">
        <v>0</v>
      </c>
      <c r="Q951" t="s">
        <v>2675</v>
      </c>
      <c r="T951">
        <v>1</v>
      </c>
      <c r="X951">
        <v>3.82</v>
      </c>
      <c r="Y951">
        <v>3.82</v>
      </c>
      <c r="Z951">
        <v>25.06</v>
      </c>
      <c r="AA951" t="s">
        <v>1131</v>
      </c>
      <c r="AB951">
        <v>25.06</v>
      </c>
      <c r="BT951" s="68" t="s">
        <v>1264</v>
      </c>
      <c r="BU951" s="68">
        <v>1273</v>
      </c>
      <c r="BV951" s="68">
        <v>10</v>
      </c>
      <c r="BX951" s="68" t="s">
        <v>1268</v>
      </c>
      <c r="BY951" s="68" t="s">
        <v>863</v>
      </c>
      <c r="BZ951" s="68">
        <v>1</v>
      </c>
      <c r="CA951" s="68">
        <v>12.7</v>
      </c>
      <c r="CB951" s="68">
        <v>0.5</v>
      </c>
      <c r="CC951" s="68">
        <v>1</v>
      </c>
      <c r="CD951" s="77" t="s">
        <v>464</v>
      </c>
      <c r="CE951" s="77" t="s">
        <v>464</v>
      </c>
      <c r="CF951" s="77" t="s">
        <v>1266</v>
      </c>
      <c r="CG951" s="77">
        <v>125</v>
      </c>
      <c r="CH951" s="77">
        <v>220</v>
      </c>
      <c r="CI951" s="77" t="s">
        <v>1287</v>
      </c>
      <c r="CJ951" s="77">
        <f t="shared" si="253"/>
        <v>288</v>
      </c>
      <c r="CK951" s="70">
        <v>66000</v>
      </c>
    </row>
    <row r="952" spans="1:89" x14ac:dyDescent="0.3">
      <c r="A952" t="s">
        <v>2573</v>
      </c>
      <c r="B952" t="s">
        <v>2776</v>
      </c>
      <c r="C952" t="s">
        <v>4272</v>
      </c>
      <c r="E952" s="58">
        <v>3.42</v>
      </c>
      <c r="F952" t="s">
        <v>1459</v>
      </c>
      <c r="G952" s="109" t="s">
        <v>2536</v>
      </c>
      <c r="J952" t="s">
        <v>1726</v>
      </c>
      <c r="M952" t="b">
        <v>1</v>
      </c>
      <c r="N952" t="b">
        <v>0</v>
      </c>
      <c r="O952" t="b">
        <v>0</v>
      </c>
      <c r="P952" t="b">
        <v>0</v>
      </c>
      <c r="Q952" t="s">
        <v>2676</v>
      </c>
      <c r="T952">
        <v>1</v>
      </c>
      <c r="X952">
        <v>3.82</v>
      </c>
      <c r="Y952">
        <v>3.82</v>
      </c>
      <c r="Z952">
        <v>25.06</v>
      </c>
      <c r="AA952" t="s">
        <v>1131</v>
      </c>
      <c r="AB952">
        <v>25.06</v>
      </c>
      <c r="BT952" s="68" t="s">
        <v>1264</v>
      </c>
      <c r="BU952" s="68">
        <v>1273</v>
      </c>
      <c r="BV952" s="68">
        <v>10</v>
      </c>
      <c r="BX952" s="68" t="s">
        <v>1268</v>
      </c>
      <c r="BY952" s="68" t="s">
        <v>863</v>
      </c>
      <c r="BZ952" s="68">
        <v>1</v>
      </c>
      <c r="CB952" s="68">
        <v>0.5</v>
      </c>
      <c r="CC952" s="68">
        <v>0</v>
      </c>
      <c r="CD952" s="77" t="s">
        <v>464</v>
      </c>
      <c r="CE952" s="77" t="s">
        <v>464</v>
      </c>
      <c r="CF952" s="77" t="s">
        <v>1266</v>
      </c>
      <c r="CG952" s="77">
        <v>125</v>
      </c>
      <c r="CH952" s="77">
        <v>220</v>
      </c>
      <c r="CI952" s="77" t="s">
        <v>1287</v>
      </c>
      <c r="CJ952" s="77">
        <f t="shared" si="253"/>
        <v>288</v>
      </c>
      <c r="CK952" s="70">
        <v>0</v>
      </c>
    </row>
    <row r="953" spans="1:89" x14ac:dyDescent="0.3">
      <c r="A953" t="s">
        <v>2573</v>
      </c>
      <c r="B953" t="s">
        <v>2776</v>
      </c>
      <c r="C953" t="s">
        <v>4272</v>
      </c>
      <c r="E953" s="58">
        <v>3.42</v>
      </c>
      <c r="F953" t="s">
        <v>1459</v>
      </c>
      <c r="G953" s="109" t="s">
        <v>2536</v>
      </c>
      <c r="J953" t="s">
        <v>1726</v>
      </c>
      <c r="M953" t="b">
        <v>1</v>
      </c>
      <c r="N953" t="b">
        <v>0</v>
      </c>
      <c r="O953" t="b">
        <v>0</v>
      </c>
      <c r="P953" t="b">
        <v>0</v>
      </c>
      <c r="Q953" t="s">
        <v>2677</v>
      </c>
      <c r="T953">
        <v>1</v>
      </c>
      <c r="X953">
        <v>3.82</v>
      </c>
      <c r="Y953">
        <v>3.82</v>
      </c>
      <c r="Z953">
        <v>25.06</v>
      </c>
      <c r="AA953" t="s">
        <v>1131</v>
      </c>
      <c r="AB953">
        <v>25.06</v>
      </c>
      <c r="BT953" s="68" t="s">
        <v>1264</v>
      </c>
      <c r="BU953" s="68">
        <v>1273</v>
      </c>
      <c r="BV953" s="68">
        <v>10</v>
      </c>
      <c r="BX953" s="68" t="s">
        <v>1268</v>
      </c>
      <c r="BY953" s="68" t="s">
        <v>863</v>
      </c>
      <c r="BZ953" s="68">
        <v>1</v>
      </c>
      <c r="CB953" s="68">
        <v>0.5</v>
      </c>
      <c r="CC953" s="68">
        <v>0.2</v>
      </c>
      <c r="CD953" s="77" t="s">
        <v>464</v>
      </c>
      <c r="CE953" s="77" t="s">
        <v>464</v>
      </c>
      <c r="CF953" s="77" t="s">
        <v>1266</v>
      </c>
      <c r="CG953" s="77">
        <v>125</v>
      </c>
      <c r="CH953" s="77">
        <v>220</v>
      </c>
      <c r="CI953" s="77" t="s">
        <v>1287</v>
      </c>
      <c r="CJ953" s="77">
        <f t="shared" si="253"/>
        <v>288</v>
      </c>
      <c r="CK953" s="70">
        <v>9000</v>
      </c>
    </row>
    <row r="954" spans="1:89" x14ac:dyDescent="0.3">
      <c r="A954" t="s">
        <v>2573</v>
      </c>
      <c r="B954" t="s">
        <v>2776</v>
      </c>
      <c r="C954" t="s">
        <v>4272</v>
      </c>
      <c r="E954" s="58">
        <v>3.42</v>
      </c>
      <c r="F954" t="s">
        <v>1459</v>
      </c>
      <c r="G954" s="109" t="s">
        <v>2536</v>
      </c>
      <c r="J954" t="s">
        <v>1726</v>
      </c>
      <c r="M954" t="b">
        <v>1</v>
      </c>
      <c r="N954" t="b">
        <v>0</v>
      </c>
      <c r="O954" t="b">
        <v>0</v>
      </c>
      <c r="P954" t="b">
        <v>0</v>
      </c>
      <c r="Q954" t="s">
        <v>2678</v>
      </c>
      <c r="T954">
        <v>1</v>
      </c>
      <c r="X954">
        <v>3.82</v>
      </c>
      <c r="Y954">
        <v>3.82</v>
      </c>
      <c r="Z954">
        <v>25.06</v>
      </c>
      <c r="AA954" t="s">
        <v>1131</v>
      </c>
      <c r="AB954">
        <v>25.06</v>
      </c>
      <c r="BT954" s="68" t="s">
        <v>1264</v>
      </c>
      <c r="BU954" s="68">
        <v>1273</v>
      </c>
      <c r="BV954" s="68">
        <v>10</v>
      </c>
      <c r="BX954" s="68" t="s">
        <v>1268</v>
      </c>
      <c r="BY954" s="68" t="s">
        <v>863</v>
      </c>
      <c r="BZ954" s="68">
        <v>1</v>
      </c>
      <c r="CB954" s="68">
        <v>0.5</v>
      </c>
      <c r="CC954" s="68">
        <v>0.5</v>
      </c>
      <c r="CD954" s="77" t="s">
        <v>464</v>
      </c>
      <c r="CE954" s="77" t="s">
        <v>464</v>
      </c>
      <c r="CF954" s="77" t="s">
        <v>1266</v>
      </c>
      <c r="CG954" s="77">
        <v>125</v>
      </c>
      <c r="CH954" s="77">
        <v>220</v>
      </c>
      <c r="CI954" s="77" t="s">
        <v>1287</v>
      </c>
      <c r="CJ954" s="77">
        <f t="shared" si="253"/>
        <v>288</v>
      </c>
      <c r="CK954" s="70">
        <v>37500</v>
      </c>
    </row>
    <row r="955" spans="1:89" x14ac:dyDescent="0.3">
      <c r="A955" t="s">
        <v>2573</v>
      </c>
      <c r="B955" t="s">
        <v>2776</v>
      </c>
      <c r="C955" t="s">
        <v>4272</v>
      </c>
      <c r="E955" s="58">
        <v>3.42</v>
      </c>
      <c r="F955" t="s">
        <v>1459</v>
      </c>
      <c r="G955" s="109" t="s">
        <v>2536</v>
      </c>
      <c r="J955" t="s">
        <v>1726</v>
      </c>
      <c r="M955" t="b">
        <v>1</v>
      </c>
      <c r="N955" t="b">
        <v>0</v>
      </c>
      <c r="O955" t="b">
        <v>0</v>
      </c>
      <c r="P955" t="b">
        <v>0</v>
      </c>
      <c r="Q955" t="s">
        <v>2679</v>
      </c>
      <c r="T955">
        <v>1</v>
      </c>
      <c r="X955">
        <v>3.82</v>
      </c>
      <c r="Y955">
        <v>3.82</v>
      </c>
      <c r="Z955">
        <v>25.06</v>
      </c>
      <c r="AA955" t="s">
        <v>1131</v>
      </c>
      <c r="AB955">
        <v>25.06</v>
      </c>
      <c r="BT955" s="68" t="s">
        <v>1264</v>
      </c>
      <c r="BU955" s="68">
        <v>1273</v>
      </c>
      <c r="BV955" s="68">
        <v>10</v>
      </c>
      <c r="BX955" s="68" t="s">
        <v>1268</v>
      </c>
      <c r="BY955" s="68" t="s">
        <v>863</v>
      </c>
      <c r="BZ955" s="68">
        <v>1</v>
      </c>
      <c r="CB955" s="68">
        <v>0.5</v>
      </c>
      <c r="CC955" s="68">
        <v>0.75</v>
      </c>
      <c r="CD955" s="77" t="s">
        <v>464</v>
      </c>
      <c r="CE955" s="77" t="s">
        <v>464</v>
      </c>
      <c r="CF955" s="77" t="s">
        <v>1266</v>
      </c>
      <c r="CG955" s="77">
        <v>125</v>
      </c>
      <c r="CH955" s="77">
        <v>220</v>
      </c>
      <c r="CI955" s="77" t="s">
        <v>1287</v>
      </c>
      <c r="CJ955" s="77">
        <f t="shared" si="253"/>
        <v>288</v>
      </c>
      <c r="CK955" s="70">
        <v>63000</v>
      </c>
    </row>
    <row r="956" spans="1:89" x14ac:dyDescent="0.3">
      <c r="A956" t="s">
        <v>2573</v>
      </c>
      <c r="B956" t="s">
        <v>2776</v>
      </c>
      <c r="C956" t="s">
        <v>4272</v>
      </c>
      <c r="E956" s="58">
        <v>3.42</v>
      </c>
      <c r="F956" t="s">
        <v>1459</v>
      </c>
      <c r="G956" s="109" t="s">
        <v>2536</v>
      </c>
      <c r="J956" t="s">
        <v>1726</v>
      </c>
      <c r="M956" t="b">
        <v>1</v>
      </c>
      <c r="N956" t="b">
        <v>0</v>
      </c>
      <c r="O956" t="b">
        <v>0</v>
      </c>
      <c r="P956" t="b">
        <v>0</v>
      </c>
      <c r="Q956" t="s">
        <v>2680</v>
      </c>
      <c r="T956">
        <v>1</v>
      </c>
      <c r="X956">
        <v>3.82</v>
      </c>
      <c r="Y956">
        <v>3.82</v>
      </c>
      <c r="Z956">
        <v>25.06</v>
      </c>
      <c r="AA956" t="s">
        <v>1131</v>
      </c>
      <c r="AB956">
        <v>25.06</v>
      </c>
      <c r="BT956" s="68" t="s">
        <v>1264</v>
      </c>
      <c r="BU956" s="68">
        <v>1273</v>
      </c>
      <c r="BV956" s="68">
        <v>10</v>
      </c>
      <c r="BX956" s="68" t="s">
        <v>1268</v>
      </c>
      <c r="BY956" s="68" t="s">
        <v>863</v>
      </c>
      <c r="BZ956" s="68">
        <v>1</v>
      </c>
      <c r="CB956" s="68">
        <v>0.5</v>
      </c>
      <c r="CC956" s="68">
        <v>2</v>
      </c>
      <c r="CD956" s="77" t="s">
        <v>464</v>
      </c>
      <c r="CE956" s="77" t="s">
        <v>464</v>
      </c>
      <c r="CF956" s="77" t="s">
        <v>1266</v>
      </c>
      <c r="CG956" s="77">
        <v>125</v>
      </c>
      <c r="CH956" s="77">
        <v>220</v>
      </c>
      <c r="CI956" s="77" t="s">
        <v>1287</v>
      </c>
      <c r="CJ956" s="77">
        <f t="shared" si="253"/>
        <v>288</v>
      </c>
      <c r="CK956" s="70">
        <v>93000</v>
      </c>
    </row>
    <row r="957" spans="1:89" x14ac:dyDescent="0.3">
      <c r="A957" t="s">
        <v>2573</v>
      </c>
      <c r="B957" t="s">
        <v>2776</v>
      </c>
      <c r="C957" t="s">
        <v>4272</v>
      </c>
      <c r="E957" s="58">
        <v>3.42</v>
      </c>
      <c r="F957" t="s">
        <v>1459</v>
      </c>
      <c r="G957" s="109" t="s">
        <v>2536</v>
      </c>
      <c r="J957" t="s">
        <v>1726</v>
      </c>
      <c r="M957" t="b">
        <v>1</v>
      </c>
      <c r="N957" t="b">
        <v>0</v>
      </c>
      <c r="O957" t="b">
        <v>0</v>
      </c>
      <c r="P957" t="b">
        <v>0</v>
      </c>
      <c r="Q957" t="s">
        <v>2681</v>
      </c>
      <c r="T957">
        <v>1</v>
      </c>
      <c r="X957">
        <v>3.82</v>
      </c>
      <c r="Y957">
        <v>3.82</v>
      </c>
      <c r="Z957">
        <v>25.06</v>
      </c>
      <c r="AA957" t="s">
        <v>1131</v>
      </c>
      <c r="AB957">
        <v>25.06</v>
      </c>
      <c r="BT957" s="68" t="s">
        <v>1264</v>
      </c>
      <c r="BU957" s="68">
        <v>1273</v>
      </c>
      <c r="BV957" s="68">
        <v>10</v>
      </c>
      <c r="BX957" s="68" t="s">
        <v>1268</v>
      </c>
      <c r="BY957" s="68" t="s">
        <v>863</v>
      </c>
      <c r="BZ957" s="68">
        <v>1</v>
      </c>
      <c r="CB957" s="68">
        <v>0.5</v>
      </c>
      <c r="CC957" s="68">
        <v>5</v>
      </c>
      <c r="CD957" s="77" t="s">
        <v>464</v>
      </c>
      <c r="CE957" s="77" t="s">
        <v>464</v>
      </c>
      <c r="CF957" s="77" t="s">
        <v>1266</v>
      </c>
      <c r="CG957" s="77">
        <v>125</v>
      </c>
      <c r="CH957" s="77">
        <v>220</v>
      </c>
      <c r="CI957" s="77" t="s">
        <v>1287</v>
      </c>
      <c r="CJ957" s="77">
        <f t="shared" si="253"/>
        <v>288</v>
      </c>
      <c r="CK957" s="70">
        <v>117000</v>
      </c>
    </row>
    <row r="958" spans="1:89" x14ac:dyDescent="0.3">
      <c r="A958" t="s">
        <v>2573</v>
      </c>
      <c r="B958" t="s">
        <v>2776</v>
      </c>
      <c r="C958" t="s">
        <v>4272</v>
      </c>
      <c r="E958" s="58">
        <v>3.42</v>
      </c>
      <c r="F958" t="s">
        <v>1459</v>
      </c>
      <c r="G958" s="109" t="s">
        <v>2536</v>
      </c>
      <c r="J958" t="s">
        <v>1726</v>
      </c>
      <c r="M958" t="b">
        <v>1</v>
      </c>
      <c r="N958" t="b">
        <v>0</v>
      </c>
      <c r="O958" t="b">
        <v>0</v>
      </c>
      <c r="P958" t="b">
        <v>0</v>
      </c>
      <c r="Q958" t="s">
        <v>2682</v>
      </c>
      <c r="T958">
        <v>1</v>
      </c>
      <c r="X958">
        <v>3.82</v>
      </c>
      <c r="Y958">
        <v>3.82</v>
      </c>
      <c r="Z958">
        <v>25.06</v>
      </c>
      <c r="AA958" t="s">
        <v>1131</v>
      </c>
      <c r="AB958">
        <v>25.06</v>
      </c>
      <c r="BT958" s="68" t="s">
        <v>1264</v>
      </c>
      <c r="BU958" s="68">
        <v>1273</v>
      </c>
      <c r="BV958" s="68">
        <v>10</v>
      </c>
      <c r="BX958" s="68" t="s">
        <v>1268</v>
      </c>
      <c r="BY958" s="68" t="s">
        <v>863</v>
      </c>
      <c r="BZ958" s="68">
        <v>1</v>
      </c>
      <c r="CB958" s="68">
        <v>0.5</v>
      </c>
      <c r="CC958" s="68">
        <v>10</v>
      </c>
      <c r="CD958" s="77" t="s">
        <v>464</v>
      </c>
      <c r="CE958" s="77" t="s">
        <v>464</v>
      </c>
      <c r="CF958" s="77" t="s">
        <v>1266</v>
      </c>
      <c r="CG958" s="77">
        <v>125</v>
      </c>
      <c r="CH958" s="77">
        <v>220</v>
      </c>
      <c r="CI958" s="77" t="s">
        <v>1287</v>
      </c>
      <c r="CJ958" s="77">
        <f t="shared" si="253"/>
        <v>288</v>
      </c>
      <c r="CK958" s="70">
        <v>132000</v>
      </c>
    </row>
    <row r="959" spans="1:89" x14ac:dyDescent="0.3">
      <c r="A959" t="s">
        <v>2573</v>
      </c>
      <c r="B959" t="s">
        <v>2776</v>
      </c>
      <c r="C959" t="s">
        <v>4272</v>
      </c>
      <c r="E959" s="58">
        <v>3.42</v>
      </c>
      <c r="F959" t="s">
        <v>1459</v>
      </c>
      <c r="G959" s="109" t="s">
        <v>2536</v>
      </c>
      <c r="J959" t="s">
        <v>1726</v>
      </c>
      <c r="M959" t="b">
        <v>1</v>
      </c>
      <c r="N959" t="b">
        <v>0</v>
      </c>
      <c r="O959" t="b">
        <v>0</v>
      </c>
      <c r="P959" t="b">
        <v>0</v>
      </c>
      <c r="Q959" t="s">
        <v>2683</v>
      </c>
      <c r="T959">
        <v>1</v>
      </c>
      <c r="X959">
        <v>3.82</v>
      </c>
      <c r="Y959">
        <v>3.82</v>
      </c>
      <c r="Z959">
        <v>25.06</v>
      </c>
      <c r="AA959" t="s">
        <v>1131</v>
      </c>
      <c r="AB959">
        <v>25.06</v>
      </c>
      <c r="BT959" s="68" t="s">
        <v>1264</v>
      </c>
      <c r="BU959" s="68">
        <v>1273</v>
      </c>
      <c r="BV959" s="68">
        <v>10</v>
      </c>
      <c r="BX959" s="68" t="s">
        <v>1268</v>
      </c>
      <c r="BY959" s="68" t="s">
        <v>863</v>
      </c>
      <c r="BZ959" s="68">
        <v>1</v>
      </c>
      <c r="CB959" s="68">
        <v>0.5</v>
      </c>
      <c r="CC959" s="68">
        <v>15</v>
      </c>
      <c r="CD959" s="77" t="s">
        <v>464</v>
      </c>
      <c r="CE959" s="77" t="s">
        <v>464</v>
      </c>
      <c r="CF959" s="77" t="s">
        <v>1266</v>
      </c>
      <c r="CG959" s="77">
        <v>125</v>
      </c>
      <c r="CH959" s="77">
        <v>220</v>
      </c>
      <c r="CI959" s="77" t="s">
        <v>1287</v>
      </c>
      <c r="CJ959" s="77">
        <f t="shared" si="253"/>
        <v>288</v>
      </c>
      <c r="CK959" s="70">
        <v>117000</v>
      </c>
    </row>
    <row r="960" spans="1:89" x14ac:dyDescent="0.3">
      <c r="A960" t="s">
        <v>2573</v>
      </c>
      <c r="B960" t="s">
        <v>2776</v>
      </c>
      <c r="C960" t="s">
        <v>4272</v>
      </c>
      <c r="E960" s="58">
        <v>3.42</v>
      </c>
      <c r="F960" t="s">
        <v>1459</v>
      </c>
      <c r="G960" s="109" t="s">
        <v>2536</v>
      </c>
      <c r="J960" t="s">
        <v>1726</v>
      </c>
      <c r="M960" t="b">
        <v>1</v>
      </c>
      <c r="N960" t="b">
        <v>0</v>
      </c>
      <c r="O960" t="b">
        <v>0</v>
      </c>
      <c r="P960" t="b">
        <v>0</v>
      </c>
      <c r="Q960" t="s">
        <v>2684</v>
      </c>
      <c r="T960">
        <v>1</v>
      </c>
      <c r="X960">
        <v>3.82</v>
      </c>
      <c r="Y960">
        <v>3.82</v>
      </c>
      <c r="Z960">
        <v>25.06</v>
      </c>
      <c r="AA960" t="s">
        <v>1131</v>
      </c>
      <c r="AB960">
        <v>25.06</v>
      </c>
      <c r="BT960" s="68" t="s">
        <v>1264</v>
      </c>
      <c r="BU960" s="68">
        <v>1273</v>
      </c>
      <c r="BV960" s="68">
        <v>10</v>
      </c>
      <c r="BX960" s="68" t="s">
        <v>1268</v>
      </c>
      <c r="BY960" s="68" t="s">
        <v>863</v>
      </c>
      <c r="BZ960" s="68">
        <v>1</v>
      </c>
      <c r="CB960" s="68">
        <v>0.5</v>
      </c>
      <c r="CC960" s="68">
        <v>20</v>
      </c>
      <c r="CD960" s="77" t="s">
        <v>464</v>
      </c>
      <c r="CE960" s="77" t="s">
        <v>464</v>
      </c>
      <c r="CF960" s="77" t="s">
        <v>1266</v>
      </c>
      <c r="CG960" s="77">
        <v>125</v>
      </c>
      <c r="CH960" s="77">
        <v>220</v>
      </c>
      <c r="CI960" s="77" t="s">
        <v>1287</v>
      </c>
      <c r="CJ960" s="77">
        <f t="shared" si="253"/>
        <v>288</v>
      </c>
      <c r="CK960" s="70">
        <v>111000</v>
      </c>
    </row>
    <row r="961" spans="1:89" x14ac:dyDescent="0.3">
      <c r="A961" t="s">
        <v>2573</v>
      </c>
      <c r="B961" t="s">
        <v>2776</v>
      </c>
      <c r="C961" t="s">
        <v>4272</v>
      </c>
      <c r="E961" s="58">
        <v>3.42</v>
      </c>
      <c r="F961" t="s">
        <v>1459</v>
      </c>
      <c r="G961" s="109" t="s">
        <v>2536</v>
      </c>
      <c r="J961" t="s">
        <v>1726</v>
      </c>
      <c r="M961" t="b">
        <v>1</v>
      </c>
      <c r="N961" t="b">
        <v>0</v>
      </c>
      <c r="O961" t="b">
        <v>0</v>
      </c>
      <c r="P961" t="b">
        <v>0</v>
      </c>
      <c r="Q961" t="s">
        <v>2685</v>
      </c>
      <c r="T961">
        <v>1</v>
      </c>
      <c r="X961">
        <v>3.82</v>
      </c>
      <c r="Y961">
        <v>3.82</v>
      </c>
      <c r="Z961">
        <v>25.06</v>
      </c>
      <c r="AA961" t="s">
        <v>1131</v>
      </c>
      <c r="AB961">
        <v>25.06</v>
      </c>
      <c r="BT961" s="68" t="s">
        <v>1264</v>
      </c>
      <c r="BU961" s="68">
        <v>1273</v>
      </c>
      <c r="BV961" s="68">
        <v>10</v>
      </c>
      <c r="BX961" s="68" t="s">
        <v>1268</v>
      </c>
      <c r="BY961" s="68" t="s">
        <v>863</v>
      </c>
      <c r="BZ961" s="68">
        <v>1</v>
      </c>
      <c r="CB961" s="68">
        <v>0.5</v>
      </c>
      <c r="CC961" s="68">
        <v>30</v>
      </c>
      <c r="CD961" s="77" t="s">
        <v>464</v>
      </c>
      <c r="CE961" s="77" t="s">
        <v>464</v>
      </c>
      <c r="CF961" s="77" t="s">
        <v>1266</v>
      </c>
      <c r="CG961" s="77">
        <v>125</v>
      </c>
      <c r="CH961" s="77">
        <v>220</v>
      </c>
      <c r="CI961" s="77" t="s">
        <v>1287</v>
      </c>
      <c r="CJ961" s="77">
        <f t="shared" si="253"/>
        <v>288</v>
      </c>
      <c r="CK961" s="70">
        <v>90000</v>
      </c>
    </row>
    <row r="962" spans="1:89" x14ac:dyDescent="0.3">
      <c r="A962" t="s">
        <v>2582</v>
      </c>
      <c r="B962" t="s">
        <v>2776</v>
      </c>
      <c r="C962" t="s">
        <v>4284</v>
      </c>
      <c r="E962" s="58">
        <v>3.58</v>
      </c>
      <c r="F962" t="s">
        <v>1459</v>
      </c>
      <c r="G962" s="109" t="s">
        <v>2536</v>
      </c>
      <c r="J962" t="s">
        <v>1752</v>
      </c>
      <c r="M962" t="b">
        <v>1</v>
      </c>
      <c r="N962" t="b">
        <v>0</v>
      </c>
      <c r="O962" t="b">
        <v>0</v>
      </c>
      <c r="P962" t="b">
        <v>0</v>
      </c>
      <c r="Q962" t="s">
        <v>2686</v>
      </c>
      <c r="T962">
        <v>1</v>
      </c>
      <c r="X962">
        <v>3.802</v>
      </c>
      <c r="Y962">
        <v>3.802</v>
      </c>
      <c r="Z962">
        <v>24.7</v>
      </c>
      <c r="AA962" t="s">
        <v>439</v>
      </c>
      <c r="AB962">
        <v>24.7</v>
      </c>
      <c r="BT962" s="68" t="s">
        <v>1264</v>
      </c>
      <c r="BU962" s="68">
        <v>1273</v>
      </c>
      <c r="BV962" s="68">
        <v>10</v>
      </c>
      <c r="BX962" s="68" t="s">
        <v>1268</v>
      </c>
      <c r="BY962" s="68" t="s">
        <v>863</v>
      </c>
      <c r="BZ962" s="68">
        <v>1</v>
      </c>
      <c r="CA962" s="68">
        <v>21</v>
      </c>
      <c r="CB962" s="68">
        <v>0.5</v>
      </c>
      <c r="CC962" s="68">
        <v>0</v>
      </c>
      <c r="CD962" s="77" t="s">
        <v>464</v>
      </c>
      <c r="CE962" s="77" t="s">
        <v>464</v>
      </c>
      <c r="CF962" s="77" t="s">
        <v>1266</v>
      </c>
      <c r="CG962" s="77">
        <v>125</v>
      </c>
      <c r="CH962" s="77">
        <v>220</v>
      </c>
      <c r="CI962" s="77" t="s">
        <v>1287</v>
      </c>
      <c r="CJ962" s="77">
        <f t="shared" si="253"/>
        <v>288</v>
      </c>
      <c r="CK962" s="70">
        <v>0</v>
      </c>
    </row>
    <row r="963" spans="1:89" x14ac:dyDescent="0.3">
      <c r="A963" t="s">
        <v>2582</v>
      </c>
      <c r="B963" t="s">
        <v>2776</v>
      </c>
      <c r="C963" t="s">
        <v>4284</v>
      </c>
      <c r="E963" s="58">
        <v>3.58</v>
      </c>
      <c r="F963" t="s">
        <v>1459</v>
      </c>
      <c r="G963" s="109" t="s">
        <v>2536</v>
      </c>
      <c r="J963" t="s">
        <v>1752</v>
      </c>
      <c r="M963" t="b">
        <v>1</v>
      </c>
      <c r="N963" t="b">
        <v>0</v>
      </c>
      <c r="O963" t="b">
        <v>0</v>
      </c>
      <c r="P963" t="b">
        <v>0</v>
      </c>
      <c r="Q963" t="s">
        <v>2687</v>
      </c>
      <c r="T963">
        <v>1</v>
      </c>
      <c r="X963">
        <v>3.802</v>
      </c>
      <c r="Y963">
        <v>3.802</v>
      </c>
      <c r="Z963">
        <v>24.7</v>
      </c>
      <c r="AA963" t="s">
        <v>439</v>
      </c>
      <c r="AB963">
        <v>24.7</v>
      </c>
      <c r="BT963" s="68" t="s">
        <v>1264</v>
      </c>
      <c r="BU963" s="68">
        <v>1273</v>
      </c>
      <c r="BV963" s="68">
        <v>10</v>
      </c>
      <c r="BX963" s="68" t="s">
        <v>1268</v>
      </c>
      <c r="BY963" s="68" t="s">
        <v>863</v>
      </c>
      <c r="BZ963" s="68">
        <v>1</v>
      </c>
      <c r="CB963" s="68">
        <v>0.5</v>
      </c>
      <c r="CC963" s="68">
        <v>0.2</v>
      </c>
      <c r="CD963" s="77" t="s">
        <v>464</v>
      </c>
      <c r="CE963" s="77" t="s">
        <v>464</v>
      </c>
      <c r="CF963" s="77" t="s">
        <v>1266</v>
      </c>
      <c r="CG963" s="77">
        <v>125</v>
      </c>
      <c r="CH963" s="77">
        <v>220</v>
      </c>
      <c r="CI963" s="77" t="s">
        <v>1287</v>
      </c>
      <c r="CJ963" s="77">
        <f t="shared" si="253"/>
        <v>288</v>
      </c>
      <c r="CK963" s="70">
        <v>21000</v>
      </c>
    </row>
    <row r="964" spans="1:89" x14ac:dyDescent="0.3">
      <c r="A964" t="s">
        <v>2582</v>
      </c>
      <c r="B964" t="s">
        <v>2776</v>
      </c>
      <c r="C964" t="s">
        <v>4284</v>
      </c>
      <c r="E964" s="58">
        <v>3.58</v>
      </c>
      <c r="F964" t="s">
        <v>1459</v>
      </c>
      <c r="G964" s="109" t="s">
        <v>2536</v>
      </c>
      <c r="J964" t="s">
        <v>1752</v>
      </c>
      <c r="M964" t="b">
        <v>1</v>
      </c>
      <c r="N964" t="b">
        <v>0</v>
      </c>
      <c r="O964" t="b">
        <v>0</v>
      </c>
      <c r="P964" t="b">
        <v>0</v>
      </c>
      <c r="Q964" t="s">
        <v>2688</v>
      </c>
      <c r="T964">
        <v>1</v>
      </c>
      <c r="X964">
        <v>3.802</v>
      </c>
      <c r="Y964">
        <v>3.802</v>
      </c>
      <c r="Z964">
        <v>24.7</v>
      </c>
      <c r="AA964" t="s">
        <v>439</v>
      </c>
      <c r="AB964">
        <v>24.7</v>
      </c>
      <c r="BT964" s="68" t="s">
        <v>1264</v>
      </c>
      <c r="BU964" s="68">
        <v>1273</v>
      </c>
      <c r="BV964" s="68">
        <v>10</v>
      </c>
      <c r="BX964" s="68" t="s">
        <v>1268</v>
      </c>
      <c r="BY964" s="68" t="s">
        <v>863</v>
      </c>
      <c r="BZ964" s="68">
        <v>1</v>
      </c>
      <c r="CB964" s="68">
        <v>0.5</v>
      </c>
      <c r="CC964" s="68">
        <v>0.5</v>
      </c>
      <c r="CD964" s="77" t="s">
        <v>464</v>
      </c>
      <c r="CE964" s="77" t="s">
        <v>464</v>
      </c>
      <c r="CF964" s="77" t="s">
        <v>1266</v>
      </c>
      <c r="CG964" s="77">
        <v>125</v>
      </c>
      <c r="CH964" s="77">
        <v>220</v>
      </c>
      <c r="CI964" s="77" t="s">
        <v>1287</v>
      </c>
      <c r="CJ964" s="77">
        <f t="shared" si="253"/>
        <v>288</v>
      </c>
      <c r="CK964" s="70">
        <v>36000</v>
      </c>
    </row>
    <row r="965" spans="1:89" x14ac:dyDescent="0.3">
      <c r="A965" t="s">
        <v>2582</v>
      </c>
      <c r="B965" t="s">
        <v>2776</v>
      </c>
      <c r="C965" t="s">
        <v>4284</v>
      </c>
      <c r="E965" s="58">
        <v>3.58</v>
      </c>
      <c r="F965" t="s">
        <v>1459</v>
      </c>
      <c r="G965" s="109" t="s">
        <v>2536</v>
      </c>
      <c r="J965" t="s">
        <v>1752</v>
      </c>
      <c r="M965" t="b">
        <v>1</v>
      </c>
      <c r="N965" t="b">
        <v>0</v>
      </c>
      <c r="O965" t="b">
        <v>0</v>
      </c>
      <c r="P965" t="b">
        <v>0</v>
      </c>
      <c r="Q965" t="s">
        <v>2689</v>
      </c>
      <c r="T965">
        <v>1</v>
      </c>
      <c r="X965">
        <v>3.802</v>
      </c>
      <c r="Y965">
        <v>3.802</v>
      </c>
      <c r="Z965">
        <v>24.7</v>
      </c>
      <c r="AA965" t="s">
        <v>439</v>
      </c>
      <c r="AB965">
        <v>24.7</v>
      </c>
      <c r="BT965" s="68" t="s">
        <v>1264</v>
      </c>
      <c r="BU965" s="68">
        <v>1273</v>
      </c>
      <c r="BV965" s="68">
        <v>10</v>
      </c>
      <c r="BX965" s="68" t="s">
        <v>1268</v>
      </c>
      <c r="BY965" s="68" t="s">
        <v>863</v>
      </c>
      <c r="BZ965" s="68">
        <v>1</v>
      </c>
      <c r="CB965" s="68">
        <v>0.5</v>
      </c>
      <c r="CC965" s="68">
        <v>0.75</v>
      </c>
      <c r="CD965" s="77" t="s">
        <v>464</v>
      </c>
      <c r="CE965" s="77" t="s">
        <v>464</v>
      </c>
      <c r="CF965" s="77" t="s">
        <v>1266</v>
      </c>
      <c r="CG965" s="77">
        <v>125</v>
      </c>
      <c r="CH965" s="77">
        <v>220</v>
      </c>
      <c r="CI965" s="77" t="s">
        <v>1287</v>
      </c>
      <c r="CJ965" s="77">
        <f t="shared" si="253"/>
        <v>288</v>
      </c>
      <c r="CK965" s="70">
        <v>54000</v>
      </c>
    </row>
    <row r="966" spans="1:89" x14ac:dyDescent="0.3">
      <c r="A966" t="s">
        <v>2582</v>
      </c>
      <c r="B966" t="s">
        <v>2776</v>
      </c>
      <c r="C966" t="s">
        <v>4284</v>
      </c>
      <c r="E966" s="58">
        <v>3.58</v>
      </c>
      <c r="F966" t="s">
        <v>1459</v>
      </c>
      <c r="G966" s="109" t="s">
        <v>2536</v>
      </c>
      <c r="J966" t="s">
        <v>1752</v>
      </c>
      <c r="M966" t="b">
        <v>1</v>
      </c>
      <c r="N966" t="b">
        <v>0</v>
      </c>
      <c r="O966" t="b">
        <v>0</v>
      </c>
      <c r="P966" t="b">
        <v>0</v>
      </c>
      <c r="Q966" t="s">
        <v>2690</v>
      </c>
      <c r="T966">
        <v>1</v>
      </c>
      <c r="X966">
        <v>3.802</v>
      </c>
      <c r="Y966">
        <v>3.802</v>
      </c>
      <c r="Z966">
        <v>24.7</v>
      </c>
      <c r="AA966" t="s">
        <v>439</v>
      </c>
      <c r="AB966">
        <v>24.7</v>
      </c>
      <c r="BT966" s="68" t="s">
        <v>1264</v>
      </c>
      <c r="BU966" s="68">
        <v>1273</v>
      </c>
      <c r="BV966" s="68">
        <v>10</v>
      </c>
      <c r="BX966" s="68" t="s">
        <v>1268</v>
      </c>
      <c r="BY966" s="68" t="s">
        <v>863</v>
      </c>
      <c r="BZ966" s="68">
        <v>1</v>
      </c>
      <c r="CB966" s="68">
        <v>0.5</v>
      </c>
      <c r="CC966" s="68">
        <v>1</v>
      </c>
      <c r="CD966" s="77" t="s">
        <v>464</v>
      </c>
      <c r="CE966" s="77" t="s">
        <v>464</v>
      </c>
      <c r="CF966" s="77" t="s">
        <v>1266</v>
      </c>
      <c r="CG966" s="77">
        <v>125</v>
      </c>
      <c r="CH966" s="77">
        <v>220</v>
      </c>
      <c r="CI966" s="77" t="s">
        <v>1287</v>
      </c>
      <c r="CJ966" s="77">
        <f t="shared" si="253"/>
        <v>288</v>
      </c>
      <c r="CK966" s="70">
        <v>78000</v>
      </c>
    </row>
    <row r="967" spans="1:89" x14ac:dyDescent="0.3">
      <c r="A967" t="s">
        <v>2582</v>
      </c>
      <c r="B967" t="s">
        <v>2776</v>
      </c>
      <c r="C967" t="s">
        <v>4284</v>
      </c>
      <c r="E967" s="58">
        <v>3.58</v>
      </c>
      <c r="F967" t="s">
        <v>1459</v>
      </c>
      <c r="G967" s="109" t="s">
        <v>2536</v>
      </c>
      <c r="J967" t="s">
        <v>1752</v>
      </c>
      <c r="M967" t="b">
        <v>1</v>
      </c>
      <c r="N967" t="b">
        <v>0</v>
      </c>
      <c r="O967" t="b">
        <v>0</v>
      </c>
      <c r="P967" t="b">
        <v>0</v>
      </c>
      <c r="Q967" t="s">
        <v>2691</v>
      </c>
      <c r="T967">
        <v>1</v>
      </c>
      <c r="X967">
        <v>3.802</v>
      </c>
      <c r="Y967">
        <v>3.802</v>
      </c>
      <c r="Z967">
        <v>24.7</v>
      </c>
      <c r="AA967" t="s">
        <v>439</v>
      </c>
      <c r="AB967">
        <v>24.7</v>
      </c>
      <c r="BT967" s="68" t="s">
        <v>1264</v>
      </c>
      <c r="BU967" s="68">
        <v>1273</v>
      </c>
      <c r="BV967" s="68">
        <v>10</v>
      </c>
      <c r="BX967" s="68" t="s">
        <v>1268</v>
      </c>
      <c r="BY967" s="68" t="s">
        <v>863</v>
      </c>
      <c r="BZ967" s="68">
        <v>1</v>
      </c>
      <c r="CB967" s="68">
        <v>0.5</v>
      </c>
      <c r="CC967" s="68">
        <v>2</v>
      </c>
      <c r="CD967" s="77" t="s">
        <v>464</v>
      </c>
      <c r="CE967" s="77" t="s">
        <v>464</v>
      </c>
      <c r="CF967" s="77" t="s">
        <v>1266</v>
      </c>
      <c r="CG967" s="77">
        <v>125</v>
      </c>
      <c r="CH967" s="77">
        <v>220</v>
      </c>
      <c r="CI967" s="77" t="s">
        <v>1287</v>
      </c>
      <c r="CJ967" s="77">
        <f t="shared" si="253"/>
        <v>288</v>
      </c>
      <c r="CK967" s="70">
        <v>99000</v>
      </c>
    </row>
    <row r="968" spans="1:89" x14ac:dyDescent="0.3">
      <c r="A968" t="s">
        <v>2582</v>
      </c>
      <c r="B968" t="s">
        <v>2776</v>
      </c>
      <c r="C968" t="s">
        <v>4284</v>
      </c>
      <c r="E968" s="58">
        <v>3.58</v>
      </c>
      <c r="F968" t="s">
        <v>1459</v>
      </c>
      <c r="G968" s="109" t="s">
        <v>2536</v>
      </c>
      <c r="J968" t="s">
        <v>1752</v>
      </c>
      <c r="M968" t="b">
        <v>1</v>
      </c>
      <c r="N968" t="b">
        <v>0</v>
      </c>
      <c r="O968" t="b">
        <v>0</v>
      </c>
      <c r="P968" t="b">
        <v>0</v>
      </c>
      <c r="Q968" t="s">
        <v>2692</v>
      </c>
      <c r="T968">
        <v>1</v>
      </c>
      <c r="X968">
        <v>3.802</v>
      </c>
      <c r="Y968">
        <v>3.802</v>
      </c>
      <c r="Z968">
        <v>24.7</v>
      </c>
      <c r="AA968" t="s">
        <v>439</v>
      </c>
      <c r="AB968">
        <v>24.7</v>
      </c>
      <c r="BT968" s="68" t="s">
        <v>1264</v>
      </c>
      <c r="BU968" s="68">
        <v>1273</v>
      </c>
      <c r="BV968" s="68">
        <v>10</v>
      </c>
      <c r="BX968" s="68" t="s">
        <v>1268</v>
      </c>
      <c r="BY968" s="68" t="s">
        <v>863</v>
      </c>
      <c r="BZ968" s="68">
        <v>1</v>
      </c>
      <c r="CB968" s="68">
        <v>0.5</v>
      </c>
      <c r="CC968" s="68">
        <v>5</v>
      </c>
      <c r="CD968" s="77" t="s">
        <v>464</v>
      </c>
      <c r="CE968" s="77" t="s">
        <v>464</v>
      </c>
      <c r="CF968" s="77" t="s">
        <v>1266</v>
      </c>
      <c r="CG968" s="77">
        <v>125</v>
      </c>
      <c r="CH968" s="77">
        <v>220</v>
      </c>
      <c r="CI968" s="77" t="s">
        <v>1287</v>
      </c>
      <c r="CJ968" s="77">
        <f t="shared" si="253"/>
        <v>288</v>
      </c>
      <c r="CK968" s="70">
        <v>141000</v>
      </c>
    </row>
    <row r="969" spans="1:89" x14ac:dyDescent="0.3">
      <c r="A969" t="s">
        <v>2582</v>
      </c>
      <c r="B969" t="s">
        <v>2776</v>
      </c>
      <c r="C969" t="s">
        <v>4284</v>
      </c>
      <c r="E969" s="58">
        <v>3.58</v>
      </c>
      <c r="F969" t="s">
        <v>1459</v>
      </c>
      <c r="G969" s="109" t="s">
        <v>2536</v>
      </c>
      <c r="J969" t="s">
        <v>1752</v>
      </c>
      <c r="M969" t="b">
        <v>1</v>
      </c>
      <c r="N969" t="b">
        <v>0</v>
      </c>
      <c r="O969" t="b">
        <v>0</v>
      </c>
      <c r="P969" t="b">
        <v>0</v>
      </c>
      <c r="Q969" t="s">
        <v>2693</v>
      </c>
      <c r="T969">
        <v>1</v>
      </c>
      <c r="X969">
        <v>3.802</v>
      </c>
      <c r="Y969">
        <v>3.802</v>
      </c>
      <c r="Z969">
        <v>24.7</v>
      </c>
      <c r="AA969" t="s">
        <v>439</v>
      </c>
      <c r="AB969">
        <v>24.7</v>
      </c>
      <c r="BT969" s="68" t="s">
        <v>1264</v>
      </c>
      <c r="BU969" s="68">
        <v>1273</v>
      </c>
      <c r="BV969" s="68">
        <v>10</v>
      </c>
      <c r="BX969" s="68" t="s">
        <v>1268</v>
      </c>
      <c r="BY969" s="68" t="s">
        <v>863</v>
      </c>
      <c r="BZ969" s="68">
        <v>1</v>
      </c>
      <c r="CB969" s="68">
        <v>0.5</v>
      </c>
      <c r="CC969" s="68">
        <v>10</v>
      </c>
      <c r="CD969" s="77" t="s">
        <v>464</v>
      </c>
      <c r="CE969" s="77" t="s">
        <v>464</v>
      </c>
      <c r="CF969" s="77" t="s">
        <v>1266</v>
      </c>
      <c r="CG969" s="77">
        <v>125</v>
      </c>
      <c r="CH969" s="77">
        <v>220</v>
      </c>
      <c r="CI969" s="77" t="s">
        <v>1287</v>
      </c>
      <c r="CJ969" s="77">
        <f t="shared" si="253"/>
        <v>288</v>
      </c>
      <c r="CK969" s="70">
        <v>156000</v>
      </c>
    </row>
    <row r="970" spans="1:89" x14ac:dyDescent="0.3">
      <c r="A970" t="s">
        <v>2582</v>
      </c>
      <c r="B970" t="s">
        <v>2776</v>
      </c>
      <c r="C970" t="s">
        <v>4284</v>
      </c>
      <c r="E970" s="58">
        <v>3.58</v>
      </c>
      <c r="F970" t="s">
        <v>1459</v>
      </c>
      <c r="G970" s="109" t="s">
        <v>2536</v>
      </c>
      <c r="J970" t="s">
        <v>1752</v>
      </c>
      <c r="M970" t="b">
        <v>1</v>
      </c>
      <c r="N970" t="b">
        <v>0</v>
      </c>
      <c r="O970" t="b">
        <v>0</v>
      </c>
      <c r="P970" t="b">
        <v>0</v>
      </c>
      <c r="Q970" t="s">
        <v>2694</v>
      </c>
      <c r="T970">
        <v>1</v>
      </c>
      <c r="X970">
        <v>3.802</v>
      </c>
      <c r="Y970">
        <v>3.802</v>
      </c>
      <c r="Z970">
        <v>24.7</v>
      </c>
      <c r="AA970" t="s">
        <v>439</v>
      </c>
      <c r="AB970">
        <v>24.7</v>
      </c>
      <c r="BT970" s="68" t="s">
        <v>1264</v>
      </c>
      <c r="BU970" s="68">
        <v>1273</v>
      </c>
      <c r="BV970" s="68">
        <v>10</v>
      </c>
      <c r="BX970" s="68" t="s">
        <v>1268</v>
      </c>
      <c r="BY970" s="68" t="s">
        <v>863</v>
      </c>
      <c r="BZ970" s="68">
        <v>1</v>
      </c>
      <c r="CB970" s="68">
        <v>0.5</v>
      </c>
      <c r="CC970" s="68">
        <v>15</v>
      </c>
      <c r="CD970" s="77" t="s">
        <v>464</v>
      </c>
      <c r="CE970" s="77" t="s">
        <v>464</v>
      </c>
      <c r="CF970" s="77" t="s">
        <v>1266</v>
      </c>
      <c r="CG970" s="77">
        <v>125</v>
      </c>
      <c r="CH970" s="77">
        <v>220</v>
      </c>
      <c r="CI970" s="77" t="s">
        <v>1287</v>
      </c>
      <c r="CJ970" s="77">
        <f t="shared" si="253"/>
        <v>288</v>
      </c>
      <c r="CK970" s="70">
        <v>126000</v>
      </c>
    </row>
    <row r="971" spans="1:89" x14ac:dyDescent="0.3">
      <c r="A971" t="s">
        <v>2582</v>
      </c>
      <c r="B971" t="s">
        <v>2776</v>
      </c>
      <c r="C971" t="s">
        <v>4284</v>
      </c>
      <c r="E971" s="58">
        <v>3.58</v>
      </c>
      <c r="F971" t="s">
        <v>1459</v>
      </c>
      <c r="G971" s="109" t="s">
        <v>2536</v>
      </c>
      <c r="J971" t="s">
        <v>1752</v>
      </c>
      <c r="M971" t="b">
        <v>1</v>
      </c>
      <c r="N971" t="b">
        <v>0</v>
      </c>
      <c r="O971" t="b">
        <v>0</v>
      </c>
      <c r="P971" t="b">
        <v>0</v>
      </c>
      <c r="Q971" t="s">
        <v>2695</v>
      </c>
      <c r="T971">
        <v>1</v>
      </c>
      <c r="X971">
        <v>3.802</v>
      </c>
      <c r="Y971">
        <v>3.802</v>
      </c>
      <c r="Z971">
        <v>24.7</v>
      </c>
      <c r="AA971" t="s">
        <v>439</v>
      </c>
      <c r="AB971">
        <v>24.7</v>
      </c>
      <c r="BT971" s="68" t="s">
        <v>1264</v>
      </c>
      <c r="BU971" s="68">
        <v>1273</v>
      </c>
      <c r="BV971" s="68">
        <v>10</v>
      </c>
      <c r="BX971" s="68" t="s">
        <v>1268</v>
      </c>
      <c r="BY971" s="68" t="s">
        <v>863</v>
      </c>
      <c r="BZ971" s="68">
        <v>1</v>
      </c>
      <c r="CB971" s="68">
        <v>0.5</v>
      </c>
      <c r="CC971" s="68">
        <v>20</v>
      </c>
      <c r="CD971" s="77" t="s">
        <v>464</v>
      </c>
      <c r="CE971" s="77" t="s">
        <v>464</v>
      </c>
      <c r="CF971" s="77" t="s">
        <v>1266</v>
      </c>
      <c r="CG971" s="77">
        <v>125</v>
      </c>
      <c r="CH971" s="77">
        <v>220</v>
      </c>
      <c r="CI971" s="77" t="s">
        <v>1287</v>
      </c>
      <c r="CJ971" s="77">
        <f t="shared" si="253"/>
        <v>288</v>
      </c>
      <c r="CK971" s="70">
        <v>114000</v>
      </c>
    </row>
    <row r="972" spans="1:89" x14ac:dyDescent="0.3">
      <c r="A972" t="s">
        <v>2582</v>
      </c>
      <c r="B972" t="s">
        <v>2776</v>
      </c>
      <c r="C972" t="s">
        <v>4284</v>
      </c>
      <c r="E972" s="58">
        <v>3.58</v>
      </c>
      <c r="F972" t="s">
        <v>1459</v>
      </c>
      <c r="G972" s="109" t="s">
        <v>2536</v>
      </c>
      <c r="J972" t="s">
        <v>1752</v>
      </c>
      <c r="M972" t="b">
        <v>1</v>
      </c>
      <c r="N972" t="b">
        <v>0</v>
      </c>
      <c r="O972" t="b">
        <v>0</v>
      </c>
      <c r="P972" t="b">
        <v>0</v>
      </c>
      <c r="Q972" t="s">
        <v>2696</v>
      </c>
      <c r="T972">
        <v>1</v>
      </c>
      <c r="X972">
        <v>3.802</v>
      </c>
      <c r="Y972">
        <v>3.802</v>
      </c>
      <c r="Z972">
        <v>24.7</v>
      </c>
      <c r="AA972" t="s">
        <v>439</v>
      </c>
      <c r="AB972">
        <v>24.7</v>
      </c>
      <c r="BT972" s="68" t="s">
        <v>1264</v>
      </c>
      <c r="BU972" s="68">
        <v>1273</v>
      </c>
      <c r="BV972" s="68">
        <v>10</v>
      </c>
      <c r="BX972" s="68" t="s">
        <v>1268</v>
      </c>
      <c r="BY972" s="68" t="s">
        <v>863</v>
      </c>
      <c r="BZ972" s="68">
        <v>1</v>
      </c>
      <c r="CB972" s="68">
        <v>0.5</v>
      </c>
      <c r="CC972" s="68">
        <v>30</v>
      </c>
      <c r="CD972" s="77" t="s">
        <v>464</v>
      </c>
      <c r="CE972" s="77" t="s">
        <v>464</v>
      </c>
      <c r="CF972" s="77" t="s">
        <v>1266</v>
      </c>
      <c r="CG972" s="77">
        <v>125</v>
      </c>
      <c r="CH972" s="77">
        <v>220</v>
      </c>
      <c r="CI972" s="77" t="s">
        <v>1287</v>
      </c>
      <c r="CJ972" s="77">
        <f t="shared" si="253"/>
        <v>288</v>
      </c>
      <c r="CK972" s="70">
        <v>81000</v>
      </c>
    </row>
    <row r="973" spans="1:89" x14ac:dyDescent="0.3">
      <c r="A973" t="s">
        <v>4</v>
      </c>
      <c r="B973" t="s">
        <v>4</v>
      </c>
      <c r="C973" t="s">
        <v>3921</v>
      </c>
      <c r="E973">
        <v>3.49</v>
      </c>
      <c r="F973" t="s">
        <v>1460</v>
      </c>
      <c r="G973" s="98" t="s">
        <v>527</v>
      </c>
      <c r="H973" t="s">
        <v>609</v>
      </c>
      <c r="M973" t="b">
        <v>1</v>
      </c>
      <c r="N973" t="b">
        <v>1</v>
      </c>
      <c r="O973" t="b">
        <v>0</v>
      </c>
      <c r="P973" t="b">
        <v>0</v>
      </c>
      <c r="Q973" t="s">
        <v>527</v>
      </c>
      <c r="R973" t="s">
        <v>609</v>
      </c>
      <c r="BT973" s="68" t="s">
        <v>1264</v>
      </c>
      <c r="BU973" s="68">
        <v>1373</v>
      </c>
      <c r="BV973" s="68">
        <v>24</v>
      </c>
      <c r="BX973" s="68" t="s">
        <v>464</v>
      </c>
      <c r="BY973" s="68" t="s">
        <v>464</v>
      </c>
      <c r="BZ973" s="68">
        <v>0</v>
      </c>
      <c r="CA973" s="68">
        <v>3.78</v>
      </c>
      <c r="CB973" s="68">
        <v>0.5</v>
      </c>
      <c r="CC973" s="68">
        <v>30</v>
      </c>
      <c r="CD973" s="77" t="s">
        <v>464</v>
      </c>
      <c r="CE973" s="77" t="s">
        <v>464</v>
      </c>
      <c r="CF973" s="77" t="s">
        <v>1266</v>
      </c>
      <c r="CG973" s="77">
        <v>125</v>
      </c>
      <c r="CH973" s="77">
        <v>220</v>
      </c>
      <c r="CI973" s="77" t="s">
        <v>1287</v>
      </c>
      <c r="CJ973" s="77">
        <f t="shared" si="253"/>
        <v>288</v>
      </c>
      <c r="CK973" s="70">
        <v>36</v>
      </c>
    </row>
    <row r="974" spans="1:89" x14ac:dyDescent="0.3">
      <c r="A974" t="s">
        <v>63</v>
      </c>
      <c r="B974" t="s">
        <v>4</v>
      </c>
      <c r="C974" t="s">
        <v>3928</v>
      </c>
      <c r="E974">
        <v>3.49</v>
      </c>
      <c r="F974" t="s">
        <v>1460</v>
      </c>
      <c r="G974" s="99" t="s">
        <v>587</v>
      </c>
      <c r="H974" s="58">
        <v>1522043</v>
      </c>
      <c r="J974" t="s">
        <v>1729</v>
      </c>
      <c r="K974" t="s">
        <v>1729</v>
      </c>
      <c r="M974" t="b">
        <v>1</v>
      </c>
      <c r="N974" t="b">
        <v>1</v>
      </c>
      <c r="O974" t="b">
        <v>0</v>
      </c>
      <c r="P974" t="b">
        <v>0</v>
      </c>
      <c r="Q974" t="s">
        <v>2697</v>
      </c>
      <c r="R974" t="s">
        <v>2364</v>
      </c>
      <c r="T974">
        <v>1</v>
      </c>
      <c r="X974">
        <v>3.82</v>
      </c>
      <c r="Y974">
        <v>3.82</v>
      </c>
      <c r="Z974">
        <v>15.99</v>
      </c>
      <c r="AB974">
        <v>15.99</v>
      </c>
      <c r="BT974" s="68" t="s">
        <v>1264</v>
      </c>
      <c r="BU974" s="68">
        <v>1373</v>
      </c>
      <c r="BV974" s="68">
        <v>24</v>
      </c>
      <c r="BX974" s="68" t="s">
        <v>464</v>
      </c>
      <c r="BY974" s="68" t="s">
        <v>464</v>
      </c>
      <c r="BZ974" s="68">
        <v>0</v>
      </c>
      <c r="CA974" s="68">
        <v>5.56</v>
      </c>
      <c r="CB974" s="68">
        <v>0.5</v>
      </c>
      <c r="CC974" s="68">
        <v>30</v>
      </c>
      <c r="CD974" s="77" t="s">
        <v>464</v>
      </c>
      <c r="CE974" s="77" t="s">
        <v>464</v>
      </c>
      <c r="CF974" s="77" t="s">
        <v>1266</v>
      </c>
      <c r="CG974" s="77">
        <v>125</v>
      </c>
      <c r="CH974" s="77">
        <v>220</v>
      </c>
      <c r="CI974" s="77" t="s">
        <v>1287</v>
      </c>
      <c r="CJ974" s="77">
        <f t="shared" si="253"/>
        <v>288</v>
      </c>
      <c r="CK974" s="70">
        <v>480</v>
      </c>
    </row>
    <row r="975" spans="1:89" x14ac:dyDescent="0.3">
      <c r="A975" t="s">
        <v>2568</v>
      </c>
      <c r="B975" t="s">
        <v>4</v>
      </c>
      <c r="C975" t="s">
        <v>4265</v>
      </c>
      <c r="E975">
        <v>3.56</v>
      </c>
      <c r="F975" t="s">
        <v>1460</v>
      </c>
      <c r="G975" s="110" t="s">
        <v>2544</v>
      </c>
      <c r="J975" t="s">
        <v>1756</v>
      </c>
      <c r="M975" t="b">
        <v>0</v>
      </c>
      <c r="N975" t="b">
        <v>0</v>
      </c>
      <c r="O975" t="b">
        <v>0</v>
      </c>
      <c r="P975" t="b">
        <v>1</v>
      </c>
      <c r="Q975" t="s">
        <v>2748</v>
      </c>
      <c r="T975">
        <v>1</v>
      </c>
      <c r="X975">
        <v>3.86</v>
      </c>
      <c r="Y975">
        <v>3.86</v>
      </c>
      <c r="Z975">
        <v>16.079999999999998</v>
      </c>
      <c r="AB975">
        <v>16.079999999999998</v>
      </c>
      <c r="BT975" s="68" t="s">
        <v>1264</v>
      </c>
      <c r="BU975" s="68">
        <v>1373</v>
      </c>
      <c r="BV975" s="68">
        <v>24</v>
      </c>
      <c r="BX975" s="68" t="s">
        <v>464</v>
      </c>
      <c r="BY975" s="68" t="s">
        <v>464</v>
      </c>
      <c r="BZ975" s="68">
        <v>0</v>
      </c>
      <c r="CA975" s="68">
        <v>4.28</v>
      </c>
      <c r="CB975" s="68">
        <v>0.5</v>
      </c>
      <c r="CC975" s="68">
        <v>30</v>
      </c>
      <c r="CD975" s="77" t="s">
        <v>464</v>
      </c>
      <c r="CE975" s="77" t="s">
        <v>464</v>
      </c>
      <c r="CF975" s="77" t="s">
        <v>1266</v>
      </c>
      <c r="CG975" s="77">
        <v>125</v>
      </c>
      <c r="CH975" s="77">
        <v>220</v>
      </c>
      <c r="CI975" s="77" t="s">
        <v>1287</v>
      </c>
      <c r="CJ975" s="77">
        <f t="shared" si="253"/>
        <v>288</v>
      </c>
      <c r="CK975" s="70">
        <v>95.999999999999986</v>
      </c>
    </row>
    <row r="976" spans="1:89" x14ac:dyDescent="0.3">
      <c r="A976" t="s">
        <v>2569</v>
      </c>
      <c r="B976" t="s">
        <v>4</v>
      </c>
      <c r="C976" t="s">
        <v>4266</v>
      </c>
      <c r="E976">
        <v>3.6</v>
      </c>
      <c r="F976" t="s">
        <v>1460</v>
      </c>
      <c r="G976" s="109" t="s">
        <v>2545</v>
      </c>
      <c r="J976" t="s">
        <v>1756</v>
      </c>
      <c r="M976" t="b">
        <v>0</v>
      </c>
      <c r="N976" t="b">
        <v>0</v>
      </c>
      <c r="O976" t="b">
        <v>0</v>
      </c>
      <c r="P976" t="b">
        <v>1</v>
      </c>
      <c r="Q976" t="s">
        <v>2749</v>
      </c>
      <c r="T976">
        <v>1</v>
      </c>
      <c r="X976">
        <v>3.87</v>
      </c>
      <c r="Y976">
        <v>3.87</v>
      </c>
      <c r="Z976">
        <v>20.49</v>
      </c>
      <c r="AB976">
        <v>20.49</v>
      </c>
      <c r="BT976" s="68" t="s">
        <v>1264</v>
      </c>
      <c r="BU976" s="68">
        <v>1373</v>
      </c>
      <c r="BV976" s="68">
        <v>24</v>
      </c>
      <c r="BX976" s="68" t="s">
        <v>464</v>
      </c>
      <c r="BY976" s="68" t="s">
        <v>464</v>
      </c>
      <c r="BZ976" s="68">
        <v>0</v>
      </c>
      <c r="CB976" s="68">
        <v>0.5</v>
      </c>
      <c r="CC976" s="68">
        <v>30</v>
      </c>
      <c r="CD976" s="77" t="s">
        <v>464</v>
      </c>
      <c r="CE976" s="77" t="s">
        <v>464</v>
      </c>
      <c r="CF976" s="77" t="s">
        <v>1266</v>
      </c>
      <c r="CG976" s="77">
        <v>125</v>
      </c>
      <c r="CH976" s="77">
        <v>220</v>
      </c>
      <c r="CI976" s="77" t="s">
        <v>1287</v>
      </c>
      <c r="CJ976" s="77">
        <f t="shared" si="253"/>
        <v>288</v>
      </c>
      <c r="CK976" s="70">
        <v>243.99999999999997</v>
      </c>
    </row>
    <row r="977" spans="1:89" x14ac:dyDescent="0.3">
      <c r="A977" t="s">
        <v>2742</v>
      </c>
      <c r="B977" t="s">
        <v>4</v>
      </c>
      <c r="C977" t="s">
        <v>4267</v>
      </c>
      <c r="E977">
        <v>3.55</v>
      </c>
      <c r="F977" t="s">
        <v>1460</v>
      </c>
      <c r="G977" s="109" t="s">
        <v>2546</v>
      </c>
      <c r="J977" t="s">
        <v>1756</v>
      </c>
      <c r="M977" t="b">
        <v>0</v>
      </c>
      <c r="N977" t="b">
        <v>0</v>
      </c>
      <c r="O977" t="b">
        <v>0</v>
      </c>
      <c r="P977" t="b">
        <v>1</v>
      </c>
      <c r="Q977" t="s">
        <v>2750</v>
      </c>
      <c r="T977">
        <v>1</v>
      </c>
      <c r="X977">
        <v>3.86</v>
      </c>
      <c r="Y977">
        <v>3.86</v>
      </c>
      <c r="Z977">
        <v>22.22</v>
      </c>
      <c r="AB977">
        <v>22.22</v>
      </c>
      <c r="BT977" s="68" t="s">
        <v>1264</v>
      </c>
      <c r="BU977" s="68">
        <v>1373</v>
      </c>
      <c r="BV977" s="68">
        <v>24</v>
      </c>
      <c r="BX977" s="68" t="s">
        <v>464</v>
      </c>
      <c r="BY977" s="68" t="s">
        <v>464</v>
      </c>
      <c r="BZ977" s="68">
        <v>0</v>
      </c>
      <c r="CB977" s="68">
        <v>0.5</v>
      </c>
      <c r="CC977" s="68">
        <v>30</v>
      </c>
      <c r="CD977" s="77" t="s">
        <v>464</v>
      </c>
      <c r="CE977" s="77" t="s">
        <v>464</v>
      </c>
      <c r="CF977" s="77" t="s">
        <v>1266</v>
      </c>
      <c r="CG977" s="77">
        <v>125</v>
      </c>
      <c r="CH977" s="77">
        <v>220</v>
      </c>
      <c r="CI977" s="77" t="s">
        <v>1287</v>
      </c>
      <c r="CJ977" s="77">
        <f t="shared" si="253"/>
        <v>288</v>
      </c>
      <c r="CK977" s="70">
        <v>480</v>
      </c>
    </row>
    <row r="978" spans="1:89" x14ac:dyDescent="0.3">
      <c r="A978" t="s">
        <v>2565</v>
      </c>
      <c r="B978" t="s">
        <v>4</v>
      </c>
      <c r="C978" t="s">
        <v>4262</v>
      </c>
      <c r="E978">
        <v>3.62</v>
      </c>
      <c r="F978" t="s">
        <v>1460</v>
      </c>
      <c r="G978" s="109" t="s">
        <v>2547</v>
      </c>
      <c r="J978" t="s">
        <v>1756</v>
      </c>
      <c r="M978" t="b">
        <v>0</v>
      </c>
      <c r="N978" t="b">
        <v>0</v>
      </c>
      <c r="O978" t="b">
        <v>0</v>
      </c>
      <c r="P978" t="b">
        <v>1</v>
      </c>
      <c r="Q978" t="s">
        <v>2751</v>
      </c>
      <c r="T978">
        <v>1</v>
      </c>
      <c r="X978">
        <v>3.86</v>
      </c>
      <c r="Y978">
        <v>3.86</v>
      </c>
      <c r="Z978">
        <v>25.35</v>
      </c>
      <c r="AB978">
        <v>25.35</v>
      </c>
      <c r="BT978" s="68" t="s">
        <v>1264</v>
      </c>
      <c r="BU978" s="68">
        <v>1373</v>
      </c>
      <c r="BV978" s="68">
        <v>24</v>
      </c>
      <c r="BX978" s="68" t="s">
        <v>464</v>
      </c>
      <c r="BY978" s="68" t="s">
        <v>464</v>
      </c>
      <c r="BZ978" s="68">
        <v>0</v>
      </c>
      <c r="CB978" s="68">
        <v>0.5</v>
      </c>
      <c r="CC978" s="68">
        <v>30</v>
      </c>
      <c r="CD978" s="77" t="s">
        <v>464</v>
      </c>
      <c r="CE978" s="77" t="s">
        <v>464</v>
      </c>
      <c r="CF978" s="77" t="s">
        <v>1266</v>
      </c>
      <c r="CG978" s="77">
        <v>125</v>
      </c>
      <c r="CH978" s="77">
        <v>220</v>
      </c>
      <c r="CI978" s="77" t="s">
        <v>1287</v>
      </c>
      <c r="CJ978" s="77">
        <f t="shared" si="253"/>
        <v>288</v>
      </c>
      <c r="CK978" s="70">
        <v>640</v>
      </c>
    </row>
    <row r="979" spans="1:89" x14ac:dyDescent="0.3">
      <c r="A979" t="s">
        <v>2570</v>
      </c>
      <c r="B979" t="s">
        <v>4</v>
      </c>
      <c r="C979" t="s">
        <v>4268</v>
      </c>
      <c r="E979">
        <v>3.55</v>
      </c>
      <c r="F979" t="s">
        <v>1460</v>
      </c>
      <c r="G979" s="109" t="s">
        <v>2548</v>
      </c>
      <c r="J979" t="s">
        <v>1756</v>
      </c>
      <c r="M979" t="b">
        <v>0</v>
      </c>
      <c r="N979" t="b">
        <v>0</v>
      </c>
      <c r="O979" t="b">
        <v>0</v>
      </c>
      <c r="P979" t="b">
        <v>1</v>
      </c>
      <c r="Q979" t="s">
        <v>2752</v>
      </c>
      <c r="T979">
        <v>1</v>
      </c>
      <c r="X979">
        <v>3.86</v>
      </c>
      <c r="Y979">
        <v>3.86</v>
      </c>
      <c r="Z979">
        <v>29.53</v>
      </c>
      <c r="AB979">
        <v>29.53</v>
      </c>
      <c r="BT979" s="68" t="s">
        <v>1264</v>
      </c>
      <c r="BU979" s="68">
        <v>1373</v>
      </c>
      <c r="BV979" s="68">
        <v>24</v>
      </c>
      <c r="BX979" s="68" t="s">
        <v>464</v>
      </c>
      <c r="BY979" s="68" t="s">
        <v>464</v>
      </c>
      <c r="BZ979" s="68">
        <v>0</v>
      </c>
      <c r="CB979" s="68">
        <v>0.5</v>
      </c>
      <c r="CC979" s="68">
        <v>30</v>
      </c>
      <c r="CD979" s="77" t="s">
        <v>464</v>
      </c>
      <c r="CE979" s="77" t="s">
        <v>464</v>
      </c>
      <c r="CF979" s="77" t="s">
        <v>1266</v>
      </c>
      <c r="CG979" s="77">
        <v>125</v>
      </c>
      <c r="CH979" s="77">
        <v>220</v>
      </c>
      <c r="CI979" s="77" t="s">
        <v>1287</v>
      </c>
      <c r="CJ979" s="77">
        <f t="shared" ref="CJ979" si="256">273+15</f>
        <v>288</v>
      </c>
      <c r="CK979" s="70">
        <v>276</v>
      </c>
    </row>
    <row r="980" spans="1:89" x14ac:dyDescent="0.3">
      <c r="A980" t="s">
        <v>2571</v>
      </c>
      <c r="B980" t="s">
        <v>4</v>
      </c>
      <c r="C980" t="s">
        <v>4269</v>
      </c>
      <c r="E980">
        <v>3.6</v>
      </c>
      <c r="F980" t="s">
        <v>1460</v>
      </c>
      <c r="G980" s="109" t="s">
        <v>2549</v>
      </c>
      <c r="J980" t="s">
        <v>1756</v>
      </c>
      <c r="M980" t="b">
        <v>0</v>
      </c>
      <c r="N980" t="b">
        <v>0</v>
      </c>
      <c r="O980" t="b">
        <v>0</v>
      </c>
      <c r="P980" t="b">
        <v>1</v>
      </c>
      <c r="Q980" t="s">
        <v>2753</v>
      </c>
      <c r="T980">
        <v>1</v>
      </c>
      <c r="X980">
        <v>3.86</v>
      </c>
      <c r="Y980">
        <v>3.86</v>
      </c>
      <c r="Z980">
        <v>33.53</v>
      </c>
      <c r="AB980">
        <v>33.53</v>
      </c>
      <c r="BT980" s="68" t="s">
        <v>1264</v>
      </c>
      <c r="BU980" s="68">
        <v>1373</v>
      </c>
      <c r="BV980" s="68">
        <v>24</v>
      </c>
      <c r="BX980" s="68" t="s">
        <v>464</v>
      </c>
      <c r="BY980" s="68" t="s">
        <v>464</v>
      </c>
      <c r="BZ980" s="68">
        <v>0</v>
      </c>
      <c r="CA980" s="68">
        <v>7.01</v>
      </c>
      <c r="CB980" s="68">
        <v>0.5</v>
      </c>
      <c r="CC980" s="68">
        <v>30</v>
      </c>
      <c r="CD980" s="77" t="s">
        <v>464</v>
      </c>
      <c r="CE980" s="77" t="s">
        <v>464</v>
      </c>
      <c r="CF980" s="77" t="s">
        <v>1266</v>
      </c>
      <c r="CG980" s="77">
        <v>125</v>
      </c>
      <c r="CH980" s="77">
        <v>220</v>
      </c>
      <c r="CI980" s="77" t="s">
        <v>1287</v>
      </c>
      <c r="CJ980" s="77">
        <f t="shared" ref="CJ980:CJ988" si="257">273+15</f>
        <v>288</v>
      </c>
      <c r="CK980" s="70">
        <v>191.99999999999997</v>
      </c>
    </row>
    <row r="981" spans="1:89" x14ac:dyDescent="0.3">
      <c r="A981" t="s">
        <v>4</v>
      </c>
      <c r="B981" t="s">
        <v>4</v>
      </c>
      <c r="C981" t="s">
        <v>3921</v>
      </c>
      <c r="E981">
        <v>3.49</v>
      </c>
      <c r="F981" t="s">
        <v>1460</v>
      </c>
      <c r="G981" s="98" t="s">
        <v>527</v>
      </c>
      <c r="H981" t="s">
        <v>609</v>
      </c>
      <c r="M981" t="b">
        <v>1</v>
      </c>
      <c r="N981" t="b">
        <v>1</v>
      </c>
      <c r="O981" t="b">
        <v>0</v>
      </c>
      <c r="P981" t="b">
        <v>0</v>
      </c>
      <c r="Q981" t="s">
        <v>527</v>
      </c>
      <c r="R981" t="s">
        <v>609</v>
      </c>
      <c r="BT981" s="68" t="s">
        <v>1264</v>
      </c>
      <c r="BU981" s="68">
        <v>1373</v>
      </c>
      <c r="BV981" s="68">
        <v>24</v>
      </c>
      <c r="BX981" s="68" t="s">
        <v>1268</v>
      </c>
      <c r="BY981" s="68" t="s">
        <v>863</v>
      </c>
      <c r="BZ981" s="68">
        <v>1</v>
      </c>
      <c r="CA981" s="68">
        <v>3.78</v>
      </c>
      <c r="CB981" s="68">
        <v>0.5</v>
      </c>
      <c r="CC981" s="68">
        <v>30</v>
      </c>
      <c r="CD981" s="77" t="s">
        <v>464</v>
      </c>
      <c r="CE981" s="77" t="s">
        <v>464</v>
      </c>
      <c r="CF981" s="77" t="s">
        <v>1266</v>
      </c>
      <c r="CG981" s="77">
        <v>125</v>
      </c>
      <c r="CH981" s="77">
        <v>220</v>
      </c>
      <c r="CI981" s="77" t="s">
        <v>1287</v>
      </c>
      <c r="CJ981" s="77">
        <f t="shared" si="257"/>
        <v>288</v>
      </c>
      <c r="CK981" s="70">
        <v>200</v>
      </c>
    </row>
    <row r="982" spans="1:89" x14ac:dyDescent="0.3">
      <c r="A982" t="s">
        <v>63</v>
      </c>
      <c r="B982" t="s">
        <v>4</v>
      </c>
      <c r="C982" t="s">
        <v>3928</v>
      </c>
      <c r="E982">
        <v>3.49</v>
      </c>
      <c r="F982" t="s">
        <v>1460</v>
      </c>
      <c r="G982" s="99" t="s">
        <v>587</v>
      </c>
      <c r="H982" s="58">
        <v>1522043</v>
      </c>
      <c r="J982" t="s">
        <v>1729</v>
      </c>
      <c r="K982" t="s">
        <v>1729</v>
      </c>
      <c r="M982" t="b">
        <v>1</v>
      </c>
      <c r="N982" t="b">
        <v>1</v>
      </c>
      <c r="O982" t="b">
        <v>0</v>
      </c>
      <c r="P982" t="b">
        <v>0</v>
      </c>
      <c r="Q982" t="s">
        <v>2698</v>
      </c>
      <c r="R982" t="s">
        <v>2366</v>
      </c>
      <c r="T982">
        <v>1</v>
      </c>
      <c r="X982">
        <v>3.82</v>
      </c>
      <c r="Y982">
        <v>3.82</v>
      </c>
      <c r="Z982">
        <v>15.99</v>
      </c>
      <c r="AB982">
        <v>15.99</v>
      </c>
      <c r="BT982" s="68" t="s">
        <v>1264</v>
      </c>
      <c r="BU982" s="68">
        <v>1373</v>
      </c>
      <c r="BV982" s="68">
        <v>24</v>
      </c>
      <c r="BX982" s="68" t="s">
        <v>1268</v>
      </c>
      <c r="BY982" s="68" t="s">
        <v>863</v>
      </c>
      <c r="BZ982" s="68">
        <v>1</v>
      </c>
      <c r="CA982" s="68">
        <v>5.56</v>
      </c>
      <c r="CB982" s="68">
        <v>0.5</v>
      </c>
      <c r="CC982" s="68">
        <v>30</v>
      </c>
      <c r="CD982" s="77" t="s">
        <v>464</v>
      </c>
      <c r="CE982" s="77" t="s">
        <v>464</v>
      </c>
      <c r="CF982" s="77" t="s">
        <v>1266</v>
      </c>
      <c r="CG982" s="77">
        <v>125</v>
      </c>
      <c r="CH982" s="77">
        <v>220</v>
      </c>
      <c r="CI982" s="77" t="s">
        <v>1287</v>
      </c>
      <c r="CJ982" s="77">
        <f t="shared" si="257"/>
        <v>288</v>
      </c>
      <c r="CK982" s="70">
        <v>24800</v>
      </c>
    </row>
    <row r="983" spans="1:89" x14ac:dyDescent="0.3">
      <c r="A983" t="s">
        <v>2568</v>
      </c>
      <c r="B983" t="s">
        <v>4</v>
      </c>
      <c r="C983" t="s">
        <v>4265</v>
      </c>
      <c r="E983">
        <v>3.56</v>
      </c>
      <c r="F983" t="s">
        <v>1460</v>
      </c>
      <c r="G983" s="109" t="s">
        <v>2544</v>
      </c>
      <c r="J983" t="s">
        <v>1756</v>
      </c>
      <c r="M983" t="b">
        <v>0</v>
      </c>
      <c r="N983" t="b">
        <v>0</v>
      </c>
      <c r="O983" t="b">
        <v>0</v>
      </c>
      <c r="P983" t="b">
        <v>1</v>
      </c>
      <c r="Q983" t="s">
        <v>2748</v>
      </c>
      <c r="T983">
        <v>1</v>
      </c>
      <c r="X983">
        <v>3.86</v>
      </c>
      <c r="Y983">
        <v>3.86</v>
      </c>
      <c r="Z983">
        <v>16.079999999999998</v>
      </c>
      <c r="AB983">
        <v>16.079999999999998</v>
      </c>
      <c r="BT983" s="68" t="s">
        <v>1264</v>
      </c>
      <c r="BU983" s="68">
        <v>1373</v>
      </c>
      <c r="BV983" s="68">
        <v>24</v>
      </c>
      <c r="BX983" s="68" t="s">
        <v>1268</v>
      </c>
      <c r="BY983" s="68" t="s">
        <v>863</v>
      </c>
      <c r="BZ983" s="68">
        <v>1</v>
      </c>
      <c r="CA983" s="68">
        <v>4.28</v>
      </c>
      <c r="CB983" s="68">
        <v>0.5</v>
      </c>
      <c r="CC983" s="68">
        <v>30</v>
      </c>
      <c r="CD983" s="77" t="s">
        <v>464</v>
      </c>
      <c r="CE983" s="77" t="s">
        <v>464</v>
      </c>
      <c r="CF983" s="77" t="s">
        <v>1266</v>
      </c>
      <c r="CG983" s="77">
        <v>125</v>
      </c>
      <c r="CH983" s="77">
        <v>220</v>
      </c>
      <c r="CI983" s="77" t="s">
        <v>1287</v>
      </c>
      <c r="CJ983" s="77">
        <f t="shared" si="257"/>
        <v>288</v>
      </c>
      <c r="CK983" s="70">
        <v>6800</v>
      </c>
    </row>
    <row r="984" spans="1:89" x14ac:dyDescent="0.3">
      <c r="A984" t="s">
        <v>2569</v>
      </c>
      <c r="B984" t="s">
        <v>4</v>
      </c>
      <c r="C984" t="s">
        <v>4266</v>
      </c>
      <c r="E984">
        <v>3.6</v>
      </c>
      <c r="F984" t="s">
        <v>1460</v>
      </c>
      <c r="G984" s="109" t="s">
        <v>2545</v>
      </c>
      <c r="J984" t="s">
        <v>1756</v>
      </c>
      <c r="M984" t="b">
        <v>0</v>
      </c>
      <c r="N984" t="b">
        <v>0</v>
      </c>
      <c r="O984" t="b">
        <v>0</v>
      </c>
      <c r="P984" t="b">
        <v>1</v>
      </c>
      <c r="Q984" t="s">
        <v>2749</v>
      </c>
      <c r="T984">
        <v>1</v>
      </c>
      <c r="X984">
        <v>3.87</v>
      </c>
      <c r="Y984">
        <v>3.87</v>
      </c>
      <c r="Z984">
        <v>20.49</v>
      </c>
      <c r="AB984">
        <v>20.49</v>
      </c>
      <c r="BT984" s="68" t="s">
        <v>1264</v>
      </c>
      <c r="BU984" s="68">
        <v>1373</v>
      </c>
      <c r="BV984" s="68">
        <v>24</v>
      </c>
      <c r="BX984" s="68" t="s">
        <v>1268</v>
      </c>
      <c r="BY984" s="68" t="s">
        <v>863</v>
      </c>
      <c r="BZ984" s="68">
        <v>1</v>
      </c>
      <c r="CB984" s="68">
        <v>0.5</v>
      </c>
      <c r="CC984" s="68">
        <v>30</v>
      </c>
      <c r="CD984" s="77" t="s">
        <v>464</v>
      </c>
      <c r="CE984" s="77" t="s">
        <v>464</v>
      </c>
      <c r="CF984" s="77" t="s">
        <v>1266</v>
      </c>
      <c r="CG984" s="77">
        <v>125</v>
      </c>
      <c r="CH984" s="77">
        <v>220</v>
      </c>
      <c r="CI984" s="77" t="s">
        <v>1287</v>
      </c>
      <c r="CJ984" s="77">
        <f t="shared" si="257"/>
        <v>288</v>
      </c>
      <c r="CK984" s="70">
        <v>18400</v>
      </c>
    </row>
    <row r="985" spans="1:89" x14ac:dyDescent="0.3">
      <c r="A985" t="s">
        <v>2742</v>
      </c>
      <c r="B985" t="s">
        <v>4</v>
      </c>
      <c r="C985" t="s">
        <v>4267</v>
      </c>
      <c r="E985">
        <v>3.55</v>
      </c>
      <c r="F985" t="s">
        <v>1460</v>
      </c>
      <c r="G985" s="109" t="s">
        <v>2546</v>
      </c>
      <c r="J985" t="s">
        <v>1756</v>
      </c>
      <c r="M985" t="b">
        <v>0</v>
      </c>
      <c r="N985" t="b">
        <v>0</v>
      </c>
      <c r="O985" t="b">
        <v>0</v>
      </c>
      <c r="P985" t="b">
        <v>1</v>
      </c>
      <c r="Q985" t="s">
        <v>2750</v>
      </c>
      <c r="T985">
        <v>1</v>
      </c>
      <c r="X985">
        <v>3.86</v>
      </c>
      <c r="Y985">
        <v>3.86</v>
      </c>
      <c r="Z985">
        <v>22.22</v>
      </c>
      <c r="AB985">
        <v>22.22</v>
      </c>
      <c r="BT985" s="68" t="s">
        <v>1264</v>
      </c>
      <c r="BU985" s="68">
        <v>1373</v>
      </c>
      <c r="BV985" s="68">
        <v>24</v>
      </c>
      <c r="BX985" s="68" t="s">
        <v>1268</v>
      </c>
      <c r="BY985" s="68" t="s">
        <v>863</v>
      </c>
      <c r="BZ985" s="68">
        <v>1</v>
      </c>
      <c r="CB985" s="68">
        <v>0.5</v>
      </c>
      <c r="CC985" s="68">
        <v>30</v>
      </c>
      <c r="CD985" s="77" t="s">
        <v>464</v>
      </c>
      <c r="CE985" s="77" t="s">
        <v>464</v>
      </c>
      <c r="CF985" s="77" t="s">
        <v>1266</v>
      </c>
      <c r="CG985" s="77">
        <v>125</v>
      </c>
      <c r="CH985" s="77">
        <v>220</v>
      </c>
      <c r="CI985" s="77" t="s">
        <v>1287</v>
      </c>
      <c r="CJ985" s="77">
        <f t="shared" si="257"/>
        <v>288</v>
      </c>
      <c r="CK985" s="70">
        <v>17200</v>
      </c>
    </row>
    <row r="986" spans="1:89" x14ac:dyDescent="0.3">
      <c r="A986" t="s">
        <v>2565</v>
      </c>
      <c r="B986" t="s">
        <v>4</v>
      </c>
      <c r="C986" t="s">
        <v>4262</v>
      </c>
      <c r="E986">
        <v>3.62</v>
      </c>
      <c r="F986" t="s">
        <v>1460</v>
      </c>
      <c r="G986" s="109" t="s">
        <v>2547</v>
      </c>
      <c r="J986" t="s">
        <v>1756</v>
      </c>
      <c r="M986" t="b">
        <v>0</v>
      </c>
      <c r="N986" t="b">
        <v>0</v>
      </c>
      <c r="O986" t="b">
        <v>0</v>
      </c>
      <c r="P986" t="b">
        <v>1</v>
      </c>
      <c r="Q986" t="s">
        <v>2751</v>
      </c>
      <c r="T986">
        <v>1</v>
      </c>
      <c r="X986">
        <v>3.86</v>
      </c>
      <c r="Y986">
        <v>3.86</v>
      </c>
      <c r="Z986">
        <v>25.35</v>
      </c>
      <c r="AB986">
        <v>25.35</v>
      </c>
      <c r="BT986" s="68" t="s">
        <v>1264</v>
      </c>
      <c r="BU986" s="68">
        <v>1373</v>
      </c>
      <c r="BV986" s="68">
        <v>24</v>
      </c>
      <c r="BX986" s="68" t="s">
        <v>1268</v>
      </c>
      <c r="BY986" s="68" t="s">
        <v>863</v>
      </c>
      <c r="BZ986" s="68">
        <v>1</v>
      </c>
      <c r="CB986" s="68">
        <v>0.5</v>
      </c>
      <c r="CC986" s="68">
        <v>30</v>
      </c>
      <c r="CD986" s="77" t="s">
        <v>464</v>
      </c>
      <c r="CE986" s="77" t="s">
        <v>464</v>
      </c>
      <c r="CF986" s="77" t="s">
        <v>1266</v>
      </c>
      <c r="CG986" s="77">
        <v>125</v>
      </c>
      <c r="CH986" s="77">
        <v>220</v>
      </c>
      <c r="CI986" s="77" t="s">
        <v>1287</v>
      </c>
      <c r="CJ986" s="77">
        <f t="shared" si="257"/>
        <v>288</v>
      </c>
      <c r="CK986" s="70">
        <v>39600</v>
      </c>
    </row>
    <row r="987" spans="1:89" x14ac:dyDescent="0.3">
      <c r="A987" t="s">
        <v>2570</v>
      </c>
      <c r="B987" t="s">
        <v>4</v>
      </c>
      <c r="C987" t="s">
        <v>4268</v>
      </c>
      <c r="E987">
        <v>3.55</v>
      </c>
      <c r="F987" t="s">
        <v>1460</v>
      </c>
      <c r="G987" s="109" t="s">
        <v>2548</v>
      </c>
      <c r="J987" t="s">
        <v>1756</v>
      </c>
      <c r="M987" t="b">
        <v>0</v>
      </c>
      <c r="N987" t="b">
        <v>0</v>
      </c>
      <c r="O987" t="b">
        <v>0</v>
      </c>
      <c r="P987" t="b">
        <v>1</v>
      </c>
      <c r="Q987" t="s">
        <v>2752</v>
      </c>
      <c r="T987">
        <v>1</v>
      </c>
      <c r="X987">
        <v>3.86</v>
      </c>
      <c r="Y987">
        <v>3.86</v>
      </c>
      <c r="Z987">
        <v>29.53</v>
      </c>
      <c r="AB987">
        <v>29.53</v>
      </c>
      <c r="BT987" s="68" t="s">
        <v>1264</v>
      </c>
      <c r="BU987" s="68">
        <v>1373</v>
      </c>
      <c r="BV987" s="68">
        <v>24</v>
      </c>
      <c r="BX987" s="68" t="s">
        <v>1268</v>
      </c>
      <c r="BY987" s="68" t="s">
        <v>863</v>
      </c>
      <c r="BZ987" s="68">
        <v>1</v>
      </c>
      <c r="CB987" s="68">
        <v>0.5</v>
      </c>
      <c r="CC987" s="68">
        <v>30</v>
      </c>
      <c r="CD987" s="77" t="s">
        <v>464</v>
      </c>
      <c r="CE987" s="77" t="s">
        <v>464</v>
      </c>
      <c r="CF987" s="77" t="s">
        <v>1266</v>
      </c>
      <c r="CG987" s="77">
        <v>125</v>
      </c>
      <c r="CH987" s="77">
        <v>220</v>
      </c>
      <c r="CI987" s="77" t="s">
        <v>1287</v>
      </c>
      <c r="CJ987" s="77">
        <f t="shared" si="257"/>
        <v>288</v>
      </c>
      <c r="CK987" s="70">
        <v>21600</v>
      </c>
    </row>
    <row r="988" spans="1:89" x14ac:dyDescent="0.3">
      <c r="A988" t="s">
        <v>2571</v>
      </c>
      <c r="B988" t="s">
        <v>4</v>
      </c>
      <c r="C988" t="s">
        <v>4269</v>
      </c>
      <c r="E988">
        <v>3.6</v>
      </c>
      <c r="F988" t="s">
        <v>1460</v>
      </c>
      <c r="G988" s="109" t="s">
        <v>2549</v>
      </c>
      <c r="J988" t="s">
        <v>1756</v>
      </c>
      <c r="M988" t="b">
        <v>0</v>
      </c>
      <c r="N988" t="b">
        <v>0</v>
      </c>
      <c r="O988" t="b">
        <v>0</v>
      </c>
      <c r="P988" t="b">
        <v>1</v>
      </c>
      <c r="Q988" t="s">
        <v>2753</v>
      </c>
      <c r="T988">
        <v>1</v>
      </c>
      <c r="X988">
        <v>3.86</v>
      </c>
      <c r="Y988">
        <v>3.86</v>
      </c>
      <c r="Z988">
        <v>33.53</v>
      </c>
      <c r="AB988">
        <v>33.53</v>
      </c>
      <c r="BT988" s="68" t="s">
        <v>1264</v>
      </c>
      <c r="BU988" s="68">
        <v>1373</v>
      </c>
      <c r="BV988" s="68">
        <v>24</v>
      </c>
      <c r="BX988" s="68" t="s">
        <v>1268</v>
      </c>
      <c r="BY988" s="68" t="s">
        <v>863</v>
      </c>
      <c r="BZ988" s="68">
        <v>1</v>
      </c>
      <c r="CA988" s="68">
        <v>7.01</v>
      </c>
      <c r="CB988" s="68">
        <v>0.5</v>
      </c>
      <c r="CC988" s="68">
        <v>30</v>
      </c>
      <c r="CD988" s="77" t="s">
        <v>464</v>
      </c>
      <c r="CE988" s="77" t="s">
        <v>464</v>
      </c>
      <c r="CF988" s="77" t="s">
        <v>1266</v>
      </c>
      <c r="CG988" s="77">
        <v>125</v>
      </c>
      <c r="CH988" s="77">
        <v>220</v>
      </c>
      <c r="CI988" s="77" t="s">
        <v>1287</v>
      </c>
      <c r="CJ988" s="77">
        <f t="shared" si="257"/>
        <v>288</v>
      </c>
      <c r="CK988" s="70">
        <v>22000</v>
      </c>
    </row>
    <row r="989" spans="1:89" x14ac:dyDescent="0.3">
      <c r="A989" t="s">
        <v>284</v>
      </c>
      <c r="B989" t="s">
        <v>2776</v>
      </c>
      <c r="C989" t="s">
        <v>4198</v>
      </c>
      <c r="E989" s="58">
        <v>3.35</v>
      </c>
      <c r="F989" t="s">
        <v>1461</v>
      </c>
      <c r="G989" s="8" t="s">
        <v>598</v>
      </c>
      <c r="H989" t="s">
        <v>670</v>
      </c>
      <c r="I989" t="s">
        <v>1506</v>
      </c>
      <c r="M989" t="b">
        <v>1</v>
      </c>
      <c r="N989" t="b">
        <v>1</v>
      </c>
      <c r="O989" t="b">
        <v>0</v>
      </c>
      <c r="P989" t="b">
        <v>0</v>
      </c>
      <c r="Q989" t="s">
        <v>598</v>
      </c>
      <c r="R989" t="s">
        <v>670</v>
      </c>
      <c r="S989" t="s">
        <v>1506</v>
      </c>
      <c r="T989">
        <v>2</v>
      </c>
      <c r="X989">
        <v>3.8</v>
      </c>
      <c r="Y989">
        <v>3.8</v>
      </c>
      <c r="Z989">
        <v>28.5</v>
      </c>
      <c r="AA989" t="s">
        <v>440</v>
      </c>
      <c r="AB989">
        <v>14.25</v>
      </c>
      <c r="BT989" s="68" t="s">
        <v>1264</v>
      </c>
      <c r="BU989" s="68">
        <v>1373</v>
      </c>
      <c r="BV989" s="68">
        <v>12</v>
      </c>
    </row>
    <row r="990" spans="1:89" x14ac:dyDescent="0.3">
      <c r="A990" t="s">
        <v>1462</v>
      </c>
      <c r="B990" t="s">
        <v>2776</v>
      </c>
      <c r="C990" t="s">
        <v>4323</v>
      </c>
      <c r="E990">
        <v>2.15</v>
      </c>
      <c r="F990" t="s">
        <v>1461</v>
      </c>
      <c r="G990" s="25" t="s">
        <v>598</v>
      </c>
      <c r="H990" s="1" t="s">
        <v>670</v>
      </c>
      <c r="I990" s="1" t="s">
        <v>1506</v>
      </c>
      <c r="J990" s="1" t="s">
        <v>2260</v>
      </c>
      <c r="K990" s="1" t="s">
        <v>2260</v>
      </c>
      <c r="L990" s="1" t="s">
        <v>2260</v>
      </c>
      <c r="M990" t="b">
        <v>1</v>
      </c>
      <c r="N990" t="b">
        <v>1</v>
      </c>
      <c r="O990" t="b">
        <v>0</v>
      </c>
      <c r="P990" t="b">
        <v>0</v>
      </c>
      <c r="Q990" t="s">
        <v>2699</v>
      </c>
      <c r="R990" t="s">
        <v>2368</v>
      </c>
      <c r="S990" t="s">
        <v>2369</v>
      </c>
      <c r="T990">
        <v>2</v>
      </c>
      <c r="X990">
        <v>3.8</v>
      </c>
      <c r="Y990">
        <v>3.8</v>
      </c>
      <c r="Z990">
        <v>28.5</v>
      </c>
      <c r="AA990" t="s">
        <v>440</v>
      </c>
      <c r="AB990">
        <v>14.25</v>
      </c>
      <c r="BT990" s="68" t="s">
        <v>1264</v>
      </c>
      <c r="BU990" s="68">
        <v>1373</v>
      </c>
      <c r="BV990" s="68">
        <v>12</v>
      </c>
    </row>
    <row r="991" spans="1:89" x14ac:dyDescent="0.3">
      <c r="A991" t="s">
        <v>1463</v>
      </c>
      <c r="B991" t="s">
        <v>2776</v>
      </c>
      <c r="C991" t="s">
        <v>4324</v>
      </c>
      <c r="E991">
        <v>1.95</v>
      </c>
      <c r="F991" t="s">
        <v>1461</v>
      </c>
      <c r="G991" s="25" t="s">
        <v>598</v>
      </c>
      <c r="H991" s="1" t="s">
        <v>670</v>
      </c>
      <c r="I991" s="1" t="s">
        <v>1506</v>
      </c>
      <c r="J991" s="1" t="s">
        <v>2261</v>
      </c>
      <c r="K991" s="1" t="s">
        <v>2261</v>
      </c>
      <c r="L991" s="1" t="s">
        <v>2261</v>
      </c>
      <c r="M991" t="b">
        <v>1</v>
      </c>
      <c r="N991" t="b">
        <v>1</v>
      </c>
      <c r="O991" t="b">
        <v>0</v>
      </c>
      <c r="P991" t="b">
        <v>0</v>
      </c>
      <c r="Q991" t="s">
        <v>2700</v>
      </c>
      <c r="R991" t="s">
        <v>2371</v>
      </c>
      <c r="S991" t="s">
        <v>2369</v>
      </c>
      <c r="T991">
        <v>2</v>
      </c>
      <c r="X991">
        <v>3.8</v>
      </c>
      <c r="Y991">
        <v>3.8</v>
      </c>
      <c r="Z991">
        <v>28.4</v>
      </c>
      <c r="AA991" t="s">
        <v>440</v>
      </c>
      <c r="AB991">
        <v>14.2</v>
      </c>
      <c r="BT991" s="68" t="s">
        <v>1264</v>
      </c>
      <c r="BU991" s="68">
        <v>1373</v>
      </c>
      <c r="BV991" s="68">
        <v>12</v>
      </c>
    </row>
    <row r="992" spans="1:89" x14ac:dyDescent="0.3">
      <c r="A992" t="s">
        <v>1464</v>
      </c>
      <c r="B992" t="s">
        <v>2776</v>
      </c>
      <c r="C992" t="s">
        <v>4325</v>
      </c>
      <c r="E992">
        <v>1.55</v>
      </c>
      <c r="F992" t="s">
        <v>1461</v>
      </c>
      <c r="G992" s="25" t="s">
        <v>598</v>
      </c>
      <c r="H992" s="1" t="s">
        <v>670</v>
      </c>
      <c r="I992" s="1" t="s">
        <v>1506</v>
      </c>
      <c r="J992" s="1" t="s">
        <v>2262</v>
      </c>
      <c r="K992" s="1" t="s">
        <v>2262</v>
      </c>
      <c r="L992" s="1" t="s">
        <v>2262</v>
      </c>
      <c r="M992" t="b">
        <v>1</v>
      </c>
      <c r="N992" t="b">
        <v>1</v>
      </c>
      <c r="O992" t="b">
        <v>0</v>
      </c>
      <c r="P992" t="b">
        <v>0</v>
      </c>
      <c r="Q992" t="s">
        <v>2701</v>
      </c>
      <c r="R992" t="s">
        <v>2373</v>
      </c>
      <c r="S992" t="s">
        <v>2369</v>
      </c>
      <c r="T992">
        <v>2</v>
      </c>
      <c r="X992">
        <v>3.8</v>
      </c>
      <c r="Y992">
        <v>3.8</v>
      </c>
      <c r="Z992">
        <v>28.5</v>
      </c>
      <c r="AA992" t="s">
        <v>440</v>
      </c>
      <c r="AB992">
        <v>14.25</v>
      </c>
      <c r="BT992" s="68" t="s">
        <v>1264</v>
      </c>
      <c r="BU992" s="68">
        <v>1373</v>
      </c>
      <c r="BV992" s="68">
        <v>12</v>
      </c>
    </row>
    <row r="993" spans="1:89" x14ac:dyDescent="0.3">
      <c r="A993" t="s">
        <v>1465</v>
      </c>
      <c r="B993" t="s">
        <v>2776</v>
      </c>
      <c r="C993" t="s">
        <v>4326</v>
      </c>
      <c r="E993">
        <v>1.5</v>
      </c>
      <c r="F993" t="s">
        <v>1461</v>
      </c>
      <c r="G993" s="25" t="s">
        <v>598</v>
      </c>
      <c r="H993" s="1" t="s">
        <v>670</v>
      </c>
      <c r="I993" s="1" t="s">
        <v>1506</v>
      </c>
      <c r="J993" s="1" t="s">
        <v>2263</v>
      </c>
      <c r="K993" s="1" t="s">
        <v>2263</v>
      </c>
      <c r="L993" s="1" t="s">
        <v>2263</v>
      </c>
      <c r="M993" t="b">
        <v>1</v>
      </c>
      <c r="N993" t="b">
        <v>1</v>
      </c>
      <c r="O993" t="b">
        <v>0</v>
      </c>
      <c r="P993" t="b">
        <v>0</v>
      </c>
      <c r="Q993" t="s">
        <v>2702</v>
      </c>
      <c r="R993" t="s">
        <v>2375</v>
      </c>
      <c r="S993" t="s">
        <v>2369</v>
      </c>
      <c r="T993">
        <v>2</v>
      </c>
      <c r="X993">
        <v>3.8</v>
      </c>
      <c r="Y993">
        <v>3.8</v>
      </c>
      <c r="Z993">
        <v>28.3</v>
      </c>
      <c r="AA993" t="s">
        <v>440</v>
      </c>
      <c r="AB993">
        <v>14.15</v>
      </c>
      <c r="BT993" s="68" t="s">
        <v>1264</v>
      </c>
      <c r="BU993" s="68">
        <v>1373</v>
      </c>
      <c r="BV993" s="68">
        <v>12</v>
      </c>
    </row>
    <row r="994" spans="1:89" x14ac:dyDescent="0.3">
      <c r="A994" t="s">
        <v>1466</v>
      </c>
      <c r="B994" t="s">
        <v>2776</v>
      </c>
      <c r="C994" t="s">
        <v>4327</v>
      </c>
      <c r="E994">
        <v>1.4</v>
      </c>
      <c r="F994" t="s">
        <v>1461</v>
      </c>
      <c r="G994" s="25" t="s">
        <v>598</v>
      </c>
      <c r="H994" s="1" t="s">
        <v>670</v>
      </c>
      <c r="I994" s="1" t="s">
        <v>1506</v>
      </c>
      <c r="J994" s="1" t="s">
        <v>2273</v>
      </c>
      <c r="K994" s="1" t="s">
        <v>2273</v>
      </c>
      <c r="L994" s="1" t="s">
        <v>2273</v>
      </c>
      <c r="M994" t="b">
        <v>1</v>
      </c>
      <c r="N994" t="b">
        <v>1</v>
      </c>
      <c r="O994" t="b">
        <v>0</v>
      </c>
      <c r="P994" t="b">
        <v>0</v>
      </c>
      <c r="Q994" t="s">
        <v>2703</v>
      </c>
      <c r="R994" t="s">
        <v>2377</v>
      </c>
      <c r="S994" t="s">
        <v>2369</v>
      </c>
      <c r="T994">
        <v>2</v>
      </c>
      <c r="X994">
        <v>3.8</v>
      </c>
      <c r="Y994">
        <v>3.8</v>
      </c>
      <c r="Z994">
        <v>28.3</v>
      </c>
      <c r="AA994" t="s">
        <v>440</v>
      </c>
      <c r="AB994">
        <v>14.15</v>
      </c>
      <c r="BT994" s="68" t="s">
        <v>1264</v>
      </c>
      <c r="BU994" s="68">
        <v>1373</v>
      </c>
      <c r="BV994" s="68">
        <v>12</v>
      </c>
    </row>
    <row r="995" spans="1:89" x14ac:dyDescent="0.3">
      <c r="A995" t="s">
        <v>1467</v>
      </c>
      <c r="B995" t="s">
        <v>2776</v>
      </c>
      <c r="C995" t="s">
        <v>4328</v>
      </c>
      <c r="E995">
        <v>1.35</v>
      </c>
      <c r="F995" t="s">
        <v>1461</v>
      </c>
      <c r="G995" s="25" t="s">
        <v>598</v>
      </c>
      <c r="H995" s="1" t="s">
        <v>670</v>
      </c>
      <c r="I995" s="1" t="s">
        <v>1506</v>
      </c>
      <c r="J995" s="1" t="s">
        <v>2264</v>
      </c>
      <c r="K995" s="1" t="s">
        <v>2264</v>
      </c>
      <c r="L995" s="1" t="s">
        <v>2264</v>
      </c>
      <c r="M995" t="b">
        <v>1</v>
      </c>
      <c r="N995" t="b">
        <v>1</v>
      </c>
      <c r="O995" t="b">
        <v>0</v>
      </c>
      <c r="P995" t="b">
        <v>0</v>
      </c>
      <c r="Q995" t="s">
        <v>2704</v>
      </c>
      <c r="R995" t="s">
        <v>2379</v>
      </c>
      <c r="S995" t="s">
        <v>2369</v>
      </c>
      <c r="T995">
        <v>2</v>
      </c>
      <c r="X995">
        <v>3.8</v>
      </c>
      <c r="Y995">
        <v>3.8</v>
      </c>
      <c r="Z995">
        <v>28.2</v>
      </c>
      <c r="AA995" t="s">
        <v>440</v>
      </c>
      <c r="AB995">
        <v>14.1</v>
      </c>
      <c r="BT995" s="68" t="s">
        <v>1264</v>
      </c>
      <c r="BU995" s="68">
        <v>1373</v>
      </c>
      <c r="BV995" s="68">
        <v>12</v>
      </c>
    </row>
    <row r="996" spans="1:89" x14ac:dyDescent="0.3">
      <c r="A996" s="78" t="s">
        <v>1468</v>
      </c>
      <c r="B996" t="s">
        <v>2776</v>
      </c>
      <c r="C996" t="s">
        <v>4329</v>
      </c>
      <c r="E996">
        <v>3.2</v>
      </c>
      <c r="F996" t="s">
        <v>1461</v>
      </c>
      <c r="G996" s="8" t="s">
        <v>598</v>
      </c>
      <c r="H996" t="s">
        <v>670</v>
      </c>
      <c r="I996" t="s">
        <v>1506</v>
      </c>
      <c r="J996" t="s">
        <v>2487</v>
      </c>
      <c r="M996" t="b">
        <v>1</v>
      </c>
      <c r="N996" t="b">
        <v>0</v>
      </c>
      <c r="O996" t="b">
        <v>0</v>
      </c>
      <c r="P996" t="b">
        <v>0</v>
      </c>
      <c r="Q996" t="s">
        <v>2705</v>
      </c>
      <c r="R996" t="s">
        <v>670</v>
      </c>
      <c r="S996" t="s">
        <v>1506</v>
      </c>
      <c r="T996">
        <v>2</v>
      </c>
      <c r="X996">
        <v>3.8</v>
      </c>
      <c r="Y996">
        <v>3.8</v>
      </c>
      <c r="Z996">
        <v>27.3</v>
      </c>
      <c r="AA996" t="s">
        <v>440</v>
      </c>
      <c r="AB996">
        <v>13.65</v>
      </c>
      <c r="BT996" s="68" t="s">
        <v>1264</v>
      </c>
      <c r="BU996" s="68">
        <v>1373</v>
      </c>
      <c r="BV996" s="68">
        <v>12</v>
      </c>
      <c r="BX996" s="68" t="s">
        <v>1268</v>
      </c>
      <c r="BY996" s="68" t="s">
        <v>863</v>
      </c>
      <c r="BZ996" s="68">
        <v>1</v>
      </c>
      <c r="CA996" s="70">
        <v>3.2</v>
      </c>
      <c r="CB996" s="68">
        <v>0.5</v>
      </c>
      <c r="CC996" s="68">
        <v>1</v>
      </c>
      <c r="CD996" s="77" t="s">
        <v>464</v>
      </c>
      <c r="CE996" s="77" t="s">
        <v>464</v>
      </c>
      <c r="CF996" s="77" t="s">
        <v>1266</v>
      </c>
      <c r="CG996" s="77">
        <v>125</v>
      </c>
      <c r="CH996" s="77">
        <v>220</v>
      </c>
      <c r="CI996" s="77" t="s">
        <v>1287</v>
      </c>
      <c r="CJ996" s="77">
        <f t="shared" ref="CJ996:CJ1000" si="258">273+15</f>
        <v>288</v>
      </c>
      <c r="CK996" s="70">
        <v>390</v>
      </c>
    </row>
    <row r="997" spans="1:89" x14ac:dyDescent="0.3">
      <c r="A997" s="78" t="s">
        <v>1472</v>
      </c>
      <c r="B997" t="s">
        <v>2776</v>
      </c>
      <c r="C997" t="s">
        <v>4330</v>
      </c>
      <c r="E997">
        <v>2.9</v>
      </c>
      <c r="F997" t="s">
        <v>1461</v>
      </c>
      <c r="G997" s="8" t="s">
        <v>598</v>
      </c>
      <c r="H997" t="s">
        <v>670</v>
      </c>
      <c r="I997" t="s">
        <v>1506</v>
      </c>
      <c r="J997" t="s">
        <v>2488</v>
      </c>
      <c r="K997" t="s">
        <v>2488</v>
      </c>
      <c r="L997" t="s">
        <v>2488</v>
      </c>
      <c r="M997" t="b">
        <v>1</v>
      </c>
      <c r="N997" t="b">
        <v>1</v>
      </c>
      <c r="O997" t="b">
        <v>0</v>
      </c>
      <c r="P997" t="b">
        <v>0</v>
      </c>
      <c r="Q997" t="s">
        <v>2706</v>
      </c>
      <c r="R997" t="s">
        <v>2382</v>
      </c>
      <c r="S997" t="s">
        <v>2369</v>
      </c>
      <c r="T997">
        <v>2</v>
      </c>
      <c r="X997">
        <v>3.8</v>
      </c>
      <c r="Y997">
        <v>3.8</v>
      </c>
      <c r="Z997">
        <v>27.3</v>
      </c>
      <c r="AA997" t="s">
        <v>440</v>
      </c>
      <c r="AB997">
        <v>13.65</v>
      </c>
      <c r="BT997" s="68" t="s">
        <v>1264</v>
      </c>
      <c r="BU997" s="68">
        <v>1373</v>
      </c>
      <c r="BV997" s="68">
        <v>12</v>
      </c>
      <c r="BX997" s="68" t="s">
        <v>1268</v>
      </c>
      <c r="BY997" s="68" t="s">
        <v>863</v>
      </c>
      <c r="BZ997" s="68">
        <v>1</v>
      </c>
      <c r="CA997" s="70">
        <v>3.2</v>
      </c>
      <c r="CB997" s="68">
        <v>0.5</v>
      </c>
      <c r="CC997" s="68">
        <v>1</v>
      </c>
      <c r="CD997" s="77" t="s">
        <v>464</v>
      </c>
      <c r="CE997" s="77" t="s">
        <v>464</v>
      </c>
      <c r="CF997" s="77" t="s">
        <v>1266</v>
      </c>
      <c r="CG997" s="77">
        <v>125</v>
      </c>
      <c r="CH997" s="77">
        <v>220</v>
      </c>
      <c r="CI997" s="77" t="s">
        <v>1287</v>
      </c>
      <c r="CJ997" s="77">
        <f t="shared" si="258"/>
        <v>288</v>
      </c>
      <c r="CK997" s="70">
        <v>536</v>
      </c>
    </row>
    <row r="998" spans="1:89" x14ac:dyDescent="0.3">
      <c r="A998" s="78" t="s">
        <v>1473</v>
      </c>
      <c r="B998" t="s">
        <v>2776</v>
      </c>
      <c r="C998" t="s">
        <v>4331</v>
      </c>
      <c r="E998">
        <v>2.65</v>
      </c>
      <c r="F998" t="s">
        <v>1461</v>
      </c>
      <c r="G998" s="8" t="s">
        <v>598</v>
      </c>
      <c r="H998" t="s">
        <v>670</v>
      </c>
      <c r="I998" t="s">
        <v>1506</v>
      </c>
      <c r="J998" t="s">
        <v>2489</v>
      </c>
      <c r="K998" t="s">
        <v>2489</v>
      </c>
      <c r="L998" t="s">
        <v>2489</v>
      </c>
      <c r="M998" t="b">
        <v>1</v>
      </c>
      <c r="N998" t="b">
        <v>1</v>
      </c>
      <c r="O998" t="b">
        <v>0</v>
      </c>
      <c r="P998" t="b">
        <v>0</v>
      </c>
      <c r="Q998" t="s">
        <v>2707</v>
      </c>
      <c r="R998" t="s">
        <v>2384</v>
      </c>
      <c r="S998" t="s">
        <v>2369</v>
      </c>
      <c r="T998">
        <v>2</v>
      </c>
      <c r="X998">
        <v>3.8</v>
      </c>
      <c r="Y998">
        <v>3.8</v>
      </c>
      <c r="Z998">
        <v>27.3</v>
      </c>
      <c r="AA998" t="s">
        <v>440</v>
      </c>
      <c r="AB998">
        <v>13.65</v>
      </c>
      <c r="BT998" s="68" t="s">
        <v>1264</v>
      </c>
      <c r="BU998" s="68">
        <v>1373</v>
      </c>
      <c r="BV998" s="68">
        <v>12</v>
      </c>
      <c r="BX998" s="68" t="s">
        <v>1268</v>
      </c>
      <c r="BY998" s="68" t="s">
        <v>863</v>
      </c>
      <c r="BZ998" s="68">
        <v>1</v>
      </c>
      <c r="CA998" s="70">
        <v>3.2</v>
      </c>
      <c r="CB998" s="68">
        <v>0.5</v>
      </c>
      <c r="CC998" s="68">
        <v>1</v>
      </c>
      <c r="CD998" s="77" t="s">
        <v>464</v>
      </c>
      <c r="CE998" s="77" t="s">
        <v>464</v>
      </c>
      <c r="CF998" s="77" t="s">
        <v>1266</v>
      </c>
      <c r="CG998" s="77">
        <v>125</v>
      </c>
      <c r="CH998" s="77">
        <v>220</v>
      </c>
      <c r="CI998" s="77" t="s">
        <v>1287</v>
      </c>
      <c r="CJ998" s="77">
        <f t="shared" si="258"/>
        <v>288</v>
      </c>
      <c r="CK998" s="70">
        <v>480</v>
      </c>
    </row>
    <row r="999" spans="1:89" x14ac:dyDescent="0.3">
      <c r="A999" s="78" t="s">
        <v>1474</v>
      </c>
      <c r="B999" t="s">
        <v>2776</v>
      </c>
      <c r="C999" t="s">
        <v>4332</v>
      </c>
      <c r="E999">
        <v>2.5499999999999998</v>
      </c>
      <c r="F999" t="s">
        <v>1461</v>
      </c>
      <c r="G999" s="8" t="s">
        <v>598</v>
      </c>
      <c r="H999" t="s">
        <v>670</v>
      </c>
      <c r="I999" t="s">
        <v>1506</v>
      </c>
      <c r="J999" t="s">
        <v>2590</v>
      </c>
      <c r="K999" t="s">
        <v>2590</v>
      </c>
      <c r="L999" t="s">
        <v>2590</v>
      </c>
      <c r="M999" t="b">
        <v>1</v>
      </c>
      <c r="N999" t="b">
        <v>1</v>
      </c>
      <c r="O999" t="b">
        <v>0</v>
      </c>
      <c r="P999" t="b">
        <v>0</v>
      </c>
      <c r="Q999" t="s">
        <v>2708</v>
      </c>
      <c r="R999" t="s">
        <v>2386</v>
      </c>
      <c r="S999" t="s">
        <v>2369</v>
      </c>
      <c r="T999">
        <v>2</v>
      </c>
      <c r="X999">
        <v>3.8</v>
      </c>
      <c r="Y999">
        <v>3.8</v>
      </c>
      <c r="Z999">
        <v>27.3</v>
      </c>
      <c r="AA999" t="s">
        <v>440</v>
      </c>
      <c r="AB999">
        <v>13.65</v>
      </c>
      <c r="BT999" s="68" t="s">
        <v>1264</v>
      </c>
      <c r="BU999" s="68">
        <v>1373</v>
      </c>
      <c r="BV999" s="68">
        <v>12</v>
      </c>
      <c r="BX999" s="68" t="s">
        <v>1268</v>
      </c>
      <c r="BY999" s="68" t="s">
        <v>863</v>
      </c>
      <c r="BZ999" s="68">
        <v>1</v>
      </c>
      <c r="CA999" s="70">
        <v>3.2</v>
      </c>
      <c r="CB999" s="68">
        <v>0.5</v>
      </c>
      <c r="CC999" s="68">
        <v>1</v>
      </c>
      <c r="CD999" s="77" t="s">
        <v>464</v>
      </c>
      <c r="CE999" s="77" t="s">
        <v>464</v>
      </c>
      <c r="CF999" s="77" t="s">
        <v>1266</v>
      </c>
      <c r="CG999" s="77">
        <v>125</v>
      </c>
      <c r="CH999" s="77">
        <v>220</v>
      </c>
      <c r="CI999" s="77" t="s">
        <v>1287</v>
      </c>
      <c r="CJ999" s="77">
        <f t="shared" si="258"/>
        <v>288</v>
      </c>
      <c r="CK999" s="70">
        <v>262</v>
      </c>
    </row>
    <row r="1000" spans="1:89" x14ac:dyDescent="0.3">
      <c r="A1000" s="78" t="s">
        <v>1475</v>
      </c>
      <c r="B1000" t="s">
        <v>2776</v>
      </c>
      <c r="C1000" t="s">
        <v>4333</v>
      </c>
      <c r="E1000">
        <v>2.4500000000000002</v>
      </c>
      <c r="F1000" t="s">
        <v>1461</v>
      </c>
      <c r="G1000" s="8" t="s">
        <v>598</v>
      </c>
      <c r="H1000" t="s">
        <v>670</v>
      </c>
      <c r="I1000" t="s">
        <v>1506</v>
      </c>
      <c r="J1000" t="s">
        <v>2490</v>
      </c>
      <c r="K1000" t="s">
        <v>2490</v>
      </c>
      <c r="L1000" t="s">
        <v>2490</v>
      </c>
      <c r="M1000" t="b">
        <v>1</v>
      </c>
      <c r="N1000" t="b">
        <v>1</v>
      </c>
      <c r="O1000" t="b">
        <v>0</v>
      </c>
      <c r="P1000" t="b">
        <v>0</v>
      </c>
      <c r="Q1000" t="s">
        <v>2709</v>
      </c>
      <c r="R1000" t="s">
        <v>2388</v>
      </c>
      <c r="S1000" t="s">
        <v>2369</v>
      </c>
      <c r="T1000">
        <v>2</v>
      </c>
      <c r="X1000">
        <v>3.8</v>
      </c>
      <c r="Y1000">
        <v>3.8</v>
      </c>
      <c r="Z1000">
        <v>27.3</v>
      </c>
      <c r="AA1000" t="s">
        <v>440</v>
      </c>
      <c r="AB1000">
        <v>13.65</v>
      </c>
      <c r="BT1000" s="68" t="s">
        <v>1264</v>
      </c>
      <c r="BU1000" s="68">
        <v>1373</v>
      </c>
      <c r="BV1000" s="68">
        <v>12</v>
      </c>
      <c r="BX1000" s="68" t="s">
        <v>1268</v>
      </c>
      <c r="BY1000" s="68" t="s">
        <v>863</v>
      </c>
      <c r="BZ1000" s="68">
        <v>1</v>
      </c>
      <c r="CA1000" s="70">
        <v>3.2</v>
      </c>
      <c r="CB1000" s="68">
        <v>0.5</v>
      </c>
      <c r="CC1000" s="68">
        <v>1</v>
      </c>
      <c r="CD1000" s="77" t="s">
        <v>464</v>
      </c>
      <c r="CE1000" s="77" t="s">
        <v>464</v>
      </c>
      <c r="CF1000" s="77" t="s">
        <v>1266</v>
      </c>
      <c r="CG1000" s="77">
        <v>125</v>
      </c>
      <c r="CH1000" s="77">
        <v>220</v>
      </c>
      <c r="CI1000" s="77" t="s">
        <v>1287</v>
      </c>
      <c r="CJ1000" s="77">
        <f t="shared" si="258"/>
        <v>288</v>
      </c>
      <c r="CK1000" s="70">
        <v>91.2</v>
      </c>
    </row>
    <row r="1001" spans="1:89" x14ac:dyDescent="0.3">
      <c r="A1001" s="78" t="s">
        <v>1476</v>
      </c>
      <c r="B1001" t="s">
        <v>2776</v>
      </c>
      <c r="C1001" t="s">
        <v>4334</v>
      </c>
      <c r="E1001">
        <v>2.2999999999999998</v>
      </c>
      <c r="F1001" t="s">
        <v>1461</v>
      </c>
      <c r="G1001" s="8" t="s">
        <v>598</v>
      </c>
      <c r="H1001" t="s">
        <v>670</v>
      </c>
      <c r="I1001" t="s">
        <v>1506</v>
      </c>
      <c r="J1001" t="s">
        <v>2491</v>
      </c>
      <c r="K1001" t="s">
        <v>2491</v>
      </c>
      <c r="L1001" t="s">
        <v>2491</v>
      </c>
      <c r="M1001" t="b">
        <v>1</v>
      </c>
      <c r="N1001" t="b">
        <v>1</v>
      </c>
      <c r="O1001" t="b">
        <v>0</v>
      </c>
      <c r="P1001" t="b">
        <v>0</v>
      </c>
      <c r="Q1001" t="s">
        <v>2710</v>
      </c>
      <c r="R1001" t="s">
        <v>2390</v>
      </c>
      <c r="S1001" t="s">
        <v>2369</v>
      </c>
      <c r="T1001">
        <v>2</v>
      </c>
      <c r="X1001">
        <v>3.8</v>
      </c>
      <c r="Y1001">
        <v>3.8</v>
      </c>
      <c r="Z1001">
        <v>27.3</v>
      </c>
      <c r="AA1001" t="s">
        <v>440</v>
      </c>
      <c r="AB1001">
        <v>13.65</v>
      </c>
      <c r="BT1001" s="68" t="s">
        <v>1264</v>
      </c>
      <c r="BU1001" s="68">
        <v>1373</v>
      </c>
      <c r="BV1001" s="68">
        <v>12</v>
      </c>
      <c r="BX1001" s="68" t="s">
        <v>1268</v>
      </c>
      <c r="BY1001" s="68" t="s">
        <v>863</v>
      </c>
      <c r="BZ1001" s="68">
        <v>1</v>
      </c>
      <c r="CA1001" s="70">
        <v>3.2</v>
      </c>
      <c r="CB1001" s="68">
        <v>0.5</v>
      </c>
      <c r="CC1001" s="68">
        <v>1</v>
      </c>
      <c r="CD1001" s="77" t="s">
        <v>464</v>
      </c>
      <c r="CE1001" s="77" t="s">
        <v>464</v>
      </c>
      <c r="CF1001" s="77" t="s">
        <v>1266</v>
      </c>
      <c r="CG1001" s="77">
        <v>125</v>
      </c>
      <c r="CH1001" s="77">
        <v>220</v>
      </c>
      <c r="CI1001" s="77" t="s">
        <v>1287</v>
      </c>
      <c r="CJ1001" s="77">
        <f t="shared" ref="CJ1001:CJ1003" si="259">273+15</f>
        <v>288</v>
      </c>
      <c r="CK1001" s="70">
        <v>26</v>
      </c>
    </row>
    <row r="1002" spans="1:89" x14ac:dyDescent="0.3">
      <c r="A1002" s="78" t="s">
        <v>1469</v>
      </c>
      <c r="B1002" t="s">
        <v>2776</v>
      </c>
      <c r="C1002" t="s">
        <v>4335</v>
      </c>
      <c r="E1002">
        <v>2.15</v>
      </c>
      <c r="F1002" t="s">
        <v>1461</v>
      </c>
      <c r="G1002" s="8" t="s">
        <v>598</v>
      </c>
      <c r="H1002" t="s">
        <v>670</v>
      </c>
      <c r="I1002" t="s">
        <v>1506</v>
      </c>
      <c r="J1002" t="s">
        <v>2492</v>
      </c>
      <c r="K1002" t="s">
        <v>2492</v>
      </c>
      <c r="L1002" t="s">
        <v>2492</v>
      </c>
      <c r="M1002" t="b">
        <v>1</v>
      </c>
      <c r="N1002" t="b">
        <v>1</v>
      </c>
      <c r="O1002" t="b">
        <v>0</v>
      </c>
      <c r="P1002" t="b">
        <v>0</v>
      </c>
      <c r="Q1002" t="s">
        <v>2711</v>
      </c>
      <c r="R1002" t="s">
        <v>2392</v>
      </c>
      <c r="S1002" t="s">
        <v>2369</v>
      </c>
      <c r="T1002">
        <v>2</v>
      </c>
      <c r="X1002">
        <v>3.8</v>
      </c>
      <c r="Y1002">
        <v>3.8</v>
      </c>
      <c r="Z1002">
        <v>27.7</v>
      </c>
      <c r="AA1002" t="s">
        <v>440</v>
      </c>
      <c r="AB1002">
        <v>13.85</v>
      </c>
      <c r="BT1002" s="68" t="s">
        <v>1264</v>
      </c>
      <c r="BU1002" s="68">
        <v>1373</v>
      </c>
      <c r="BV1002" s="68">
        <v>12</v>
      </c>
      <c r="BX1002" s="68" t="s">
        <v>1268</v>
      </c>
      <c r="BY1002" s="68" t="s">
        <v>863</v>
      </c>
      <c r="BZ1002" s="68">
        <v>1</v>
      </c>
      <c r="CA1002" s="70">
        <v>3.2</v>
      </c>
      <c r="CB1002" s="68">
        <v>0.5</v>
      </c>
      <c r="CC1002" s="68">
        <v>1</v>
      </c>
      <c r="CD1002" s="77" t="s">
        <v>464</v>
      </c>
      <c r="CE1002" s="77" t="s">
        <v>464</v>
      </c>
      <c r="CF1002" s="77" t="s">
        <v>1266</v>
      </c>
      <c r="CG1002" s="77">
        <v>125</v>
      </c>
      <c r="CH1002" s="77">
        <v>220</v>
      </c>
      <c r="CI1002" s="77" t="s">
        <v>1287</v>
      </c>
      <c r="CJ1002" s="77">
        <f t="shared" si="259"/>
        <v>288</v>
      </c>
      <c r="CK1002" s="70">
        <v>17</v>
      </c>
    </row>
    <row r="1003" spans="1:89" x14ac:dyDescent="0.3">
      <c r="A1003" s="78" t="s">
        <v>1470</v>
      </c>
      <c r="B1003" t="s">
        <v>2776</v>
      </c>
      <c r="C1003" t="s">
        <v>4336</v>
      </c>
      <c r="E1003">
        <v>1.95</v>
      </c>
      <c r="F1003" t="s">
        <v>1461</v>
      </c>
      <c r="G1003" s="8" t="s">
        <v>598</v>
      </c>
      <c r="H1003" t="s">
        <v>670</v>
      </c>
      <c r="I1003" t="s">
        <v>1506</v>
      </c>
      <c r="J1003" t="s">
        <v>2493</v>
      </c>
      <c r="K1003" t="s">
        <v>2493</v>
      </c>
      <c r="L1003" t="s">
        <v>2493</v>
      </c>
      <c r="M1003" t="b">
        <v>1</v>
      </c>
      <c r="N1003" t="b">
        <v>1</v>
      </c>
      <c r="O1003" t="b">
        <v>0</v>
      </c>
      <c r="P1003" t="b">
        <v>0</v>
      </c>
      <c r="Q1003" t="s">
        <v>2712</v>
      </c>
      <c r="R1003" t="s">
        <v>2394</v>
      </c>
      <c r="S1003" t="s">
        <v>2369</v>
      </c>
      <c r="T1003">
        <v>2</v>
      </c>
      <c r="X1003">
        <v>3.8</v>
      </c>
      <c r="Y1003">
        <v>3.8</v>
      </c>
      <c r="Z1003">
        <v>28</v>
      </c>
      <c r="AA1003" t="s">
        <v>440</v>
      </c>
      <c r="AB1003">
        <v>14</v>
      </c>
      <c r="BT1003" s="68" t="s">
        <v>1264</v>
      </c>
      <c r="BU1003" s="68">
        <v>1373</v>
      </c>
      <c r="BV1003" s="68">
        <v>12</v>
      </c>
      <c r="BX1003" s="68" t="s">
        <v>1268</v>
      </c>
      <c r="BY1003" s="68" t="s">
        <v>863</v>
      </c>
      <c r="BZ1003" s="68">
        <v>1</v>
      </c>
      <c r="CA1003" s="70">
        <v>3.2</v>
      </c>
      <c r="CB1003" s="68">
        <v>0.5</v>
      </c>
      <c r="CC1003" s="68">
        <v>1</v>
      </c>
      <c r="CD1003" s="77" t="s">
        <v>464</v>
      </c>
      <c r="CE1003" s="77" t="s">
        <v>464</v>
      </c>
      <c r="CF1003" s="77" t="s">
        <v>1266</v>
      </c>
      <c r="CG1003" s="77">
        <v>125</v>
      </c>
      <c r="CH1003" s="77">
        <v>220</v>
      </c>
      <c r="CI1003" s="77" t="s">
        <v>1287</v>
      </c>
      <c r="CJ1003" s="77">
        <f t="shared" si="259"/>
        <v>288</v>
      </c>
      <c r="CK1003" s="70">
        <v>13</v>
      </c>
    </row>
    <row r="1004" spans="1:89" x14ac:dyDescent="0.3">
      <c r="A1004" s="78" t="s">
        <v>1471</v>
      </c>
      <c r="B1004" t="s">
        <v>2776</v>
      </c>
      <c r="C1004" t="s">
        <v>4337</v>
      </c>
      <c r="E1004">
        <v>1.55</v>
      </c>
      <c r="F1004" t="s">
        <v>1461</v>
      </c>
      <c r="G1004" s="8" t="s">
        <v>598</v>
      </c>
      <c r="H1004" t="s">
        <v>670</v>
      </c>
      <c r="I1004" t="s">
        <v>1506</v>
      </c>
      <c r="J1004" t="s">
        <v>2494</v>
      </c>
      <c r="K1004" t="s">
        <v>2494</v>
      </c>
      <c r="L1004" t="s">
        <v>2494</v>
      </c>
      <c r="M1004" t="b">
        <v>1</v>
      </c>
      <c r="N1004" t="b">
        <v>1</v>
      </c>
      <c r="O1004" t="b">
        <v>0</v>
      </c>
      <c r="P1004" t="b">
        <v>0</v>
      </c>
      <c r="Q1004" t="s">
        <v>2713</v>
      </c>
      <c r="R1004" t="s">
        <v>2396</v>
      </c>
      <c r="S1004" t="s">
        <v>2369</v>
      </c>
      <c r="T1004">
        <v>2</v>
      </c>
      <c r="X1004">
        <v>3.8</v>
      </c>
      <c r="Y1004">
        <v>3.8</v>
      </c>
      <c r="Z1004">
        <v>27.8</v>
      </c>
      <c r="AA1004" t="s">
        <v>440</v>
      </c>
      <c r="AB1004">
        <v>13.9</v>
      </c>
      <c r="BT1004" s="68" t="s">
        <v>1264</v>
      </c>
      <c r="BU1004" s="68">
        <v>1373</v>
      </c>
      <c r="BV1004" s="68">
        <v>12</v>
      </c>
      <c r="BX1004" s="68" t="s">
        <v>1268</v>
      </c>
      <c r="BY1004" s="68" t="s">
        <v>863</v>
      </c>
      <c r="BZ1004" s="68">
        <v>1</v>
      </c>
      <c r="CA1004" s="70">
        <v>3.2</v>
      </c>
      <c r="CB1004" s="68">
        <v>0.5</v>
      </c>
      <c r="CC1004" s="68">
        <v>1</v>
      </c>
      <c r="CD1004" s="77" t="s">
        <v>464</v>
      </c>
      <c r="CE1004" s="77" t="s">
        <v>464</v>
      </c>
      <c r="CF1004" s="77" t="s">
        <v>1266</v>
      </c>
      <c r="CG1004" s="77">
        <v>125</v>
      </c>
      <c r="CH1004" s="77">
        <v>220</v>
      </c>
      <c r="CI1004" s="77" t="s">
        <v>1287</v>
      </c>
      <c r="CJ1004" s="77">
        <f t="shared" ref="CJ1004:CJ1074" si="260">273+15</f>
        <v>288</v>
      </c>
      <c r="CK1004" s="70">
        <v>22</v>
      </c>
    </row>
    <row r="1005" spans="1:89" x14ac:dyDescent="0.3">
      <c r="A1005" s="78" t="s">
        <v>1509</v>
      </c>
      <c r="B1005" t="s">
        <v>2776</v>
      </c>
      <c r="C1005" t="s">
        <v>4338</v>
      </c>
      <c r="E1005">
        <v>1.5</v>
      </c>
      <c r="F1005" t="s">
        <v>1461</v>
      </c>
      <c r="G1005" s="8" t="s">
        <v>598</v>
      </c>
      <c r="H1005" t="s">
        <v>670</v>
      </c>
      <c r="I1005" t="s">
        <v>1506</v>
      </c>
      <c r="J1005" t="s">
        <v>2495</v>
      </c>
      <c r="K1005" t="s">
        <v>2495</v>
      </c>
      <c r="L1005" t="s">
        <v>2495</v>
      </c>
      <c r="M1005" t="b">
        <v>1</v>
      </c>
      <c r="N1005" t="b">
        <v>1</v>
      </c>
      <c r="O1005" t="b">
        <v>0</v>
      </c>
      <c r="P1005" t="b">
        <v>0</v>
      </c>
      <c r="Q1005" t="s">
        <v>2714</v>
      </c>
      <c r="R1005" t="s">
        <v>2398</v>
      </c>
      <c r="S1005" t="s">
        <v>2369</v>
      </c>
      <c r="T1005">
        <v>2</v>
      </c>
      <c r="X1005">
        <v>3.8</v>
      </c>
      <c r="Y1005">
        <v>3.8</v>
      </c>
      <c r="Z1005">
        <v>27.3</v>
      </c>
      <c r="AA1005" t="s">
        <v>440</v>
      </c>
      <c r="AB1005">
        <v>13.65</v>
      </c>
      <c r="BT1005" s="68" t="s">
        <v>1264</v>
      </c>
      <c r="BU1005" s="68">
        <v>1373</v>
      </c>
      <c r="BV1005" s="68">
        <v>12</v>
      </c>
      <c r="BX1005" s="68" t="s">
        <v>1268</v>
      </c>
      <c r="BY1005" s="68" t="s">
        <v>863</v>
      </c>
      <c r="BZ1005" s="68">
        <v>1</v>
      </c>
      <c r="CA1005" s="70">
        <v>3.2</v>
      </c>
      <c r="CB1005" s="68">
        <v>0.5</v>
      </c>
      <c r="CC1005" s="68">
        <v>1</v>
      </c>
      <c r="CD1005" s="77" t="s">
        <v>464</v>
      </c>
      <c r="CE1005" s="77" t="s">
        <v>464</v>
      </c>
      <c r="CF1005" s="77" t="s">
        <v>1266</v>
      </c>
      <c r="CG1005" s="77">
        <v>125</v>
      </c>
      <c r="CH1005" s="77">
        <v>220</v>
      </c>
      <c r="CI1005" s="77" t="s">
        <v>1287</v>
      </c>
      <c r="CJ1005" s="77">
        <f t="shared" si="260"/>
        <v>288</v>
      </c>
      <c r="CK1005" s="70">
        <v>11</v>
      </c>
    </row>
    <row r="1006" spans="1:89" x14ac:dyDescent="0.3">
      <c r="A1006" s="78" t="s">
        <v>1510</v>
      </c>
      <c r="B1006" t="s">
        <v>2776</v>
      </c>
      <c r="C1006" t="s">
        <v>4339</v>
      </c>
      <c r="E1006">
        <v>1.4</v>
      </c>
      <c r="F1006" t="s">
        <v>1461</v>
      </c>
      <c r="G1006" s="8" t="s">
        <v>598</v>
      </c>
      <c r="H1006" t="s">
        <v>670</v>
      </c>
      <c r="I1006" t="s">
        <v>1506</v>
      </c>
      <c r="J1006" t="s">
        <v>2496</v>
      </c>
      <c r="K1006" t="s">
        <v>2496</v>
      </c>
      <c r="L1006" t="s">
        <v>2496</v>
      </c>
      <c r="M1006" t="b">
        <v>1</v>
      </c>
      <c r="N1006" t="b">
        <v>1</v>
      </c>
      <c r="O1006" t="b">
        <v>0</v>
      </c>
      <c r="P1006" t="b">
        <v>0</v>
      </c>
      <c r="Q1006" t="s">
        <v>2715</v>
      </c>
      <c r="R1006" t="s">
        <v>2400</v>
      </c>
      <c r="S1006" t="s">
        <v>2369</v>
      </c>
      <c r="T1006">
        <v>2</v>
      </c>
      <c r="X1006">
        <v>3.8</v>
      </c>
      <c r="Y1006">
        <v>3.8</v>
      </c>
      <c r="Z1006">
        <v>27.3</v>
      </c>
      <c r="AA1006" t="s">
        <v>440</v>
      </c>
      <c r="AB1006">
        <v>13.65</v>
      </c>
      <c r="BT1006" s="68" t="s">
        <v>1264</v>
      </c>
      <c r="BU1006" s="68">
        <v>1373</v>
      </c>
      <c r="BV1006" s="68">
        <v>12</v>
      </c>
      <c r="BX1006" s="68" t="s">
        <v>1268</v>
      </c>
      <c r="BY1006" s="68" t="s">
        <v>863</v>
      </c>
      <c r="BZ1006" s="68">
        <v>1</v>
      </c>
      <c r="CA1006" s="70">
        <v>3.2</v>
      </c>
      <c r="CB1006" s="68">
        <v>0.5</v>
      </c>
      <c r="CC1006" s="68">
        <v>1</v>
      </c>
      <c r="CD1006" s="77" t="s">
        <v>464</v>
      </c>
      <c r="CE1006" s="77" t="s">
        <v>464</v>
      </c>
      <c r="CF1006" s="77" t="s">
        <v>1266</v>
      </c>
      <c r="CG1006" s="77">
        <v>125</v>
      </c>
      <c r="CH1006" s="77">
        <v>220</v>
      </c>
      <c r="CI1006" s="77" t="s">
        <v>1287</v>
      </c>
      <c r="CJ1006" s="77">
        <f t="shared" si="260"/>
        <v>288</v>
      </c>
      <c r="CK1006" s="70">
        <v>26</v>
      </c>
    </row>
    <row r="1007" spans="1:89" x14ac:dyDescent="0.3">
      <c r="A1007" s="78" t="s">
        <v>1511</v>
      </c>
      <c r="B1007" t="s">
        <v>2776</v>
      </c>
      <c r="C1007" t="s">
        <v>4340</v>
      </c>
      <c r="E1007">
        <v>1.35</v>
      </c>
      <c r="F1007" t="s">
        <v>1461</v>
      </c>
      <c r="G1007" s="8" t="s">
        <v>598</v>
      </c>
      <c r="H1007" t="s">
        <v>670</v>
      </c>
      <c r="I1007" t="s">
        <v>1506</v>
      </c>
      <c r="J1007" t="s">
        <v>2497</v>
      </c>
      <c r="K1007" t="s">
        <v>2497</v>
      </c>
      <c r="L1007" t="s">
        <v>2497</v>
      </c>
      <c r="M1007" t="b">
        <v>1</v>
      </c>
      <c r="N1007" t="b">
        <v>1</v>
      </c>
      <c r="O1007" t="b">
        <v>0</v>
      </c>
      <c r="P1007" t="b">
        <v>0</v>
      </c>
      <c r="Q1007" t="s">
        <v>2716</v>
      </c>
      <c r="R1007" t="s">
        <v>2402</v>
      </c>
      <c r="S1007" t="s">
        <v>2369</v>
      </c>
      <c r="T1007">
        <v>2</v>
      </c>
      <c r="X1007">
        <v>3.8</v>
      </c>
      <c r="Y1007">
        <v>3.8</v>
      </c>
      <c r="Z1007">
        <v>27.5</v>
      </c>
      <c r="AA1007" t="s">
        <v>440</v>
      </c>
      <c r="AB1007">
        <v>13.75</v>
      </c>
      <c r="BT1007" s="68" t="s">
        <v>1264</v>
      </c>
      <c r="BU1007" s="68">
        <v>1373</v>
      </c>
      <c r="BV1007" s="68">
        <v>12</v>
      </c>
      <c r="BX1007" s="68" t="s">
        <v>1268</v>
      </c>
      <c r="BY1007" s="68" t="s">
        <v>863</v>
      </c>
      <c r="BZ1007" s="68">
        <v>1</v>
      </c>
      <c r="CA1007" s="70">
        <v>3.2</v>
      </c>
      <c r="CB1007" s="68">
        <v>0.5</v>
      </c>
      <c r="CC1007" s="68">
        <v>1</v>
      </c>
      <c r="CD1007" s="77" t="s">
        <v>464</v>
      </c>
      <c r="CE1007" s="77" t="s">
        <v>464</v>
      </c>
      <c r="CF1007" s="77" t="s">
        <v>1266</v>
      </c>
      <c r="CG1007" s="77">
        <v>125</v>
      </c>
      <c r="CH1007" s="77">
        <v>220</v>
      </c>
      <c r="CI1007" s="77" t="s">
        <v>1287</v>
      </c>
      <c r="CJ1007" s="77">
        <f t="shared" si="260"/>
        <v>288</v>
      </c>
      <c r="CK1007" s="70">
        <v>12</v>
      </c>
    </row>
    <row r="1008" spans="1:89" x14ac:dyDescent="0.3">
      <c r="A1008" t="s">
        <v>1468</v>
      </c>
      <c r="B1008" t="s">
        <v>2776</v>
      </c>
      <c r="C1008" t="s">
        <v>4329</v>
      </c>
      <c r="E1008">
        <v>3.2</v>
      </c>
      <c r="F1008" t="s">
        <v>1461</v>
      </c>
      <c r="G1008" s="8" t="s">
        <v>598</v>
      </c>
      <c r="H1008" t="s">
        <v>670</v>
      </c>
      <c r="I1008" t="s">
        <v>1506</v>
      </c>
      <c r="J1008" t="s">
        <v>2487</v>
      </c>
      <c r="M1008" t="b">
        <v>1</v>
      </c>
      <c r="N1008" t="b">
        <v>0</v>
      </c>
      <c r="O1008" t="b">
        <v>0</v>
      </c>
      <c r="P1008" t="b">
        <v>0</v>
      </c>
      <c r="Q1008" t="s">
        <v>2717</v>
      </c>
      <c r="R1008" t="s">
        <v>670</v>
      </c>
      <c r="S1008" t="s">
        <v>1506</v>
      </c>
      <c r="T1008">
        <v>2</v>
      </c>
      <c r="X1008">
        <v>3.8</v>
      </c>
      <c r="Y1008">
        <v>3.8</v>
      </c>
      <c r="Z1008">
        <v>27.3</v>
      </c>
      <c r="AA1008" t="s">
        <v>440</v>
      </c>
      <c r="AB1008">
        <v>13.65</v>
      </c>
      <c r="BT1008" s="68" t="s">
        <v>1264</v>
      </c>
      <c r="BU1008" s="68">
        <v>1373</v>
      </c>
      <c r="BV1008" s="68">
        <v>12</v>
      </c>
      <c r="BX1008" s="68" t="s">
        <v>1268</v>
      </c>
      <c r="BY1008" s="68" t="s">
        <v>863</v>
      </c>
      <c r="BZ1008" s="68">
        <v>1</v>
      </c>
      <c r="CA1008" s="70">
        <v>60</v>
      </c>
      <c r="CB1008" s="68">
        <v>0.5</v>
      </c>
      <c r="CC1008" s="68">
        <v>1</v>
      </c>
      <c r="CD1008" s="77" t="s">
        <v>464</v>
      </c>
      <c r="CE1008" s="77" t="s">
        <v>464</v>
      </c>
      <c r="CF1008" s="77" t="s">
        <v>1266</v>
      </c>
      <c r="CG1008" s="77">
        <v>125</v>
      </c>
      <c r="CH1008" s="77">
        <v>220</v>
      </c>
      <c r="CI1008" s="77" t="s">
        <v>1287</v>
      </c>
      <c r="CJ1008" s="77">
        <f t="shared" si="260"/>
        <v>288</v>
      </c>
      <c r="CK1008" s="70">
        <v>16.16</v>
      </c>
    </row>
    <row r="1009" spans="1:89" x14ac:dyDescent="0.3">
      <c r="A1009" t="s">
        <v>1472</v>
      </c>
      <c r="B1009" t="s">
        <v>2776</v>
      </c>
      <c r="C1009" t="s">
        <v>4330</v>
      </c>
      <c r="E1009">
        <v>2.9</v>
      </c>
      <c r="F1009" t="s">
        <v>1461</v>
      </c>
      <c r="G1009" s="8" t="s">
        <v>598</v>
      </c>
      <c r="H1009" t="s">
        <v>670</v>
      </c>
      <c r="I1009" t="s">
        <v>1506</v>
      </c>
      <c r="J1009" t="s">
        <v>2488</v>
      </c>
      <c r="K1009" t="s">
        <v>2488</v>
      </c>
      <c r="L1009" t="s">
        <v>2488</v>
      </c>
      <c r="M1009" t="b">
        <v>1</v>
      </c>
      <c r="N1009" t="b">
        <v>1</v>
      </c>
      <c r="O1009" t="b">
        <v>0</v>
      </c>
      <c r="P1009" t="b">
        <v>0</v>
      </c>
      <c r="Q1009" t="s">
        <v>2718</v>
      </c>
      <c r="R1009" t="s">
        <v>2405</v>
      </c>
      <c r="S1009" t="s">
        <v>2369</v>
      </c>
      <c r="T1009">
        <v>2</v>
      </c>
      <c r="X1009">
        <v>3.8</v>
      </c>
      <c r="Y1009">
        <v>3.8</v>
      </c>
      <c r="Z1009">
        <v>27.3</v>
      </c>
      <c r="AA1009" t="s">
        <v>440</v>
      </c>
      <c r="AB1009">
        <v>13.65</v>
      </c>
      <c r="BT1009" s="68" t="s">
        <v>1264</v>
      </c>
      <c r="BU1009" s="68">
        <v>1373</v>
      </c>
      <c r="BV1009" s="68">
        <v>12</v>
      </c>
      <c r="BX1009" s="68" t="s">
        <v>1268</v>
      </c>
      <c r="BY1009" s="68" t="s">
        <v>863</v>
      </c>
      <c r="BZ1009" s="68">
        <v>1</v>
      </c>
      <c r="CA1009" s="70">
        <v>60</v>
      </c>
      <c r="CB1009" s="68">
        <v>0.5</v>
      </c>
      <c r="CC1009" s="68">
        <v>1</v>
      </c>
      <c r="CD1009" s="77" t="s">
        <v>464</v>
      </c>
      <c r="CE1009" s="77" t="s">
        <v>464</v>
      </c>
      <c r="CF1009" s="77" t="s">
        <v>1266</v>
      </c>
      <c r="CG1009" s="77">
        <v>125</v>
      </c>
      <c r="CH1009" s="77">
        <v>220</v>
      </c>
      <c r="CI1009" s="77" t="s">
        <v>1287</v>
      </c>
      <c r="CJ1009" s="77">
        <f t="shared" si="260"/>
        <v>288</v>
      </c>
      <c r="CK1009" s="70">
        <v>17.920000000000002</v>
      </c>
    </row>
    <row r="1010" spans="1:89" x14ac:dyDescent="0.3">
      <c r="A1010" t="s">
        <v>1473</v>
      </c>
      <c r="B1010" t="s">
        <v>2776</v>
      </c>
      <c r="C1010" t="s">
        <v>4331</v>
      </c>
      <c r="E1010">
        <v>2.65</v>
      </c>
      <c r="F1010" t="s">
        <v>1461</v>
      </c>
      <c r="G1010" s="8" t="s">
        <v>598</v>
      </c>
      <c r="H1010" t="s">
        <v>670</v>
      </c>
      <c r="I1010" t="s">
        <v>1506</v>
      </c>
      <c r="J1010" t="s">
        <v>2489</v>
      </c>
      <c r="K1010" t="s">
        <v>2489</v>
      </c>
      <c r="L1010" t="s">
        <v>2489</v>
      </c>
      <c r="M1010" t="b">
        <v>1</v>
      </c>
      <c r="N1010" t="b">
        <v>1</v>
      </c>
      <c r="O1010" t="b">
        <v>0</v>
      </c>
      <c r="P1010" t="b">
        <v>0</v>
      </c>
      <c r="Q1010" t="s">
        <v>2719</v>
      </c>
      <c r="R1010" t="s">
        <v>2407</v>
      </c>
      <c r="S1010" t="s">
        <v>2369</v>
      </c>
      <c r="T1010">
        <v>2</v>
      </c>
      <c r="X1010">
        <v>3.8</v>
      </c>
      <c r="Y1010">
        <v>3.8</v>
      </c>
      <c r="Z1010">
        <v>27.3</v>
      </c>
      <c r="AA1010" t="s">
        <v>440</v>
      </c>
      <c r="AB1010">
        <v>13.65</v>
      </c>
      <c r="BT1010" s="68" t="s">
        <v>1264</v>
      </c>
      <c r="BU1010" s="68">
        <v>1373</v>
      </c>
      <c r="BV1010" s="68">
        <v>12</v>
      </c>
      <c r="BX1010" s="68" t="s">
        <v>1268</v>
      </c>
      <c r="BY1010" s="68" t="s">
        <v>863</v>
      </c>
      <c r="BZ1010" s="68">
        <v>1</v>
      </c>
      <c r="CA1010" s="70">
        <v>60</v>
      </c>
      <c r="CB1010" s="68">
        <v>0.5</v>
      </c>
      <c r="CC1010" s="68">
        <v>1</v>
      </c>
      <c r="CD1010" s="77" t="s">
        <v>464</v>
      </c>
      <c r="CE1010" s="77" t="s">
        <v>464</v>
      </c>
      <c r="CF1010" s="77" t="s">
        <v>1266</v>
      </c>
      <c r="CG1010" s="77">
        <v>125</v>
      </c>
      <c r="CH1010" s="77">
        <v>220</v>
      </c>
      <c r="CI1010" s="77" t="s">
        <v>1287</v>
      </c>
      <c r="CJ1010" s="77">
        <f t="shared" si="260"/>
        <v>288</v>
      </c>
      <c r="CK1010" s="70">
        <v>16.96</v>
      </c>
    </row>
    <row r="1011" spans="1:89" x14ac:dyDescent="0.3">
      <c r="A1011" t="s">
        <v>1474</v>
      </c>
      <c r="B1011" t="s">
        <v>2776</v>
      </c>
      <c r="C1011" t="s">
        <v>4332</v>
      </c>
      <c r="E1011">
        <v>2.5499999999999998</v>
      </c>
      <c r="F1011" t="s">
        <v>1461</v>
      </c>
      <c r="G1011" s="8" t="s">
        <v>598</v>
      </c>
      <c r="H1011" t="s">
        <v>670</v>
      </c>
      <c r="I1011" t="s">
        <v>1506</v>
      </c>
      <c r="J1011" t="s">
        <v>2590</v>
      </c>
      <c r="K1011" t="s">
        <v>2590</v>
      </c>
      <c r="L1011" t="s">
        <v>2590</v>
      </c>
      <c r="M1011" t="b">
        <v>1</v>
      </c>
      <c r="N1011" t="b">
        <v>1</v>
      </c>
      <c r="O1011" t="b">
        <v>0</v>
      </c>
      <c r="P1011" t="b">
        <v>0</v>
      </c>
      <c r="Q1011" t="s">
        <v>2720</v>
      </c>
      <c r="R1011" t="s">
        <v>2409</v>
      </c>
      <c r="S1011" t="s">
        <v>2369</v>
      </c>
      <c r="T1011">
        <v>2</v>
      </c>
      <c r="X1011">
        <v>3.8</v>
      </c>
      <c r="Y1011">
        <v>3.8</v>
      </c>
      <c r="Z1011">
        <v>27.3</v>
      </c>
      <c r="AA1011" t="s">
        <v>440</v>
      </c>
      <c r="AB1011">
        <v>13.65</v>
      </c>
      <c r="BT1011" s="68" t="s">
        <v>1264</v>
      </c>
      <c r="BU1011" s="68">
        <v>1373</v>
      </c>
      <c r="BV1011" s="68">
        <v>12</v>
      </c>
      <c r="BX1011" s="68" t="s">
        <v>1268</v>
      </c>
      <c r="BY1011" s="68" t="s">
        <v>863</v>
      </c>
      <c r="BZ1011" s="68">
        <v>1</v>
      </c>
      <c r="CA1011" s="70">
        <v>60</v>
      </c>
      <c r="CB1011" s="68">
        <v>0.5</v>
      </c>
      <c r="CC1011" s="68">
        <v>1</v>
      </c>
      <c r="CD1011" s="77" t="s">
        <v>464</v>
      </c>
      <c r="CE1011" s="77" t="s">
        <v>464</v>
      </c>
      <c r="CF1011" s="77" t="s">
        <v>1266</v>
      </c>
      <c r="CG1011" s="77">
        <v>125</v>
      </c>
      <c r="CH1011" s="77">
        <v>220</v>
      </c>
      <c r="CI1011" s="77" t="s">
        <v>1287</v>
      </c>
      <c r="CJ1011" s="77">
        <f t="shared" si="260"/>
        <v>288</v>
      </c>
      <c r="CK1011" s="70">
        <v>8160</v>
      </c>
    </row>
    <row r="1012" spans="1:89" x14ac:dyDescent="0.3">
      <c r="A1012" t="s">
        <v>1475</v>
      </c>
      <c r="B1012" t="s">
        <v>2776</v>
      </c>
      <c r="C1012" t="s">
        <v>4333</v>
      </c>
      <c r="E1012">
        <v>2.4500000000000002</v>
      </c>
      <c r="F1012" t="s">
        <v>1461</v>
      </c>
      <c r="G1012" s="8" t="s">
        <v>598</v>
      </c>
      <c r="H1012" t="s">
        <v>670</v>
      </c>
      <c r="I1012" t="s">
        <v>1506</v>
      </c>
      <c r="J1012" t="s">
        <v>2490</v>
      </c>
      <c r="K1012" t="s">
        <v>2490</v>
      </c>
      <c r="L1012" t="s">
        <v>2490</v>
      </c>
      <c r="M1012" t="b">
        <v>1</v>
      </c>
      <c r="N1012" t="b">
        <v>1</v>
      </c>
      <c r="O1012" t="b">
        <v>0</v>
      </c>
      <c r="P1012" t="b">
        <v>0</v>
      </c>
      <c r="Q1012" t="s">
        <v>2721</v>
      </c>
      <c r="R1012" t="s">
        <v>2411</v>
      </c>
      <c r="S1012" t="s">
        <v>2369</v>
      </c>
      <c r="T1012">
        <v>2</v>
      </c>
      <c r="X1012">
        <v>3.8</v>
      </c>
      <c r="Y1012">
        <v>3.8</v>
      </c>
      <c r="Z1012">
        <v>27.3</v>
      </c>
      <c r="AA1012" t="s">
        <v>440</v>
      </c>
      <c r="AB1012">
        <v>13.65</v>
      </c>
      <c r="BT1012" s="68" t="s">
        <v>1264</v>
      </c>
      <c r="BU1012" s="68">
        <v>1373</v>
      </c>
      <c r="BV1012" s="68">
        <v>12</v>
      </c>
      <c r="BX1012" s="68" t="s">
        <v>1268</v>
      </c>
      <c r="BY1012" s="68" t="s">
        <v>863</v>
      </c>
      <c r="BZ1012" s="68">
        <v>1</v>
      </c>
      <c r="CA1012" s="70">
        <v>60</v>
      </c>
      <c r="CB1012" s="68">
        <v>0.5</v>
      </c>
      <c r="CC1012" s="68">
        <v>1</v>
      </c>
      <c r="CD1012" s="77" t="s">
        <v>464</v>
      </c>
      <c r="CE1012" s="77" t="s">
        <v>464</v>
      </c>
      <c r="CF1012" s="77" t="s">
        <v>1266</v>
      </c>
      <c r="CG1012" s="77">
        <v>125</v>
      </c>
      <c r="CH1012" s="77">
        <v>220</v>
      </c>
      <c r="CI1012" s="77" t="s">
        <v>1287</v>
      </c>
      <c r="CJ1012" s="77">
        <f t="shared" si="260"/>
        <v>288</v>
      </c>
      <c r="CK1012" s="70">
        <v>1920</v>
      </c>
    </row>
    <row r="1013" spans="1:89" x14ac:dyDescent="0.3">
      <c r="A1013" t="s">
        <v>1476</v>
      </c>
      <c r="B1013" t="s">
        <v>2776</v>
      </c>
      <c r="C1013" t="s">
        <v>4334</v>
      </c>
      <c r="E1013">
        <v>2.2999999999999998</v>
      </c>
      <c r="F1013" t="s">
        <v>1461</v>
      </c>
      <c r="G1013" s="8" t="s">
        <v>598</v>
      </c>
      <c r="H1013" t="s">
        <v>670</v>
      </c>
      <c r="I1013" t="s">
        <v>1506</v>
      </c>
      <c r="J1013" t="s">
        <v>2491</v>
      </c>
      <c r="K1013" t="s">
        <v>2491</v>
      </c>
      <c r="L1013" t="s">
        <v>2491</v>
      </c>
      <c r="M1013" t="b">
        <v>1</v>
      </c>
      <c r="N1013" t="b">
        <v>1</v>
      </c>
      <c r="O1013" t="b">
        <v>0</v>
      </c>
      <c r="P1013" t="b">
        <v>0</v>
      </c>
      <c r="Q1013" t="s">
        <v>2722</v>
      </c>
      <c r="R1013" t="s">
        <v>2413</v>
      </c>
      <c r="S1013" t="s">
        <v>2369</v>
      </c>
      <c r="T1013">
        <v>2</v>
      </c>
      <c r="X1013">
        <v>3.8</v>
      </c>
      <c r="Y1013">
        <v>3.8</v>
      </c>
      <c r="Z1013">
        <v>27.3</v>
      </c>
      <c r="AA1013" t="s">
        <v>440</v>
      </c>
      <c r="AB1013">
        <v>13.65</v>
      </c>
      <c r="BT1013" s="68" t="s">
        <v>1264</v>
      </c>
      <c r="BU1013" s="68">
        <v>1373</v>
      </c>
      <c r="BV1013" s="68">
        <v>12</v>
      </c>
      <c r="BX1013" s="68" t="s">
        <v>1268</v>
      </c>
      <c r="BY1013" s="68" t="s">
        <v>863</v>
      </c>
      <c r="BZ1013" s="68">
        <v>1</v>
      </c>
      <c r="CA1013" s="70">
        <v>60</v>
      </c>
      <c r="CB1013" s="68">
        <v>0.5</v>
      </c>
      <c r="CC1013" s="68">
        <v>1</v>
      </c>
      <c r="CD1013" s="77" t="s">
        <v>464</v>
      </c>
      <c r="CE1013" s="77" t="s">
        <v>464</v>
      </c>
      <c r="CF1013" s="77" t="s">
        <v>1266</v>
      </c>
      <c r="CG1013" s="77">
        <v>125</v>
      </c>
      <c r="CH1013" s="77">
        <v>220</v>
      </c>
      <c r="CI1013" s="77" t="s">
        <v>1287</v>
      </c>
      <c r="CJ1013" s="77">
        <f t="shared" si="260"/>
        <v>288</v>
      </c>
      <c r="CK1013" s="70">
        <v>1360</v>
      </c>
    </row>
    <row r="1014" spans="1:89" x14ac:dyDescent="0.3">
      <c r="A1014" t="s">
        <v>1469</v>
      </c>
      <c r="B1014" t="s">
        <v>2776</v>
      </c>
      <c r="C1014" t="s">
        <v>4335</v>
      </c>
      <c r="E1014">
        <v>2.15</v>
      </c>
      <c r="F1014" t="s">
        <v>1461</v>
      </c>
      <c r="G1014" s="8" t="s">
        <v>598</v>
      </c>
      <c r="H1014" t="s">
        <v>670</v>
      </c>
      <c r="I1014" t="s">
        <v>1506</v>
      </c>
      <c r="J1014" t="s">
        <v>2492</v>
      </c>
      <c r="K1014" t="s">
        <v>2492</v>
      </c>
      <c r="L1014" t="s">
        <v>2492</v>
      </c>
      <c r="M1014" t="b">
        <v>1</v>
      </c>
      <c r="N1014" t="b">
        <v>1</v>
      </c>
      <c r="O1014" t="b">
        <v>0</v>
      </c>
      <c r="P1014" t="b">
        <v>0</v>
      </c>
      <c r="Q1014" t="s">
        <v>2723</v>
      </c>
      <c r="R1014" t="s">
        <v>2415</v>
      </c>
      <c r="S1014" t="s">
        <v>2369</v>
      </c>
      <c r="T1014">
        <v>2</v>
      </c>
      <c r="X1014">
        <v>3.8</v>
      </c>
      <c r="Y1014">
        <v>3.8</v>
      </c>
      <c r="Z1014">
        <v>27.7</v>
      </c>
      <c r="AA1014" t="s">
        <v>440</v>
      </c>
      <c r="AB1014">
        <v>13.85</v>
      </c>
      <c r="BT1014" s="68" t="s">
        <v>1264</v>
      </c>
      <c r="BU1014" s="68">
        <v>1373</v>
      </c>
      <c r="BV1014" s="68">
        <v>12</v>
      </c>
      <c r="BX1014" s="68" t="s">
        <v>1268</v>
      </c>
      <c r="BY1014" s="68" t="s">
        <v>863</v>
      </c>
      <c r="BZ1014" s="68">
        <v>1</v>
      </c>
      <c r="CA1014" s="70">
        <v>60</v>
      </c>
      <c r="CB1014" s="68">
        <v>0.5</v>
      </c>
      <c r="CC1014" s="68">
        <v>1</v>
      </c>
      <c r="CD1014" s="77" t="s">
        <v>464</v>
      </c>
      <c r="CE1014" s="77" t="s">
        <v>464</v>
      </c>
      <c r="CF1014" s="77" t="s">
        <v>1266</v>
      </c>
      <c r="CG1014" s="77">
        <v>125</v>
      </c>
      <c r="CH1014" s="77">
        <v>220</v>
      </c>
      <c r="CI1014" s="77" t="s">
        <v>1287</v>
      </c>
      <c r="CJ1014" s="77">
        <f t="shared" si="260"/>
        <v>288</v>
      </c>
      <c r="CK1014" s="70">
        <v>1170</v>
      </c>
    </row>
    <row r="1015" spans="1:89" x14ac:dyDescent="0.3">
      <c r="A1015" t="s">
        <v>1470</v>
      </c>
      <c r="B1015" t="s">
        <v>2776</v>
      </c>
      <c r="C1015" t="s">
        <v>4336</v>
      </c>
      <c r="E1015">
        <v>1.95</v>
      </c>
      <c r="F1015" t="s">
        <v>1461</v>
      </c>
      <c r="G1015" s="8" t="s">
        <v>598</v>
      </c>
      <c r="H1015" t="s">
        <v>670</v>
      </c>
      <c r="I1015" t="s">
        <v>1506</v>
      </c>
      <c r="J1015" t="s">
        <v>2493</v>
      </c>
      <c r="K1015" t="s">
        <v>2493</v>
      </c>
      <c r="L1015" t="s">
        <v>2493</v>
      </c>
      <c r="M1015" t="b">
        <v>1</v>
      </c>
      <c r="N1015" t="b">
        <v>1</v>
      </c>
      <c r="O1015" t="b">
        <v>0</v>
      </c>
      <c r="P1015" t="b">
        <v>0</v>
      </c>
      <c r="Q1015" t="s">
        <v>2724</v>
      </c>
      <c r="R1015" t="s">
        <v>2417</v>
      </c>
      <c r="S1015" t="s">
        <v>2369</v>
      </c>
      <c r="T1015">
        <v>2</v>
      </c>
      <c r="X1015">
        <v>3.8</v>
      </c>
      <c r="Y1015">
        <v>3.8</v>
      </c>
      <c r="Z1015">
        <v>28</v>
      </c>
      <c r="AA1015" t="s">
        <v>440</v>
      </c>
      <c r="AB1015">
        <v>14</v>
      </c>
      <c r="BT1015" s="68" t="s">
        <v>1264</v>
      </c>
      <c r="BU1015" s="68">
        <v>1373</v>
      </c>
      <c r="BV1015" s="68">
        <v>12</v>
      </c>
      <c r="BX1015" s="68" t="s">
        <v>1268</v>
      </c>
      <c r="BY1015" s="68" t="s">
        <v>863</v>
      </c>
      <c r="BZ1015" s="68">
        <v>1</v>
      </c>
      <c r="CA1015" s="70">
        <v>60</v>
      </c>
      <c r="CB1015" s="68">
        <v>0.5</v>
      </c>
      <c r="CC1015" s="68">
        <v>1</v>
      </c>
      <c r="CD1015" s="77" t="s">
        <v>464</v>
      </c>
      <c r="CE1015" s="77" t="s">
        <v>464</v>
      </c>
      <c r="CF1015" s="77" t="s">
        <v>1266</v>
      </c>
      <c r="CG1015" s="77">
        <v>125</v>
      </c>
      <c r="CH1015" s="77">
        <v>220</v>
      </c>
      <c r="CI1015" s="77" t="s">
        <v>1287</v>
      </c>
      <c r="CJ1015" s="77">
        <f t="shared" si="260"/>
        <v>288</v>
      </c>
      <c r="CK1015" s="70">
        <v>47</v>
      </c>
    </row>
    <row r="1016" spans="1:89" x14ac:dyDescent="0.3">
      <c r="A1016" t="s">
        <v>1471</v>
      </c>
      <c r="B1016" t="s">
        <v>2776</v>
      </c>
      <c r="C1016" t="s">
        <v>4337</v>
      </c>
      <c r="E1016">
        <v>1.55</v>
      </c>
      <c r="F1016" t="s">
        <v>1461</v>
      </c>
      <c r="G1016" s="8" t="s">
        <v>598</v>
      </c>
      <c r="H1016" t="s">
        <v>670</v>
      </c>
      <c r="I1016" t="s">
        <v>1506</v>
      </c>
      <c r="J1016" t="s">
        <v>2494</v>
      </c>
      <c r="K1016" t="s">
        <v>2494</v>
      </c>
      <c r="L1016" t="s">
        <v>2494</v>
      </c>
      <c r="M1016" t="b">
        <v>1</v>
      </c>
      <c r="N1016" t="b">
        <v>1</v>
      </c>
      <c r="O1016" t="b">
        <v>0</v>
      </c>
      <c r="P1016" t="b">
        <v>0</v>
      </c>
      <c r="Q1016" t="s">
        <v>2725</v>
      </c>
      <c r="R1016" t="s">
        <v>2419</v>
      </c>
      <c r="S1016" t="s">
        <v>2369</v>
      </c>
      <c r="T1016">
        <v>2</v>
      </c>
      <c r="X1016">
        <v>3.8</v>
      </c>
      <c r="Y1016">
        <v>3.8</v>
      </c>
      <c r="Z1016">
        <v>27.8</v>
      </c>
      <c r="AA1016" t="s">
        <v>440</v>
      </c>
      <c r="AB1016">
        <v>13.9</v>
      </c>
      <c r="BT1016" s="68" t="s">
        <v>1264</v>
      </c>
      <c r="BU1016" s="68">
        <v>1373</v>
      </c>
      <c r="BV1016" s="68">
        <v>12</v>
      </c>
      <c r="BX1016" s="68" t="s">
        <v>1268</v>
      </c>
      <c r="BY1016" s="68" t="s">
        <v>863</v>
      </c>
      <c r="BZ1016" s="68">
        <v>1</v>
      </c>
      <c r="CA1016" s="70">
        <v>60</v>
      </c>
      <c r="CB1016" s="68">
        <v>0.5</v>
      </c>
      <c r="CC1016" s="68">
        <v>1</v>
      </c>
      <c r="CD1016" s="77" t="s">
        <v>464</v>
      </c>
      <c r="CE1016" s="77" t="s">
        <v>464</v>
      </c>
      <c r="CF1016" s="77" t="s">
        <v>1266</v>
      </c>
      <c r="CG1016" s="77">
        <v>125</v>
      </c>
      <c r="CH1016" s="77">
        <v>220</v>
      </c>
      <c r="CI1016" s="77" t="s">
        <v>1287</v>
      </c>
      <c r="CJ1016" s="77">
        <f t="shared" si="260"/>
        <v>288</v>
      </c>
      <c r="CK1016" s="70">
        <v>6.4</v>
      </c>
    </row>
    <row r="1017" spans="1:89" x14ac:dyDescent="0.3">
      <c r="A1017" t="s">
        <v>1509</v>
      </c>
      <c r="B1017" t="s">
        <v>2776</v>
      </c>
      <c r="C1017" t="s">
        <v>4338</v>
      </c>
      <c r="E1017">
        <v>1.5</v>
      </c>
      <c r="F1017" t="s">
        <v>1461</v>
      </c>
      <c r="G1017" s="8" t="s">
        <v>598</v>
      </c>
      <c r="H1017" t="s">
        <v>670</v>
      </c>
      <c r="I1017" t="s">
        <v>1506</v>
      </c>
      <c r="J1017" t="s">
        <v>2495</v>
      </c>
      <c r="K1017" t="s">
        <v>2495</v>
      </c>
      <c r="L1017" t="s">
        <v>2495</v>
      </c>
      <c r="M1017" t="b">
        <v>1</v>
      </c>
      <c r="N1017" t="b">
        <v>1</v>
      </c>
      <c r="O1017" t="b">
        <v>0</v>
      </c>
      <c r="P1017" t="b">
        <v>0</v>
      </c>
      <c r="Q1017" t="s">
        <v>2726</v>
      </c>
      <c r="R1017" t="s">
        <v>2421</v>
      </c>
      <c r="S1017" t="s">
        <v>2369</v>
      </c>
      <c r="T1017">
        <v>2</v>
      </c>
      <c r="X1017">
        <v>3.8</v>
      </c>
      <c r="Y1017">
        <v>3.8</v>
      </c>
      <c r="Z1017">
        <v>27.3</v>
      </c>
      <c r="AA1017" t="s">
        <v>440</v>
      </c>
      <c r="AB1017">
        <v>13.65</v>
      </c>
      <c r="BT1017" s="68" t="s">
        <v>1264</v>
      </c>
      <c r="BU1017" s="68">
        <v>1373</v>
      </c>
      <c r="BV1017" s="68">
        <v>12</v>
      </c>
      <c r="BX1017" s="68" t="s">
        <v>1268</v>
      </c>
      <c r="BY1017" s="68" t="s">
        <v>863</v>
      </c>
      <c r="BZ1017" s="68">
        <v>1</v>
      </c>
      <c r="CA1017" s="70">
        <v>60</v>
      </c>
      <c r="CB1017" s="68">
        <v>0.5</v>
      </c>
      <c r="CC1017" s="68">
        <v>1</v>
      </c>
      <c r="CD1017" s="77" t="s">
        <v>464</v>
      </c>
      <c r="CE1017" s="77" t="s">
        <v>464</v>
      </c>
      <c r="CF1017" s="77" t="s">
        <v>1266</v>
      </c>
      <c r="CG1017" s="77">
        <v>125</v>
      </c>
      <c r="CH1017" s="77">
        <v>220</v>
      </c>
      <c r="CI1017" s="77" t="s">
        <v>1287</v>
      </c>
      <c r="CJ1017" s="77">
        <f t="shared" si="260"/>
        <v>288</v>
      </c>
      <c r="CK1017" s="70">
        <v>5.6</v>
      </c>
    </row>
    <row r="1018" spans="1:89" x14ac:dyDescent="0.3">
      <c r="A1018" t="s">
        <v>1510</v>
      </c>
      <c r="B1018" t="s">
        <v>2776</v>
      </c>
      <c r="C1018" t="s">
        <v>4339</v>
      </c>
      <c r="E1018">
        <v>1.4</v>
      </c>
      <c r="F1018" t="s">
        <v>1461</v>
      </c>
      <c r="G1018" s="8" t="s">
        <v>598</v>
      </c>
      <c r="H1018" t="s">
        <v>670</v>
      </c>
      <c r="I1018" t="s">
        <v>1506</v>
      </c>
      <c r="J1018" t="s">
        <v>2496</v>
      </c>
      <c r="K1018" t="s">
        <v>2496</v>
      </c>
      <c r="L1018" t="s">
        <v>2496</v>
      </c>
      <c r="M1018" t="b">
        <v>1</v>
      </c>
      <c r="N1018" t="b">
        <v>1</v>
      </c>
      <c r="O1018" t="b">
        <v>0</v>
      </c>
      <c r="P1018" t="b">
        <v>0</v>
      </c>
      <c r="Q1018" t="s">
        <v>2727</v>
      </c>
      <c r="R1018" t="s">
        <v>2423</v>
      </c>
      <c r="S1018" t="s">
        <v>2369</v>
      </c>
      <c r="T1018">
        <v>2</v>
      </c>
      <c r="X1018">
        <v>3.8</v>
      </c>
      <c r="Y1018">
        <v>3.8</v>
      </c>
      <c r="Z1018">
        <v>27.3</v>
      </c>
      <c r="AA1018" t="s">
        <v>440</v>
      </c>
      <c r="AB1018">
        <v>13.65</v>
      </c>
      <c r="BT1018" s="68" t="s">
        <v>1264</v>
      </c>
      <c r="BU1018" s="68">
        <v>1373</v>
      </c>
      <c r="BV1018" s="68">
        <v>12</v>
      </c>
      <c r="BX1018" s="68" t="s">
        <v>1268</v>
      </c>
      <c r="BY1018" s="68" t="s">
        <v>863</v>
      </c>
      <c r="BZ1018" s="68">
        <v>1</v>
      </c>
      <c r="CA1018" s="70">
        <v>60</v>
      </c>
      <c r="CB1018" s="68">
        <v>0.5</v>
      </c>
      <c r="CC1018" s="68">
        <v>1</v>
      </c>
      <c r="CD1018" s="77" t="s">
        <v>464</v>
      </c>
      <c r="CE1018" s="77" t="s">
        <v>464</v>
      </c>
      <c r="CF1018" s="77" t="s">
        <v>1266</v>
      </c>
      <c r="CG1018" s="77">
        <v>125</v>
      </c>
      <c r="CH1018" s="77">
        <v>220</v>
      </c>
      <c r="CI1018" s="77" t="s">
        <v>1287</v>
      </c>
      <c r="CJ1018" s="77">
        <f t="shared" si="260"/>
        <v>288</v>
      </c>
      <c r="CK1018" s="70">
        <v>8.8000000000000007</v>
      </c>
    </row>
    <row r="1019" spans="1:89" x14ac:dyDescent="0.3">
      <c r="A1019" t="s">
        <v>1511</v>
      </c>
      <c r="B1019" t="s">
        <v>2776</v>
      </c>
      <c r="C1019" t="s">
        <v>4340</v>
      </c>
      <c r="E1019">
        <v>1.35</v>
      </c>
      <c r="F1019" t="s">
        <v>1461</v>
      </c>
      <c r="G1019" s="8" t="s">
        <v>598</v>
      </c>
      <c r="H1019" t="s">
        <v>670</v>
      </c>
      <c r="I1019" t="s">
        <v>1506</v>
      </c>
      <c r="J1019" t="s">
        <v>2497</v>
      </c>
      <c r="K1019" t="s">
        <v>2497</v>
      </c>
      <c r="L1019" t="s">
        <v>2497</v>
      </c>
      <c r="M1019" t="b">
        <v>1</v>
      </c>
      <c r="N1019" t="b">
        <v>1</v>
      </c>
      <c r="O1019" t="b">
        <v>0</v>
      </c>
      <c r="P1019" t="b">
        <v>0</v>
      </c>
      <c r="Q1019" t="s">
        <v>2728</v>
      </c>
      <c r="R1019" t="s">
        <v>2425</v>
      </c>
      <c r="S1019" t="s">
        <v>2369</v>
      </c>
      <c r="T1019">
        <v>2</v>
      </c>
      <c r="X1019">
        <v>3.8</v>
      </c>
      <c r="Y1019">
        <v>3.8</v>
      </c>
      <c r="Z1019">
        <v>27.5</v>
      </c>
      <c r="AA1019" t="s">
        <v>440</v>
      </c>
      <c r="AB1019">
        <v>13.75</v>
      </c>
      <c r="BT1019" s="68" t="s">
        <v>1264</v>
      </c>
      <c r="BU1019" s="68">
        <v>1373</v>
      </c>
      <c r="BV1019" s="68">
        <v>12</v>
      </c>
      <c r="BX1019" s="68" t="s">
        <v>1268</v>
      </c>
      <c r="BY1019" s="68" t="s">
        <v>863</v>
      </c>
      <c r="BZ1019" s="68">
        <v>1</v>
      </c>
      <c r="CA1019" s="70">
        <v>60</v>
      </c>
      <c r="CB1019" s="68">
        <v>0.5</v>
      </c>
      <c r="CC1019" s="68">
        <v>1</v>
      </c>
      <c r="CD1019" s="77" t="s">
        <v>464</v>
      </c>
      <c r="CE1019" s="77" t="s">
        <v>464</v>
      </c>
      <c r="CF1019" s="77" t="s">
        <v>1266</v>
      </c>
      <c r="CG1019" s="77">
        <v>125</v>
      </c>
      <c r="CH1019" s="77">
        <v>220</v>
      </c>
      <c r="CI1019" s="77" t="s">
        <v>1287</v>
      </c>
      <c r="CJ1019" s="77">
        <f t="shared" si="260"/>
        <v>288</v>
      </c>
      <c r="CK1019" s="70">
        <v>12.6</v>
      </c>
    </row>
    <row r="1020" spans="1:89" x14ac:dyDescent="0.3">
      <c r="A1020" t="s">
        <v>1468</v>
      </c>
      <c r="B1020" t="s">
        <v>2776</v>
      </c>
      <c r="C1020" t="s">
        <v>4329</v>
      </c>
      <c r="E1020">
        <v>3.2</v>
      </c>
      <c r="F1020" t="s">
        <v>1461</v>
      </c>
      <c r="G1020" s="8" t="s">
        <v>598</v>
      </c>
      <c r="H1020" t="s">
        <v>670</v>
      </c>
      <c r="I1020" t="s">
        <v>1506</v>
      </c>
      <c r="J1020" t="s">
        <v>2487</v>
      </c>
      <c r="M1020" t="b">
        <v>1</v>
      </c>
      <c r="N1020" t="b">
        <v>0</v>
      </c>
      <c r="O1020" t="b">
        <v>0</v>
      </c>
      <c r="P1020" t="b">
        <v>0</v>
      </c>
      <c r="Q1020" t="s">
        <v>2729</v>
      </c>
      <c r="R1020" t="s">
        <v>670</v>
      </c>
      <c r="S1020" t="s">
        <v>1506</v>
      </c>
      <c r="T1020">
        <v>2</v>
      </c>
      <c r="X1020">
        <v>3.8</v>
      </c>
      <c r="Y1020">
        <v>3.8</v>
      </c>
      <c r="Z1020">
        <v>27.3</v>
      </c>
      <c r="AA1020" t="s">
        <v>440</v>
      </c>
      <c r="AB1020">
        <v>13.65</v>
      </c>
      <c r="BT1020" s="68" t="s">
        <v>1264</v>
      </c>
      <c r="BU1020" s="68">
        <v>1373</v>
      </c>
      <c r="BV1020" s="68">
        <v>12</v>
      </c>
      <c r="BX1020" s="68" t="s">
        <v>1268</v>
      </c>
      <c r="BY1020" s="68" t="s">
        <v>863</v>
      </c>
      <c r="BZ1020" s="68">
        <v>1</v>
      </c>
      <c r="CA1020" s="70">
        <v>3.2</v>
      </c>
      <c r="CB1020" s="68">
        <v>0.5</v>
      </c>
      <c r="CC1020" s="68">
        <v>1</v>
      </c>
      <c r="CD1020" s="77" t="s">
        <v>464</v>
      </c>
      <c r="CE1020" s="77" t="s">
        <v>464</v>
      </c>
      <c r="CF1020" s="77" t="s">
        <v>1435</v>
      </c>
      <c r="CG1020" s="77">
        <v>100</v>
      </c>
      <c r="CH1020" s="77">
        <v>425</v>
      </c>
      <c r="CI1020" s="77" t="s">
        <v>1287</v>
      </c>
      <c r="CJ1020" s="77">
        <f t="shared" si="260"/>
        <v>288</v>
      </c>
      <c r="CK1020" s="70">
        <v>0</v>
      </c>
    </row>
    <row r="1021" spans="1:89" x14ac:dyDescent="0.3">
      <c r="A1021" t="s">
        <v>1472</v>
      </c>
      <c r="B1021" t="s">
        <v>2776</v>
      </c>
      <c r="C1021" t="s">
        <v>4330</v>
      </c>
      <c r="E1021">
        <v>2.9</v>
      </c>
      <c r="F1021" t="s">
        <v>1461</v>
      </c>
      <c r="G1021" s="8" t="s">
        <v>598</v>
      </c>
      <c r="H1021" t="s">
        <v>670</v>
      </c>
      <c r="I1021" t="s">
        <v>1506</v>
      </c>
      <c r="J1021" t="s">
        <v>2488</v>
      </c>
      <c r="K1021" t="s">
        <v>2488</v>
      </c>
      <c r="L1021" t="s">
        <v>2488</v>
      </c>
      <c r="M1021" t="b">
        <v>1</v>
      </c>
      <c r="N1021" t="b">
        <v>1</v>
      </c>
      <c r="O1021" t="b">
        <v>0</v>
      </c>
      <c r="P1021" t="b">
        <v>0</v>
      </c>
      <c r="Q1021" t="s">
        <v>2754</v>
      </c>
      <c r="R1021" t="s">
        <v>2428</v>
      </c>
      <c r="S1021" t="s">
        <v>2369</v>
      </c>
      <c r="T1021">
        <v>2</v>
      </c>
      <c r="X1021">
        <v>3.8</v>
      </c>
      <c r="Y1021">
        <v>3.8</v>
      </c>
      <c r="Z1021">
        <v>27.3</v>
      </c>
      <c r="AA1021" t="s">
        <v>440</v>
      </c>
      <c r="AB1021">
        <v>13.65</v>
      </c>
      <c r="BT1021" s="68" t="s">
        <v>1264</v>
      </c>
      <c r="BU1021" s="68">
        <v>1373</v>
      </c>
      <c r="BV1021" s="68">
        <v>12</v>
      </c>
      <c r="BX1021" s="68" t="s">
        <v>1268</v>
      </c>
      <c r="BY1021" s="68" t="s">
        <v>863</v>
      </c>
      <c r="BZ1021" s="68">
        <v>1</v>
      </c>
      <c r="CA1021" s="70">
        <v>3.2</v>
      </c>
      <c r="CB1021" s="68">
        <v>0.5</v>
      </c>
      <c r="CC1021" s="68">
        <v>1</v>
      </c>
      <c r="CD1021" s="77" t="s">
        <v>464</v>
      </c>
      <c r="CE1021" s="77" t="s">
        <v>464</v>
      </c>
      <c r="CF1021" s="77" t="s">
        <v>1435</v>
      </c>
      <c r="CG1021" s="77">
        <v>100</v>
      </c>
      <c r="CH1021" s="77">
        <v>425</v>
      </c>
      <c r="CI1021" s="77" t="s">
        <v>1287</v>
      </c>
      <c r="CJ1021" s="77">
        <f t="shared" si="260"/>
        <v>288</v>
      </c>
      <c r="CK1021" s="70">
        <v>36</v>
      </c>
    </row>
    <row r="1022" spans="1:89" x14ac:dyDescent="0.3">
      <c r="A1022" t="s">
        <v>1473</v>
      </c>
      <c r="B1022" t="s">
        <v>2776</v>
      </c>
      <c r="C1022" t="s">
        <v>4331</v>
      </c>
      <c r="E1022">
        <v>2.65</v>
      </c>
      <c r="F1022" t="s">
        <v>1461</v>
      </c>
      <c r="G1022" s="8" t="s">
        <v>598</v>
      </c>
      <c r="H1022" t="s">
        <v>670</v>
      </c>
      <c r="I1022" t="s">
        <v>1506</v>
      </c>
      <c r="J1022" t="s">
        <v>2489</v>
      </c>
      <c r="K1022" t="s">
        <v>2489</v>
      </c>
      <c r="L1022" t="s">
        <v>2489</v>
      </c>
      <c r="M1022" t="b">
        <v>1</v>
      </c>
      <c r="N1022" t="b">
        <v>1</v>
      </c>
      <c r="O1022" t="b">
        <v>0</v>
      </c>
      <c r="P1022" t="b">
        <v>0</v>
      </c>
      <c r="Q1022" t="s">
        <v>2755</v>
      </c>
      <c r="R1022" t="s">
        <v>2430</v>
      </c>
      <c r="S1022" t="s">
        <v>2369</v>
      </c>
      <c r="T1022">
        <v>2</v>
      </c>
      <c r="X1022">
        <v>3.8</v>
      </c>
      <c r="Y1022">
        <v>3.8</v>
      </c>
      <c r="Z1022">
        <v>27.3</v>
      </c>
      <c r="AA1022" t="s">
        <v>440</v>
      </c>
      <c r="AB1022">
        <v>13.65</v>
      </c>
      <c r="BT1022" s="68" t="s">
        <v>1264</v>
      </c>
      <c r="BU1022" s="68">
        <v>1373</v>
      </c>
      <c r="BV1022" s="68">
        <v>12</v>
      </c>
      <c r="BX1022" s="68" t="s">
        <v>1268</v>
      </c>
      <c r="BY1022" s="68" t="s">
        <v>863</v>
      </c>
      <c r="BZ1022" s="68">
        <v>1</v>
      </c>
      <c r="CA1022" s="70">
        <v>3.2</v>
      </c>
      <c r="CB1022" s="68">
        <v>0.5</v>
      </c>
      <c r="CC1022" s="68">
        <v>1</v>
      </c>
      <c r="CD1022" s="77" t="s">
        <v>464</v>
      </c>
      <c r="CE1022" s="77" t="s">
        <v>464</v>
      </c>
      <c r="CF1022" s="77" t="s">
        <v>1435</v>
      </c>
      <c r="CG1022" s="77">
        <v>100</v>
      </c>
      <c r="CH1022" s="77">
        <v>425</v>
      </c>
      <c r="CI1022" s="77" t="s">
        <v>1287</v>
      </c>
      <c r="CJ1022" s="77">
        <f t="shared" si="260"/>
        <v>288</v>
      </c>
      <c r="CK1022" s="70">
        <v>28</v>
      </c>
    </row>
    <row r="1023" spans="1:89" x14ac:dyDescent="0.3">
      <c r="A1023" t="s">
        <v>1474</v>
      </c>
      <c r="B1023" t="s">
        <v>2776</v>
      </c>
      <c r="C1023" t="s">
        <v>4332</v>
      </c>
      <c r="E1023">
        <v>2.5499999999999998</v>
      </c>
      <c r="F1023" t="s">
        <v>1461</v>
      </c>
      <c r="G1023" s="8" t="s">
        <v>598</v>
      </c>
      <c r="H1023" t="s">
        <v>670</v>
      </c>
      <c r="I1023" t="s">
        <v>1506</v>
      </c>
      <c r="J1023" t="s">
        <v>2590</v>
      </c>
      <c r="K1023" t="s">
        <v>2590</v>
      </c>
      <c r="L1023" t="s">
        <v>2590</v>
      </c>
      <c r="M1023" t="b">
        <v>1</v>
      </c>
      <c r="N1023" t="b">
        <v>1</v>
      </c>
      <c r="O1023" t="b">
        <v>0</v>
      </c>
      <c r="P1023" t="b">
        <v>0</v>
      </c>
      <c r="Q1023" t="s">
        <v>2756</v>
      </c>
      <c r="R1023" t="s">
        <v>2432</v>
      </c>
      <c r="S1023" t="s">
        <v>2369</v>
      </c>
      <c r="T1023">
        <v>2</v>
      </c>
      <c r="X1023">
        <v>3.8</v>
      </c>
      <c r="Y1023">
        <v>3.8</v>
      </c>
      <c r="Z1023">
        <v>27.3</v>
      </c>
      <c r="AA1023" t="s">
        <v>440</v>
      </c>
      <c r="AB1023">
        <v>13.65</v>
      </c>
      <c r="BT1023" s="68" t="s">
        <v>1264</v>
      </c>
      <c r="BU1023" s="68">
        <v>1373</v>
      </c>
      <c r="BV1023" s="68">
        <v>12</v>
      </c>
      <c r="BX1023" s="68" t="s">
        <v>1268</v>
      </c>
      <c r="BY1023" s="68" t="s">
        <v>863</v>
      </c>
      <c r="BZ1023" s="68">
        <v>1</v>
      </c>
      <c r="CA1023" s="70">
        <v>3.2</v>
      </c>
      <c r="CB1023" s="68">
        <v>0.5</v>
      </c>
      <c r="CC1023" s="68">
        <v>1</v>
      </c>
      <c r="CD1023" s="77" t="s">
        <v>464</v>
      </c>
      <c r="CE1023" s="77" t="s">
        <v>464</v>
      </c>
      <c r="CF1023" s="77" t="s">
        <v>1435</v>
      </c>
      <c r="CG1023" s="77">
        <v>100</v>
      </c>
      <c r="CH1023" s="77">
        <v>425</v>
      </c>
      <c r="CI1023" s="77" t="s">
        <v>1287</v>
      </c>
      <c r="CJ1023" s="77">
        <f t="shared" si="260"/>
        <v>288</v>
      </c>
      <c r="CK1023" s="70">
        <v>16</v>
      </c>
    </row>
    <row r="1024" spans="1:89" x14ac:dyDescent="0.3">
      <c r="A1024" t="s">
        <v>1475</v>
      </c>
      <c r="B1024" t="s">
        <v>2776</v>
      </c>
      <c r="C1024" t="s">
        <v>4333</v>
      </c>
      <c r="E1024">
        <v>2.4500000000000002</v>
      </c>
      <c r="F1024" t="s">
        <v>1461</v>
      </c>
      <c r="G1024" s="8" t="s">
        <v>598</v>
      </c>
      <c r="H1024" t="s">
        <v>670</v>
      </c>
      <c r="I1024" t="s">
        <v>1506</v>
      </c>
      <c r="J1024" t="s">
        <v>2490</v>
      </c>
      <c r="K1024" t="s">
        <v>2490</v>
      </c>
      <c r="L1024" t="s">
        <v>2490</v>
      </c>
      <c r="M1024" t="b">
        <v>1</v>
      </c>
      <c r="N1024" t="b">
        <v>1</v>
      </c>
      <c r="O1024" t="b">
        <v>0</v>
      </c>
      <c r="P1024" t="b">
        <v>0</v>
      </c>
      <c r="Q1024" t="s">
        <v>2757</v>
      </c>
      <c r="R1024" t="s">
        <v>2434</v>
      </c>
      <c r="S1024" t="s">
        <v>2369</v>
      </c>
      <c r="T1024">
        <v>2</v>
      </c>
      <c r="X1024">
        <v>3.8</v>
      </c>
      <c r="Y1024">
        <v>3.8</v>
      </c>
      <c r="Z1024">
        <v>27.3</v>
      </c>
      <c r="AA1024" t="s">
        <v>440</v>
      </c>
      <c r="AB1024">
        <v>13.65</v>
      </c>
      <c r="BT1024" s="68" t="s">
        <v>1264</v>
      </c>
      <c r="BU1024" s="68">
        <v>1373</v>
      </c>
      <c r="BV1024" s="68">
        <v>12</v>
      </c>
      <c r="BX1024" s="68" t="s">
        <v>1268</v>
      </c>
      <c r="BY1024" s="68" t="s">
        <v>863</v>
      </c>
      <c r="BZ1024" s="68">
        <v>1</v>
      </c>
      <c r="CA1024" s="70">
        <v>3.2</v>
      </c>
      <c r="CB1024" s="68">
        <v>0.5</v>
      </c>
      <c r="CC1024" s="68">
        <v>1</v>
      </c>
      <c r="CD1024" s="77" t="s">
        <v>464</v>
      </c>
      <c r="CE1024" s="77" t="s">
        <v>464</v>
      </c>
      <c r="CF1024" s="77" t="s">
        <v>1435</v>
      </c>
      <c r="CG1024" s="77">
        <v>101</v>
      </c>
      <c r="CH1024" s="77">
        <v>220</v>
      </c>
      <c r="CI1024" s="77" t="s">
        <v>1287</v>
      </c>
      <c r="CJ1024" s="77">
        <f t="shared" si="260"/>
        <v>288</v>
      </c>
      <c r="CK1024" s="70">
        <v>0</v>
      </c>
    </row>
    <row r="1025" spans="1:89" x14ac:dyDescent="0.3">
      <c r="A1025" t="s">
        <v>1476</v>
      </c>
      <c r="B1025" t="s">
        <v>2776</v>
      </c>
      <c r="C1025" t="s">
        <v>4334</v>
      </c>
      <c r="E1025">
        <v>2.2999999999999998</v>
      </c>
      <c r="F1025" t="s">
        <v>1461</v>
      </c>
      <c r="G1025" s="8" t="s">
        <v>598</v>
      </c>
      <c r="H1025" t="s">
        <v>670</v>
      </c>
      <c r="I1025" t="s">
        <v>1506</v>
      </c>
      <c r="J1025" t="s">
        <v>2491</v>
      </c>
      <c r="K1025" t="s">
        <v>2491</v>
      </c>
      <c r="L1025" t="s">
        <v>2491</v>
      </c>
      <c r="M1025" t="b">
        <v>1</v>
      </c>
      <c r="N1025" t="b">
        <v>1</v>
      </c>
      <c r="O1025" t="b">
        <v>0</v>
      </c>
      <c r="P1025" t="b">
        <v>0</v>
      </c>
      <c r="Q1025" t="s">
        <v>2758</v>
      </c>
      <c r="R1025" t="s">
        <v>2436</v>
      </c>
      <c r="S1025" t="s">
        <v>2369</v>
      </c>
      <c r="T1025">
        <v>2</v>
      </c>
      <c r="X1025">
        <v>3.8</v>
      </c>
      <c r="Y1025">
        <v>3.8</v>
      </c>
      <c r="Z1025">
        <v>27.3</v>
      </c>
      <c r="AA1025" t="s">
        <v>440</v>
      </c>
      <c r="AB1025">
        <v>13.65</v>
      </c>
      <c r="BT1025" s="68" t="s">
        <v>1264</v>
      </c>
      <c r="BU1025" s="68">
        <v>1373</v>
      </c>
      <c r="BV1025" s="68">
        <v>12</v>
      </c>
      <c r="BX1025" s="68" t="s">
        <v>1268</v>
      </c>
      <c r="BY1025" s="68" t="s">
        <v>863</v>
      </c>
      <c r="BZ1025" s="68">
        <v>1</v>
      </c>
      <c r="CA1025" s="70">
        <v>3.2</v>
      </c>
      <c r="CB1025" s="68">
        <v>0.5</v>
      </c>
      <c r="CC1025" s="68">
        <v>1</v>
      </c>
      <c r="CD1025" s="77" t="s">
        <v>464</v>
      </c>
      <c r="CE1025" s="77" t="s">
        <v>464</v>
      </c>
      <c r="CF1025" s="77" t="s">
        <v>1435</v>
      </c>
      <c r="CG1025" s="77">
        <v>102</v>
      </c>
      <c r="CH1025" s="77">
        <v>220</v>
      </c>
      <c r="CI1025" s="77" t="s">
        <v>1287</v>
      </c>
      <c r="CJ1025" s="77">
        <f t="shared" si="260"/>
        <v>288</v>
      </c>
      <c r="CK1025" s="70">
        <v>0</v>
      </c>
    </row>
    <row r="1026" spans="1:89" x14ac:dyDescent="0.3">
      <c r="A1026" t="s">
        <v>1469</v>
      </c>
      <c r="B1026" t="s">
        <v>2776</v>
      </c>
      <c r="C1026" t="s">
        <v>4335</v>
      </c>
      <c r="E1026">
        <v>2.15</v>
      </c>
      <c r="F1026" t="s">
        <v>1461</v>
      </c>
      <c r="G1026" s="8" t="s">
        <v>598</v>
      </c>
      <c r="H1026" t="s">
        <v>670</v>
      </c>
      <c r="I1026" t="s">
        <v>1506</v>
      </c>
      <c r="J1026" t="s">
        <v>2492</v>
      </c>
      <c r="K1026" t="s">
        <v>2492</v>
      </c>
      <c r="L1026" t="s">
        <v>2492</v>
      </c>
      <c r="M1026" t="b">
        <v>1</v>
      </c>
      <c r="N1026" t="b">
        <v>1</v>
      </c>
      <c r="O1026" t="b">
        <v>0</v>
      </c>
      <c r="P1026" t="b">
        <v>0</v>
      </c>
      <c r="Q1026" t="s">
        <v>2759</v>
      </c>
      <c r="R1026" t="s">
        <v>2438</v>
      </c>
      <c r="S1026" t="s">
        <v>2369</v>
      </c>
      <c r="T1026">
        <v>2</v>
      </c>
      <c r="X1026">
        <v>3.8</v>
      </c>
      <c r="Y1026">
        <v>3.8</v>
      </c>
      <c r="Z1026">
        <v>27.7</v>
      </c>
      <c r="AA1026" t="s">
        <v>440</v>
      </c>
      <c r="AB1026">
        <v>13.85</v>
      </c>
      <c r="BT1026" s="68" t="s">
        <v>1264</v>
      </c>
      <c r="BU1026" s="68">
        <v>1373</v>
      </c>
      <c r="BV1026" s="68">
        <v>12</v>
      </c>
      <c r="BX1026" s="68" t="s">
        <v>1268</v>
      </c>
      <c r="BY1026" s="68" t="s">
        <v>863</v>
      </c>
      <c r="BZ1026" s="68">
        <v>1</v>
      </c>
      <c r="CA1026" s="70">
        <v>3.2</v>
      </c>
      <c r="CB1026" s="68">
        <v>0.5</v>
      </c>
      <c r="CC1026" s="68">
        <v>1</v>
      </c>
      <c r="CD1026" s="77" t="s">
        <v>464</v>
      </c>
      <c r="CE1026" s="77" t="s">
        <v>464</v>
      </c>
      <c r="CF1026" s="77" t="s">
        <v>1435</v>
      </c>
      <c r="CG1026" s="77">
        <v>103</v>
      </c>
      <c r="CH1026" s="77">
        <v>220</v>
      </c>
      <c r="CI1026" s="77" t="s">
        <v>1287</v>
      </c>
      <c r="CJ1026" s="77">
        <f t="shared" si="260"/>
        <v>288</v>
      </c>
      <c r="CK1026" s="70">
        <v>0</v>
      </c>
    </row>
    <row r="1027" spans="1:89" x14ac:dyDescent="0.3">
      <c r="A1027" t="s">
        <v>1470</v>
      </c>
      <c r="B1027" t="s">
        <v>2776</v>
      </c>
      <c r="C1027" t="s">
        <v>4336</v>
      </c>
      <c r="E1027">
        <v>1.95</v>
      </c>
      <c r="F1027" t="s">
        <v>1461</v>
      </c>
      <c r="G1027" s="8" t="s">
        <v>598</v>
      </c>
      <c r="H1027" t="s">
        <v>670</v>
      </c>
      <c r="I1027" t="s">
        <v>1506</v>
      </c>
      <c r="J1027" t="s">
        <v>2493</v>
      </c>
      <c r="K1027" t="s">
        <v>2493</v>
      </c>
      <c r="L1027" t="s">
        <v>2493</v>
      </c>
      <c r="M1027" t="b">
        <v>1</v>
      </c>
      <c r="N1027" t="b">
        <v>1</v>
      </c>
      <c r="O1027" t="b">
        <v>0</v>
      </c>
      <c r="P1027" t="b">
        <v>0</v>
      </c>
      <c r="Q1027" t="s">
        <v>2760</v>
      </c>
      <c r="R1027" t="s">
        <v>2440</v>
      </c>
      <c r="S1027" t="s">
        <v>2369</v>
      </c>
      <c r="T1027">
        <v>2</v>
      </c>
      <c r="X1027">
        <v>3.8</v>
      </c>
      <c r="Y1027">
        <v>3.8</v>
      </c>
      <c r="Z1027">
        <v>28</v>
      </c>
      <c r="AA1027" t="s">
        <v>440</v>
      </c>
      <c r="AB1027">
        <v>14</v>
      </c>
      <c r="BT1027" s="68" t="s">
        <v>1264</v>
      </c>
      <c r="BU1027" s="68">
        <v>1373</v>
      </c>
      <c r="BV1027" s="68">
        <v>12</v>
      </c>
      <c r="BX1027" s="68" t="s">
        <v>1268</v>
      </c>
      <c r="BY1027" s="68" t="s">
        <v>863</v>
      </c>
      <c r="BZ1027" s="68">
        <v>1</v>
      </c>
      <c r="CA1027" s="70">
        <v>3.2</v>
      </c>
      <c r="CB1027" s="68">
        <v>0.5</v>
      </c>
      <c r="CC1027" s="68">
        <v>1</v>
      </c>
      <c r="CD1027" s="77" t="s">
        <v>464</v>
      </c>
      <c r="CE1027" s="77" t="s">
        <v>464</v>
      </c>
      <c r="CF1027" s="77" t="s">
        <v>1435</v>
      </c>
      <c r="CG1027" s="77">
        <v>104</v>
      </c>
      <c r="CH1027" s="77">
        <v>220</v>
      </c>
      <c r="CI1027" s="77" t="s">
        <v>1287</v>
      </c>
      <c r="CJ1027" s="77">
        <f t="shared" si="260"/>
        <v>288</v>
      </c>
      <c r="CK1027" s="70">
        <v>0</v>
      </c>
    </row>
    <row r="1028" spans="1:89" x14ac:dyDescent="0.3">
      <c r="A1028" t="s">
        <v>1471</v>
      </c>
      <c r="B1028" t="s">
        <v>2776</v>
      </c>
      <c r="C1028" t="s">
        <v>4337</v>
      </c>
      <c r="E1028">
        <v>1.55</v>
      </c>
      <c r="F1028" t="s">
        <v>1461</v>
      </c>
      <c r="G1028" s="8" t="s">
        <v>598</v>
      </c>
      <c r="H1028" t="s">
        <v>670</v>
      </c>
      <c r="I1028" t="s">
        <v>1506</v>
      </c>
      <c r="J1028" t="s">
        <v>2494</v>
      </c>
      <c r="K1028" t="s">
        <v>2494</v>
      </c>
      <c r="L1028" t="s">
        <v>2494</v>
      </c>
      <c r="M1028" t="b">
        <v>1</v>
      </c>
      <c r="N1028" t="b">
        <v>1</v>
      </c>
      <c r="O1028" t="b">
        <v>0</v>
      </c>
      <c r="P1028" t="b">
        <v>0</v>
      </c>
      <c r="Q1028" t="s">
        <v>2761</v>
      </c>
      <c r="R1028" t="s">
        <v>2442</v>
      </c>
      <c r="S1028" t="s">
        <v>2369</v>
      </c>
      <c r="T1028">
        <v>2</v>
      </c>
      <c r="X1028">
        <v>3.8</v>
      </c>
      <c r="Y1028">
        <v>3.8</v>
      </c>
      <c r="Z1028">
        <v>27.8</v>
      </c>
      <c r="AA1028" t="s">
        <v>440</v>
      </c>
      <c r="AB1028">
        <v>13.9</v>
      </c>
      <c r="BT1028" s="68" t="s">
        <v>1264</v>
      </c>
      <c r="BU1028" s="68">
        <v>1373</v>
      </c>
      <c r="BV1028" s="68">
        <v>12</v>
      </c>
      <c r="BX1028" s="68" t="s">
        <v>1268</v>
      </c>
      <c r="BY1028" s="68" t="s">
        <v>863</v>
      </c>
      <c r="BZ1028" s="68">
        <v>1</v>
      </c>
      <c r="CA1028" s="70">
        <v>3.2</v>
      </c>
      <c r="CB1028" s="68">
        <v>0.5</v>
      </c>
      <c r="CC1028" s="68">
        <v>1</v>
      </c>
      <c r="CD1028" s="77" t="s">
        <v>464</v>
      </c>
      <c r="CE1028" s="77" t="s">
        <v>464</v>
      </c>
      <c r="CF1028" s="77" t="s">
        <v>1435</v>
      </c>
      <c r="CG1028" s="77">
        <v>105</v>
      </c>
      <c r="CH1028" s="77">
        <v>220</v>
      </c>
      <c r="CI1028" s="77" t="s">
        <v>1287</v>
      </c>
      <c r="CJ1028" s="77">
        <f t="shared" si="260"/>
        <v>288</v>
      </c>
      <c r="CK1028" s="70">
        <v>0</v>
      </c>
    </row>
    <row r="1029" spans="1:89" x14ac:dyDescent="0.3">
      <c r="A1029" t="s">
        <v>1509</v>
      </c>
      <c r="B1029" t="s">
        <v>2776</v>
      </c>
      <c r="C1029" t="s">
        <v>4338</v>
      </c>
      <c r="E1029">
        <v>1.5</v>
      </c>
      <c r="F1029" t="s">
        <v>1461</v>
      </c>
      <c r="G1029" s="8" t="s">
        <v>598</v>
      </c>
      <c r="H1029" t="s">
        <v>670</v>
      </c>
      <c r="I1029" t="s">
        <v>1506</v>
      </c>
      <c r="J1029" t="s">
        <v>2495</v>
      </c>
      <c r="K1029" t="s">
        <v>2495</v>
      </c>
      <c r="L1029" t="s">
        <v>2495</v>
      </c>
      <c r="M1029" t="b">
        <v>1</v>
      </c>
      <c r="N1029" t="b">
        <v>1</v>
      </c>
      <c r="O1029" t="b">
        <v>0</v>
      </c>
      <c r="P1029" t="b">
        <v>0</v>
      </c>
      <c r="Q1029" t="s">
        <v>2762</v>
      </c>
      <c r="R1029" t="s">
        <v>2444</v>
      </c>
      <c r="S1029" t="s">
        <v>2369</v>
      </c>
      <c r="T1029">
        <v>2</v>
      </c>
      <c r="X1029">
        <v>3.8</v>
      </c>
      <c r="Y1029">
        <v>3.8</v>
      </c>
      <c r="Z1029">
        <v>27.3</v>
      </c>
      <c r="AA1029" t="s">
        <v>440</v>
      </c>
      <c r="AB1029">
        <v>13.65</v>
      </c>
      <c r="BT1029" s="68" t="s">
        <v>1264</v>
      </c>
      <c r="BU1029" s="68">
        <v>1373</v>
      </c>
      <c r="BV1029" s="68">
        <v>12</v>
      </c>
      <c r="BX1029" s="68" t="s">
        <v>1268</v>
      </c>
      <c r="BY1029" s="68" t="s">
        <v>863</v>
      </c>
      <c r="BZ1029" s="68">
        <v>1</v>
      </c>
      <c r="CA1029" s="70">
        <v>3.2</v>
      </c>
      <c r="CB1029" s="68">
        <v>0.5</v>
      </c>
      <c r="CC1029" s="68">
        <v>1</v>
      </c>
      <c r="CD1029" s="77" t="s">
        <v>464</v>
      </c>
      <c r="CE1029" s="77" t="s">
        <v>464</v>
      </c>
      <c r="CF1029" s="77" t="s">
        <v>1435</v>
      </c>
      <c r="CG1029" s="77">
        <v>106</v>
      </c>
      <c r="CH1029" s="77">
        <v>220</v>
      </c>
      <c r="CI1029" s="77" t="s">
        <v>1287</v>
      </c>
      <c r="CJ1029" s="77">
        <f t="shared" si="260"/>
        <v>288</v>
      </c>
      <c r="CK1029" s="70">
        <v>0</v>
      </c>
    </row>
    <row r="1030" spans="1:89" x14ac:dyDescent="0.3">
      <c r="A1030" t="s">
        <v>1510</v>
      </c>
      <c r="B1030" t="s">
        <v>2776</v>
      </c>
      <c r="C1030" t="s">
        <v>4339</v>
      </c>
      <c r="E1030">
        <v>1.4</v>
      </c>
      <c r="F1030" t="s">
        <v>1461</v>
      </c>
      <c r="G1030" s="8" t="s">
        <v>598</v>
      </c>
      <c r="H1030" t="s">
        <v>670</v>
      </c>
      <c r="I1030" t="s">
        <v>1506</v>
      </c>
      <c r="J1030" t="s">
        <v>2496</v>
      </c>
      <c r="K1030" t="s">
        <v>2496</v>
      </c>
      <c r="L1030" t="s">
        <v>2496</v>
      </c>
      <c r="M1030" t="b">
        <v>1</v>
      </c>
      <c r="N1030" t="b">
        <v>1</v>
      </c>
      <c r="O1030" t="b">
        <v>0</v>
      </c>
      <c r="P1030" t="b">
        <v>0</v>
      </c>
      <c r="Q1030" t="s">
        <v>2763</v>
      </c>
      <c r="R1030" t="s">
        <v>2446</v>
      </c>
      <c r="S1030" t="s">
        <v>2369</v>
      </c>
      <c r="T1030">
        <v>2</v>
      </c>
      <c r="X1030">
        <v>3.8</v>
      </c>
      <c r="Y1030">
        <v>3.8</v>
      </c>
      <c r="Z1030">
        <v>27.3</v>
      </c>
      <c r="AA1030" t="s">
        <v>440</v>
      </c>
      <c r="AB1030">
        <v>13.65</v>
      </c>
      <c r="BT1030" s="68" t="s">
        <v>1264</v>
      </c>
      <c r="BU1030" s="68">
        <v>1373</v>
      </c>
      <c r="BV1030" s="68">
        <v>12</v>
      </c>
      <c r="BX1030" s="68" t="s">
        <v>1268</v>
      </c>
      <c r="BY1030" s="68" t="s">
        <v>863</v>
      </c>
      <c r="BZ1030" s="68">
        <v>1</v>
      </c>
      <c r="CA1030" s="70">
        <v>3.2</v>
      </c>
      <c r="CB1030" s="68">
        <v>0.5</v>
      </c>
      <c r="CC1030" s="68">
        <v>1</v>
      </c>
      <c r="CD1030" s="77" t="s">
        <v>464</v>
      </c>
      <c r="CE1030" s="77" t="s">
        <v>464</v>
      </c>
      <c r="CF1030" s="77" t="s">
        <v>1435</v>
      </c>
      <c r="CG1030" s="77">
        <v>107</v>
      </c>
      <c r="CH1030" s="77">
        <v>220</v>
      </c>
      <c r="CI1030" s="77" t="s">
        <v>1287</v>
      </c>
      <c r="CJ1030" s="77">
        <f t="shared" si="260"/>
        <v>288</v>
      </c>
      <c r="CK1030" s="70">
        <v>0</v>
      </c>
    </row>
    <row r="1031" spans="1:89" x14ac:dyDescent="0.3">
      <c r="A1031" t="s">
        <v>1511</v>
      </c>
      <c r="B1031" t="s">
        <v>2776</v>
      </c>
      <c r="C1031" t="s">
        <v>4340</v>
      </c>
      <c r="E1031">
        <v>1.35</v>
      </c>
      <c r="F1031" t="s">
        <v>1461</v>
      </c>
      <c r="G1031" s="8" t="s">
        <v>598</v>
      </c>
      <c r="H1031" t="s">
        <v>670</v>
      </c>
      <c r="I1031" t="s">
        <v>1506</v>
      </c>
      <c r="J1031" t="s">
        <v>2497</v>
      </c>
      <c r="K1031" t="s">
        <v>2497</v>
      </c>
      <c r="L1031" t="s">
        <v>2497</v>
      </c>
      <c r="M1031" t="b">
        <v>1</v>
      </c>
      <c r="N1031" t="b">
        <v>1</v>
      </c>
      <c r="O1031" t="b">
        <v>0</v>
      </c>
      <c r="P1031" t="b">
        <v>0</v>
      </c>
      <c r="Q1031" t="s">
        <v>2764</v>
      </c>
      <c r="R1031" t="s">
        <v>2448</v>
      </c>
      <c r="S1031" t="s">
        <v>2369</v>
      </c>
      <c r="T1031">
        <v>2</v>
      </c>
      <c r="X1031">
        <v>3.8</v>
      </c>
      <c r="Y1031">
        <v>3.8</v>
      </c>
      <c r="Z1031">
        <v>27.5</v>
      </c>
      <c r="AA1031" t="s">
        <v>440</v>
      </c>
      <c r="AB1031">
        <v>13.75</v>
      </c>
      <c r="BT1031" s="68" t="s">
        <v>1264</v>
      </c>
      <c r="BU1031" s="68">
        <v>1373</v>
      </c>
      <c r="BV1031" s="68">
        <v>12</v>
      </c>
      <c r="BX1031" s="68" t="s">
        <v>1268</v>
      </c>
      <c r="BY1031" s="68" t="s">
        <v>863</v>
      </c>
      <c r="BZ1031" s="68">
        <v>1</v>
      </c>
      <c r="CA1031" s="70">
        <v>3.2</v>
      </c>
      <c r="CB1031" s="68">
        <v>0.5</v>
      </c>
      <c r="CC1031" s="68">
        <v>1</v>
      </c>
      <c r="CD1031" s="77" t="s">
        <v>464</v>
      </c>
      <c r="CE1031" s="77" t="s">
        <v>464</v>
      </c>
      <c r="CF1031" s="77" t="s">
        <v>1435</v>
      </c>
      <c r="CG1031" s="77">
        <v>108</v>
      </c>
      <c r="CH1031" s="77">
        <v>220</v>
      </c>
      <c r="CI1031" s="77" t="s">
        <v>1287</v>
      </c>
      <c r="CJ1031" s="77">
        <f t="shared" si="260"/>
        <v>288</v>
      </c>
      <c r="CK1031" s="70">
        <v>0</v>
      </c>
    </row>
    <row r="1032" spans="1:89" x14ac:dyDescent="0.3">
      <c r="A1032" t="s">
        <v>1468</v>
      </c>
      <c r="B1032" t="s">
        <v>2776</v>
      </c>
      <c r="C1032" t="s">
        <v>4329</v>
      </c>
      <c r="E1032">
        <v>3.2</v>
      </c>
      <c r="F1032" t="s">
        <v>1461</v>
      </c>
      <c r="G1032" s="8" t="s">
        <v>598</v>
      </c>
      <c r="H1032" t="s">
        <v>670</v>
      </c>
      <c r="I1032" t="s">
        <v>1506</v>
      </c>
      <c r="J1032" t="s">
        <v>2487</v>
      </c>
      <c r="M1032" t="b">
        <v>1</v>
      </c>
      <c r="N1032" t="b">
        <v>0</v>
      </c>
      <c r="O1032" t="b">
        <v>0</v>
      </c>
      <c r="P1032" t="b">
        <v>0</v>
      </c>
      <c r="Q1032" t="s">
        <v>2765</v>
      </c>
      <c r="R1032" t="s">
        <v>670</v>
      </c>
      <c r="S1032" t="s">
        <v>1506</v>
      </c>
      <c r="T1032">
        <v>2</v>
      </c>
      <c r="X1032">
        <v>3.8</v>
      </c>
      <c r="Y1032">
        <v>3.8</v>
      </c>
      <c r="Z1032">
        <v>27.3</v>
      </c>
      <c r="AA1032" t="s">
        <v>440</v>
      </c>
      <c r="AB1032">
        <v>13.65</v>
      </c>
      <c r="BT1032" s="68" t="s">
        <v>1264</v>
      </c>
      <c r="BU1032" s="68">
        <v>1373</v>
      </c>
      <c r="BV1032" s="68">
        <v>12</v>
      </c>
      <c r="BX1032" s="68" t="s">
        <v>1268</v>
      </c>
      <c r="BY1032" s="68" t="s">
        <v>863</v>
      </c>
      <c r="BZ1032" s="68">
        <v>1</v>
      </c>
      <c r="CA1032" s="70">
        <v>60</v>
      </c>
      <c r="CB1032" s="68">
        <v>0.5</v>
      </c>
      <c r="CC1032" s="68">
        <v>1</v>
      </c>
      <c r="CD1032" s="77" t="s">
        <v>464</v>
      </c>
      <c r="CE1032" s="77" t="s">
        <v>464</v>
      </c>
      <c r="CF1032" s="77" t="s">
        <v>1435</v>
      </c>
      <c r="CG1032" s="77">
        <v>100</v>
      </c>
      <c r="CH1032" s="77">
        <v>425</v>
      </c>
      <c r="CI1032" s="77" t="s">
        <v>1287</v>
      </c>
      <c r="CJ1032" s="77">
        <f t="shared" si="260"/>
        <v>288</v>
      </c>
      <c r="CK1032" s="70">
        <v>0</v>
      </c>
    </row>
    <row r="1033" spans="1:89" x14ac:dyDescent="0.3">
      <c r="A1033" t="s">
        <v>1472</v>
      </c>
      <c r="B1033" t="s">
        <v>2776</v>
      </c>
      <c r="C1033" t="s">
        <v>4330</v>
      </c>
      <c r="E1033">
        <v>2.9</v>
      </c>
      <c r="F1033" t="s">
        <v>1461</v>
      </c>
      <c r="G1033" s="8" t="s">
        <v>598</v>
      </c>
      <c r="H1033" t="s">
        <v>670</v>
      </c>
      <c r="I1033" t="s">
        <v>1506</v>
      </c>
      <c r="J1033" t="s">
        <v>2488</v>
      </c>
      <c r="K1033" t="s">
        <v>2488</v>
      </c>
      <c r="L1033" t="s">
        <v>2488</v>
      </c>
      <c r="M1033" t="b">
        <v>1</v>
      </c>
      <c r="N1033" t="b">
        <v>1</v>
      </c>
      <c r="O1033" t="b">
        <v>0</v>
      </c>
      <c r="P1033" t="b">
        <v>0</v>
      </c>
      <c r="Q1033" t="s">
        <v>2766</v>
      </c>
      <c r="R1033" t="s">
        <v>2451</v>
      </c>
      <c r="S1033" t="s">
        <v>2369</v>
      </c>
      <c r="T1033">
        <v>2</v>
      </c>
      <c r="X1033">
        <v>3.8</v>
      </c>
      <c r="Y1033">
        <v>3.8</v>
      </c>
      <c r="Z1033">
        <v>27.3</v>
      </c>
      <c r="AA1033" t="s">
        <v>440</v>
      </c>
      <c r="AB1033">
        <v>13.65</v>
      </c>
      <c r="BT1033" s="68" t="s">
        <v>1264</v>
      </c>
      <c r="BU1033" s="68">
        <v>1373</v>
      </c>
      <c r="BV1033" s="68">
        <v>12</v>
      </c>
      <c r="BX1033" s="68" t="s">
        <v>1268</v>
      </c>
      <c r="BY1033" s="68" t="s">
        <v>863</v>
      </c>
      <c r="BZ1033" s="68">
        <v>1</v>
      </c>
      <c r="CA1033" s="70">
        <v>60</v>
      </c>
      <c r="CB1033" s="68">
        <v>0.5</v>
      </c>
      <c r="CC1033" s="68">
        <v>1</v>
      </c>
      <c r="CD1033" s="77" t="s">
        <v>464</v>
      </c>
      <c r="CE1033" s="77" t="s">
        <v>464</v>
      </c>
      <c r="CF1033" s="77" t="s">
        <v>1435</v>
      </c>
      <c r="CG1033" s="77">
        <v>100</v>
      </c>
      <c r="CH1033" s="77">
        <v>425</v>
      </c>
      <c r="CI1033" s="77" t="s">
        <v>1287</v>
      </c>
      <c r="CJ1033" s="77">
        <f t="shared" si="260"/>
        <v>288</v>
      </c>
      <c r="CK1033" s="70">
        <v>72</v>
      </c>
    </row>
    <row r="1034" spans="1:89" x14ac:dyDescent="0.3">
      <c r="A1034" t="s">
        <v>1473</v>
      </c>
      <c r="B1034" t="s">
        <v>2776</v>
      </c>
      <c r="C1034" t="s">
        <v>4331</v>
      </c>
      <c r="E1034">
        <v>2.65</v>
      </c>
      <c r="F1034" t="s">
        <v>1461</v>
      </c>
      <c r="G1034" s="8" t="s">
        <v>598</v>
      </c>
      <c r="H1034" t="s">
        <v>670</v>
      </c>
      <c r="I1034" t="s">
        <v>1506</v>
      </c>
      <c r="J1034" t="s">
        <v>2489</v>
      </c>
      <c r="K1034" t="s">
        <v>2489</v>
      </c>
      <c r="L1034" t="s">
        <v>2489</v>
      </c>
      <c r="M1034" t="b">
        <v>1</v>
      </c>
      <c r="N1034" t="b">
        <v>1</v>
      </c>
      <c r="O1034" t="b">
        <v>0</v>
      </c>
      <c r="P1034" t="b">
        <v>0</v>
      </c>
      <c r="Q1034" t="s">
        <v>2767</v>
      </c>
      <c r="R1034" t="s">
        <v>2453</v>
      </c>
      <c r="S1034" t="s">
        <v>2369</v>
      </c>
      <c r="T1034">
        <v>2</v>
      </c>
      <c r="X1034">
        <v>3.8</v>
      </c>
      <c r="Y1034">
        <v>3.8</v>
      </c>
      <c r="Z1034">
        <v>27.3</v>
      </c>
      <c r="AA1034" t="s">
        <v>440</v>
      </c>
      <c r="AB1034">
        <v>13.65</v>
      </c>
      <c r="BT1034" s="68" t="s">
        <v>1264</v>
      </c>
      <c r="BU1034" s="68">
        <v>1373</v>
      </c>
      <c r="BV1034" s="68">
        <v>12</v>
      </c>
      <c r="BX1034" s="68" t="s">
        <v>1268</v>
      </c>
      <c r="BY1034" s="68" t="s">
        <v>863</v>
      </c>
      <c r="BZ1034" s="68">
        <v>1</v>
      </c>
      <c r="CA1034" s="70">
        <v>60</v>
      </c>
      <c r="CB1034" s="68">
        <v>0.5</v>
      </c>
      <c r="CC1034" s="68">
        <v>1</v>
      </c>
      <c r="CD1034" s="77" t="s">
        <v>464</v>
      </c>
      <c r="CE1034" s="77" t="s">
        <v>464</v>
      </c>
      <c r="CF1034" s="77" t="s">
        <v>1435</v>
      </c>
      <c r="CG1034" s="77">
        <v>100</v>
      </c>
      <c r="CH1034" s="77">
        <v>425</v>
      </c>
      <c r="CI1034" s="77" t="s">
        <v>1287</v>
      </c>
      <c r="CJ1034" s="77">
        <f t="shared" si="260"/>
        <v>288</v>
      </c>
      <c r="CK1034" s="70">
        <v>56</v>
      </c>
    </row>
    <row r="1035" spans="1:89" x14ac:dyDescent="0.3">
      <c r="A1035" t="s">
        <v>1474</v>
      </c>
      <c r="B1035" t="s">
        <v>2776</v>
      </c>
      <c r="C1035" t="s">
        <v>4332</v>
      </c>
      <c r="E1035">
        <v>2.5499999999999998</v>
      </c>
      <c r="F1035" t="s">
        <v>1461</v>
      </c>
      <c r="G1035" s="8" t="s">
        <v>598</v>
      </c>
      <c r="H1035" t="s">
        <v>670</v>
      </c>
      <c r="I1035" t="s">
        <v>1506</v>
      </c>
      <c r="J1035" t="s">
        <v>2590</v>
      </c>
      <c r="K1035" t="s">
        <v>2590</v>
      </c>
      <c r="L1035" t="s">
        <v>2590</v>
      </c>
      <c r="M1035" t="b">
        <v>1</v>
      </c>
      <c r="N1035" t="b">
        <v>1</v>
      </c>
      <c r="O1035" t="b">
        <v>0</v>
      </c>
      <c r="P1035" t="b">
        <v>0</v>
      </c>
      <c r="Q1035" t="s">
        <v>2768</v>
      </c>
      <c r="R1035" t="s">
        <v>2455</v>
      </c>
      <c r="S1035" t="s">
        <v>2369</v>
      </c>
      <c r="T1035">
        <v>2</v>
      </c>
      <c r="X1035">
        <v>3.8</v>
      </c>
      <c r="Y1035">
        <v>3.8</v>
      </c>
      <c r="Z1035">
        <v>27.3</v>
      </c>
      <c r="AA1035" t="s">
        <v>440</v>
      </c>
      <c r="AB1035">
        <v>13.65</v>
      </c>
      <c r="BT1035" s="68" t="s">
        <v>1264</v>
      </c>
      <c r="BU1035" s="68">
        <v>1373</v>
      </c>
      <c r="BV1035" s="68">
        <v>12</v>
      </c>
      <c r="BX1035" s="68" t="s">
        <v>1268</v>
      </c>
      <c r="BY1035" s="68" t="s">
        <v>863</v>
      </c>
      <c r="BZ1035" s="68">
        <v>1</v>
      </c>
      <c r="CA1035" s="70">
        <v>60</v>
      </c>
      <c r="CB1035" s="68">
        <v>0.5</v>
      </c>
      <c r="CC1035" s="68">
        <v>1</v>
      </c>
      <c r="CD1035" s="77" t="s">
        <v>464</v>
      </c>
      <c r="CE1035" s="77" t="s">
        <v>464</v>
      </c>
      <c r="CF1035" s="77" t="s">
        <v>1435</v>
      </c>
      <c r="CG1035" s="77">
        <v>100</v>
      </c>
      <c r="CH1035" s="77">
        <v>425</v>
      </c>
      <c r="CI1035" s="77" t="s">
        <v>1287</v>
      </c>
      <c r="CJ1035" s="77">
        <f t="shared" si="260"/>
        <v>288</v>
      </c>
      <c r="CK1035" s="70">
        <v>40</v>
      </c>
    </row>
    <row r="1036" spans="1:89" x14ac:dyDescent="0.3">
      <c r="A1036" t="s">
        <v>1475</v>
      </c>
      <c r="B1036" t="s">
        <v>2776</v>
      </c>
      <c r="C1036" t="s">
        <v>4333</v>
      </c>
      <c r="E1036">
        <v>2.4500000000000002</v>
      </c>
      <c r="F1036" t="s">
        <v>1461</v>
      </c>
      <c r="G1036" s="8" t="s">
        <v>598</v>
      </c>
      <c r="H1036" t="s">
        <v>670</v>
      </c>
      <c r="I1036" t="s">
        <v>1506</v>
      </c>
      <c r="J1036" t="s">
        <v>2490</v>
      </c>
      <c r="K1036" t="s">
        <v>2490</v>
      </c>
      <c r="L1036" t="s">
        <v>2490</v>
      </c>
      <c r="M1036" t="b">
        <v>1</v>
      </c>
      <c r="N1036" t="b">
        <v>1</v>
      </c>
      <c r="O1036" t="b">
        <v>0</v>
      </c>
      <c r="P1036" t="b">
        <v>0</v>
      </c>
      <c r="Q1036" t="s">
        <v>2769</v>
      </c>
      <c r="R1036" t="s">
        <v>2457</v>
      </c>
      <c r="S1036" t="s">
        <v>2369</v>
      </c>
      <c r="T1036">
        <v>2</v>
      </c>
      <c r="X1036">
        <v>3.8</v>
      </c>
      <c r="Y1036">
        <v>3.8</v>
      </c>
      <c r="Z1036">
        <v>27.3</v>
      </c>
      <c r="AA1036" t="s">
        <v>440</v>
      </c>
      <c r="AB1036">
        <v>13.65</v>
      </c>
      <c r="BT1036" s="68" t="s">
        <v>1264</v>
      </c>
      <c r="BU1036" s="68">
        <v>1373</v>
      </c>
      <c r="BV1036" s="68">
        <v>12</v>
      </c>
      <c r="BX1036" s="68" t="s">
        <v>1268</v>
      </c>
      <c r="BY1036" s="68" t="s">
        <v>863</v>
      </c>
      <c r="BZ1036" s="68">
        <v>1</v>
      </c>
      <c r="CA1036" s="70">
        <v>60</v>
      </c>
      <c r="CB1036" s="68">
        <v>0.5</v>
      </c>
      <c r="CC1036" s="68">
        <v>1</v>
      </c>
      <c r="CD1036" s="77" t="s">
        <v>464</v>
      </c>
      <c r="CE1036" s="77" t="s">
        <v>464</v>
      </c>
      <c r="CF1036" s="77" t="s">
        <v>1435</v>
      </c>
      <c r="CG1036" s="77">
        <v>100</v>
      </c>
      <c r="CH1036" s="77">
        <v>425</v>
      </c>
      <c r="CI1036" s="77" t="s">
        <v>1287</v>
      </c>
      <c r="CJ1036" s="77">
        <f t="shared" si="260"/>
        <v>288</v>
      </c>
      <c r="CK1036" s="70">
        <v>0</v>
      </c>
    </row>
    <row r="1037" spans="1:89" x14ac:dyDescent="0.3">
      <c r="A1037" t="s">
        <v>1476</v>
      </c>
      <c r="B1037" t="s">
        <v>2776</v>
      </c>
      <c r="C1037" t="s">
        <v>4334</v>
      </c>
      <c r="E1037">
        <v>2.2999999999999998</v>
      </c>
      <c r="F1037" t="s">
        <v>1461</v>
      </c>
      <c r="G1037" s="8" t="s">
        <v>598</v>
      </c>
      <c r="H1037" t="s">
        <v>670</v>
      </c>
      <c r="I1037" t="s">
        <v>1506</v>
      </c>
      <c r="J1037" t="s">
        <v>2491</v>
      </c>
      <c r="K1037" t="s">
        <v>2491</v>
      </c>
      <c r="L1037" t="s">
        <v>2491</v>
      </c>
      <c r="M1037" t="b">
        <v>1</v>
      </c>
      <c r="N1037" t="b">
        <v>1</v>
      </c>
      <c r="O1037" t="b">
        <v>0</v>
      </c>
      <c r="P1037" t="b">
        <v>0</v>
      </c>
      <c r="Q1037" t="s">
        <v>2770</v>
      </c>
      <c r="R1037" t="s">
        <v>2459</v>
      </c>
      <c r="S1037" t="s">
        <v>2369</v>
      </c>
      <c r="T1037">
        <v>2</v>
      </c>
      <c r="X1037">
        <v>3.8</v>
      </c>
      <c r="Y1037">
        <v>3.8</v>
      </c>
      <c r="Z1037">
        <v>27.3</v>
      </c>
      <c r="AA1037" t="s">
        <v>440</v>
      </c>
      <c r="AB1037">
        <v>13.65</v>
      </c>
      <c r="BT1037" s="68" t="s">
        <v>1264</v>
      </c>
      <c r="BU1037" s="68">
        <v>1373</v>
      </c>
      <c r="BV1037" s="68">
        <v>12</v>
      </c>
      <c r="BX1037" s="68" t="s">
        <v>1268</v>
      </c>
      <c r="BY1037" s="68" t="s">
        <v>863</v>
      </c>
      <c r="BZ1037" s="68">
        <v>1</v>
      </c>
      <c r="CA1037" s="70">
        <v>60</v>
      </c>
      <c r="CB1037" s="68">
        <v>0.5</v>
      </c>
      <c r="CC1037" s="68">
        <v>1</v>
      </c>
      <c r="CD1037" s="77" t="s">
        <v>464</v>
      </c>
      <c r="CE1037" s="77" t="s">
        <v>464</v>
      </c>
      <c r="CF1037" s="77" t="s">
        <v>1435</v>
      </c>
      <c r="CG1037" s="77">
        <v>100</v>
      </c>
      <c r="CH1037" s="77">
        <v>425</v>
      </c>
      <c r="CI1037" s="77" t="s">
        <v>1287</v>
      </c>
      <c r="CJ1037" s="77">
        <f t="shared" si="260"/>
        <v>288</v>
      </c>
      <c r="CK1037" s="70">
        <v>0</v>
      </c>
    </row>
    <row r="1038" spans="1:89" x14ac:dyDescent="0.3">
      <c r="A1038" t="s">
        <v>1469</v>
      </c>
      <c r="B1038" t="s">
        <v>2776</v>
      </c>
      <c r="C1038" t="s">
        <v>4335</v>
      </c>
      <c r="E1038">
        <v>2.15</v>
      </c>
      <c r="F1038" t="s">
        <v>1461</v>
      </c>
      <c r="G1038" s="8" t="s">
        <v>598</v>
      </c>
      <c r="H1038" t="s">
        <v>670</v>
      </c>
      <c r="I1038" t="s">
        <v>1506</v>
      </c>
      <c r="J1038" t="s">
        <v>2492</v>
      </c>
      <c r="K1038" t="s">
        <v>2492</v>
      </c>
      <c r="L1038" t="s">
        <v>2492</v>
      </c>
      <c r="M1038" t="b">
        <v>1</v>
      </c>
      <c r="N1038" t="b">
        <v>1</v>
      </c>
      <c r="O1038" t="b">
        <v>0</v>
      </c>
      <c r="P1038" t="b">
        <v>0</v>
      </c>
      <c r="Q1038" t="s">
        <v>2771</v>
      </c>
      <c r="R1038" t="s">
        <v>2461</v>
      </c>
      <c r="S1038" t="s">
        <v>2369</v>
      </c>
      <c r="T1038">
        <v>2</v>
      </c>
      <c r="X1038">
        <v>3.8</v>
      </c>
      <c r="Y1038">
        <v>3.8</v>
      </c>
      <c r="Z1038">
        <v>27.7</v>
      </c>
      <c r="AA1038" t="s">
        <v>440</v>
      </c>
      <c r="AB1038">
        <v>13.85</v>
      </c>
      <c r="BT1038" s="68" t="s">
        <v>1264</v>
      </c>
      <c r="BU1038" s="68">
        <v>1373</v>
      </c>
      <c r="BV1038" s="68">
        <v>12</v>
      </c>
      <c r="BX1038" s="68" t="s">
        <v>1268</v>
      </c>
      <c r="BY1038" s="68" t="s">
        <v>863</v>
      </c>
      <c r="BZ1038" s="68">
        <v>1</v>
      </c>
      <c r="CA1038" s="70">
        <v>60</v>
      </c>
      <c r="CB1038" s="68">
        <v>0.5</v>
      </c>
      <c r="CC1038" s="68">
        <v>1</v>
      </c>
      <c r="CD1038" s="77" t="s">
        <v>464</v>
      </c>
      <c r="CE1038" s="77" t="s">
        <v>464</v>
      </c>
      <c r="CF1038" s="77" t="s">
        <v>1435</v>
      </c>
      <c r="CG1038" s="77">
        <v>100</v>
      </c>
      <c r="CH1038" s="77">
        <v>425</v>
      </c>
      <c r="CI1038" s="77" t="s">
        <v>1287</v>
      </c>
      <c r="CJ1038" s="77">
        <f t="shared" si="260"/>
        <v>288</v>
      </c>
      <c r="CK1038" s="70">
        <v>0</v>
      </c>
    </row>
    <row r="1039" spans="1:89" x14ac:dyDescent="0.3">
      <c r="A1039" t="s">
        <v>1470</v>
      </c>
      <c r="B1039" t="s">
        <v>2776</v>
      </c>
      <c r="C1039" t="s">
        <v>4336</v>
      </c>
      <c r="E1039">
        <v>1.95</v>
      </c>
      <c r="F1039" t="s">
        <v>1461</v>
      </c>
      <c r="G1039" s="8" t="s">
        <v>598</v>
      </c>
      <c r="H1039" t="s">
        <v>670</v>
      </c>
      <c r="I1039" t="s">
        <v>1506</v>
      </c>
      <c r="J1039" t="s">
        <v>2493</v>
      </c>
      <c r="K1039" t="s">
        <v>2493</v>
      </c>
      <c r="L1039" t="s">
        <v>2493</v>
      </c>
      <c r="M1039" t="b">
        <v>1</v>
      </c>
      <c r="N1039" t="b">
        <v>1</v>
      </c>
      <c r="O1039" t="b">
        <v>0</v>
      </c>
      <c r="P1039" t="b">
        <v>0</v>
      </c>
      <c r="Q1039" t="s">
        <v>2772</v>
      </c>
      <c r="R1039" t="s">
        <v>2463</v>
      </c>
      <c r="S1039" t="s">
        <v>2369</v>
      </c>
      <c r="T1039">
        <v>2</v>
      </c>
      <c r="X1039">
        <v>3.8</v>
      </c>
      <c r="Y1039">
        <v>3.8</v>
      </c>
      <c r="Z1039">
        <v>28</v>
      </c>
      <c r="AA1039" t="s">
        <v>440</v>
      </c>
      <c r="AB1039">
        <v>14</v>
      </c>
      <c r="BT1039" s="68" t="s">
        <v>1264</v>
      </c>
      <c r="BU1039" s="68">
        <v>1373</v>
      </c>
      <c r="BV1039" s="68">
        <v>12</v>
      </c>
      <c r="BX1039" s="68" t="s">
        <v>1268</v>
      </c>
      <c r="BY1039" s="68" t="s">
        <v>863</v>
      </c>
      <c r="BZ1039" s="68">
        <v>1</v>
      </c>
      <c r="CA1039" s="70">
        <v>60</v>
      </c>
      <c r="CB1039" s="68">
        <v>0.5</v>
      </c>
      <c r="CC1039" s="68">
        <v>1</v>
      </c>
      <c r="CD1039" s="77" t="s">
        <v>464</v>
      </c>
      <c r="CE1039" s="77" t="s">
        <v>464</v>
      </c>
      <c r="CF1039" s="77" t="s">
        <v>1435</v>
      </c>
      <c r="CG1039" s="77">
        <v>100</v>
      </c>
      <c r="CH1039" s="77">
        <v>425</v>
      </c>
      <c r="CI1039" s="77" t="s">
        <v>1287</v>
      </c>
      <c r="CJ1039" s="77">
        <f t="shared" si="260"/>
        <v>288</v>
      </c>
      <c r="CK1039" s="70">
        <v>0</v>
      </c>
    </row>
    <row r="1040" spans="1:89" x14ac:dyDescent="0.3">
      <c r="A1040" t="s">
        <v>1471</v>
      </c>
      <c r="B1040" t="s">
        <v>2776</v>
      </c>
      <c r="C1040" t="s">
        <v>4337</v>
      </c>
      <c r="E1040">
        <v>1.55</v>
      </c>
      <c r="F1040" t="s">
        <v>1461</v>
      </c>
      <c r="G1040" s="8" t="s">
        <v>598</v>
      </c>
      <c r="H1040" t="s">
        <v>670</v>
      </c>
      <c r="I1040" t="s">
        <v>1506</v>
      </c>
      <c r="J1040" t="s">
        <v>2494</v>
      </c>
      <c r="K1040" t="s">
        <v>2494</v>
      </c>
      <c r="L1040" t="s">
        <v>2494</v>
      </c>
      <c r="M1040" t="b">
        <v>1</v>
      </c>
      <c r="N1040" t="b">
        <v>1</v>
      </c>
      <c r="O1040" t="b">
        <v>0</v>
      </c>
      <c r="P1040" t="b">
        <v>0</v>
      </c>
      <c r="Q1040" t="s">
        <v>2773</v>
      </c>
      <c r="R1040" t="s">
        <v>2465</v>
      </c>
      <c r="S1040" t="s">
        <v>2369</v>
      </c>
      <c r="T1040">
        <v>2</v>
      </c>
      <c r="X1040">
        <v>3.8</v>
      </c>
      <c r="Y1040">
        <v>3.8</v>
      </c>
      <c r="Z1040">
        <v>27.8</v>
      </c>
      <c r="AA1040" t="s">
        <v>440</v>
      </c>
      <c r="AB1040">
        <v>13.9</v>
      </c>
      <c r="BT1040" s="68" t="s">
        <v>1264</v>
      </c>
      <c r="BU1040" s="68">
        <v>1373</v>
      </c>
      <c r="BV1040" s="68">
        <v>12</v>
      </c>
      <c r="BX1040" s="68" t="s">
        <v>1268</v>
      </c>
      <c r="BY1040" s="68" t="s">
        <v>863</v>
      </c>
      <c r="BZ1040" s="68">
        <v>1</v>
      </c>
      <c r="CA1040" s="70">
        <v>60</v>
      </c>
      <c r="CB1040" s="68">
        <v>0.5</v>
      </c>
      <c r="CC1040" s="68">
        <v>1</v>
      </c>
      <c r="CD1040" s="77" t="s">
        <v>464</v>
      </c>
      <c r="CE1040" s="77" t="s">
        <v>464</v>
      </c>
      <c r="CF1040" s="77" t="s">
        <v>1435</v>
      </c>
      <c r="CG1040" s="77">
        <v>100</v>
      </c>
      <c r="CH1040" s="77">
        <v>425</v>
      </c>
      <c r="CI1040" s="77" t="s">
        <v>1287</v>
      </c>
      <c r="CJ1040" s="77">
        <f t="shared" si="260"/>
        <v>288</v>
      </c>
      <c r="CK1040" s="70">
        <v>0</v>
      </c>
    </row>
    <row r="1041" spans="1:89" x14ac:dyDescent="0.3">
      <c r="A1041" t="s">
        <v>1509</v>
      </c>
      <c r="B1041" t="s">
        <v>2776</v>
      </c>
      <c r="C1041" t="s">
        <v>4338</v>
      </c>
      <c r="E1041">
        <v>1.5</v>
      </c>
      <c r="F1041" t="s">
        <v>1461</v>
      </c>
      <c r="G1041" s="8" t="s">
        <v>598</v>
      </c>
      <c r="H1041" t="s">
        <v>670</v>
      </c>
      <c r="I1041" t="s">
        <v>1506</v>
      </c>
      <c r="J1041" t="s">
        <v>2495</v>
      </c>
      <c r="K1041" t="s">
        <v>2495</v>
      </c>
      <c r="L1041" t="s">
        <v>2495</v>
      </c>
      <c r="M1041" t="b">
        <v>1</v>
      </c>
      <c r="N1041" t="b">
        <v>1</v>
      </c>
      <c r="O1041" t="b">
        <v>0</v>
      </c>
      <c r="P1041" t="b">
        <v>0</v>
      </c>
      <c r="Q1041" t="s">
        <v>2774</v>
      </c>
      <c r="R1041" t="s">
        <v>2467</v>
      </c>
      <c r="S1041" t="s">
        <v>2369</v>
      </c>
      <c r="T1041">
        <v>2</v>
      </c>
      <c r="X1041">
        <v>3.8</v>
      </c>
      <c r="Y1041">
        <v>3.8</v>
      </c>
      <c r="Z1041">
        <v>27.3</v>
      </c>
      <c r="AA1041" t="s">
        <v>440</v>
      </c>
      <c r="AB1041">
        <v>13.65</v>
      </c>
      <c r="BT1041" s="68" t="s">
        <v>1264</v>
      </c>
      <c r="BU1041" s="68">
        <v>1373</v>
      </c>
      <c r="BV1041" s="68">
        <v>12</v>
      </c>
      <c r="BX1041" s="68" t="s">
        <v>1268</v>
      </c>
      <c r="BY1041" s="68" t="s">
        <v>863</v>
      </c>
      <c r="BZ1041" s="68">
        <v>1</v>
      </c>
      <c r="CA1041" s="70">
        <v>60</v>
      </c>
      <c r="CB1041" s="68">
        <v>0.5</v>
      </c>
      <c r="CC1041" s="68">
        <v>1</v>
      </c>
      <c r="CD1041" s="77" t="s">
        <v>464</v>
      </c>
      <c r="CE1041" s="77" t="s">
        <v>464</v>
      </c>
      <c r="CF1041" s="77" t="s">
        <v>1435</v>
      </c>
      <c r="CG1041" s="77">
        <v>100</v>
      </c>
      <c r="CH1041" s="77">
        <v>425</v>
      </c>
      <c r="CI1041" s="77" t="s">
        <v>1287</v>
      </c>
      <c r="CJ1041" s="77">
        <f t="shared" si="260"/>
        <v>288</v>
      </c>
      <c r="CK1041" s="70">
        <v>0</v>
      </c>
    </row>
    <row r="1042" spans="1:89" x14ac:dyDescent="0.3">
      <c r="A1042" t="s">
        <v>1510</v>
      </c>
      <c r="B1042" t="s">
        <v>2776</v>
      </c>
      <c r="C1042" t="s">
        <v>4339</v>
      </c>
      <c r="E1042">
        <v>1.4</v>
      </c>
      <c r="F1042" t="s">
        <v>1461</v>
      </c>
      <c r="G1042" s="8" t="s">
        <v>598</v>
      </c>
      <c r="H1042" t="s">
        <v>670</v>
      </c>
      <c r="I1042" t="s">
        <v>1506</v>
      </c>
      <c r="J1042" t="s">
        <v>2496</v>
      </c>
      <c r="K1042" t="s">
        <v>2496</v>
      </c>
      <c r="L1042" t="s">
        <v>2496</v>
      </c>
      <c r="M1042" t="b">
        <v>1</v>
      </c>
      <c r="N1042" t="b">
        <v>1</v>
      </c>
      <c r="O1042" t="b">
        <v>0</v>
      </c>
      <c r="P1042" t="b">
        <v>0</v>
      </c>
      <c r="Q1042" t="s">
        <v>3905</v>
      </c>
      <c r="R1042" t="s">
        <v>2469</v>
      </c>
      <c r="S1042" t="s">
        <v>2369</v>
      </c>
      <c r="T1042">
        <v>2</v>
      </c>
      <c r="X1042">
        <v>3.8</v>
      </c>
      <c r="Y1042">
        <v>3.8</v>
      </c>
      <c r="Z1042">
        <v>27.3</v>
      </c>
      <c r="AA1042" t="s">
        <v>440</v>
      </c>
      <c r="AB1042">
        <v>13.65</v>
      </c>
      <c r="BT1042" s="68" t="s">
        <v>1264</v>
      </c>
      <c r="BU1042" s="68">
        <v>1373</v>
      </c>
      <c r="BV1042" s="68">
        <v>12</v>
      </c>
      <c r="BX1042" s="68" t="s">
        <v>1268</v>
      </c>
      <c r="BY1042" s="68" t="s">
        <v>863</v>
      </c>
      <c r="BZ1042" s="68">
        <v>1</v>
      </c>
      <c r="CA1042" s="70">
        <v>60</v>
      </c>
      <c r="CB1042" s="68">
        <v>0.5</v>
      </c>
      <c r="CC1042" s="68">
        <v>1</v>
      </c>
      <c r="CD1042" s="77" t="s">
        <v>464</v>
      </c>
      <c r="CE1042" s="77" t="s">
        <v>464</v>
      </c>
      <c r="CF1042" s="77" t="s">
        <v>1435</v>
      </c>
      <c r="CG1042" s="77">
        <v>100</v>
      </c>
      <c r="CH1042" s="77">
        <v>425</v>
      </c>
      <c r="CI1042" s="77" t="s">
        <v>1287</v>
      </c>
      <c r="CJ1042" s="77">
        <f t="shared" si="260"/>
        <v>288</v>
      </c>
      <c r="CK1042" s="70">
        <v>0</v>
      </c>
    </row>
    <row r="1043" spans="1:89" x14ac:dyDescent="0.3">
      <c r="A1043" t="s">
        <v>1511</v>
      </c>
      <c r="B1043" t="s">
        <v>2776</v>
      </c>
      <c r="C1043" t="s">
        <v>4340</v>
      </c>
      <c r="E1043">
        <v>1.35</v>
      </c>
      <c r="F1043" t="s">
        <v>1461</v>
      </c>
      <c r="G1043" s="8" t="s">
        <v>598</v>
      </c>
      <c r="H1043" t="s">
        <v>670</v>
      </c>
      <c r="I1043" t="s">
        <v>1506</v>
      </c>
      <c r="J1043" t="s">
        <v>2497</v>
      </c>
      <c r="K1043" t="s">
        <v>2497</v>
      </c>
      <c r="L1043" t="s">
        <v>2497</v>
      </c>
      <c r="M1043" t="b">
        <v>1</v>
      </c>
      <c r="N1043" t="b">
        <v>1</v>
      </c>
      <c r="O1043" t="b">
        <v>0</v>
      </c>
      <c r="P1043" t="b">
        <v>0</v>
      </c>
      <c r="Q1043" t="s">
        <v>3906</v>
      </c>
      <c r="R1043" t="s">
        <v>2471</v>
      </c>
      <c r="S1043" t="s">
        <v>2369</v>
      </c>
      <c r="T1043">
        <v>2</v>
      </c>
      <c r="X1043">
        <v>3.8</v>
      </c>
      <c r="Y1043">
        <v>3.8</v>
      </c>
      <c r="Z1043">
        <v>27.5</v>
      </c>
      <c r="AA1043" t="s">
        <v>440</v>
      </c>
      <c r="AB1043">
        <v>13.75</v>
      </c>
      <c r="BT1043" s="68" t="s">
        <v>1264</v>
      </c>
      <c r="BU1043" s="68">
        <v>1373</v>
      </c>
      <c r="BV1043" s="68">
        <v>12</v>
      </c>
      <c r="BX1043" s="68" t="s">
        <v>1268</v>
      </c>
      <c r="BY1043" s="68" t="s">
        <v>863</v>
      </c>
      <c r="BZ1043" s="68">
        <v>1</v>
      </c>
      <c r="CA1043" s="70">
        <v>60</v>
      </c>
      <c r="CB1043" s="68">
        <v>0.5</v>
      </c>
      <c r="CC1043" s="68">
        <v>1</v>
      </c>
      <c r="CD1043" s="77" t="s">
        <v>464</v>
      </c>
      <c r="CE1043" s="77" t="s">
        <v>464</v>
      </c>
      <c r="CF1043" s="77" t="s">
        <v>1435</v>
      </c>
      <c r="CG1043" s="77">
        <v>100</v>
      </c>
      <c r="CH1043" s="77">
        <v>425</v>
      </c>
      <c r="CI1043" s="77" t="s">
        <v>1287</v>
      </c>
      <c r="CJ1043" s="77">
        <f t="shared" si="260"/>
        <v>288</v>
      </c>
      <c r="CK1043" s="70">
        <v>0</v>
      </c>
    </row>
    <row r="1044" spans="1:89" x14ac:dyDescent="0.3">
      <c r="A1044" t="s">
        <v>44</v>
      </c>
      <c r="B1044" t="s">
        <v>2776</v>
      </c>
      <c r="C1044" t="s">
        <v>3997</v>
      </c>
      <c r="E1044">
        <v>3.51</v>
      </c>
      <c r="F1044" t="s">
        <v>1477</v>
      </c>
      <c r="G1044" s="98" t="s">
        <v>549</v>
      </c>
      <c r="I1044" t="s">
        <v>1505</v>
      </c>
      <c r="M1044" t="b">
        <v>1</v>
      </c>
      <c r="N1044" t="b">
        <v>0</v>
      </c>
      <c r="O1044" t="b">
        <v>0</v>
      </c>
      <c r="P1044" t="b">
        <v>0</v>
      </c>
      <c r="Q1044" t="s">
        <v>549</v>
      </c>
      <c r="S1044" t="s">
        <v>1505</v>
      </c>
      <c r="BT1044" s="68" t="s">
        <v>1264</v>
      </c>
      <c r="BU1044" s="68">
        <v>1373</v>
      </c>
      <c r="BV1044" s="68">
        <v>10</v>
      </c>
    </row>
    <row r="1045" spans="1:89" x14ac:dyDescent="0.3">
      <c r="A1045" t="s">
        <v>1478</v>
      </c>
      <c r="B1045" t="s">
        <v>2776</v>
      </c>
      <c r="C1045" t="s">
        <v>4341</v>
      </c>
      <c r="F1045" t="s">
        <v>1477</v>
      </c>
      <c r="G1045" s="98" t="s">
        <v>549</v>
      </c>
      <c r="I1045" s="1" t="s">
        <v>1505</v>
      </c>
      <c r="J1045" s="1" t="s">
        <v>2483</v>
      </c>
      <c r="K1045" s="1"/>
      <c r="L1045" s="1"/>
      <c r="M1045" t="b">
        <v>0</v>
      </c>
      <c r="N1045" t="b">
        <v>0</v>
      </c>
      <c r="O1045" t="b">
        <v>0</v>
      </c>
      <c r="P1045" t="b">
        <v>1</v>
      </c>
      <c r="Q1045" t="s">
        <v>3907</v>
      </c>
      <c r="S1045" t="s">
        <v>1505</v>
      </c>
      <c r="T1045">
        <v>1</v>
      </c>
      <c r="X1045">
        <v>3.859</v>
      </c>
      <c r="Y1045">
        <v>3.859</v>
      </c>
      <c r="Z1045">
        <v>16.829999999999998</v>
      </c>
      <c r="AB1045">
        <v>16.829999999999998</v>
      </c>
      <c r="BT1045" s="68" t="s">
        <v>1264</v>
      </c>
      <c r="BU1045" s="68">
        <v>1373</v>
      </c>
      <c r="BV1045" s="68">
        <v>10</v>
      </c>
      <c r="BX1045" s="68" t="s">
        <v>464</v>
      </c>
      <c r="BY1045" s="68" t="s">
        <v>464</v>
      </c>
      <c r="BZ1045" s="68">
        <v>0</v>
      </c>
      <c r="CB1045" s="68">
        <v>0.5</v>
      </c>
      <c r="CC1045" s="68">
        <v>1</v>
      </c>
      <c r="CD1045" s="77" t="s">
        <v>464</v>
      </c>
      <c r="CE1045" s="77" t="s">
        <v>464</v>
      </c>
      <c r="CF1045" s="77" t="s">
        <v>1266</v>
      </c>
      <c r="CG1045" s="77">
        <v>125</v>
      </c>
      <c r="CH1045" s="77">
        <v>220</v>
      </c>
      <c r="CI1045" s="77" t="s">
        <v>1287</v>
      </c>
      <c r="CJ1045" s="77">
        <f t="shared" si="260"/>
        <v>288</v>
      </c>
      <c r="CK1045" s="70">
        <v>320</v>
      </c>
    </row>
    <row r="1046" spans="1:89" x14ac:dyDescent="0.3">
      <c r="A1046" t="s">
        <v>1479</v>
      </c>
      <c r="B1046" t="s">
        <v>2776</v>
      </c>
      <c r="C1046" t="s">
        <v>4342</v>
      </c>
      <c r="F1046" t="s">
        <v>1477</v>
      </c>
      <c r="G1046" s="98" t="s">
        <v>549</v>
      </c>
      <c r="I1046" s="1" t="s">
        <v>1505</v>
      </c>
      <c r="J1046" s="1" t="s">
        <v>2484</v>
      </c>
      <c r="K1046" s="1"/>
      <c r="L1046" s="1"/>
      <c r="M1046" t="b">
        <v>0</v>
      </c>
      <c r="N1046" t="b">
        <v>0</v>
      </c>
      <c r="O1046" t="b">
        <v>0</v>
      </c>
      <c r="P1046" t="b">
        <v>1</v>
      </c>
      <c r="Q1046" t="s">
        <v>3908</v>
      </c>
      <c r="S1046" t="s">
        <v>1505</v>
      </c>
      <c r="T1046">
        <v>1</v>
      </c>
      <c r="X1046">
        <v>3.859</v>
      </c>
      <c r="Y1046">
        <v>3.859</v>
      </c>
      <c r="Z1046">
        <v>16.829999999999998</v>
      </c>
      <c r="AB1046">
        <v>16.829999999999998</v>
      </c>
      <c r="BT1046" s="68" t="s">
        <v>1264</v>
      </c>
      <c r="BU1046" s="68">
        <v>1373</v>
      </c>
      <c r="BV1046" s="68">
        <v>10</v>
      </c>
      <c r="BX1046" s="68" t="s">
        <v>464</v>
      </c>
      <c r="BY1046" s="68" t="s">
        <v>464</v>
      </c>
      <c r="BZ1046" s="68">
        <v>0</v>
      </c>
      <c r="CB1046" s="68">
        <v>0.5</v>
      </c>
      <c r="CC1046" s="68">
        <v>1</v>
      </c>
      <c r="CD1046" s="77" t="s">
        <v>464</v>
      </c>
      <c r="CE1046" s="77" t="s">
        <v>464</v>
      </c>
      <c r="CF1046" s="77" t="s">
        <v>1266</v>
      </c>
      <c r="CG1046" s="77">
        <v>125</v>
      </c>
      <c r="CH1046" s="77">
        <v>220</v>
      </c>
      <c r="CI1046" s="77" t="s">
        <v>1287</v>
      </c>
      <c r="CJ1046" s="77">
        <f t="shared" si="260"/>
        <v>288</v>
      </c>
      <c r="CK1046" s="70">
        <v>120</v>
      </c>
    </row>
    <row r="1047" spans="1:89" x14ac:dyDescent="0.3">
      <c r="A1047" t="s">
        <v>1480</v>
      </c>
      <c r="B1047" t="s">
        <v>2776</v>
      </c>
      <c r="C1047" t="s">
        <v>4343</v>
      </c>
      <c r="F1047" t="s">
        <v>1477</v>
      </c>
      <c r="G1047" s="98" t="s">
        <v>549</v>
      </c>
      <c r="I1047" s="1" t="s">
        <v>1505</v>
      </c>
      <c r="J1047" s="1" t="s">
        <v>2485</v>
      </c>
      <c r="K1047" s="1"/>
      <c r="L1047" s="1"/>
      <c r="M1047" t="b">
        <v>0</v>
      </c>
      <c r="N1047" t="b">
        <v>0</v>
      </c>
      <c r="O1047" t="b">
        <v>0</v>
      </c>
      <c r="P1047" t="b">
        <v>1</v>
      </c>
      <c r="Q1047" t="s">
        <v>3909</v>
      </c>
      <c r="S1047" t="s">
        <v>1505</v>
      </c>
      <c r="T1047">
        <v>1</v>
      </c>
      <c r="X1047">
        <v>3.859</v>
      </c>
      <c r="Y1047">
        <v>3.859</v>
      </c>
      <c r="Z1047">
        <v>15.06</v>
      </c>
      <c r="AB1047">
        <v>15.06</v>
      </c>
      <c r="BT1047" s="68" t="s">
        <v>1264</v>
      </c>
      <c r="BU1047" s="68">
        <v>1373</v>
      </c>
      <c r="BV1047" s="68">
        <v>10</v>
      </c>
      <c r="BX1047" s="68" t="s">
        <v>464</v>
      </c>
      <c r="BY1047" s="68" t="s">
        <v>464</v>
      </c>
      <c r="BZ1047" s="68">
        <v>0</v>
      </c>
      <c r="CB1047" s="68">
        <v>0.5</v>
      </c>
      <c r="CC1047" s="68">
        <v>1</v>
      </c>
      <c r="CD1047" s="77" t="s">
        <v>464</v>
      </c>
      <c r="CE1047" s="77" t="s">
        <v>464</v>
      </c>
      <c r="CF1047" s="77" t="s">
        <v>1266</v>
      </c>
      <c r="CG1047" s="77">
        <v>125</v>
      </c>
      <c r="CH1047" s="77">
        <v>220</v>
      </c>
      <c r="CI1047" s="77" t="s">
        <v>1287</v>
      </c>
      <c r="CJ1047" s="77">
        <f t="shared" si="260"/>
        <v>288</v>
      </c>
      <c r="CK1047" s="70">
        <v>60</v>
      </c>
    </row>
    <row r="1048" spans="1:89" x14ac:dyDescent="0.3">
      <c r="A1048" t="s">
        <v>1481</v>
      </c>
      <c r="B1048" t="s">
        <v>2776</v>
      </c>
      <c r="C1048" t="s">
        <v>4344</v>
      </c>
      <c r="F1048" t="s">
        <v>1477</v>
      </c>
      <c r="G1048" s="98" t="s">
        <v>549</v>
      </c>
      <c r="I1048" s="1" t="s">
        <v>1505</v>
      </c>
      <c r="J1048" s="1" t="s">
        <v>2486</v>
      </c>
      <c r="K1048" s="1"/>
      <c r="L1048" s="1"/>
      <c r="M1048" t="b">
        <v>0</v>
      </c>
      <c r="N1048" t="b">
        <v>0</v>
      </c>
      <c r="O1048" t="b">
        <v>0</v>
      </c>
      <c r="P1048" t="b">
        <v>1</v>
      </c>
      <c r="Q1048" t="s">
        <v>3910</v>
      </c>
      <c r="S1048" t="s">
        <v>1505</v>
      </c>
      <c r="T1048">
        <v>1</v>
      </c>
      <c r="X1048">
        <v>3.859</v>
      </c>
      <c r="Y1048">
        <v>3.859</v>
      </c>
      <c r="Z1048">
        <v>15.18</v>
      </c>
      <c r="AB1048">
        <v>15.18</v>
      </c>
      <c r="BT1048" s="68" t="s">
        <v>1264</v>
      </c>
      <c r="BU1048" s="68">
        <v>1373</v>
      </c>
      <c r="BV1048" s="68">
        <v>10</v>
      </c>
      <c r="BX1048" s="68" t="s">
        <v>464</v>
      </c>
      <c r="BY1048" s="68" t="s">
        <v>464</v>
      </c>
      <c r="BZ1048" s="68">
        <v>0</v>
      </c>
      <c r="CB1048" s="68">
        <v>0.5</v>
      </c>
      <c r="CC1048" s="68">
        <v>1</v>
      </c>
      <c r="CD1048" s="77" t="s">
        <v>464</v>
      </c>
      <c r="CE1048" s="77" t="s">
        <v>464</v>
      </c>
      <c r="CF1048" s="77" t="s">
        <v>1266</v>
      </c>
      <c r="CG1048" s="77">
        <v>125</v>
      </c>
      <c r="CH1048" s="77">
        <v>220</v>
      </c>
      <c r="CI1048" s="77" t="s">
        <v>1287</v>
      </c>
      <c r="CJ1048" s="77">
        <f t="shared" si="260"/>
        <v>288</v>
      </c>
      <c r="CK1048" s="70">
        <v>64</v>
      </c>
    </row>
    <row r="1049" spans="1:89" x14ac:dyDescent="0.3">
      <c r="A1049" t="s">
        <v>318</v>
      </c>
      <c r="B1049" t="s">
        <v>318</v>
      </c>
      <c r="C1049" t="s">
        <v>4225</v>
      </c>
      <c r="E1049">
        <v>3.4333333333333336</v>
      </c>
      <c r="F1049" t="s">
        <v>1482</v>
      </c>
      <c r="G1049" t="s">
        <v>561</v>
      </c>
      <c r="I1049" t="s">
        <v>1173</v>
      </c>
      <c r="J1049" t="s">
        <v>1726</v>
      </c>
      <c r="M1049" t="b">
        <v>1</v>
      </c>
      <c r="N1049" t="b">
        <v>0</v>
      </c>
      <c r="O1049" t="b">
        <v>1</v>
      </c>
      <c r="P1049" t="b">
        <v>0</v>
      </c>
      <c r="Q1049" t="s">
        <v>3911</v>
      </c>
      <c r="S1049" t="s">
        <v>1173</v>
      </c>
      <c r="T1049">
        <v>2</v>
      </c>
      <c r="X1049">
        <v>3.72</v>
      </c>
      <c r="Y1049">
        <v>3.72</v>
      </c>
      <c r="Z1049">
        <v>12.29</v>
      </c>
      <c r="AB1049">
        <v>12.29</v>
      </c>
      <c r="BT1049" s="68" t="s">
        <v>1264</v>
      </c>
      <c r="BU1049" s="68">
        <v>1173</v>
      </c>
      <c r="BV1049" s="68">
        <v>3</v>
      </c>
      <c r="BX1049" s="68" t="s">
        <v>464</v>
      </c>
      <c r="BY1049" s="68" t="s">
        <v>464</v>
      </c>
      <c r="BZ1049" s="68">
        <v>0</v>
      </c>
      <c r="CB1049" s="68">
        <v>0.5</v>
      </c>
      <c r="CC1049" s="68">
        <v>0.1</v>
      </c>
      <c r="CD1049" s="77" t="s">
        <v>464</v>
      </c>
      <c r="CE1049" s="77" t="s">
        <v>464</v>
      </c>
      <c r="CF1049" s="77" t="s">
        <v>1266</v>
      </c>
      <c r="CG1049" s="77">
        <v>125</v>
      </c>
      <c r="CH1049" s="77">
        <v>220</v>
      </c>
      <c r="CI1049" s="77" t="s">
        <v>1287</v>
      </c>
      <c r="CJ1049" s="77">
        <f t="shared" si="260"/>
        <v>288</v>
      </c>
      <c r="CK1049" s="70">
        <v>12</v>
      </c>
    </row>
    <row r="1050" spans="1:89" x14ac:dyDescent="0.3">
      <c r="A1050" t="s">
        <v>332</v>
      </c>
      <c r="B1050" t="s">
        <v>318</v>
      </c>
      <c r="C1050" t="s">
        <v>4238</v>
      </c>
      <c r="E1050" s="58">
        <v>3.39</v>
      </c>
      <c r="F1050" t="s">
        <v>1482</v>
      </c>
      <c r="G1050" t="s">
        <v>561</v>
      </c>
      <c r="I1050" t="s">
        <v>1505</v>
      </c>
      <c r="J1050" t="s">
        <v>1752</v>
      </c>
      <c r="M1050" t="b">
        <v>1</v>
      </c>
      <c r="N1050" t="b">
        <v>0</v>
      </c>
      <c r="O1050" t="b">
        <v>0</v>
      </c>
      <c r="P1050" t="b">
        <v>0</v>
      </c>
      <c r="Q1050" t="s">
        <v>3912</v>
      </c>
      <c r="S1050" t="s">
        <v>1505</v>
      </c>
      <c r="T1050">
        <v>2</v>
      </c>
      <c r="X1050">
        <v>3.69</v>
      </c>
      <c r="Y1050">
        <v>3.69</v>
      </c>
      <c r="Z1050">
        <v>12.06</v>
      </c>
      <c r="AB1050">
        <v>12.06</v>
      </c>
      <c r="BT1050" s="68" t="s">
        <v>1264</v>
      </c>
      <c r="BU1050" s="68">
        <v>1173</v>
      </c>
      <c r="BV1050" s="68">
        <v>3</v>
      </c>
      <c r="BX1050" s="68" t="s">
        <v>464</v>
      </c>
      <c r="BY1050" s="68" t="s">
        <v>464</v>
      </c>
      <c r="BZ1050" s="68">
        <v>0</v>
      </c>
      <c r="CB1050" s="68">
        <v>0.5</v>
      </c>
      <c r="CC1050" s="68">
        <v>0.1</v>
      </c>
      <c r="CD1050" s="77" t="s">
        <v>464</v>
      </c>
      <c r="CE1050" s="77" t="s">
        <v>464</v>
      </c>
      <c r="CF1050" s="77" t="s">
        <v>1266</v>
      </c>
      <c r="CG1050" s="77">
        <v>125</v>
      </c>
      <c r="CH1050" s="77">
        <v>220</v>
      </c>
      <c r="CI1050" s="77" t="s">
        <v>1287</v>
      </c>
      <c r="CJ1050" s="77">
        <f t="shared" si="260"/>
        <v>288</v>
      </c>
      <c r="CK1050" s="70">
        <v>4.5</v>
      </c>
    </row>
    <row r="1051" spans="1:89" x14ac:dyDescent="0.3">
      <c r="A1051" t="s">
        <v>1483</v>
      </c>
      <c r="B1051" t="s">
        <v>46</v>
      </c>
      <c r="C1051" t="s">
        <v>4345</v>
      </c>
      <c r="E1051" s="58">
        <v>3.78</v>
      </c>
      <c r="F1051" t="s">
        <v>1482</v>
      </c>
      <c r="G1051" s="25" t="s">
        <v>551</v>
      </c>
      <c r="H1051" s="1" t="s">
        <v>629</v>
      </c>
      <c r="M1051" t="b">
        <v>1</v>
      </c>
      <c r="N1051" t="b">
        <v>1</v>
      </c>
      <c r="O1051" t="b">
        <v>0</v>
      </c>
      <c r="P1051" t="b">
        <v>0</v>
      </c>
      <c r="Q1051" t="s">
        <v>551</v>
      </c>
      <c r="R1051" t="s">
        <v>629</v>
      </c>
      <c r="T1051">
        <v>2</v>
      </c>
      <c r="X1051">
        <v>3.74</v>
      </c>
      <c r="Y1051">
        <v>3.74</v>
      </c>
      <c r="Z1051">
        <v>24.48</v>
      </c>
      <c r="AB1051" s="1">
        <v>0</v>
      </c>
      <c r="BT1051" s="68" t="s">
        <v>1264</v>
      </c>
      <c r="BU1051" s="68">
        <v>1173</v>
      </c>
      <c r="BV1051" s="68">
        <v>3</v>
      </c>
      <c r="BX1051" s="68" t="s">
        <v>464</v>
      </c>
      <c r="BY1051" s="68" t="s">
        <v>464</v>
      </c>
      <c r="BZ1051" s="68">
        <v>0</v>
      </c>
      <c r="CB1051" s="68">
        <v>0.5</v>
      </c>
      <c r="CC1051" s="68">
        <v>0.1</v>
      </c>
      <c r="CD1051" s="77" t="s">
        <v>464</v>
      </c>
      <c r="CE1051" s="77" t="s">
        <v>464</v>
      </c>
      <c r="CF1051" s="77" t="s">
        <v>1266</v>
      </c>
      <c r="CG1051" s="77">
        <v>125</v>
      </c>
      <c r="CH1051" s="77">
        <v>220</v>
      </c>
      <c r="CI1051" s="77" t="s">
        <v>1287</v>
      </c>
      <c r="CJ1051" s="77">
        <f t="shared" si="260"/>
        <v>288</v>
      </c>
      <c r="CK1051" s="70">
        <v>22.5</v>
      </c>
    </row>
    <row r="1052" spans="1:89" x14ac:dyDescent="0.3">
      <c r="A1052" t="s">
        <v>1484</v>
      </c>
      <c r="B1052" t="s">
        <v>46</v>
      </c>
      <c r="C1052" t="s">
        <v>4346</v>
      </c>
      <c r="E1052" s="58">
        <v>3.65</v>
      </c>
      <c r="F1052" t="s">
        <v>1482</v>
      </c>
      <c r="G1052" s="25" t="s">
        <v>582</v>
      </c>
      <c r="H1052" s="1" t="s">
        <v>657</v>
      </c>
      <c r="M1052" t="b">
        <v>1</v>
      </c>
      <c r="N1052" t="b">
        <v>1</v>
      </c>
      <c r="O1052" t="b">
        <v>0</v>
      </c>
      <c r="P1052" t="b">
        <v>0</v>
      </c>
      <c r="Q1052" t="s">
        <v>582</v>
      </c>
      <c r="R1052" t="s">
        <v>657</v>
      </c>
      <c r="T1052">
        <v>2</v>
      </c>
      <c r="X1052">
        <v>3.7</v>
      </c>
      <c r="Y1052">
        <v>3.7</v>
      </c>
      <c r="Z1052">
        <v>23.98</v>
      </c>
      <c r="AB1052" s="1">
        <v>0</v>
      </c>
      <c r="BT1052" s="68" t="s">
        <v>1264</v>
      </c>
      <c r="BU1052" s="68">
        <v>1173</v>
      </c>
      <c r="BV1052" s="68">
        <v>3</v>
      </c>
      <c r="BX1052" s="68" t="s">
        <v>464</v>
      </c>
      <c r="BY1052" s="68" t="s">
        <v>464</v>
      </c>
      <c r="BZ1052" s="68">
        <v>0</v>
      </c>
      <c r="CB1052" s="68">
        <v>0.5</v>
      </c>
      <c r="CC1052" s="68">
        <v>0.1</v>
      </c>
      <c r="CD1052" s="77" t="s">
        <v>464</v>
      </c>
      <c r="CE1052" s="77" t="s">
        <v>464</v>
      </c>
      <c r="CF1052" s="77" t="s">
        <v>1266</v>
      </c>
      <c r="CG1052" s="77">
        <v>125</v>
      </c>
      <c r="CH1052" s="77">
        <v>220</v>
      </c>
      <c r="CI1052" s="77" t="s">
        <v>1287</v>
      </c>
      <c r="CJ1052" s="77">
        <f t="shared" si="260"/>
        <v>288</v>
      </c>
      <c r="CK1052" s="70">
        <v>5</v>
      </c>
    </row>
    <row r="1053" spans="1:89" x14ac:dyDescent="0.3">
      <c r="A1053" t="s">
        <v>46</v>
      </c>
      <c r="B1053" t="s">
        <v>46</v>
      </c>
      <c r="C1053" t="s">
        <v>4087</v>
      </c>
      <c r="E1053" s="58">
        <v>3.78</v>
      </c>
      <c r="F1053" t="s">
        <v>1482</v>
      </c>
      <c r="G1053" s="8" t="s">
        <v>551</v>
      </c>
      <c r="H1053" t="s">
        <v>629</v>
      </c>
      <c r="M1053" t="b">
        <v>1</v>
      </c>
      <c r="N1053" t="b">
        <v>1</v>
      </c>
      <c r="O1053" t="b">
        <v>0</v>
      </c>
      <c r="P1053" t="b">
        <v>0</v>
      </c>
      <c r="Q1053" t="s">
        <v>551</v>
      </c>
      <c r="R1053" t="s">
        <v>629</v>
      </c>
      <c r="T1053">
        <v>2</v>
      </c>
      <c r="X1053">
        <v>3.75</v>
      </c>
      <c r="Y1053">
        <v>3.75</v>
      </c>
      <c r="Z1053">
        <v>21.74</v>
      </c>
      <c r="AB1053" s="1">
        <v>0</v>
      </c>
      <c r="BT1053" s="68" t="s">
        <v>1264</v>
      </c>
      <c r="BU1053" s="68">
        <v>1173</v>
      </c>
      <c r="BV1053" s="68">
        <v>3</v>
      </c>
      <c r="BX1053" s="68" t="s">
        <v>464</v>
      </c>
      <c r="BY1053" s="68" t="s">
        <v>464</v>
      </c>
      <c r="BZ1053" s="68">
        <v>0</v>
      </c>
      <c r="CB1053" s="68">
        <v>0.5</v>
      </c>
      <c r="CC1053" s="68">
        <v>0.1</v>
      </c>
      <c r="CD1053" s="77" t="s">
        <v>464</v>
      </c>
      <c r="CE1053" s="77" t="s">
        <v>464</v>
      </c>
      <c r="CF1053" s="77" t="s">
        <v>1266</v>
      </c>
      <c r="CG1053" s="77">
        <v>125</v>
      </c>
      <c r="CH1053" s="77">
        <v>220</v>
      </c>
      <c r="CI1053" s="77" t="s">
        <v>1287</v>
      </c>
      <c r="CJ1053" s="77">
        <f t="shared" si="260"/>
        <v>288</v>
      </c>
      <c r="CK1053" s="70">
        <v>32</v>
      </c>
    </row>
    <row r="1054" spans="1:89" x14ac:dyDescent="0.3">
      <c r="A1054" t="s">
        <v>194</v>
      </c>
      <c r="B1054" t="s">
        <v>46</v>
      </c>
      <c r="C1054" t="s">
        <v>4098</v>
      </c>
      <c r="E1054" s="58">
        <v>3.65</v>
      </c>
      <c r="F1054" t="s">
        <v>1482</v>
      </c>
      <c r="G1054" s="8" t="s">
        <v>582</v>
      </c>
      <c r="H1054" t="s">
        <v>657</v>
      </c>
      <c r="M1054" t="b">
        <v>1</v>
      </c>
      <c r="N1054" t="b">
        <v>1</v>
      </c>
      <c r="O1054" t="b">
        <v>0</v>
      </c>
      <c r="P1054" t="b">
        <v>0</v>
      </c>
      <c r="Q1054" t="s">
        <v>582</v>
      </c>
      <c r="R1054" t="s">
        <v>657</v>
      </c>
      <c r="T1054">
        <v>2</v>
      </c>
      <c r="X1054">
        <v>3.69</v>
      </c>
      <c r="Y1054">
        <v>3.69</v>
      </c>
      <c r="Z1054">
        <v>21.18</v>
      </c>
      <c r="AB1054" s="1">
        <v>0</v>
      </c>
      <c r="BT1054" s="68" t="s">
        <v>1264</v>
      </c>
      <c r="BU1054" s="68">
        <v>1173</v>
      </c>
      <c r="BV1054" s="68">
        <v>3</v>
      </c>
      <c r="BX1054" s="68" t="s">
        <v>464</v>
      </c>
      <c r="BY1054" s="68" t="s">
        <v>464</v>
      </c>
      <c r="BZ1054" s="68">
        <v>0</v>
      </c>
      <c r="CB1054" s="68">
        <v>0.5</v>
      </c>
      <c r="CC1054" s="68">
        <v>0.1</v>
      </c>
      <c r="CD1054" s="77" t="s">
        <v>464</v>
      </c>
      <c r="CE1054" s="77" t="s">
        <v>464</v>
      </c>
      <c r="CF1054" s="77" t="s">
        <v>1266</v>
      </c>
      <c r="CG1054" s="77">
        <v>125</v>
      </c>
      <c r="CH1054" s="77">
        <v>220</v>
      </c>
      <c r="CI1054" s="77" t="s">
        <v>1287</v>
      </c>
      <c r="CJ1054" s="77">
        <f t="shared" si="260"/>
        <v>288</v>
      </c>
      <c r="CK1054" s="70">
        <v>15</v>
      </c>
    </row>
    <row r="1055" spans="1:89" x14ac:dyDescent="0.3">
      <c r="A1055" t="s">
        <v>1486</v>
      </c>
      <c r="B1055" t="s">
        <v>2776</v>
      </c>
      <c r="C1055" t="s">
        <v>4347</v>
      </c>
      <c r="E1055">
        <v>3.54</v>
      </c>
      <c r="F1055" t="s">
        <v>1485</v>
      </c>
      <c r="G1055" s="99" t="s">
        <v>549</v>
      </c>
      <c r="J1055" t="s">
        <v>2265</v>
      </c>
      <c r="M1055" t="b">
        <v>1</v>
      </c>
      <c r="N1055" t="b">
        <v>0</v>
      </c>
      <c r="O1055" t="b">
        <v>0</v>
      </c>
      <c r="P1055" t="b">
        <v>0</v>
      </c>
      <c r="Q1055" t="s">
        <v>3913</v>
      </c>
      <c r="T1055" s="1">
        <v>2</v>
      </c>
      <c r="U1055" s="1"/>
      <c r="V1055" s="1"/>
      <c r="W1055" s="1"/>
      <c r="X1055" s="1">
        <v>3.78</v>
      </c>
      <c r="Y1055" s="1">
        <v>3.78</v>
      </c>
      <c r="Z1055" s="1">
        <v>27.2</v>
      </c>
      <c r="AA1055" s="1" t="s">
        <v>519</v>
      </c>
      <c r="AB1055">
        <v>13.6</v>
      </c>
      <c r="BT1055" s="68" t="s">
        <v>1264</v>
      </c>
      <c r="BU1055" s="68">
        <v>1273</v>
      </c>
      <c r="BV1055" s="68">
        <v>10</v>
      </c>
      <c r="BX1055" s="68" t="s">
        <v>464</v>
      </c>
      <c r="BY1055" s="68" t="s">
        <v>464</v>
      </c>
      <c r="BZ1055" s="68">
        <v>0</v>
      </c>
      <c r="CB1055" s="68">
        <v>0.5</v>
      </c>
      <c r="CC1055" s="68">
        <v>0.1</v>
      </c>
      <c r="CD1055" s="77" t="s">
        <v>464</v>
      </c>
      <c r="CE1055" s="77" t="s">
        <v>464</v>
      </c>
      <c r="CF1055" s="77" t="s">
        <v>1266</v>
      </c>
      <c r="CG1055" s="77">
        <v>125</v>
      </c>
      <c r="CH1055" s="77">
        <v>220</v>
      </c>
      <c r="CI1055" s="77" t="s">
        <v>1287</v>
      </c>
      <c r="CJ1055" s="77">
        <f t="shared" si="260"/>
        <v>288</v>
      </c>
      <c r="CK1055" s="70">
        <v>347.99999999999994</v>
      </c>
    </row>
    <row r="1056" spans="1:89" x14ac:dyDescent="0.3">
      <c r="A1056" t="s">
        <v>1487</v>
      </c>
      <c r="B1056" t="s">
        <v>2776</v>
      </c>
      <c r="C1056" t="s">
        <v>4348</v>
      </c>
      <c r="E1056">
        <f>(E1055+E1057)/2</f>
        <v>3.4774999999999996</v>
      </c>
      <c r="F1056" t="s">
        <v>1485</v>
      </c>
      <c r="G1056" s="99" t="s">
        <v>549</v>
      </c>
      <c r="I1056" s="8"/>
      <c r="J1056" t="s">
        <v>2266</v>
      </c>
      <c r="K1056" s="8"/>
      <c r="L1056" s="8"/>
      <c r="M1056" t="b">
        <v>1</v>
      </c>
      <c r="N1056" t="b">
        <v>0</v>
      </c>
      <c r="O1056" t="b">
        <v>0</v>
      </c>
      <c r="P1056" t="b">
        <v>0</v>
      </c>
      <c r="Q1056" t="s">
        <v>3914</v>
      </c>
      <c r="T1056" s="1">
        <v>2</v>
      </c>
      <c r="U1056" s="1"/>
      <c r="V1056" s="1"/>
      <c r="W1056" s="1"/>
      <c r="X1056" s="1">
        <v>3.78</v>
      </c>
      <c r="Y1056" s="1">
        <v>3.78</v>
      </c>
      <c r="Z1056" s="1">
        <v>27.2</v>
      </c>
      <c r="AA1056" s="1" t="s">
        <v>519</v>
      </c>
      <c r="AB1056">
        <v>13.6</v>
      </c>
      <c r="BT1056" s="68" t="s">
        <v>1264</v>
      </c>
      <c r="BU1056" s="68">
        <v>1273</v>
      </c>
      <c r="BV1056" s="68">
        <v>10</v>
      </c>
      <c r="BX1056" s="68" t="s">
        <v>464</v>
      </c>
      <c r="BY1056" s="68" t="s">
        <v>464</v>
      </c>
      <c r="BZ1056" s="68">
        <v>0</v>
      </c>
      <c r="CB1056" s="68">
        <v>0.5</v>
      </c>
      <c r="CC1056" s="68">
        <v>0.1</v>
      </c>
      <c r="CD1056" s="77" t="s">
        <v>464</v>
      </c>
      <c r="CE1056" s="77" t="s">
        <v>464</v>
      </c>
      <c r="CF1056" s="77" t="s">
        <v>1266</v>
      </c>
      <c r="CG1056" s="77">
        <v>125</v>
      </c>
      <c r="CH1056" s="77">
        <v>220</v>
      </c>
      <c r="CI1056" s="77" t="s">
        <v>1287</v>
      </c>
      <c r="CJ1056" s="77">
        <f t="shared" si="260"/>
        <v>288</v>
      </c>
      <c r="CK1056" s="70">
        <v>55.999999999999993</v>
      </c>
    </row>
    <row r="1057" spans="1:89" x14ac:dyDescent="0.3">
      <c r="A1057" t="s">
        <v>381</v>
      </c>
      <c r="B1057" t="s">
        <v>2776</v>
      </c>
      <c r="C1057" t="s">
        <v>4280</v>
      </c>
      <c r="E1057">
        <v>3.4149999999999991</v>
      </c>
      <c r="F1057" t="s">
        <v>1485</v>
      </c>
      <c r="G1057" s="99" t="s">
        <v>549</v>
      </c>
      <c r="H1057">
        <v>-1</v>
      </c>
      <c r="J1057" t="s">
        <v>1752</v>
      </c>
      <c r="K1057" s="8"/>
      <c r="L1057" s="8"/>
      <c r="M1057" t="b">
        <v>1</v>
      </c>
      <c r="N1057" t="b">
        <v>0</v>
      </c>
      <c r="O1057" t="b">
        <v>0</v>
      </c>
      <c r="P1057" t="b">
        <v>0</v>
      </c>
      <c r="Q1057" t="s">
        <v>3915</v>
      </c>
      <c r="R1057">
        <v>-1</v>
      </c>
      <c r="T1057">
        <v>2</v>
      </c>
      <c r="X1057">
        <v>3.78</v>
      </c>
      <c r="Y1057">
        <v>3.78</v>
      </c>
      <c r="Z1057">
        <v>27.2</v>
      </c>
      <c r="AA1057" t="s">
        <v>519</v>
      </c>
      <c r="AB1057">
        <v>13.6</v>
      </c>
      <c r="BT1057" s="68" t="s">
        <v>1264</v>
      </c>
      <c r="BU1057" s="68">
        <v>1273</v>
      </c>
      <c r="BV1057" s="68">
        <v>10</v>
      </c>
      <c r="BX1057" s="68" t="s">
        <v>464</v>
      </c>
      <c r="BY1057" s="68" t="s">
        <v>464</v>
      </c>
      <c r="BZ1057" s="68">
        <v>0</v>
      </c>
      <c r="CB1057" s="68">
        <v>0.5</v>
      </c>
      <c r="CC1057" s="68">
        <v>0.1</v>
      </c>
      <c r="CD1057" s="77" t="s">
        <v>464</v>
      </c>
      <c r="CE1057" s="77" t="s">
        <v>464</v>
      </c>
      <c r="CF1057" s="77" t="s">
        <v>1266</v>
      </c>
      <c r="CG1057" s="77">
        <v>125</v>
      </c>
      <c r="CH1057" s="77">
        <v>220</v>
      </c>
      <c r="CI1057" s="77" t="s">
        <v>1287</v>
      </c>
      <c r="CJ1057" s="77">
        <f t="shared" si="260"/>
        <v>288</v>
      </c>
      <c r="CK1057" s="70">
        <v>40</v>
      </c>
    </row>
    <row r="1058" spans="1:89" x14ac:dyDescent="0.3">
      <c r="A1058" t="s">
        <v>8</v>
      </c>
      <c r="B1058" t="s">
        <v>2777</v>
      </c>
      <c r="C1058" t="s">
        <v>3926</v>
      </c>
      <c r="E1058" s="58">
        <v>3.2</v>
      </c>
      <c r="F1058" t="s">
        <v>1485</v>
      </c>
      <c r="G1058" s="98" t="s">
        <v>530</v>
      </c>
      <c r="H1058" t="s">
        <v>612</v>
      </c>
      <c r="I1058" s="8"/>
      <c r="J1058" s="8"/>
      <c r="K1058" s="8"/>
      <c r="L1058" s="8"/>
      <c r="M1058" t="b">
        <v>1</v>
      </c>
      <c r="N1058" t="b">
        <v>1</v>
      </c>
      <c r="O1058" t="b">
        <v>0</v>
      </c>
      <c r="P1058" t="b">
        <v>0</v>
      </c>
      <c r="Q1058" t="s">
        <v>530</v>
      </c>
      <c r="R1058" t="s">
        <v>612</v>
      </c>
      <c r="AB1058">
        <v>0</v>
      </c>
      <c r="BT1058" s="68" t="s">
        <v>1290</v>
      </c>
      <c r="BX1058" s="68" t="s">
        <v>464</v>
      </c>
      <c r="BY1058" s="68" t="s">
        <v>464</v>
      </c>
      <c r="BZ1058" s="68">
        <v>0</v>
      </c>
      <c r="CB1058" s="68">
        <v>0.5</v>
      </c>
      <c r="CC1058" s="68">
        <v>0.1</v>
      </c>
      <c r="CD1058" s="77" t="s">
        <v>464</v>
      </c>
      <c r="CE1058" s="77" t="s">
        <v>464</v>
      </c>
      <c r="CF1058" s="77" t="s">
        <v>1266</v>
      </c>
      <c r="CG1058" s="77">
        <v>125</v>
      </c>
      <c r="CH1058" s="77">
        <v>220</v>
      </c>
      <c r="CI1058" s="77" t="s">
        <v>1287</v>
      </c>
      <c r="CJ1058" s="77">
        <f t="shared" si="260"/>
        <v>288</v>
      </c>
      <c r="CK1058" s="70">
        <v>140</v>
      </c>
    </row>
    <row r="1059" spans="1:89" x14ac:dyDescent="0.3">
      <c r="A1059" t="s">
        <v>1488</v>
      </c>
      <c r="B1059" t="s">
        <v>2777</v>
      </c>
      <c r="C1059" t="s">
        <v>4349</v>
      </c>
      <c r="E1059">
        <v>5.0999999999999996</v>
      </c>
      <c r="F1059" t="s">
        <v>1508</v>
      </c>
      <c r="G1059" s="4" t="s">
        <v>1755</v>
      </c>
      <c r="I1059" t="s">
        <v>2498</v>
      </c>
      <c r="M1059" t="b">
        <v>0</v>
      </c>
      <c r="N1059" t="b">
        <v>0</v>
      </c>
      <c r="O1059" t="b">
        <v>1</v>
      </c>
      <c r="P1059" t="b">
        <v>0</v>
      </c>
      <c r="Q1059" t="s">
        <v>1755</v>
      </c>
      <c r="S1059" t="s">
        <v>2498</v>
      </c>
      <c r="AB1059">
        <v>0</v>
      </c>
      <c r="BT1059" s="68" t="s">
        <v>1407</v>
      </c>
      <c r="BU1059" s="68">
        <f>240+273</f>
        <v>513</v>
      </c>
      <c r="BV1059" s="68">
        <v>4</v>
      </c>
      <c r="BX1059" s="68" t="s">
        <v>464</v>
      </c>
      <c r="BY1059" s="68" t="s">
        <v>464</v>
      </c>
      <c r="BZ1059" s="68">
        <v>0</v>
      </c>
      <c r="CA1059" s="68">
        <v>87</v>
      </c>
      <c r="CB1059" s="68">
        <v>0.5</v>
      </c>
      <c r="CC1059" s="68">
        <v>0.1</v>
      </c>
      <c r="CD1059" s="77" t="s">
        <v>464</v>
      </c>
      <c r="CE1059" s="77" t="s">
        <v>464</v>
      </c>
      <c r="CF1059" s="77" t="s">
        <v>1266</v>
      </c>
      <c r="CG1059" s="77">
        <v>125</v>
      </c>
      <c r="CH1059" s="77">
        <v>220</v>
      </c>
      <c r="CI1059" s="77" t="s">
        <v>1287</v>
      </c>
      <c r="CJ1059" s="77">
        <f t="shared" si="260"/>
        <v>288</v>
      </c>
      <c r="CK1059" s="70">
        <v>343.99999999999994</v>
      </c>
    </row>
    <row r="1060" spans="1:89" x14ac:dyDescent="0.3">
      <c r="A1060" t="s">
        <v>1489</v>
      </c>
      <c r="B1060" t="s">
        <v>2777</v>
      </c>
      <c r="C1060" t="s">
        <v>4350</v>
      </c>
      <c r="E1060">
        <v>5.0999999999999996</v>
      </c>
      <c r="F1060" t="s">
        <v>1508</v>
      </c>
      <c r="G1060" s="4" t="s">
        <v>1755</v>
      </c>
      <c r="I1060" t="s">
        <v>2498</v>
      </c>
      <c r="M1060" t="b">
        <v>0</v>
      </c>
      <c r="N1060" t="b">
        <v>0</v>
      </c>
      <c r="O1060" t="b">
        <v>1</v>
      </c>
      <c r="P1060" t="b">
        <v>0</v>
      </c>
      <c r="Q1060" t="s">
        <v>1755</v>
      </c>
      <c r="S1060" t="s">
        <v>2498</v>
      </c>
      <c r="T1060" s="8"/>
      <c r="AB1060">
        <v>0</v>
      </c>
      <c r="BT1060" s="68" t="s">
        <v>1407</v>
      </c>
      <c r="BU1060" s="68">
        <f t="shared" ref="BU1060:BU1067" si="261">240+273</f>
        <v>513</v>
      </c>
      <c r="BV1060" s="68">
        <v>4</v>
      </c>
      <c r="BX1060" s="68" t="s">
        <v>464</v>
      </c>
      <c r="BY1060" s="68" t="s">
        <v>464</v>
      </c>
      <c r="BZ1060" s="68">
        <v>0</v>
      </c>
      <c r="CA1060" s="68">
        <v>107</v>
      </c>
      <c r="CB1060" s="68">
        <v>0.5</v>
      </c>
      <c r="CC1060" s="68">
        <v>0.1</v>
      </c>
      <c r="CD1060" s="77" t="s">
        <v>464</v>
      </c>
      <c r="CE1060" s="77" t="s">
        <v>464</v>
      </c>
      <c r="CF1060" s="77" t="s">
        <v>1266</v>
      </c>
      <c r="CG1060" s="77">
        <v>125</v>
      </c>
      <c r="CH1060" s="77">
        <v>220</v>
      </c>
      <c r="CI1060" s="77" t="s">
        <v>1287</v>
      </c>
      <c r="CJ1060" s="77">
        <f t="shared" si="260"/>
        <v>288</v>
      </c>
      <c r="CK1060" s="70">
        <v>403.99999999999994</v>
      </c>
    </row>
    <row r="1061" spans="1:89" x14ac:dyDescent="0.3">
      <c r="A1061" t="s">
        <v>1490</v>
      </c>
      <c r="B1061" t="s">
        <v>2777</v>
      </c>
      <c r="C1061" t="s">
        <v>4351</v>
      </c>
      <c r="E1061">
        <v>5.0999999999999996</v>
      </c>
      <c r="F1061" t="s">
        <v>1508</v>
      </c>
      <c r="G1061" s="4" t="s">
        <v>1755</v>
      </c>
      <c r="I1061" t="s">
        <v>2498</v>
      </c>
      <c r="M1061" t="b">
        <v>0</v>
      </c>
      <c r="N1061" t="b">
        <v>0</v>
      </c>
      <c r="O1061" t="b">
        <v>1</v>
      </c>
      <c r="P1061" t="b">
        <v>0</v>
      </c>
      <c r="Q1061" t="s">
        <v>1755</v>
      </c>
      <c r="S1061" t="s">
        <v>2498</v>
      </c>
      <c r="AB1061">
        <v>0</v>
      </c>
      <c r="BT1061" s="68" t="s">
        <v>1407</v>
      </c>
      <c r="BU1061" s="68">
        <f t="shared" si="261"/>
        <v>513</v>
      </c>
      <c r="BV1061" s="68">
        <v>4</v>
      </c>
      <c r="BX1061" s="68" t="s">
        <v>464</v>
      </c>
      <c r="BY1061" s="68" t="s">
        <v>464</v>
      </c>
      <c r="BZ1061" s="68">
        <v>0</v>
      </c>
      <c r="CA1061" s="68">
        <v>36</v>
      </c>
      <c r="CB1061" s="68">
        <v>0.5</v>
      </c>
      <c r="CC1061" s="68">
        <v>0.1</v>
      </c>
      <c r="CD1061" s="77" t="s">
        <v>464</v>
      </c>
      <c r="CE1061" s="77" t="s">
        <v>464</v>
      </c>
      <c r="CF1061" s="77" t="s">
        <v>1266</v>
      </c>
      <c r="CG1061" s="77">
        <v>125</v>
      </c>
      <c r="CH1061" s="77">
        <v>220</v>
      </c>
      <c r="CI1061" s="77" t="s">
        <v>1287</v>
      </c>
      <c r="CJ1061" s="77">
        <f t="shared" si="260"/>
        <v>288</v>
      </c>
      <c r="CK1061" s="70">
        <v>88</v>
      </c>
    </row>
    <row r="1062" spans="1:89" x14ac:dyDescent="0.3">
      <c r="A1062" t="s">
        <v>1491</v>
      </c>
      <c r="B1062" t="s">
        <v>2777</v>
      </c>
      <c r="C1062" t="s">
        <v>4352</v>
      </c>
      <c r="E1062">
        <v>5.0999999999999996</v>
      </c>
      <c r="F1062" t="s">
        <v>1508</v>
      </c>
      <c r="G1062" s="4" t="s">
        <v>1755</v>
      </c>
      <c r="I1062" t="s">
        <v>2498</v>
      </c>
      <c r="M1062" t="b">
        <v>0</v>
      </c>
      <c r="N1062" t="b">
        <v>0</v>
      </c>
      <c r="O1062" t="b">
        <v>1</v>
      </c>
      <c r="P1062" t="b">
        <v>0</v>
      </c>
      <c r="Q1062" t="s">
        <v>1755</v>
      </c>
      <c r="S1062" t="s">
        <v>2498</v>
      </c>
      <c r="AB1062">
        <v>0</v>
      </c>
      <c r="BT1062" s="68" t="s">
        <v>1407</v>
      </c>
      <c r="BU1062" s="68">
        <f t="shared" si="261"/>
        <v>513</v>
      </c>
      <c r="BV1062" s="68">
        <v>4</v>
      </c>
      <c r="BX1062" s="68" t="s">
        <v>464</v>
      </c>
      <c r="BY1062" s="68" t="s">
        <v>464</v>
      </c>
      <c r="BZ1062" s="68">
        <v>0</v>
      </c>
      <c r="CA1062" s="68">
        <v>36</v>
      </c>
      <c r="CB1062" s="68">
        <v>0.5</v>
      </c>
      <c r="CC1062" s="68">
        <v>0.1</v>
      </c>
      <c r="CD1062" s="77" t="s">
        <v>464</v>
      </c>
      <c r="CE1062" s="77" t="s">
        <v>464</v>
      </c>
      <c r="CF1062" s="77" t="s">
        <v>1266</v>
      </c>
      <c r="CG1062" s="77">
        <v>125</v>
      </c>
      <c r="CH1062" s="77">
        <v>220</v>
      </c>
      <c r="CI1062" s="77" t="s">
        <v>1287</v>
      </c>
      <c r="CJ1062" s="77">
        <f t="shared" si="260"/>
        <v>288</v>
      </c>
      <c r="CK1062" s="70">
        <v>84</v>
      </c>
    </row>
    <row r="1063" spans="1:89" x14ac:dyDescent="0.3">
      <c r="A1063" t="s">
        <v>1492</v>
      </c>
      <c r="B1063" t="s">
        <v>2777</v>
      </c>
      <c r="C1063" t="s">
        <v>4353</v>
      </c>
      <c r="E1063">
        <v>5.0999999999999996</v>
      </c>
      <c r="F1063" t="s">
        <v>1508</v>
      </c>
      <c r="G1063" s="4" t="s">
        <v>1755</v>
      </c>
      <c r="I1063" t="s">
        <v>2498</v>
      </c>
      <c r="M1063" t="b">
        <v>0</v>
      </c>
      <c r="N1063" t="b">
        <v>0</v>
      </c>
      <c r="O1063" t="b">
        <v>1</v>
      </c>
      <c r="P1063" t="b">
        <v>0</v>
      </c>
      <c r="Q1063" t="s">
        <v>1755</v>
      </c>
      <c r="S1063" t="s">
        <v>2498</v>
      </c>
      <c r="AB1063">
        <v>0</v>
      </c>
      <c r="BT1063" s="68" t="s">
        <v>1407</v>
      </c>
      <c r="BU1063" s="68">
        <f t="shared" si="261"/>
        <v>513</v>
      </c>
      <c r="BV1063" s="68">
        <v>4</v>
      </c>
      <c r="BX1063" s="68" t="s">
        <v>464</v>
      </c>
      <c r="BY1063" s="68" t="s">
        <v>464</v>
      </c>
      <c r="BZ1063" s="68">
        <v>0</v>
      </c>
      <c r="CA1063" s="68">
        <v>31</v>
      </c>
      <c r="CB1063" s="68">
        <v>0.5</v>
      </c>
      <c r="CC1063" s="68">
        <v>0.1</v>
      </c>
      <c r="CD1063" s="77" t="s">
        <v>464</v>
      </c>
      <c r="CE1063" s="77" t="s">
        <v>464</v>
      </c>
      <c r="CF1063" s="77" t="s">
        <v>1266</v>
      </c>
      <c r="CG1063" s="77">
        <v>125</v>
      </c>
      <c r="CH1063" s="77">
        <v>220</v>
      </c>
      <c r="CI1063" s="77" t="s">
        <v>1287</v>
      </c>
      <c r="CJ1063" s="77">
        <f t="shared" si="260"/>
        <v>288</v>
      </c>
      <c r="CK1063" s="70">
        <v>64</v>
      </c>
    </row>
    <row r="1064" spans="1:89" x14ac:dyDescent="0.3">
      <c r="A1064" t="s">
        <v>1493</v>
      </c>
      <c r="B1064" t="s">
        <v>2777</v>
      </c>
      <c r="C1064" t="s">
        <v>4354</v>
      </c>
      <c r="E1064">
        <v>5.0999999999999996</v>
      </c>
      <c r="F1064" t="s">
        <v>1508</v>
      </c>
      <c r="G1064" s="4" t="s">
        <v>1755</v>
      </c>
      <c r="I1064" t="s">
        <v>2498</v>
      </c>
      <c r="M1064" t="b">
        <v>0</v>
      </c>
      <c r="N1064" t="b">
        <v>0</v>
      </c>
      <c r="O1064" t="b">
        <v>1</v>
      </c>
      <c r="P1064" t="b">
        <v>0</v>
      </c>
      <c r="Q1064" t="s">
        <v>1755</v>
      </c>
      <c r="S1064" t="s">
        <v>2498</v>
      </c>
      <c r="AB1064">
        <v>0</v>
      </c>
      <c r="BT1064" s="68" t="s">
        <v>1407</v>
      </c>
      <c r="BU1064" s="68">
        <f t="shared" si="261"/>
        <v>513</v>
      </c>
      <c r="BV1064" s="68">
        <v>4</v>
      </c>
      <c r="BX1064" s="68" t="s">
        <v>464</v>
      </c>
      <c r="BY1064" s="68" t="s">
        <v>464</v>
      </c>
      <c r="BZ1064" s="68">
        <v>0</v>
      </c>
      <c r="CA1064" s="68">
        <v>49</v>
      </c>
      <c r="CB1064" s="68">
        <v>0.5</v>
      </c>
      <c r="CC1064" s="68">
        <v>0.1</v>
      </c>
      <c r="CD1064" s="77" t="s">
        <v>464</v>
      </c>
      <c r="CE1064" s="77" t="s">
        <v>464</v>
      </c>
      <c r="CF1064" s="77" t="s">
        <v>1266</v>
      </c>
      <c r="CG1064" s="77">
        <v>125</v>
      </c>
      <c r="CH1064" s="77">
        <v>220</v>
      </c>
      <c r="CI1064" s="77" t="s">
        <v>1287</v>
      </c>
      <c r="CJ1064" s="77">
        <f t="shared" si="260"/>
        <v>288</v>
      </c>
      <c r="CK1064" s="70">
        <v>171.99999999999997</v>
      </c>
    </row>
    <row r="1065" spans="1:89" x14ac:dyDescent="0.3">
      <c r="A1065" t="s">
        <v>1488</v>
      </c>
      <c r="B1065" t="s">
        <v>2777</v>
      </c>
      <c r="C1065" t="s">
        <v>4349</v>
      </c>
      <c r="E1065">
        <v>5.0999999999999996</v>
      </c>
      <c r="F1065" t="s">
        <v>1508</v>
      </c>
      <c r="G1065" s="4" t="s">
        <v>1755</v>
      </c>
      <c r="I1065" t="s">
        <v>2498</v>
      </c>
      <c r="M1065" t="b">
        <v>0</v>
      </c>
      <c r="N1065" t="b">
        <v>0</v>
      </c>
      <c r="O1065" t="b">
        <v>1</v>
      </c>
      <c r="P1065" t="b">
        <v>0</v>
      </c>
      <c r="Q1065" t="s">
        <v>1755</v>
      </c>
      <c r="S1065" t="s">
        <v>2498</v>
      </c>
      <c r="AB1065">
        <v>0</v>
      </c>
      <c r="BT1065" s="68" t="s">
        <v>1407</v>
      </c>
      <c r="BU1065" s="68">
        <f t="shared" si="261"/>
        <v>513</v>
      </c>
      <c r="BV1065" s="68">
        <v>4</v>
      </c>
      <c r="BX1065" s="68" t="s">
        <v>464</v>
      </c>
      <c r="BY1065" s="68" t="s">
        <v>464</v>
      </c>
      <c r="BZ1065" s="68">
        <v>0</v>
      </c>
      <c r="CA1065" s="68">
        <v>140</v>
      </c>
      <c r="CB1065" s="68">
        <v>0.5</v>
      </c>
      <c r="CC1065" s="68">
        <v>0.1</v>
      </c>
      <c r="CD1065" s="77" t="s">
        <v>464</v>
      </c>
      <c r="CE1065" s="77" t="s">
        <v>464</v>
      </c>
      <c r="CF1065" s="77" t="s">
        <v>1266</v>
      </c>
      <c r="CG1065" s="77">
        <v>125</v>
      </c>
      <c r="CH1065" s="77">
        <v>220</v>
      </c>
      <c r="CI1065" s="77" t="s">
        <v>1287</v>
      </c>
      <c r="CJ1065" s="77">
        <f t="shared" si="260"/>
        <v>288</v>
      </c>
      <c r="CK1065" s="70">
        <v>652</v>
      </c>
    </row>
    <row r="1066" spans="1:89" x14ac:dyDescent="0.3">
      <c r="A1066" t="s">
        <v>1488</v>
      </c>
      <c r="B1066" t="s">
        <v>2777</v>
      </c>
      <c r="C1066" t="s">
        <v>4349</v>
      </c>
      <c r="E1066">
        <v>5.0999999999999996</v>
      </c>
      <c r="F1066" t="s">
        <v>1508</v>
      </c>
      <c r="G1066" s="4" t="s">
        <v>1755</v>
      </c>
      <c r="I1066" t="s">
        <v>2498</v>
      </c>
      <c r="M1066" t="b">
        <v>0</v>
      </c>
      <c r="N1066" t="b">
        <v>0</v>
      </c>
      <c r="O1066" t="b">
        <v>1</v>
      </c>
      <c r="P1066" t="b">
        <v>0</v>
      </c>
      <c r="Q1066" t="s">
        <v>1755</v>
      </c>
      <c r="S1066" t="s">
        <v>2498</v>
      </c>
      <c r="AB1066">
        <v>0</v>
      </c>
      <c r="BT1066" s="68" t="s">
        <v>1407</v>
      </c>
      <c r="BU1066" s="68">
        <f t="shared" si="261"/>
        <v>513</v>
      </c>
      <c r="BV1066" s="68">
        <v>4</v>
      </c>
      <c r="BX1066" s="68" t="s">
        <v>464</v>
      </c>
      <c r="BY1066" s="68" t="s">
        <v>464</v>
      </c>
      <c r="BZ1066" s="68">
        <v>0</v>
      </c>
      <c r="CA1066" s="68">
        <v>121</v>
      </c>
      <c r="CB1066" s="68">
        <v>0.5</v>
      </c>
      <c r="CC1066" s="68">
        <v>0.1</v>
      </c>
      <c r="CD1066" s="77" t="s">
        <v>464</v>
      </c>
      <c r="CE1066" s="77" t="s">
        <v>464</v>
      </c>
      <c r="CF1066" s="77" t="s">
        <v>1266</v>
      </c>
      <c r="CG1066" s="77">
        <v>125</v>
      </c>
      <c r="CH1066" s="77">
        <v>220</v>
      </c>
      <c r="CI1066" s="77" t="s">
        <v>1287</v>
      </c>
      <c r="CJ1066" s="77">
        <f t="shared" si="260"/>
        <v>288</v>
      </c>
      <c r="CK1066" s="70">
        <v>496</v>
      </c>
    </row>
    <row r="1067" spans="1:89" x14ac:dyDescent="0.3">
      <c r="A1067" t="s">
        <v>1488</v>
      </c>
      <c r="B1067" t="s">
        <v>2777</v>
      </c>
      <c r="C1067" t="s">
        <v>4349</v>
      </c>
      <c r="E1067">
        <v>5.0999999999999996</v>
      </c>
      <c r="F1067" t="s">
        <v>1508</v>
      </c>
      <c r="G1067" s="4" t="s">
        <v>1755</v>
      </c>
      <c r="I1067" t="s">
        <v>2498</v>
      </c>
      <c r="M1067" t="b">
        <v>0</v>
      </c>
      <c r="N1067" t="b">
        <v>0</v>
      </c>
      <c r="O1067" t="b">
        <v>1</v>
      </c>
      <c r="P1067" t="b">
        <v>0</v>
      </c>
      <c r="Q1067" t="s">
        <v>1755</v>
      </c>
      <c r="S1067" t="s">
        <v>2498</v>
      </c>
      <c r="AB1067">
        <v>0</v>
      </c>
      <c r="BT1067" s="68" t="s">
        <v>1407</v>
      </c>
      <c r="BU1067" s="68">
        <f t="shared" si="261"/>
        <v>513</v>
      </c>
      <c r="BV1067" s="68">
        <v>4</v>
      </c>
      <c r="BX1067" s="68" t="s">
        <v>464</v>
      </c>
      <c r="BY1067" s="68" t="s">
        <v>464</v>
      </c>
      <c r="BZ1067" s="68">
        <v>0</v>
      </c>
      <c r="CA1067" s="68">
        <v>17</v>
      </c>
      <c r="CB1067" s="68">
        <v>0.5</v>
      </c>
      <c r="CC1067" s="68">
        <v>0.1</v>
      </c>
      <c r="CD1067" s="77" t="s">
        <v>464</v>
      </c>
      <c r="CE1067" s="77" t="s">
        <v>464</v>
      </c>
      <c r="CF1067" s="77" t="s">
        <v>1266</v>
      </c>
      <c r="CG1067" s="77">
        <v>125</v>
      </c>
      <c r="CH1067" s="77">
        <v>220</v>
      </c>
      <c r="CI1067" s="77" t="s">
        <v>1287</v>
      </c>
      <c r="CJ1067" s="77">
        <f t="shared" si="260"/>
        <v>288</v>
      </c>
      <c r="CK1067" s="70">
        <v>32</v>
      </c>
    </row>
    <row r="1068" spans="1:89" x14ac:dyDescent="0.3">
      <c r="A1068" t="s">
        <v>1497</v>
      </c>
      <c r="B1068" t="s">
        <v>153</v>
      </c>
      <c r="C1068" t="s">
        <v>4355</v>
      </c>
      <c r="E1068">
        <v>3.43</v>
      </c>
      <c r="F1068" t="s">
        <v>1496</v>
      </c>
      <c r="I1068" t="s">
        <v>1183</v>
      </c>
      <c r="L1068" s="1" t="s">
        <v>2270</v>
      </c>
      <c r="M1068" t="b">
        <v>0</v>
      </c>
      <c r="N1068" t="b">
        <v>0</v>
      </c>
      <c r="O1068" t="b">
        <v>1</v>
      </c>
      <c r="P1068" t="b">
        <v>0</v>
      </c>
      <c r="S1068" t="s">
        <v>2730</v>
      </c>
      <c r="T1068">
        <v>1</v>
      </c>
      <c r="X1068">
        <v>3.8620000000000001</v>
      </c>
      <c r="Y1068">
        <v>3.8620000000000001</v>
      </c>
      <c r="Z1068">
        <v>10.039999999999999</v>
      </c>
      <c r="AB1068">
        <v>10.039999999999999</v>
      </c>
      <c r="BT1068" s="68" t="s">
        <v>1264</v>
      </c>
      <c r="BU1068" s="68">
        <v>1373</v>
      </c>
      <c r="BV1068" s="68">
        <v>10</v>
      </c>
      <c r="BX1068" s="68" t="s">
        <v>464</v>
      </c>
      <c r="BY1068" s="68" t="s">
        <v>464</v>
      </c>
      <c r="BZ1068" s="68">
        <v>0</v>
      </c>
      <c r="CB1068" s="68">
        <v>1</v>
      </c>
      <c r="CC1068" s="68">
        <v>0.1</v>
      </c>
      <c r="CD1068" s="77" t="s">
        <v>464</v>
      </c>
      <c r="CE1068" s="77" t="s">
        <v>464</v>
      </c>
      <c r="CF1068" s="77" t="s">
        <v>1266</v>
      </c>
      <c r="CG1068" s="77">
        <v>125</v>
      </c>
      <c r="CH1068" s="77">
        <v>220</v>
      </c>
      <c r="CI1068" s="77" t="s">
        <v>1287</v>
      </c>
      <c r="CJ1068" s="77">
        <f t="shared" si="260"/>
        <v>288</v>
      </c>
      <c r="CK1068" s="70">
        <v>5.1020408163265305</v>
      </c>
    </row>
    <row r="1069" spans="1:89" x14ac:dyDescent="0.3">
      <c r="A1069" t="s">
        <v>1498</v>
      </c>
      <c r="B1069" t="s">
        <v>153</v>
      </c>
      <c r="C1069" t="s">
        <v>4356</v>
      </c>
      <c r="E1069">
        <v>3.58</v>
      </c>
      <c r="F1069" t="s">
        <v>1496</v>
      </c>
      <c r="I1069" t="s">
        <v>1183</v>
      </c>
      <c r="J1069" s="1"/>
      <c r="K1069" s="1"/>
      <c r="L1069" s="1" t="s">
        <v>2267</v>
      </c>
      <c r="M1069" t="b">
        <v>0</v>
      </c>
      <c r="N1069" t="b">
        <v>0</v>
      </c>
      <c r="O1069" t="b">
        <v>1</v>
      </c>
      <c r="P1069" t="b">
        <v>0</v>
      </c>
      <c r="S1069" t="s">
        <v>2731</v>
      </c>
      <c r="T1069">
        <v>1</v>
      </c>
      <c r="X1069">
        <v>3.8620000000000001</v>
      </c>
      <c r="Y1069">
        <v>3.8620000000000001</v>
      </c>
      <c r="Z1069">
        <v>10.220000000000001</v>
      </c>
      <c r="AB1069">
        <v>10.220000000000001</v>
      </c>
      <c r="BT1069" s="68" t="s">
        <v>1264</v>
      </c>
      <c r="BU1069" s="68">
        <v>1373</v>
      </c>
      <c r="BV1069" s="68">
        <v>10</v>
      </c>
      <c r="BX1069" s="68" t="s">
        <v>464</v>
      </c>
      <c r="BY1069" s="68" t="s">
        <v>464</v>
      </c>
      <c r="BZ1069" s="68">
        <v>0</v>
      </c>
      <c r="CB1069" s="68">
        <v>1</v>
      </c>
      <c r="CC1069" s="68">
        <v>0.1</v>
      </c>
      <c r="CD1069" s="77" t="s">
        <v>464</v>
      </c>
      <c r="CE1069" s="77" t="s">
        <v>464</v>
      </c>
      <c r="CF1069" s="77" t="s">
        <v>1266</v>
      </c>
      <c r="CG1069" s="77">
        <v>125</v>
      </c>
      <c r="CH1069" s="77">
        <v>220</v>
      </c>
      <c r="CI1069" s="77" t="s">
        <v>1287</v>
      </c>
      <c r="CJ1069" s="77">
        <f t="shared" si="260"/>
        <v>288</v>
      </c>
      <c r="CK1069" s="70">
        <v>162.62755102040816</v>
      </c>
    </row>
    <row r="1070" spans="1:89" x14ac:dyDescent="0.3">
      <c r="A1070" t="s">
        <v>2269</v>
      </c>
      <c r="B1070" t="s">
        <v>153</v>
      </c>
      <c r="C1070" t="s">
        <v>4357</v>
      </c>
      <c r="E1070">
        <v>3.57</v>
      </c>
      <c r="F1070" t="s">
        <v>1496</v>
      </c>
      <c r="I1070" t="s">
        <v>1183</v>
      </c>
      <c r="J1070" s="1"/>
      <c r="K1070" s="1"/>
      <c r="L1070" s="1" t="s">
        <v>2268</v>
      </c>
      <c r="M1070" t="b">
        <v>0</v>
      </c>
      <c r="N1070" t="b">
        <v>0</v>
      </c>
      <c r="O1070" t="b">
        <v>1</v>
      </c>
      <c r="P1070" t="b">
        <v>0</v>
      </c>
      <c r="S1070" t="s">
        <v>2732</v>
      </c>
      <c r="T1070">
        <v>1</v>
      </c>
      <c r="X1070">
        <v>3.8620000000000001</v>
      </c>
      <c r="Y1070">
        <v>3.8620000000000001</v>
      </c>
      <c r="Z1070">
        <v>10.42</v>
      </c>
      <c r="AB1070">
        <v>10.42</v>
      </c>
      <c r="BT1070" s="68" t="s">
        <v>1264</v>
      </c>
      <c r="BU1070" s="68">
        <v>1373</v>
      </c>
      <c r="BV1070" s="68">
        <v>10</v>
      </c>
      <c r="BX1070" s="68" t="s">
        <v>464</v>
      </c>
      <c r="BY1070" s="68" t="s">
        <v>464</v>
      </c>
      <c r="BZ1070" s="68">
        <v>0</v>
      </c>
      <c r="CB1070" s="68">
        <v>1</v>
      </c>
      <c r="CC1070" s="68">
        <v>0.1</v>
      </c>
      <c r="CD1070" s="77" t="s">
        <v>464</v>
      </c>
      <c r="CE1070" s="77" t="s">
        <v>464</v>
      </c>
      <c r="CF1070" s="77" t="s">
        <v>1266</v>
      </c>
      <c r="CG1070" s="77">
        <v>125</v>
      </c>
      <c r="CH1070" s="77">
        <v>220</v>
      </c>
      <c r="CI1070" s="77" t="s">
        <v>1287</v>
      </c>
      <c r="CJ1070" s="77">
        <f t="shared" si="260"/>
        <v>288</v>
      </c>
      <c r="CK1070" s="70">
        <v>29.336734693877549</v>
      </c>
    </row>
    <row r="1071" spans="1:89" x14ac:dyDescent="0.3">
      <c r="A1071" t="s">
        <v>1494</v>
      </c>
      <c r="B1071" t="s">
        <v>153</v>
      </c>
      <c r="C1071" t="s">
        <v>4358</v>
      </c>
      <c r="E1071">
        <v>3.55</v>
      </c>
      <c r="F1071" t="s">
        <v>1496</v>
      </c>
      <c r="I1071" t="s">
        <v>1183</v>
      </c>
      <c r="J1071" s="1"/>
      <c r="K1071" s="1"/>
      <c r="L1071" s="1" t="s">
        <v>2271</v>
      </c>
      <c r="M1071" t="b">
        <v>0</v>
      </c>
      <c r="N1071" t="b">
        <v>0</v>
      </c>
      <c r="O1071" t="b">
        <v>1</v>
      </c>
      <c r="P1071" t="b">
        <v>0</v>
      </c>
      <c r="S1071" t="s">
        <v>2733</v>
      </c>
      <c r="T1071">
        <v>1</v>
      </c>
      <c r="X1071">
        <v>3.8620000000000001</v>
      </c>
      <c r="Y1071">
        <v>3.8620000000000001</v>
      </c>
      <c r="Z1071">
        <v>10.93</v>
      </c>
      <c r="AB1071">
        <v>10.93</v>
      </c>
      <c r="BT1071" s="68" t="s">
        <v>1264</v>
      </c>
      <c r="BU1071" s="68">
        <v>1373</v>
      </c>
      <c r="BV1071" s="68">
        <v>10</v>
      </c>
      <c r="BX1071" s="68" t="s">
        <v>464</v>
      </c>
      <c r="BY1071" s="68" t="s">
        <v>464</v>
      </c>
      <c r="BZ1071" s="68">
        <v>0</v>
      </c>
      <c r="CB1071" s="68">
        <v>1</v>
      </c>
      <c r="CC1071" s="68">
        <v>0.1</v>
      </c>
      <c r="CD1071" s="77" t="s">
        <v>464</v>
      </c>
      <c r="CE1071" s="77" t="s">
        <v>464</v>
      </c>
      <c r="CF1071" s="77" t="s">
        <v>1266</v>
      </c>
      <c r="CG1071" s="77">
        <v>125</v>
      </c>
      <c r="CH1071" s="77">
        <v>220</v>
      </c>
      <c r="CI1071" s="77" t="s">
        <v>1287</v>
      </c>
      <c r="CJ1071" s="77">
        <f t="shared" si="260"/>
        <v>288</v>
      </c>
      <c r="CK1071" s="70">
        <v>245.53571428571428</v>
      </c>
    </row>
    <row r="1072" spans="1:89" x14ac:dyDescent="0.3">
      <c r="A1072" t="s">
        <v>1495</v>
      </c>
      <c r="B1072" t="s">
        <v>153</v>
      </c>
      <c r="C1072" t="s">
        <v>4359</v>
      </c>
      <c r="E1072">
        <v>3.62</v>
      </c>
      <c r="F1072" t="s">
        <v>1496</v>
      </c>
      <c r="I1072" t="s">
        <v>1183</v>
      </c>
      <c r="J1072" s="1"/>
      <c r="K1072" s="1"/>
      <c r="L1072" s="1" t="s">
        <v>1756</v>
      </c>
      <c r="M1072" t="b">
        <v>0</v>
      </c>
      <c r="N1072" t="b">
        <v>0</v>
      </c>
      <c r="O1072" t="b">
        <v>1</v>
      </c>
      <c r="P1072" t="b">
        <v>0</v>
      </c>
      <c r="S1072" t="s">
        <v>2734</v>
      </c>
      <c r="T1072">
        <v>1</v>
      </c>
      <c r="X1072">
        <v>3.8620000000000001</v>
      </c>
      <c r="Y1072">
        <v>3.8620000000000001</v>
      </c>
      <c r="Z1072">
        <v>11.09</v>
      </c>
      <c r="AB1072">
        <v>11.09</v>
      </c>
      <c r="BT1072" s="68" t="s">
        <v>1264</v>
      </c>
      <c r="BU1072" s="68">
        <v>1373</v>
      </c>
      <c r="BV1072" s="68">
        <v>10</v>
      </c>
      <c r="BX1072" s="68" t="s">
        <v>464</v>
      </c>
      <c r="BY1072" s="68" t="s">
        <v>464</v>
      </c>
      <c r="BZ1072" s="68">
        <v>0</v>
      </c>
      <c r="CB1072" s="68">
        <v>1</v>
      </c>
      <c r="CC1072" s="68">
        <v>0.1</v>
      </c>
      <c r="CD1072" s="77" t="s">
        <v>464</v>
      </c>
      <c r="CE1072" s="77" t="s">
        <v>464</v>
      </c>
      <c r="CF1072" s="77" t="s">
        <v>1266</v>
      </c>
      <c r="CG1072" s="77">
        <v>125</v>
      </c>
      <c r="CH1072" s="77">
        <v>220</v>
      </c>
      <c r="CI1072" s="77" t="s">
        <v>1287</v>
      </c>
      <c r="CJ1072" s="77">
        <f t="shared" si="260"/>
        <v>288</v>
      </c>
      <c r="CK1072" s="70">
        <v>71.428571428571431</v>
      </c>
    </row>
    <row r="1073" spans="1:89" x14ac:dyDescent="0.3">
      <c r="A1073" t="s">
        <v>8</v>
      </c>
      <c r="B1073" t="s">
        <v>2777</v>
      </c>
      <c r="C1073" t="s">
        <v>3926</v>
      </c>
      <c r="E1073" s="58">
        <v>3.2</v>
      </c>
      <c r="F1073" t="s">
        <v>1502</v>
      </c>
      <c r="G1073" s="8" t="s">
        <v>530</v>
      </c>
      <c r="H1073" t="s">
        <v>612</v>
      </c>
      <c r="I1073" s="8"/>
      <c r="J1073" s="8"/>
      <c r="K1073" s="8"/>
      <c r="L1073" s="8"/>
      <c r="M1073" t="b">
        <v>1</v>
      </c>
      <c r="N1073" t="b">
        <v>1</v>
      </c>
      <c r="O1073" t="b">
        <v>0</v>
      </c>
      <c r="P1073" t="b">
        <v>0</v>
      </c>
      <c r="Q1073" t="s">
        <v>530</v>
      </c>
      <c r="R1073" t="s">
        <v>612</v>
      </c>
      <c r="AB1073">
        <v>0</v>
      </c>
      <c r="BX1073" s="68" t="s">
        <v>464</v>
      </c>
      <c r="BY1073" s="68" t="s">
        <v>464</v>
      </c>
      <c r="BZ1073" s="68">
        <v>0</v>
      </c>
      <c r="CA1073" s="68">
        <v>50</v>
      </c>
      <c r="CB1073" s="68">
        <v>1</v>
      </c>
      <c r="CC1073" s="68">
        <v>0.1</v>
      </c>
      <c r="CD1073" s="77" t="s">
        <v>464</v>
      </c>
      <c r="CE1073" s="77" t="s">
        <v>464</v>
      </c>
      <c r="CF1073" s="77" t="s">
        <v>1266</v>
      </c>
      <c r="CG1073" s="77">
        <v>125</v>
      </c>
      <c r="CH1073" s="77">
        <v>220</v>
      </c>
      <c r="CI1073" s="77" t="s">
        <v>1287</v>
      </c>
      <c r="CJ1073" s="77">
        <f t="shared" si="260"/>
        <v>288</v>
      </c>
      <c r="CK1073" s="70">
        <v>38.18181818181818</v>
      </c>
    </row>
    <row r="1074" spans="1:89" x14ac:dyDescent="0.3">
      <c r="A1074" t="s">
        <v>8</v>
      </c>
      <c r="B1074" t="s">
        <v>2777</v>
      </c>
      <c r="C1074" t="s">
        <v>3926</v>
      </c>
      <c r="E1074" s="58">
        <v>3.2</v>
      </c>
      <c r="F1074" t="s">
        <v>1502</v>
      </c>
      <c r="G1074" s="8" t="s">
        <v>530</v>
      </c>
      <c r="H1074" t="s">
        <v>612</v>
      </c>
      <c r="M1074" t="b">
        <v>1</v>
      </c>
      <c r="N1074" t="b">
        <v>1</v>
      </c>
      <c r="O1074" t="b">
        <v>0</v>
      </c>
      <c r="P1074" t="b">
        <v>0</v>
      </c>
      <c r="Q1074" t="s">
        <v>530</v>
      </c>
      <c r="R1074" t="s">
        <v>612</v>
      </c>
      <c r="AB1074">
        <v>0</v>
      </c>
      <c r="BT1074" s="68" t="s">
        <v>1290</v>
      </c>
      <c r="BU1074" s="68">
        <f>350+273</f>
        <v>623</v>
      </c>
      <c r="BV1074" s="68">
        <v>1</v>
      </c>
      <c r="BX1074" s="68" t="s">
        <v>1275</v>
      </c>
      <c r="BY1074" s="68" t="s">
        <v>56</v>
      </c>
      <c r="BZ1074" s="68">
        <v>0.25</v>
      </c>
      <c r="CA1074" s="68">
        <v>50</v>
      </c>
      <c r="CB1074" s="68">
        <v>1</v>
      </c>
      <c r="CC1074" s="68">
        <v>0.1</v>
      </c>
      <c r="CD1074" s="77" t="s">
        <v>464</v>
      </c>
      <c r="CE1074" s="77" t="s">
        <v>464</v>
      </c>
      <c r="CF1074" s="77" t="s">
        <v>1266</v>
      </c>
      <c r="CG1074" s="77">
        <v>125</v>
      </c>
      <c r="CH1074" s="77">
        <v>220</v>
      </c>
      <c r="CI1074" s="77" t="s">
        <v>1287</v>
      </c>
      <c r="CJ1074" s="77">
        <f t="shared" si="260"/>
        <v>288</v>
      </c>
      <c r="CK1074" s="70">
        <v>327.27272727272725</v>
      </c>
    </row>
    <row r="1075" spans="1:89" x14ac:dyDescent="0.3">
      <c r="A1075" t="s">
        <v>8</v>
      </c>
      <c r="B1075" t="s">
        <v>2777</v>
      </c>
      <c r="C1075" t="s">
        <v>3926</v>
      </c>
      <c r="E1075" s="58">
        <v>3.2</v>
      </c>
      <c r="F1075" t="s">
        <v>1502</v>
      </c>
      <c r="G1075" s="8" t="s">
        <v>530</v>
      </c>
      <c r="H1075" t="s">
        <v>612</v>
      </c>
      <c r="M1075" t="b">
        <v>1</v>
      </c>
      <c r="N1075" t="b">
        <v>1</v>
      </c>
      <c r="O1075" t="b">
        <v>0</v>
      </c>
      <c r="P1075" t="b">
        <v>0</v>
      </c>
      <c r="Q1075" t="s">
        <v>530</v>
      </c>
      <c r="R1075" t="s">
        <v>612</v>
      </c>
      <c r="AB1075">
        <v>0</v>
      </c>
      <c r="BT1075" s="68" t="s">
        <v>1290</v>
      </c>
      <c r="BU1075" s="68">
        <f t="shared" ref="BU1075:BU1090" si="262">350+273</f>
        <v>623</v>
      </c>
      <c r="BV1075" s="68">
        <v>2</v>
      </c>
      <c r="BX1075" s="68" t="s">
        <v>1275</v>
      </c>
      <c r="BY1075" s="68" t="s">
        <v>56</v>
      </c>
      <c r="BZ1075" s="68">
        <v>0.5</v>
      </c>
      <c r="CA1075" s="68">
        <v>50</v>
      </c>
      <c r="CB1075" s="68">
        <v>1</v>
      </c>
      <c r="CC1075" s="68">
        <v>0.1</v>
      </c>
      <c r="CD1075" s="77" t="s">
        <v>464</v>
      </c>
      <c r="CE1075" s="77" t="s">
        <v>464</v>
      </c>
      <c r="CF1075" s="77" t="s">
        <v>1266</v>
      </c>
      <c r="CG1075" s="77">
        <v>125</v>
      </c>
      <c r="CH1075" s="77">
        <v>220</v>
      </c>
      <c r="CI1075" s="77" t="s">
        <v>1287</v>
      </c>
      <c r="CJ1075" s="77">
        <f t="shared" ref="CJ1075:CJ1090" si="263">273+15</f>
        <v>288</v>
      </c>
      <c r="CK1075" s="70">
        <v>454.54545454545456</v>
      </c>
    </row>
    <row r="1076" spans="1:89" x14ac:dyDescent="0.3">
      <c r="A1076" t="s">
        <v>8</v>
      </c>
      <c r="B1076" t="s">
        <v>2777</v>
      </c>
      <c r="C1076" t="s">
        <v>3926</v>
      </c>
      <c r="E1076" s="58">
        <v>3.2</v>
      </c>
      <c r="F1076" t="s">
        <v>1502</v>
      </c>
      <c r="G1076" s="8" t="s">
        <v>530</v>
      </c>
      <c r="H1076" t="s">
        <v>612</v>
      </c>
      <c r="M1076" t="b">
        <v>1</v>
      </c>
      <c r="N1076" t="b">
        <v>1</v>
      </c>
      <c r="O1076" t="b">
        <v>0</v>
      </c>
      <c r="P1076" t="b">
        <v>0</v>
      </c>
      <c r="Q1076" t="s">
        <v>530</v>
      </c>
      <c r="R1076" t="s">
        <v>612</v>
      </c>
      <c r="AB1076">
        <v>0</v>
      </c>
      <c r="BT1076" s="68" t="s">
        <v>1290</v>
      </c>
      <c r="BU1076" s="68">
        <f t="shared" si="262"/>
        <v>623</v>
      </c>
      <c r="BV1076" s="68">
        <v>3</v>
      </c>
      <c r="BX1076" s="68" t="s">
        <v>1275</v>
      </c>
      <c r="BY1076" s="68" t="s">
        <v>56</v>
      </c>
      <c r="BZ1076" s="68">
        <v>0.75</v>
      </c>
      <c r="CA1076" s="68">
        <v>50</v>
      </c>
      <c r="CB1076" s="68">
        <v>1</v>
      </c>
      <c r="CC1076" s="68">
        <v>0.1</v>
      </c>
      <c r="CD1076" s="77" t="s">
        <v>464</v>
      </c>
      <c r="CE1076" s="77" t="s">
        <v>464</v>
      </c>
      <c r="CF1076" s="77" t="s">
        <v>1266</v>
      </c>
      <c r="CG1076" s="77">
        <v>125</v>
      </c>
      <c r="CH1076" s="77">
        <v>220</v>
      </c>
      <c r="CI1076" s="77" t="s">
        <v>1287</v>
      </c>
      <c r="CJ1076" s="77">
        <f t="shared" si="263"/>
        <v>288</v>
      </c>
      <c r="CK1076" s="70">
        <v>563.63636363636363</v>
      </c>
    </row>
    <row r="1077" spans="1:89" x14ac:dyDescent="0.3">
      <c r="A1077" t="s">
        <v>8</v>
      </c>
      <c r="B1077" t="s">
        <v>2777</v>
      </c>
      <c r="C1077" t="s">
        <v>3926</v>
      </c>
      <c r="E1077" s="58">
        <v>3.2</v>
      </c>
      <c r="F1077" t="s">
        <v>1502</v>
      </c>
      <c r="G1077" s="8" t="s">
        <v>530</v>
      </c>
      <c r="H1077" t="s">
        <v>612</v>
      </c>
      <c r="M1077" t="b">
        <v>1</v>
      </c>
      <c r="N1077" t="b">
        <v>1</v>
      </c>
      <c r="O1077" t="b">
        <v>0</v>
      </c>
      <c r="P1077" t="b">
        <v>0</v>
      </c>
      <c r="Q1077" t="s">
        <v>530</v>
      </c>
      <c r="R1077" t="s">
        <v>612</v>
      </c>
      <c r="AB1077">
        <v>0</v>
      </c>
      <c r="BT1077" s="68" t="s">
        <v>1290</v>
      </c>
      <c r="BU1077" s="68">
        <f t="shared" si="262"/>
        <v>623</v>
      </c>
      <c r="BV1077" s="68">
        <v>4</v>
      </c>
      <c r="BX1077" s="68" t="s">
        <v>1275</v>
      </c>
      <c r="BY1077" s="68" t="s">
        <v>56</v>
      </c>
      <c r="BZ1077" s="68">
        <v>1</v>
      </c>
      <c r="CA1077" s="68">
        <v>50</v>
      </c>
      <c r="CB1077" s="68">
        <v>1</v>
      </c>
      <c r="CC1077" s="68">
        <v>0.1</v>
      </c>
      <c r="CD1077" s="77" t="s">
        <v>464</v>
      </c>
      <c r="CE1077" s="77" t="s">
        <v>464</v>
      </c>
      <c r="CF1077" s="77" t="s">
        <v>1266</v>
      </c>
      <c r="CG1077" s="77">
        <v>125</v>
      </c>
      <c r="CH1077" s="77">
        <v>220</v>
      </c>
      <c r="CI1077" s="77" t="s">
        <v>1287</v>
      </c>
      <c r="CJ1077" s="77">
        <f t="shared" si="263"/>
        <v>288</v>
      </c>
      <c r="CK1077" s="70">
        <v>527.27272727272725</v>
      </c>
    </row>
    <row r="1078" spans="1:89" x14ac:dyDescent="0.3">
      <c r="A1078" t="s">
        <v>8</v>
      </c>
      <c r="B1078" t="s">
        <v>2777</v>
      </c>
      <c r="C1078" t="s">
        <v>3926</v>
      </c>
      <c r="E1078" s="58">
        <v>3.2</v>
      </c>
      <c r="F1078" t="s">
        <v>1502</v>
      </c>
      <c r="G1078" s="8" t="s">
        <v>530</v>
      </c>
      <c r="H1078" t="s">
        <v>612</v>
      </c>
      <c r="M1078" t="b">
        <v>1</v>
      </c>
      <c r="N1078" t="b">
        <v>1</v>
      </c>
      <c r="O1078" t="b">
        <v>0</v>
      </c>
      <c r="P1078" t="b">
        <v>0</v>
      </c>
      <c r="Q1078" t="s">
        <v>530</v>
      </c>
      <c r="R1078" t="s">
        <v>612</v>
      </c>
      <c r="AB1078">
        <v>0</v>
      </c>
      <c r="BT1078" s="68" t="s">
        <v>1290</v>
      </c>
      <c r="BU1078" s="68">
        <f t="shared" si="262"/>
        <v>623</v>
      </c>
      <c r="BV1078" s="68">
        <v>5</v>
      </c>
      <c r="BX1078" s="68" t="s">
        <v>1275</v>
      </c>
      <c r="BY1078" s="68" t="s">
        <v>56</v>
      </c>
      <c r="BZ1078" s="68">
        <v>1.5</v>
      </c>
      <c r="CA1078" s="68">
        <v>50</v>
      </c>
      <c r="CB1078" s="68">
        <v>1</v>
      </c>
      <c r="CC1078" s="68">
        <v>0.1</v>
      </c>
      <c r="CD1078" s="77" t="s">
        <v>464</v>
      </c>
      <c r="CE1078" s="77" t="s">
        <v>464</v>
      </c>
      <c r="CF1078" s="77" t="s">
        <v>1266</v>
      </c>
      <c r="CG1078" s="77">
        <v>125</v>
      </c>
      <c r="CH1078" s="77">
        <v>220</v>
      </c>
      <c r="CI1078" s="77" t="s">
        <v>1287</v>
      </c>
      <c r="CJ1078" s="77">
        <f t="shared" si="263"/>
        <v>288</v>
      </c>
      <c r="CK1078" s="70">
        <v>218.18181818181819</v>
      </c>
    </row>
    <row r="1079" spans="1:89" x14ac:dyDescent="0.3">
      <c r="A1079" t="s">
        <v>8</v>
      </c>
      <c r="B1079" t="s">
        <v>2777</v>
      </c>
      <c r="C1079" t="s">
        <v>3926</v>
      </c>
      <c r="E1079" s="58">
        <v>3.2</v>
      </c>
      <c r="F1079" t="s">
        <v>1502</v>
      </c>
      <c r="G1079" s="8" t="s">
        <v>530</v>
      </c>
      <c r="H1079" t="s">
        <v>612</v>
      </c>
      <c r="M1079" t="b">
        <v>1</v>
      </c>
      <c r="N1079" t="b">
        <v>1</v>
      </c>
      <c r="O1079" t="b">
        <v>0</v>
      </c>
      <c r="P1079" t="b">
        <v>0</v>
      </c>
      <c r="Q1079" t="s">
        <v>530</v>
      </c>
      <c r="R1079" t="s">
        <v>612</v>
      </c>
      <c r="AB1079">
        <v>0</v>
      </c>
      <c r="BT1079" s="68" t="s">
        <v>1290</v>
      </c>
      <c r="BU1079" s="68">
        <f t="shared" si="262"/>
        <v>623</v>
      </c>
      <c r="BV1079" s="68">
        <v>6</v>
      </c>
      <c r="BX1079" s="68" t="s">
        <v>1275</v>
      </c>
      <c r="BY1079" s="68" t="s">
        <v>1499</v>
      </c>
      <c r="BZ1079" s="68">
        <v>1</v>
      </c>
      <c r="CA1079" s="68">
        <v>50</v>
      </c>
      <c r="CB1079" s="68">
        <v>1</v>
      </c>
      <c r="CC1079" s="68">
        <v>0.1</v>
      </c>
      <c r="CD1079" s="77" t="s">
        <v>464</v>
      </c>
      <c r="CE1079" s="77" t="s">
        <v>464</v>
      </c>
      <c r="CF1079" s="77" t="s">
        <v>1266</v>
      </c>
      <c r="CG1079" s="77">
        <v>125</v>
      </c>
      <c r="CH1079" s="77">
        <v>220</v>
      </c>
      <c r="CI1079" s="77" t="s">
        <v>1287</v>
      </c>
      <c r="CJ1079" s="77">
        <f t="shared" si="263"/>
        <v>288</v>
      </c>
      <c r="CK1079" s="70">
        <v>2563.6363636363635</v>
      </c>
    </row>
    <row r="1080" spans="1:89" x14ac:dyDescent="0.3">
      <c r="A1080" t="s">
        <v>8</v>
      </c>
      <c r="B1080" t="s">
        <v>2777</v>
      </c>
      <c r="C1080" t="s">
        <v>3926</v>
      </c>
      <c r="E1080" s="58">
        <v>3.2</v>
      </c>
      <c r="F1080" t="s">
        <v>1502</v>
      </c>
      <c r="G1080" s="8" t="s">
        <v>530</v>
      </c>
      <c r="H1080" t="s">
        <v>612</v>
      </c>
      <c r="M1080" t="b">
        <v>1</v>
      </c>
      <c r="N1080" t="b">
        <v>1</v>
      </c>
      <c r="O1080" t="b">
        <v>0</v>
      </c>
      <c r="P1080" t="b">
        <v>0</v>
      </c>
      <c r="Q1080" t="s">
        <v>530</v>
      </c>
      <c r="R1080" t="s">
        <v>612</v>
      </c>
      <c r="AB1080">
        <v>0</v>
      </c>
      <c r="BT1080" s="68" t="s">
        <v>1290</v>
      </c>
      <c r="BU1080" s="68">
        <f t="shared" si="262"/>
        <v>623</v>
      </c>
      <c r="BV1080" s="68">
        <v>7</v>
      </c>
      <c r="BX1080" s="68" t="s">
        <v>1275</v>
      </c>
      <c r="BY1080" s="68" t="s">
        <v>888</v>
      </c>
      <c r="BZ1080" s="68">
        <v>0.1</v>
      </c>
      <c r="CA1080" s="68">
        <v>50</v>
      </c>
      <c r="CB1080" s="68">
        <v>1</v>
      </c>
      <c r="CC1080" s="68">
        <v>0.1</v>
      </c>
      <c r="CD1080" s="77" t="s">
        <v>464</v>
      </c>
      <c r="CE1080" s="77" t="s">
        <v>464</v>
      </c>
      <c r="CF1080" s="77" t="s">
        <v>1266</v>
      </c>
      <c r="CG1080" s="77">
        <v>125</v>
      </c>
      <c r="CH1080" s="77">
        <v>220</v>
      </c>
      <c r="CI1080" s="77" t="s">
        <v>1287</v>
      </c>
      <c r="CJ1080" s="77">
        <f t="shared" si="263"/>
        <v>288</v>
      </c>
      <c r="CK1080" s="70">
        <v>200</v>
      </c>
    </row>
    <row r="1081" spans="1:89" x14ac:dyDescent="0.3">
      <c r="A1081" t="s">
        <v>8</v>
      </c>
      <c r="B1081" t="s">
        <v>2777</v>
      </c>
      <c r="C1081" t="s">
        <v>3926</v>
      </c>
      <c r="E1081" s="58">
        <v>3.2</v>
      </c>
      <c r="F1081" t="s">
        <v>1502</v>
      </c>
      <c r="G1081" s="8" t="s">
        <v>530</v>
      </c>
      <c r="H1081" t="s">
        <v>612</v>
      </c>
      <c r="M1081" t="b">
        <v>1</v>
      </c>
      <c r="N1081" t="b">
        <v>1</v>
      </c>
      <c r="O1081" t="b">
        <v>0</v>
      </c>
      <c r="P1081" t="b">
        <v>0</v>
      </c>
      <c r="Q1081" t="s">
        <v>530</v>
      </c>
      <c r="R1081" t="s">
        <v>612</v>
      </c>
      <c r="AB1081">
        <v>0</v>
      </c>
      <c r="BT1081" s="68" t="s">
        <v>1290</v>
      </c>
      <c r="BU1081" s="68">
        <f t="shared" si="262"/>
        <v>623</v>
      </c>
      <c r="BV1081" s="68">
        <v>8</v>
      </c>
      <c r="BX1081" s="68" t="s">
        <v>1275</v>
      </c>
      <c r="BY1081" s="68" t="s">
        <v>888</v>
      </c>
      <c r="BZ1081" s="68">
        <v>0.5</v>
      </c>
      <c r="CA1081" s="68">
        <v>50</v>
      </c>
      <c r="CB1081" s="68">
        <v>1</v>
      </c>
      <c r="CC1081" s="68">
        <v>0.1</v>
      </c>
      <c r="CD1081" s="77" t="s">
        <v>464</v>
      </c>
      <c r="CE1081" s="77" t="s">
        <v>464</v>
      </c>
      <c r="CF1081" s="77" t="s">
        <v>1266</v>
      </c>
      <c r="CG1081" s="77">
        <v>125</v>
      </c>
      <c r="CH1081" s="77">
        <v>220</v>
      </c>
      <c r="CI1081" s="77" t="s">
        <v>1287</v>
      </c>
      <c r="CJ1081" s="77">
        <f t="shared" si="263"/>
        <v>288</v>
      </c>
      <c r="CK1081" s="70">
        <v>454.54545454545456</v>
      </c>
    </row>
    <row r="1082" spans="1:89" x14ac:dyDescent="0.3">
      <c r="A1082" t="s">
        <v>8</v>
      </c>
      <c r="B1082" t="s">
        <v>2777</v>
      </c>
      <c r="C1082" t="s">
        <v>3926</v>
      </c>
      <c r="E1082" s="58">
        <v>3.2</v>
      </c>
      <c r="F1082" t="s">
        <v>1502</v>
      </c>
      <c r="G1082" s="8" t="s">
        <v>530</v>
      </c>
      <c r="H1082" t="s">
        <v>612</v>
      </c>
      <c r="M1082" t="b">
        <v>1</v>
      </c>
      <c r="N1082" t="b">
        <v>1</v>
      </c>
      <c r="O1082" t="b">
        <v>0</v>
      </c>
      <c r="P1082" t="b">
        <v>0</v>
      </c>
      <c r="Q1082" t="s">
        <v>530</v>
      </c>
      <c r="R1082" t="s">
        <v>612</v>
      </c>
      <c r="AB1082">
        <v>0</v>
      </c>
      <c r="BT1082" s="68" t="s">
        <v>1290</v>
      </c>
      <c r="BU1082" s="68">
        <f t="shared" si="262"/>
        <v>623</v>
      </c>
      <c r="BV1082" s="68">
        <v>9</v>
      </c>
      <c r="BX1082" s="68" t="s">
        <v>1275</v>
      </c>
      <c r="BY1082" s="68" t="s">
        <v>888</v>
      </c>
      <c r="BZ1082" s="68">
        <v>1</v>
      </c>
      <c r="CA1082" s="68">
        <v>50</v>
      </c>
      <c r="CB1082" s="68">
        <v>1</v>
      </c>
      <c r="CC1082" s="68">
        <v>0.1</v>
      </c>
      <c r="CD1082" s="77" t="s">
        <v>464</v>
      </c>
      <c r="CE1082" s="77" t="s">
        <v>464</v>
      </c>
      <c r="CF1082" s="77" t="s">
        <v>1266</v>
      </c>
      <c r="CG1082" s="77">
        <v>125</v>
      </c>
      <c r="CH1082" s="77">
        <v>220</v>
      </c>
      <c r="CI1082" s="77" t="s">
        <v>1287</v>
      </c>
      <c r="CJ1082" s="77">
        <f t="shared" si="263"/>
        <v>288</v>
      </c>
      <c r="CK1082" s="70">
        <v>581.81818181818187</v>
      </c>
    </row>
    <row r="1083" spans="1:89" x14ac:dyDescent="0.3">
      <c r="A1083" t="s">
        <v>8</v>
      </c>
      <c r="B1083" t="s">
        <v>2777</v>
      </c>
      <c r="C1083" t="s">
        <v>3926</v>
      </c>
      <c r="E1083" s="58">
        <v>3.2</v>
      </c>
      <c r="F1083" t="s">
        <v>1502</v>
      </c>
      <c r="G1083" s="8" t="s">
        <v>530</v>
      </c>
      <c r="H1083" t="s">
        <v>612</v>
      </c>
      <c r="M1083" t="b">
        <v>1</v>
      </c>
      <c r="N1083" t="b">
        <v>1</v>
      </c>
      <c r="O1083" t="b">
        <v>0</v>
      </c>
      <c r="P1083" t="b">
        <v>0</v>
      </c>
      <c r="Q1083" t="s">
        <v>530</v>
      </c>
      <c r="R1083" t="s">
        <v>612</v>
      </c>
      <c r="AB1083">
        <v>0</v>
      </c>
      <c r="BT1083" s="68" t="s">
        <v>1290</v>
      </c>
      <c r="BU1083" s="68">
        <f t="shared" si="262"/>
        <v>623</v>
      </c>
      <c r="BV1083" s="68">
        <v>10</v>
      </c>
      <c r="BX1083" s="68" t="s">
        <v>1275</v>
      </c>
      <c r="BY1083" s="68" t="s">
        <v>888</v>
      </c>
      <c r="BZ1083" s="68">
        <v>5</v>
      </c>
      <c r="CA1083" s="68">
        <v>50</v>
      </c>
      <c r="CB1083" s="68">
        <v>1</v>
      </c>
      <c r="CC1083" s="68">
        <v>0.1</v>
      </c>
      <c r="CD1083" s="77" t="s">
        <v>464</v>
      </c>
      <c r="CE1083" s="77" t="s">
        <v>464</v>
      </c>
      <c r="CF1083" s="77" t="s">
        <v>1266</v>
      </c>
      <c r="CG1083" s="77">
        <v>125</v>
      </c>
      <c r="CH1083" s="77">
        <v>220</v>
      </c>
      <c r="CI1083" s="77" t="s">
        <v>1287</v>
      </c>
      <c r="CJ1083" s="77">
        <f t="shared" si="263"/>
        <v>288</v>
      </c>
      <c r="CK1083" s="70">
        <v>563.63636363636363</v>
      </c>
    </row>
    <row r="1084" spans="1:89" x14ac:dyDescent="0.3">
      <c r="A1084" t="s">
        <v>8</v>
      </c>
      <c r="B1084" t="s">
        <v>2777</v>
      </c>
      <c r="C1084" t="s">
        <v>3926</v>
      </c>
      <c r="E1084" s="58">
        <v>3.2</v>
      </c>
      <c r="F1084" t="s">
        <v>1502</v>
      </c>
      <c r="G1084" s="8" t="s">
        <v>530</v>
      </c>
      <c r="H1084" t="s">
        <v>612</v>
      </c>
      <c r="M1084" t="b">
        <v>1</v>
      </c>
      <c r="N1084" t="b">
        <v>1</v>
      </c>
      <c r="O1084" t="b">
        <v>0</v>
      </c>
      <c r="P1084" t="b">
        <v>0</v>
      </c>
      <c r="Q1084" t="s">
        <v>530</v>
      </c>
      <c r="R1084" t="s">
        <v>612</v>
      </c>
      <c r="AB1084">
        <v>0</v>
      </c>
      <c r="BT1084" s="68" t="s">
        <v>1290</v>
      </c>
      <c r="BU1084" s="68">
        <f t="shared" si="262"/>
        <v>623</v>
      </c>
      <c r="BV1084" s="68">
        <v>11</v>
      </c>
      <c r="BX1084" s="68" t="s">
        <v>1275</v>
      </c>
      <c r="BY1084" s="68" t="s">
        <v>888</v>
      </c>
      <c r="BZ1084" s="68">
        <v>10</v>
      </c>
      <c r="CA1084" s="68">
        <v>50</v>
      </c>
      <c r="CB1084" s="68">
        <v>1</v>
      </c>
      <c r="CC1084" s="68">
        <v>0.1</v>
      </c>
      <c r="CD1084" s="77" t="s">
        <v>464</v>
      </c>
      <c r="CE1084" s="77" t="s">
        <v>464</v>
      </c>
      <c r="CF1084" s="77" t="s">
        <v>1266</v>
      </c>
      <c r="CG1084" s="77">
        <v>125</v>
      </c>
      <c r="CH1084" s="77">
        <v>220</v>
      </c>
      <c r="CI1084" s="77" t="s">
        <v>1287</v>
      </c>
      <c r="CJ1084" s="77">
        <f t="shared" si="263"/>
        <v>288</v>
      </c>
      <c r="CK1084" s="70">
        <v>490.90909090909093</v>
      </c>
    </row>
    <row r="1085" spans="1:89" x14ac:dyDescent="0.3">
      <c r="A1085" t="s">
        <v>8</v>
      </c>
      <c r="B1085" t="s">
        <v>2777</v>
      </c>
      <c r="C1085" t="s">
        <v>3926</v>
      </c>
      <c r="E1085" s="58">
        <v>3.2</v>
      </c>
      <c r="F1085" t="s">
        <v>1502</v>
      </c>
      <c r="G1085" s="8" t="s">
        <v>530</v>
      </c>
      <c r="H1085" t="s">
        <v>612</v>
      </c>
      <c r="M1085" t="b">
        <v>1</v>
      </c>
      <c r="N1085" t="b">
        <v>1</v>
      </c>
      <c r="O1085" t="b">
        <v>0</v>
      </c>
      <c r="P1085" t="b">
        <v>0</v>
      </c>
      <c r="Q1085" t="s">
        <v>530</v>
      </c>
      <c r="R1085" t="s">
        <v>612</v>
      </c>
      <c r="AB1085">
        <v>0</v>
      </c>
      <c r="BT1085" s="68" t="s">
        <v>1290</v>
      </c>
      <c r="BU1085" s="68">
        <f t="shared" si="262"/>
        <v>623</v>
      </c>
      <c r="BV1085" s="68">
        <v>12</v>
      </c>
      <c r="BX1085" s="68" t="s">
        <v>1275</v>
      </c>
      <c r="BY1085" s="68" t="s">
        <v>244</v>
      </c>
      <c r="BZ1085" s="68">
        <v>0.1</v>
      </c>
      <c r="CA1085" s="68">
        <v>50</v>
      </c>
      <c r="CB1085" s="68">
        <v>1</v>
      </c>
      <c r="CC1085" s="68">
        <v>0.1</v>
      </c>
      <c r="CD1085" s="77" t="s">
        <v>464</v>
      </c>
      <c r="CE1085" s="77" t="s">
        <v>464</v>
      </c>
      <c r="CF1085" s="77" t="s">
        <v>1266</v>
      </c>
      <c r="CG1085" s="77">
        <v>125</v>
      </c>
      <c r="CH1085" s="77">
        <v>220</v>
      </c>
      <c r="CI1085" s="77" t="s">
        <v>1287</v>
      </c>
      <c r="CJ1085" s="77">
        <f t="shared" si="263"/>
        <v>288</v>
      </c>
      <c r="CK1085" s="70">
        <v>38.18181818181818</v>
      </c>
    </row>
    <row r="1086" spans="1:89" x14ac:dyDescent="0.3">
      <c r="A1086" t="s">
        <v>8</v>
      </c>
      <c r="B1086" t="s">
        <v>2777</v>
      </c>
      <c r="C1086" t="s">
        <v>3926</v>
      </c>
      <c r="E1086" s="58">
        <v>3.2</v>
      </c>
      <c r="F1086" t="s">
        <v>1502</v>
      </c>
      <c r="G1086" s="8" t="s">
        <v>530</v>
      </c>
      <c r="H1086" t="s">
        <v>612</v>
      </c>
      <c r="M1086" t="b">
        <v>1</v>
      </c>
      <c r="N1086" t="b">
        <v>1</v>
      </c>
      <c r="O1086" t="b">
        <v>0</v>
      </c>
      <c r="P1086" t="b">
        <v>0</v>
      </c>
      <c r="Q1086" t="s">
        <v>530</v>
      </c>
      <c r="R1086" t="s">
        <v>612</v>
      </c>
      <c r="AB1086">
        <v>0</v>
      </c>
      <c r="BT1086" s="68" t="s">
        <v>1290</v>
      </c>
      <c r="BU1086" s="68">
        <f t="shared" si="262"/>
        <v>623</v>
      </c>
      <c r="BV1086" s="68">
        <v>13</v>
      </c>
      <c r="BX1086" s="68" t="s">
        <v>1275</v>
      </c>
      <c r="BY1086" s="68" t="s">
        <v>244</v>
      </c>
      <c r="BZ1086" s="68">
        <v>0.5</v>
      </c>
      <c r="CA1086" s="68">
        <v>50</v>
      </c>
      <c r="CB1086" s="68">
        <v>1</v>
      </c>
      <c r="CC1086" s="68">
        <v>0.1</v>
      </c>
      <c r="CD1086" s="77" t="s">
        <v>464</v>
      </c>
      <c r="CE1086" s="77" t="s">
        <v>464</v>
      </c>
      <c r="CF1086" s="77" t="s">
        <v>1266</v>
      </c>
      <c r="CG1086" s="77">
        <v>125</v>
      </c>
      <c r="CH1086" s="77">
        <v>220</v>
      </c>
      <c r="CI1086" s="77" t="s">
        <v>1287</v>
      </c>
      <c r="CJ1086" s="77">
        <f t="shared" si="263"/>
        <v>288</v>
      </c>
      <c r="CK1086" s="70">
        <v>38.18181818181818</v>
      </c>
    </row>
    <row r="1087" spans="1:89" x14ac:dyDescent="0.3">
      <c r="A1087" t="s">
        <v>8</v>
      </c>
      <c r="B1087" t="s">
        <v>2777</v>
      </c>
      <c r="C1087" t="s">
        <v>3926</v>
      </c>
      <c r="E1087" s="58">
        <v>3.2</v>
      </c>
      <c r="F1087" t="s">
        <v>1502</v>
      </c>
      <c r="G1087" s="8" t="s">
        <v>530</v>
      </c>
      <c r="H1087" t="s">
        <v>612</v>
      </c>
      <c r="M1087" t="b">
        <v>1</v>
      </c>
      <c r="N1087" t="b">
        <v>1</v>
      </c>
      <c r="O1087" t="b">
        <v>0</v>
      </c>
      <c r="P1087" t="b">
        <v>0</v>
      </c>
      <c r="Q1087" t="s">
        <v>530</v>
      </c>
      <c r="R1087" t="s">
        <v>612</v>
      </c>
      <c r="AB1087">
        <v>0</v>
      </c>
      <c r="BT1087" s="68" t="s">
        <v>1290</v>
      </c>
      <c r="BU1087" s="68">
        <f t="shared" si="262"/>
        <v>623</v>
      </c>
      <c r="BV1087" s="68">
        <v>14</v>
      </c>
      <c r="BX1087" s="68" t="s">
        <v>1275</v>
      </c>
      <c r="BY1087" s="68" t="s">
        <v>1500</v>
      </c>
      <c r="BZ1087" s="68">
        <v>0.5</v>
      </c>
      <c r="CA1087" s="68">
        <v>50</v>
      </c>
      <c r="CB1087" s="68">
        <v>1</v>
      </c>
      <c r="CC1087" s="68">
        <v>0.1</v>
      </c>
      <c r="CD1087" s="77" t="s">
        <v>464</v>
      </c>
      <c r="CE1087" s="77" t="s">
        <v>464</v>
      </c>
      <c r="CF1087" s="77" t="s">
        <v>1266</v>
      </c>
      <c r="CG1087" s="77">
        <v>125</v>
      </c>
      <c r="CH1087" s="77">
        <v>220</v>
      </c>
      <c r="CI1087" s="77" t="s">
        <v>1287</v>
      </c>
      <c r="CJ1087" s="77">
        <f t="shared" si="263"/>
        <v>288</v>
      </c>
      <c r="CK1087" s="70">
        <v>36.363636363636367</v>
      </c>
    </row>
    <row r="1088" spans="1:89" x14ac:dyDescent="0.3">
      <c r="A1088" t="s">
        <v>8</v>
      </c>
      <c r="B1088" t="s">
        <v>2777</v>
      </c>
      <c r="C1088" t="s">
        <v>3926</v>
      </c>
      <c r="E1088" s="58">
        <v>3.2</v>
      </c>
      <c r="F1088" t="s">
        <v>1502</v>
      </c>
      <c r="G1088" s="8" t="s">
        <v>530</v>
      </c>
      <c r="H1088" t="s">
        <v>612</v>
      </c>
      <c r="M1088" t="b">
        <v>1</v>
      </c>
      <c r="N1088" t="b">
        <v>1</v>
      </c>
      <c r="O1088" t="b">
        <v>0</v>
      </c>
      <c r="P1088" t="b">
        <v>0</v>
      </c>
      <c r="Q1088" t="s">
        <v>530</v>
      </c>
      <c r="R1088" t="s">
        <v>612</v>
      </c>
      <c r="AB1088">
        <v>0</v>
      </c>
      <c r="BT1088" s="68" t="s">
        <v>1290</v>
      </c>
      <c r="BU1088" s="68">
        <f t="shared" si="262"/>
        <v>623</v>
      </c>
      <c r="BV1088" s="68">
        <v>15</v>
      </c>
      <c r="BX1088" s="68" t="s">
        <v>1275</v>
      </c>
      <c r="BY1088" s="68" t="s">
        <v>1501</v>
      </c>
      <c r="BZ1088" s="68">
        <v>0.1</v>
      </c>
      <c r="CA1088" s="68">
        <v>50</v>
      </c>
      <c r="CB1088" s="68">
        <v>1</v>
      </c>
      <c r="CC1088" s="68">
        <v>0.1</v>
      </c>
      <c r="CD1088" s="77" t="s">
        <v>464</v>
      </c>
      <c r="CE1088" s="77" t="s">
        <v>464</v>
      </c>
      <c r="CF1088" s="77" t="s">
        <v>1266</v>
      </c>
      <c r="CG1088" s="77">
        <v>125</v>
      </c>
      <c r="CH1088" s="77">
        <v>220</v>
      </c>
      <c r="CI1088" s="77" t="s">
        <v>1287</v>
      </c>
      <c r="CJ1088" s="77">
        <f t="shared" si="263"/>
        <v>288</v>
      </c>
      <c r="CK1088" s="70">
        <v>9.0909090909090917</v>
      </c>
    </row>
    <row r="1089" spans="1:89" x14ac:dyDescent="0.3">
      <c r="A1089" t="s">
        <v>8</v>
      </c>
      <c r="B1089" t="s">
        <v>2777</v>
      </c>
      <c r="C1089" t="s">
        <v>3926</v>
      </c>
      <c r="E1089" s="58">
        <v>3.2</v>
      </c>
      <c r="F1089" t="s">
        <v>1502</v>
      </c>
      <c r="G1089" s="8" t="s">
        <v>530</v>
      </c>
      <c r="H1089" t="s">
        <v>612</v>
      </c>
      <c r="M1089" t="b">
        <v>1</v>
      </c>
      <c r="N1089" t="b">
        <v>1</v>
      </c>
      <c r="O1089" t="b">
        <v>0</v>
      </c>
      <c r="P1089" t="b">
        <v>0</v>
      </c>
      <c r="Q1089" t="s">
        <v>530</v>
      </c>
      <c r="R1089" t="s">
        <v>612</v>
      </c>
      <c r="AB1089">
        <v>0</v>
      </c>
      <c r="BT1089" s="68" t="s">
        <v>1290</v>
      </c>
      <c r="BU1089" s="68">
        <f t="shared" si="262"/>
        <v>623</v>
      </c>
      <c r="BV1089" s="68">
        <v>16</v>
      </c>
      <c r="BX1089" s="68" t="s">
        <v>1275</v>
      </c>
      <c r="BY1089" s="68" t="s">
        <v>1501</v>
      </c>
      <c r="BZ1089" s="68">
        <v>0.5</v>
      </c>
      <c r="CA1089" s="68">
        <v>50</v>
      </c>
      <c r="CB1089" s="68">
        <v>1</v>
      </c>
      <c r="CC1089" s="68">
        <v>0.1</v>
      </c>
      <c r="CD1089" s="77" t="s">
        <v>464</v>
      </c>
      <c r="CE1089" s="77" t="s">
        <v>464</v>
      </c>
      <c r="CF1089" s="77" t="s">
        <v>1266</v>
      </c>
      <c r="CG1089" s="77">
        <v>125</v>
      </c>
      <c r="CH1089" s="77">
        <v>220</v>
      </c>
      <c r="CI1089" s="77" t="s">
        <v>1287</v>
      </c>
      <c r="CJ1089" s="77">
        <f t="shared" si="263"/>
        <v>288</v>
      </c>
      <c r="CK1089" s="70">
        <v>9.0909090909090917</v>
      </c>
    </row>
    <row r="1090" spans="1:89" x14ac:dyDescent="0.3">
      <c r="A1090" t="s">
        <v>8</v>
      </c>
      <c r="B1090" t="s">
        <v>2777</v>
      </c>
      <c r="C1090" t="s">
        <v>3926</v>
      </c>
      <c r="E1090" s="58">
        <v>3.2</v>
      </c>
      <c r="F1090" t="s">
        <v>1502</v>
      </c>
      <c r="G1090" s="8" t="s">
        <v>530</v>
      </c>
      <c r="H1090" t="s">
        <v>612</v>
      </c>
      <c r="M1090" t="b">
        <v>1</v>
      </c>
      <c r="N1090" t="b">
        <v>1</v>
      </c>
      <c r="O1090" t="b">
        <v>0</v>
      </c>
      <c r="P1090" t="b">
        <v>0</v>
      </c>
      <c r="Q1090" t="s">
        <v>530</v>
      </c>
      <c r="R1090" t="s">
        <v>612</v>
      </c>
      <c r="AB1090">
        <v>0</v>
      </c>
      <c r="BT1090" s="68" t="s">
        <v>1290</v>
      </c>
      <c r="BU1090" s="68">
        <f t="shared" si="262"/>
        <v>623</v>
      </c>
      <c r="BV1090" s="68">
        <v>17</v>
      </c>
      <c r="BX1090" s="68" t="s">
        <v>1268</v>
      </c>
      <c r="BY1090" s="68" t="s">
        <v>863</v>
      </c>
      <c r="BZ1090" s="68">
        <v>0.5</v>
      </c>
      <c r="CA1090" s="68">
        <v>50</v>
      </c>
      <c r="CB1090" s="68">
        <v>1</v>
      </c>
      <c r="CC1090" s="68">
        <v>0.1</v>
      </c>
      <c r="CD1090" s="77" t="s">
        <v>464</v>
      </c>
      <c r="CE1090" s="77" t="s">
        <v>464</v>
      </c>
      <c r="CF1090" s="77" t="s">
        <v>1266</v>
      </c>
      <c r="CG1090" s="77">
        <v>125</v>
      </c>
      <c r="CH1090" s="77">
        <v>220</v>
      </c>
      <c r="CI1090" s="77" t="s">
        <v>1287</v>
      </c>
      <c r="CJ1090" s="77">
        <f t="shared" si="263"/>
        <v>288</v>
      </c>
      <c r="CK1090" s="70">
        <v>10563.636363636364</v>
      </c>
    </row>
  </sheetData>
  <hyperlinks>
    <hyperlink ref="F499" r:id="rId1" tooltip="Persistent link using digital object identifier" display="https://doi.org/10.1016/j.pnsc.2012.03.002" xr:uid="{00000000-0004-0000-0800-000000000000}"/>
    <hyperlink ref="F500" r:id="rId2" tooltip="Persistent link using digital object identifier" display="https://doi.org/10.1016/j.pnsc.2012.03.002" xr:uid="{00000000-0004-0000-0800-000001000000}"/>
    <hyperlink ref="H6" r:id="rId3" display="https://www.crystallography.net/cod/1544425.html" xr:uid="{00000000-0004-0000-0800-000002000000}"/>
    <hyperlink ref="H16" r:id="rId4" display="https://www.crystallography.net/cod/1544425.html" xr:uid="{00000000-0004-0000-0800-000003000000}"/>
    <hyperlink ref="H973" r:id="rId5" display="https://www.crystallography.net/cod/1544425.html" xr:uid="{00000000-0004-0000-0800-000004000000}"/>
    <hyperlink ref="H981" r:id="rId6" display="https://www.crystallography.net/cod/1544425.html" xr:uid="{00000000-0004-0000-0800-000005000000}"/>
  </hyperlinks>
  <pageMargins left="0.7" right="0.7" top="0.75" bottom="0.75" header="0.3" footer="0.3"/>
  <pageSetup paperSize="9" orientation="portrait" horizontalDpi="0" verticalDpi="0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K635"/>
  <sheetViews>
    <sheetView tabSelected="1" workbookViewId="0">
      <pane ySplit="1" topLeftCell="A419" activePane="bottomLeft" state="frozen"/>
      <selection pane="bottomLeft" activeCell="A433" sqref="A433"/>
    </sheetView>
  </sheetViews>
  <sheetFormatPr defaultRowHeight="14.4" x14ac:dyDescent="0.3"/>
  <cols>
    <col min="1" max="1" width="36.21875" customWidth="1"/>
    <col min="3" max="3" width="12.6640625" customWidth="1"/>
    <col min="6" max="6" width="26.33203125" customWidth="1"/>
    <col min="9" max="9" width="11.77734375" customWidth="1"/>
    <col min="10" max="10" width="15.5546875" style="73" customWidth="1"/>
    <col min="11" max="11" width="12.21875" style="73" customWidth="1"/>
    <col min="12" max="12" width="8.88671875" style="73"/>
  </cols>
  <sheetData>
    <row r="1" spans="1:89" x14ac:dyDescent="0.3">
      <c r="A1" s="94" t="s">
        <v>112</v>
      </c>
      <c r="B1" t="s">
        <v>2778</v>
      </c>
      <c r="C1" s="10" t="s">
        <v>684</v>
      </c>
      <c r="D1" s="15" t="s">
        <v>892</v>
      </c>
      <c r="E1" t="s">
        <v>113</v>
      </c>
      <c r="F1" t="s">
        <v>50</v>
      </c>
      <c r="G1" s="49" t="s">
        <v>522</v>
      </c>
      <c r="H1" s="50" t="s">
        <v>605</v>
      </c>
      <c r="I1" s="51" t="s">
        <v>1146</v>
      </c>
      <c r="J1" s="131" t="s">
        <v>1722</v>
      </c>
      <c r="K1" s="131" t="s">
        <v>1723</v>
      </c>
      <c r="L1" s="131" t="s">
        <v>1724</v>
      </c>
      <c r="M1" s="130" t="s">
        <v>1841</v>
      </c>
      <c r="N1" s="10" t="s">
        <v>1842</v>
      </c>
      <c r="O1" s="10" t="s">
        <v>1843</v>
      </c>
      <c r="P1" s="10" t="s">
        <v>1844</v>
      </c>
      <c r="Q1" s="10" t="s">
        <v>1845</v>
      </c>
      <c r="R1" s="10" t="s">
        <v>1846</v>
      </c>
      <c r="S1" s="10" t="s">
        <v>1847</v>
      </c>
      <c r="T1" s="52" t="s">
        <v>1096</v>
      </c>
      <c r="U1" s="53" t="s">
        <v>1108</v>
      </c>
      <c r="V1" s="48" t="s">
        <v>1191</v>
      </c>
      <c r="W1" s="48" t="s">
        <v>1203</v>
      </c>
      <c r="X1" t="s">
        <v>467</v>
      </c>
      <c r="Y1" t="s">
        <v>468</v>
      </c>
      <c r="Z1" t="s">
        <v>469</v>
      </c>
      <c r="AA1" t="s">
        <v>438</v>
      </c>
      <c r="AB1" t="s">
        <v>1132</v>
      </c>
      <c r="AC1" s="21" t="s">
        <v>1105</v>
      </c>
      <c r="AD1" s="21" t="s">
        <v>1106</v>
      </c>
      <c r="AE1" s="21" t="s">
        <v>1107</v>
      </c>
      <c r="AF1" s="10" t="s">
        <v>1192</v>
      </c>
      <c r="AG1" s="10" t="s">
        <v>1193</v>
      </c>
      <c r="AH1" s="10" t="s">
        <v>1194</v>
      </c>
      <c r="AI1" s="10" t="s">
        <v>1199</v>
      </c>
      <c r="AJ1" s="10" t="s">
        <v>1200</v>
      </c>
      <c r="AK1" s="10" t="s">
        <v>1201</v>
      </c>
      <c r="AL1" t="s">
        <v>466</v>
      </c>
      <c r="AM1" s="10" t="s">
        <v>1094</v>
      </c>
      <c r="AN1" s="43" t="s">
        <v>1103</v>
      </c>
      <c r="AO1" s="45" t="s">
        <v>1196</v>
      </c>
      <c r="AP1" s="43" t="s">
        <v>1195</v>
      </c>
      <c r="AQ1" s="43" t="s">
        <v>1202</v>
      </c>
      <c r="AR1" s="55" t="s">
        <v>1104</v>
      </c>
      <c r="AS1" s="39" t="s">
        <v>1197</v>
      </c>
      <c r="AT1" s="42" t="s">
        <v>1198</v>
      </c>
      <c r="AU1" s="42" t="s">
        <v>1204</v>
      </c>
      <c r="AV1" s="22" t="s">
        <v>1113</v>
      </c>
      <c r="AW1" s="22" t="s">
        <v>1114</v>
      </c>
      <c r="AX1" s="22" t="s">
        <v>1115</v>
      </c>
      <c r="AY1" s="22" t="s">
        <v>1116</v>
      </c>
      <c r="AZ1" s="22" t="s">
        <v>1117</v>
      </c>
      <c r="BA1" s="22" t="s">
        <v>1118</v>
      </c>
      <c r="BB1" s="22" t="s">
        <v>1119</v>
      </c>
      <c r="BC1" s="22" t="s">
        <v>1120</v>
      </c>
      <c r="BD1" s="21" t="s">
        <v>1109</v>
      </c>
      <c r="BE1" s="21" t="s">
        <v>1110</v>
      </c>
      <c r="BF1" s="21" t="s">
        <v>1111</v>
      </c>
      <c r="BG1" s="21" t="s">
        <v>1112</v>
      </c>
      <c r="BH1" s="10" t="s">
        <v>1092</v>
      </c>
      <c r="BI1" s="10" t="s">
        <v>1093</v>
      </c>
      <c r="BJ1" s="63" t="s">
        <v>1205</v>
      </c>
      <c r="BK1" s="63" t="s">
        <v>1206</v>
      </c>
      <c r="BL1" s="63" t="s">
        <v>1207</v>
      </c>
      <c r="BM1" s="10" t="s">
        <v>1211</v>
      </c>
      <c r="BN1" s="10" t="s">
        <v>1208</v>
      </c>
      <c r="BO1" s="10" t="s">
        <v>1209</v>
      </c>
      <c r="BP1" s="10" t="s">
        <v>1210</v>
      </c>
      <c r="BQ1" s="10" t="s">
        <v>1247</v>
      </c>
      <c r="BR1" s="10" t="s">
        <v>1248</v>
      </c>
      <c r="BS1" s="66" t="s">
        <v>1249</v>
      </c>
      <c r="BT1" s="67" t="s">
        <v>1251</v>
      </c>
      <c r="BU1" s="67" t="s">
        <v>1252</v>
      </c>
      <c r="BV1" s="67" t="s">
        <v>1253</v>
      </c>
      <c r="BW1" s="67" t="s">
        <v>1306</v>
      </c>
      <c r="BX1" s="67" t="s">
        <v>1254</v>
      </c>
      <c r="BY1" s="68" t="s">
        <v>1250</v>
      </c>
      <c r="BZ1" s="68" t="s">
        <v>1267</v>
      </c>
      <c r="CA1" s="67" t="s">
        <v>1256</v>
      </c>
      <c r="CB1" s="67" t="s">
        <v>1257</v>
      </c>
      <c r="CC1" s="67" t="s">
        <v>1258</v>
      </c>
      <c r="CD1" s="67" t="s">
        <v>1259</v>
      </c>
      <c r="CE1" s="67" t="s">
        <v>1260</v>
      </c>
      <c r="CF1" s="67" t="s">
        <v>1261</v>
      </c>
      <c r="CG1" s="67" t="s">
        <v>1262</v>
      </c>
      <c r="CH1" s="67" t="s">
        <v>1285</v>
      </c>
      <c r="CI1" s="67" t="s">
        <v>1286</v>
      </c>
      <c r="CJ1" s="67" t="s">
        <v>1295</v>
      </c>
      <c r="CK1" s="69" t="s">
        <v>1265</v>
      </c>
    </row>
    <row r="2" spans="1:89" ht="15" thickBot="1" x14ac:dyDescent="0.35">
      <c r="A2" s="114" t="s">
        <v>2782</v>
      </c>
      <c r="C2" t="s">
        <v>3246</v>
      </c>
      <c r="E2" s="90">
        <v>3.2</v>
      </c>
      <c r="F2" s="117" t="s">
        <v>2780</v>
      </c>
      <c r="G2" t="s">
        <v>3155</v>
      </c>
      <c r="H2" t="s">
        <v>3156</v>
      </c>
      <c r="M2" t="b">
        <v>1</v>
      </c>
      <c r="N2" t="b">
        <v>1</v>
      </c>
      <c r="O2" t="b">
        <v>0</v>
      </c>
      <c r="P2" t="b">
        <v>0</v>
      </c>
      <c r="Q2" t="s">
        <v>3155</v>
      </c>
      <c r="R2">
        <v>1512124</v>
      </c>
      <c r="AB2" s="120"/>
      <c r="BT2" s="90" t="s">
        <v>1264</v>
      </c>
      <c r="BU2" s="90">
        <v>1373</v>
      </c>
      <c r="BV2" s="90">
        <v>10</v>
      </c>
      <c r="BW2" s="68"/>
      <c r="BX2" s="90" t="s">
        <v>1533</v>
      </c>
      <c r="BY2" s="90" t="s">
        <v>890</v>
      </c>
      <c r="BZ2" s="90">
        <v>0.1</v>
      </c>
      <c r="CA2" s="90">
        <v>0.9</v>
      </c>
      <c r="CB2" s="90">
        <v>1</v>
      </c>
      <c r="CC2" s="90">
        <v>0</v>
      </c>
      <c r="CD2" s="90"/>
      <c r="CE2" s="90"/>
      <c r="CF2" s="90" t="s">
        <v>1534</v>
      </c>
      <c r="CG2" s="90">
        <v>300</v>
      </c>
      <c r="CH2" s="90">
        <v>300</v>
      </c>
      <c r="CI2" s="68"/>
      <c r="CJ2" s="68"/>
      <c r="CK2" s="125">
        <v>540</v>
      </c>
    </row>
    <row r="3" spans="1:89" ht="15" thickBot="1" x14ac:dyDescent="0.35">
      <c r="A3" s="114" t="s">
        <v>2782</v>
      </c>
      <c r="C3" t="s">
        <v>3246</v>
      </c>
      <c r="E3" s="90">
        <v>3.2</v>
      </c>
      <c r="F3" s="114" t="s">
        <v>2780</v>
      </c>
      <c r="G3" t="s">
        <v>3155</v>
      </c>
      <c r="H3" t="s">
        <v>3156</v>
      </c>
      <c r="M3" t="b">
        <v>1</v>
      </c>
      <c r="N3" t="b">
        <v>1</v>
      </c>
      <c r="O3" t="b">
        <v>0</v>
      </c>
      <c r="P3" t="b">
        <v>0</v>
      </c>
      <c r="Q3" t="s">
        <v>3155</v>
      </c>
      <c r="R3">
        <v>1512124</v>
      </c>
      <c r="AB3" s="120"/>
      <c r="BT3" s="90" t="s">
        <v>1264</v>
      </c>
      <c r="BU3" s="90">
        <v>1273</v>
      </c>
      <c r="BV3" s="90">
        <v>10</v>
      </c>
      <c r="BW3" s="68"/>
      <c r="BX3" s="90" t="s">
        <v>1533</v>
      </c>
      <c r="BY3" s="90" t="s">
        <v>890</v>
      </c>
      <c r="BZ3" s="90">
        <v>0.1</v>
      </c>
      <c r="CA3" s="90">
        <v>1.3</v>
      </c>
      <c r="CB3" s="90">
        <v>1</v>
      </c>
      <c r="CC3" s="90">
        <v>0</v>
      </c>
      <c r="CD3" s="90"/>
      <c r="CE3" s="90"/>
      <c r="CF3" s="90" t="s">
        <v>1534</v>
      </c>
      <c r="CG3" s="90">
        <v>300</v>
      </c>
      <c r="CH3" s="90">
        <v>300</v>
      </c>
      <c r="CI3" s="68"/>
      <c r="CJ3" s="68"/>
      <c r="CK3" s="125">
        <v>540</v>
      </c>
    </row>
    <row r="4" spans="1:89" ht="15" thickBot="1" x14ac:dyDescent="0.35">
      <c r="A4" s="114" t="s">
        <v>2782</v>
      </c>
      <c r="C4" t="s">
        <v>3246</v>
      </c>
      <c r="E4" s="90">
        <v>3.2</v>
      </c>
      <c r="F4" s="114" t="s">
        <v>2780</v>
      </c>
      <c r="G4" t="s">
        <v>3155</v>
      </c>
      <c r="H4" t="s">
        <v>3156</v>
      </c>
      <c r="M4" t="b">
        <v>1</v>
      </c>
      <c r="N4" t="b">
        <v>1</v>
      </c>
      <c r="O4" t="b">
        <v>0</v>
      </c>
      <c r="P4" t="b">
        <v>0</v>
      </c>
      <c r="Q4" t="s">
        <v>3155</v>
      </c>
      <c r="R4">
        <v>1512124</v>
      </c>
      <c r="AB4" s="120"/>
      <c r="BT4" s="90" t="s">
        <v>1264</v>
      </c>
      <c r="BU4" s="90">
        <v>1173</v>
      </c>
      <c r="BV4" s="90">
        <v>10</v>
      </c>
      <c r="BW4" s="68"/>
      <c r="BX4" s="90" t="s">
        <v>1533</v>
      </c>
      <c r="BY4" s="90" t="s">
        <v>890</v>
      </c>
      <c r="BZ4" s="90">
        <v>0.1</v>
      </c>
      <c r="CA4" s="90">
        <v>1.9</v>
      </c>
      <c r="CB4" s="90">
        <v>1</v>
      </c>
      <c r="CC4" s="90">
        <v>0</v>
      </c>
      <c r="CD4" s="90"/>
      <c r="CE4" s="90"/>
      <c r="CF4" s="90" t="s">
        <v>1534</v>
      </c>
      <c r="CG4" s="90">
        <v>300</v>
      </c>
      <c r="CH4" s="90">
        <v>300</v>
      </c>
      <c r="CI4" s="68"/>
      <c r="CJ4" s="68"/>
      <c r="CK4" s="125">
        <v>32</v>
      </c>
    </row>
    <row r="5" spans="1:89" ht="15" thickBot="1" x14ac:dyDescent="0.35">
      <c r="A5" s="114" t="s">
        <v>2782</v>
      </c>
      <c r="C5" t="s">
        <v>3246</v>
      </c>
      <c r="E5" s="90">
        <v>3.2</v>
      </c>
      <c r="F5" s="114" t="s">
        <v>2780</v>
      </c>
      <c r="G5" t="s">
        <v>3155</v>
      </c>
      <c r="H5" t="s">
        <v>3156</v>
      </c>
      <c r="M5" t="b">
        <v>1</v>
      </c>
      <c r="N5" t="b">
        <v>1</v>
      </c>
      <c r="O5" t="b">
        <v>0</v>
      </c>
      <c r="P5" t="b">
        <v>0</v>
      </c>
      <c r="Q5" t="s">
        <v>3155</v>
      </c>
      <c r="R5">
        <v>1512124</v>
      </c>
      <c r="AB5" s="120"/>
      <c r="BT5" s="90" t="s">
        <v>1264</v>
      </c>
      <c r="BU5" s="90">
        <v>1273</v>
      </c>
      <c r="BV5" s="90">
        <v>10</v>
      </c>
      <c r="BW5" s="68"/>
      <c r="BX5" s="90" t="s">
        <v>1533</v>
      </c>
      <c r="BY5" s="90" t="s">
        <v>890</v>
      </c>
      <c r="BZ5" s="90">
        <v>0.1</v>
      </c>
      <c r="CA5" s="90">
        <v>0.9</v>
      </c>
      <c r="CB5" s="90">
        <v>1</v>
      </c>
      <c r="CC5" s="90">
        <v>0</v>
      </c>
      <c r="CD5" s="90"/>
      <c r="CE5" s="90"/>
      <c r="CF5" s="90" t="s">
        <v>1534</v>
      </c>
      <c r="CG5" s="90">
        <v>300</v>
      </c>
      <c r="CH5" s="90">
        <v>300</v>
      </c>
      <c r="CI5" s="68"/>
      <c r="CJ5" s="68"/>
      <c r="CK5" s="125">
        <v>40</v>
      </c>
    </row>
    <row r="6" spans="1:89" ht="15" thickBot="1" x14ac:dyDescent="0.35">
      <c r="A6" s="114" t="s">
        <v>2783</v>
      </c>
      <c r="C6" t="s">
        <v>3246</v>
      </c>
      <c r="E6" s="90">
        <v>3.2</v>
      </c>
      <c r="F6" s="114" t="s">
        <v>2780</v>
      </c>
      <c r="G6" t="s">
        <v>3155</v>
      </c>
      <c r="H6" t="s">
        <v>3156</v>
      </c>
      <c r="M6" t="b">
        <v>1</v>
      </c>
      <c r="N6" t="b">
        <v>1</v>
      </c>
      <c r="O6" t="b">
        <v>0</v>
      </c>
      <c r="P6" t="b">
        <v>0</v>
      </c>
      <c r="Q6" t="s">
        <v>3155</v>
      </c>
      <c r="R6">
        <v>1512124</v>
      </c>
      <c r="AB6" s="120"/>
      <c r="BT6" s="90" t="s">
        <v>1264</v>
      </c>
      <c r="BU6" s="90">
        <v>1273</v>
      </c>
      <c r="BV6" s="90">
        <v>10</v>
      </c>
      <c r="BW6" s="68"/>
      <c r="BX6" s="90" t="s">
        <v>1533</v>
      </c>
      <c r="BY6" s="90" t="s">
        <v>890</v>
      </c>
      <c r="BZ6" s="90">
        <v>0.1</v>
      </c>
      <c r="CA6" s="90">
        <v>2.7</v>
      </c>
      <c r="CB6" s="90">
        <v>1</v>
      </c>
      <c r="CC6" s="90">
        <v>0</v>
      </c>
      <c r="CD6" s="90"/>
      <c r="CE6" s="90"/>
      <c r="CF6" s="90" t="s">
        <v>1534</v>
      </c>
      <c r="CG6" s="90">
        <v>300</v>
      </c>
      <c r="CH6" s="90">
        <v>300</v>
      </c>
      <c r="CI6" s="68"/>
      <c r="CJ6" s="68"/>
      <c r="CK6" s="125">
        <v>380</v>
      </c>
    </row>
    <row r="7" spans="1:89" ht="15" thickBot="1" x14ac:dyDescent="0.35">
      <c r="A7" s="114" t="s">
        <v>2784</v>
      </c>
      <c r="C7" t="s">
        <v>3246</v>
      </c>
      <c r="E7" s="90">
        <v>3.2</v>
      </c>
      <c r="F7" s="114" t="s">
        <v>2780</v>
      </c>
      <c r="G7" t="s">
        <v>3155</v>
      </c>
      <c r="H7" t="s">
        <v>3156</v>
      </c>
      <c r="M7" t="b">
        <v>1</v>
      </c>
      <c r="N7" t="b">
        <v>1</v>
      </c>
      <c r="O7" t="b">
        <v>0</v>
      </c>
      <c r="P7" t="b">
        <v>0</v>
      </c>
      <c r="Q7" t="s">
        <v>3155</v>
      </c>
      <c r="R7">
        <v>1512124</v>
      </c>
      <c r="AB7" s="120"/>
      <c r="BT7" s="90" t="s">
        <v>1264</v>
      </c>
      <c r="BU7" s="90">
        <v>1273</v>
      </c>
      <c r="BV7" s="90">
        <v>10</v>
      </c>
      <c r="BW7" s="68"/>
      <c r="BX7" s="90" t="s">
        <v>1533</v>
      </c>
      <c r="BY7" s="90" t="s">
        <v>890</v>
      </c>
      <c r="BZ7" s="90">
        <v>0.1</v>
      </c>
      <c r="CA7" s="90">
        <v>2.4</v>
      </c>
      <c r="CB7" s="90">
        <v>1</v>
      </c>
      <c r="CC7" s="90">
        <v>0</v>
      </c>
      <c r="CD7" s="90"/>
      <c r="CE7" s="90"/>
      <c r="CF7" s="90" t="s">
        <v>1534</v>
      </c>
      <c r="CG7" s="90">
        <v>300</v>
      </c>
      <c r="CH7" s="90">
        <v>300</v>
      </c>
      <c r="CI7" s="68"/>
      <c r="CJ7" s="68"/>
      <c r="CK7" s="125">
        <v>700</v>
      </c>
    </row>
    <row r="8" spans="1:89" ht="15" thickBot="1" x14ac:dyDescent="0.35">
      <c r="A8" s="114" t="s">
        <v>2779</v>
      </c>
      <c r="C8" t="s">
        <v>3247</v>
      </c>
      <c r="E8" s="90">
        <v>2.1</v>
      </c>
      <c r="F8" s="114" t="s">
        <v>2785</v>
      </c>
      <c r="G8" t="s">
        <v>3154</v>
      </c>
      <c r="H8">
        <v>-1</v>
      </c>
      <c r="M8" t="b">
        <v>0</v>
      </c>
      <c r="N8" t="b">
        <v>0</v>
      </c>
      <c r="O8" t="b">
        <v>0</v>
      </c>
      <c r="P8" t="b">
        <v>1</v>
      </c>
      <c r="Q8" t="s">
        <v>3154</v>
      </c>
      <c r="R8">
        <v>-1</v>
      </c>
      <c r="AB8" s="120"/>
      <c r="BT8" s="90" t="s">
        <v>1538</v>
      </c>
      <c r="BU8" s="90">
        <v>743</v>
      </c>
      <c r="BV8" s="90">
        <v>12</v>
      </c>
      <c r="BW8" s="68"/>
      <c r="BX8" s="90"/>
      <c r="BY8" s="90"/>
      <c r="BZ8" s="90"/>
      <c r="CA8" s="90"/>
      <c r="CB8" s="90">
        <v>4</v>
      </c>
      <c r="CC8" s="90">
        <v>0</v>
      </c>
      <c r="CD8" s="90"/>
      <c r="CE8" s="90"/>
      <c r="CF8" s="90" t="s">
        <v>1370</v>
      </c>
      <c r="CG8" s="90">
        <v>64</v>
      </c>
      <c r="CH8" s="90">
        <v>420</v>
      </c>
      <c r="CI8" s="68"/>
      <c r="CJ8" s="68"/>
      <c r="CK8" s="125">
        <v>91.07</v>
      </c>
    </row>
    <row r="9" spans="1:89" ht="15" thickBot="1" x14ac:dyDescent="0.35">
      <c r="A9" s="114" t="s">
        <v>2779</v>
      </c>
      <c r="C9" t="s">
        <v>3247</v>
      </c>
      <c r="E9" s="90">
        <v>2.1</v>
      </c>
      <c r="F9" s="117" t="s">
        <v>2785</v>
      </c>
      <c r="G9" t="s">
        <v>3154</v>
      </c>
      <c r="H9">
        <v>-1</v>
      </c>
      <c r="M9" t="b">
        <v>0</v>
      </c>
      <c r="N9" t="b">
        <v>0</v>
      </c>
      <c r="O9" t="b">
        <v>0</v>
      </c>
      <c r="P9" t="b">
        <v>1</v>
      </c>
      <c r="Q9" t="s">
        <v>3154</v>
      </c>
      <c r="R9">
        <v>-1</v>
      </c>
      <c r="AB9" s="120"/>
      <c r="BT9" s="90" t="s">
        <v>1538</v>
      </c>
      <c r="BU9" s="90">
        <v>743</v>
      </c>
      <c r="BV9" s="90">
        <v>12</v>
      </c>
      <c r="BW9" s="68"/>
      <c r="BX9" s="90"/>
      <c r="BY9" s="90"/>
      <c r="BZ9" s="90"/>
      <c r="CA9" s="90"/>
      <c r="CB9" s="90">
        <v>4</v>
      </c>
      <c r="CC9" s="90">
        <v>5</v>
      </c>
      <c r="CD9" s="90"/>
      <c r="CE9" s="90"/>
      <c r="CF9" s="90" t="s">
        <v>1370</v>
      </c>
      <c r="CG9" s="90">
        <v>64</v>
      </c>
      <c r="CH9" s="90">
        <v>420</v>
      </c>
      <c r="CI9" s="68"/>
      <c r="CJ9" s="68"/>
      <c r="CK9" s="125">
        <v>146.19999999999999</v>
      </c>
    </row>
    <row r="10" spans="1:89" ht="15" thickBot="1" x14ac:dyDescent="0.35">
      <c r="A10" s="114" t="s">
        <v>3521</v>
      </c>
      <c r="C10" t="s">
        <v>3248</v>
      </c>
      <c r="E10" s="90">
        <v>2.95</v>
      </c>
      <c r="F10" s="114" t="s">
        <v>2786</v>
      </c>
      <c r="G10" t="s">
        <v>3155</v>
      </c>
      <c r="H10" t="s">
        <v>3156</v>
      </c>
      <c r="M10" t="b">
        <v>1</v>
      </c>
      <c r="N10" t="b">
        <v>1</v>
      </c>
      <c r="O10" t="b">
        <v>0</v>
      </c>
      <c r="P10" t="b">
        <v>0</v>
      </c>
      <c r="Q10" t="s">
        <v>3155</v>
      </c>
      <c r="R10">
        <v>1512124</v>
      </c>
      <c r="AB10" s="120"/>
      <c r="BT10" s="90" t="s">
        <v>1407</v>
      </c>
      <c r="BU10" s="90"/>
      <c r="BV10" s="90"/>
      <c r="BW10" s="68"/>
      <c r="BX10" s="90" t="s">
        <v>1268</v>
      </c>
      <c r="BY10" s="90" t="s">
        <v>863</v>
      </c>
      <c r="BZ10" s="90">
        <v>0.5</v>
      </c>
      <c r="CA10" s="90"/>
      <c r="CB10" s="90">
        <v>0.5</v>
      </c>
      <c r="CC10" s="90">
        <v>20</v>
      </c>
      <c r="CD10" s="90"/>
      <c r="CE10" s="90"/>
      <c r="CF10" s="90" t="s">
        <v>1534</v>
      </c>
      <c r="CG10" s="90">
        <v>300</v>
      </c>
      <c r="CH10" s="90">
        <v>420</v>
      </c>
      <c r="CI10" s="68"/>
      <c r="CJ10" s="68"/>
      <c r="CK10" s="125">
        <v>66</v>
      </c>
    </row>
    <row r="11" spans="1:89" ht="15" thickBot="1" x14ac:dyDescent="0.35">
      <c r="A11" s="114" t="s">
        <v>3522</v>
      </c>
      <c r="C11" t="s">
        <v>3248</v>
      </c>
      <c r="E11" s="90">
        <v>2.9</v>
      </c>
      <c r="F11" s="114" t="s">
        <v>2786</v>
      </c>
      <c r="G11" t="s">
        <v>3155</v>
      </c>
      <c r="H11" t="s">
        <v>3156</v>
      </c>
      <c r="M11" t="b">
        <v>1</v>
      </c>
      <c r="N11" t="b">
        <v>1</v>
      </c>
      <c r="O11" t="b">
        <v>0</v>
      </c>
      <c r="P11" t="b">
        <v>0</v>
      </c>
      <c r="Q11" t="s">
        <v>3155</v>
      </c>
      <c r="R11">
        <v>1512124</v>
      </c>
      <c r="AB11" s="120"/>
      <c r="BT11" s="90" t="s">
        <v>1407</v>
      </c>
      <c r="BU11" s="90"/>
      <c r="BV11" s="90"/>
      <c r="BW11" s="68"/>
      <c r="BX11" s="90" t="s">
        <v>1268</v>
      </c>
      <c r="BY11" s="90" t="s">
        <v>863</v>
      </c>
      <c r="BZ11" s="90">
        <v>0.5</v>
      </c>
      <c r="CA11" s="90"/>
      <c r="CB11" s="90">
        <v>0.5</v>
      </c>
      <c r="CC11" s="90">
        <v>20</v>
      </c>
      <c r="CD11" s="90"/>
      <c r="CE11" s="90"/>
      <c r="CF11" s="90" t="s">
        <v>1534</v>
      </c>
      <c r="CG11" s="90">
        <v>300</v>
      </c>
      <c r="CH11" s="90">
        <v>420</v>
      </c>
      <c r="CI11" s="68"/>
      <c r="CJ11" s="68"/>
      <c r="CK11" s="125">
        <v>75</v>
      </c>
    </row>
    <row r="12" spans="1:89" ht="15" thickBot="1" x14ac:dyDescent="0.35">
      <c r="A12" s="114" t="s">
        <v>3523</v>
      </c>
      <c r="C12" t="s">
        <v>3248</v>
      </c>
      <c r="E12" s="90">
        <v>2.92</v>
      </c>
      <c r="F12" s="114" t="s">
        <v>2786</v>
      </c>
      <c r="G12" t="s">
        <v>3155</v>
      </c>
      <c r="H12" t="s">
        <v>3156</v>
      </c>
      <c r="M12" t="b">
        <v>1</v>
      </c>
      <c r="N12" t="b">
        <v>1</v>
      </c>
      <c r="O12" t="b">
        <v>0</v>
      </c>
      <c r="P12" t="b">
        <v>0</v>
      </c>
      <c r="Q12" t="s">
        <v>3155</v>
      </c>
      <c r="R12">
        <v>1512124</v>
      </c>
      <c r="AB12" s="120"/>
      <c r="BT12" s="90" t="s">
        <v>1407</v>
      </c>
      <c r="BU12" s="90"/>
      <c r="BV12" s="90"/>
      <c r="BW12" s="68"/>
      <c r="BX12" s="90" t="s">
        <v>1268</v>
      </c>
      <c r="BY12" s="90" t="s">
        <v>863</v>
      </c>
      <c r="BZ12" s="90">
        <v>0.5</v>
      </c>
      <c r="CA12" s="90"/>
      <c r="CB12" s="90">
        <v>0.5</v>
      </c>
      <c r="CC12" s="90">
        <v>20</v>
      </c>
      <c r="CD12" s="90"/>
      <c r="CE12" s="90"/>
      <c r="CF12" s="90" t="s">
        <v>1534</v>
      </c>
      <c r="CG12" s="90">
        <v>300</v>
      </c>
      <c r="CH12" s="90">
        <v>420</v>
      </c>
      <c r="CI12" s="68"/>
      <c r="CJ12" s="68"/>
      <c r="CK12" s="125">
        <v>76</v>
      </c>
    </row>
    <row r="13" spans="1:89" ht="15" thickBot="1" x14ac:dyDescent="0.35">
      <c r="A13" s="114" t="s">
        <v>3524</v>
      </c>
      <c r="C13" t="s">
        <v>3248</v>
      </c>
      <c r="E13" s="90">
        <v>2.8</v>
      </c>
      <c r="F13" s="114" t="s">
        <v>2786</v>
      </c>
      <c r="G13" t="s">
        <v>3155</v>
      </c>
      <c r="H13" t="s">
        <v>3156</v>
      </c>
      <c r="M13" t="b">
        <v>1</v>
      </c>
      <c r="N13" t="b">
        <v>1</v>
      </c>
      <c r="O13" t="b">
        <v>0</v>
      </c>
      <c r="P13" t="b">
        <v>0</v>
      </c>
      <c r="Q13" t="s">
        <v>3155</v>
      </c>
      <c r="R13">
        <v>1512124</v>
      </c>
      <c r="AB13" s="120"/>
      <c r="BT13" s="90" t="s">
        <v>1407</v>
      </c>
      <c r="BU13" s="90"/>
      <c r="BV13" s="90"/>
      <c r="BW13" s="68"/>
      <c r="BX13" s="90" t="s">
        <v>1268</v>
      </c>
      <c r="BY13" s="90" t="s">
        <v>863</v>
      </c>
      <c r="BZ13" s="90">
        <v>0.5</v>
      </c>
      <c r="CA13" s="90"/>
      <c r="CB13" s="90">
        <v>0.5</v>
      </c>
      <c r="CC13" s="90">
        <v>20</v>
      </c>
      <c r="CD13" s="90"/>
      <c r="CE13" s="90"/>
      <c r="CF13" s="90" t="s">
        <v>1534</v>
      </c>
      <c r="CG13" s="90">
        <v>300</v>
      </c>
      <c r="CH13" s="90">
        <v>420</v>
      </c>
      <c r="CI13" s="68"/>
      <c r="CJ13" s="68"/>
      <c r="CK13" s="125">
        <v>90</v>
      </c>
    </row>
    <row r="14" spans="1:89" ht="15" thickBot="1" x14ac:dyDescent="0.35">
      <c r="A14" s="114" t="s">
        <v>3525</v>
      </c>
      <c r="C14" t="s">
        <v>3248</v>
      </c>
      <c r="E14" s="90">
        <v>2.85</v>
      </c>
      <c r="F14" s="114" t="s">
        <v>2786</v>
      </c>
      <c r="G14" t="s">
        <v>3155</v>
      </c>
      <c r="H14" t="s">
        <v>3156</v>
      </c>
      <c r="M14" t="b">
        <v>1</v>
      </c>
      <c r="N14" t="b">
        <v>1</v>
      </c>
      <c r="O14" t="b">
        <v>0</v>
      </c>
      <c r="P14" t="b">
        <v>0</v>
      </c>
      <c r="Q14" t="s">
        <v>3155</v>
      </c>
      <c r="R14">
        <v>1512124</v>
      </c>
      <c r="AB14" s="120"/>
      <c r="BT14" s="90" t="s">
        <v>1407</v>
      </c>
      <c r="BU14" s="90"/>
      <c r="BV14" s="90"/>
      <c r="BW14" s="68"/>
      <c r="BX14" s="90" t="s">
        <v>1268</v>
      </c>
      <c r="BY14" s="90" t="s">
        <v>863</v>
      </c>
      <c r="BZ14" s="90">
        <v>0.5</v>
      </c>
      <c r="CA14" s="90"/>
      <c r="CB14" s="90">
        <v>0.5</v>
      </c>
      <c r="CC14" s="90">
        <v>20</v>
      </c>
      <c r="CD14" s="90"/>
      <c r="CE14" s="90"/>
      <c r="CF14" s="90" t="s">
        <v>1534</v>
      </c>
      <c r="CG14" s="90">
        <v>300</v>
      </c>
      <c r="CH14" s="90">
        <v>420</v>
      </c>
      <c r="CI14" s="68"/>
      <c r="CJ14" s="68"/>
      <c r="CK14" s="125">
        <v>71</v>
      </c>
    </row>
    <row r="15" spans="1:89" ht="15" thickBot="1" x14ac:dyDescent="0.35">
      <c r="A15" s="114" t="s">
        <v>3526</v>
      </c>
      <c r="C15" t="s">
        <v>3248</v>
      </c>
      <c r="E15" s="90">
        <v>2.9</v>
      </c>
      <c r="F15" s="114" t="s">
        <v>2786</v>
      </c>
      <c r="G15" t="s">
        <v>3155</v>
      </c>
      <c r="H15" t="s">
        <v>3156</v>
      </c>
      <c r="M15" t="b">
        <v>1</v>
      </c>
      <c r="N15" t="b">
        <v>1</v>
      </c>
      <c r="O15" t="b">
        <v>0</v>
      </c>
      <c r="P15" t="b">
        <v>0</v>
      </c>
      <c r="Q15" t="s">
        <v>3155</v>
      </c>
      <c r="R15">
        <v>1512124</v>
      </c>
      <c r="AB15" s="120"/>
      <c r="BT15" s="90" t="s">
        <v>1407</v>
      </c>
      <c r="BU15" s="90"/>
      <c r="BV15" s="90"/>
      <c r="BW15" s="68"/>
      <c r="BX15" s="90" t="s">
        <v>1268</v>
      </c>
      <c r="BY15" s="90" t="s">
        <v>863</v>
      </c>
      <c r="BZ15" s="90">
        <v>0.5</v>
      </c>
      <c r="CA15" s="90"/>
      <c r="CB15" s="90">
        <v>0.5</v>
      </c>
      <c r="CC15" s="90">
        <v>20</v>
      </c>
      <c r="CD15" s="90"/>
      <c r="CE15" s="90"/>
      <c r="CF15" s="90" t="s">
        <v>1534</v>
      </c>
      <c r="CG15" s="90">
        <v>300</v>
      </c>
      <c r="CH15" s="90">
        <v>420</v>
      </c>
      <c r="CI15" s="68"/>
      <c r="CJ15" s="68"/>
      <c r="CK15" s="125">
        <v>39</v>
      </c>
    </row>
    <row r="16" spans="1:89" ht="15" thickBot="1" x14ac:dyDescent="0.35">
      <c r="A16" s="114" t="s">
        <v>1376</v>
      </c>
      <c r="C16" t="s">
        <v>3249</v>
      </c>
      <c r="E16" s="90">
        <v>2.95</v>
      </c>
      <c r="F16" s="114" t="s">
        <v>2793</v>
      </c>
      <c r="G16" t="s">
        <v>3155</v>
      </c>
      <c r="H16" t="s">
        <v>3156</v>
      </c>
      <c r="M16" t="b">
        <v>1</v>
      </c>
      <c r="N16" t="b">
        <v>1</v>
      </c>
      <c r="O16" t="b">
        <v>0</v>
      </c>
      <c r="P16" t="b">
        <v>0</v>
      </c>
      <c r="Q16" t="s">
        <v>3155</v>
      </c>
      <c r="R16">
        <v>1512124</v>
      </c>
      <c r="AB16" s="120"/>
      <c r="BT16" s="90" t="s">
        <v>1264</v>
      </c>
      <c r="BU16" s="90">
        <v>1373</v>
      </c>
      <c r="BV16" s="90">
        <v>10</v>
      </c>
      <c r="BW16" s="68"/>
      <c r="BX16" s="90" t="s">
        <v>1533</v>
      </c>
      <c r="BY16" s="90" t="s">
        <v>1544</v>
      </c>
      <c r="BZ16" s="90">
        <v>3</v>
      </c>
      <c r="CA16" s="90"/>
      <c r="CB16" s="90">
        <v>1.66</v>
      </c>
      <c r="CC16" s="90">
        <v>0</v>
      </c>
      <c r="CD16" s="90" t="s">
        <v>1545</v>
      </c>
      <c r="CE16" s="90"/>
      <c r="CF16" s="90" t="s">
        <v>1534</v>
      </c>
      <c r="CG16" s="90">
        <v>300</v>
      </c>
      <c r="CH16" s="90">
        <v>440</v>
      </c>
      <c r="CI16" s="68"/>
      <c r="CJ16" s="68"/>
      <c r="CK16" s="125">
        <v>22</v>
      </c>
    </row>
    <row r="17" spans="1:89" ht="15" thickBot="1" x14ac:dyDescent="0.35">
      <c r="A17" s="114" t="s">
        <v>1376</v>
      </c>
      <c r="C17" t="s">
        <v>3249</v>
      </c>
      <c r="E17" s="90">
        <v>2.95</v>
      </c>
      <c r="F17" s="114" t="s">
        <v>2793</v>
      </c>
      <c r="G17" t="s">
        <v>3155</v>
      </c>
      <c r="H17" t="s">
        <v>3156</v>
      </c>
      <c r="M17" t="b">
        <v>1</v>
      </c>
      <c r="N17" t="b">
        <v>1</v>
      </c>
      <c r="O17" t="b">
        <v>0</v>
      </c>
      <c r="P17" t="b">
        <v>0</v>
      </c>
      <c r="Q17" t="s">
        <v>3155</v>
      </c>
      <c r="R17">
        <v>1512124</v>
      </c>
      <c r="AB17" s="120"/>
      <c r="BT17" s="90" t="s">
        <v>1264</v>
      </c>
      <c r="BU17" s="90">
        <v>1373</v>
      </c>
      <c r="BV17" s="90">
        <v>10</v>
      </c>
      <c r="BW17" s="68"/>
      <c r="BX17" s="90" t="s">
        <v>1533</v>
      </c>
      <c r="BY17" s="90" t="s">
        <v>1313</v>
      </c>
      <c r="BZ17" s="90">
        <v>1</v>
      </c>
      <c r="CA17" s="90"/>
      <c r="CB17" s="90">
        <v>1.66</v>
      </c>
      <c r="CC17" s="90">
        <v>0</v>
      </c>
      <c r="CD17" s="90" t="s">
        <v>1545</v>
      </c>
      <c r="CE17" s="90"/>
      <c r="CF17" s="90" t="s">
        <v>1534</v>
      </c>
      <c r="CG17" s="90">
        <v>300</v>
      </c>
      <c r="CH17" s="90">
        <v>440</v>
      </c>
      <c r="CI17" s="68"/>
      <c r="CJ17" s="68"/>
      <c r="CK17" s="125">
        <v>0.6</v>
      </c>
    </row>
    <row r="18" spans="1:89" ht="15" thickBot="1" x14ac:dyDescent="0.35">
      <c r="A18" s="114" t="s">
        <v>1376</v>
      </c>
      <c r="C18" t="s">
        <v>3249</v>
      </c>
      <c r="E18" s="90">
        <v>2.95</v>
      </c>
      <c r="F18" s="114" t="s">
        <v>2793</v>
      </c>
      <c r="G18" t="s">
        <v>3155</v>
      </c>
      <c r="H18" t="s">
        <v>3156</v>
      </c>
      <c r="M18" t="b">
        <v>1</v>
      </c>
      <c r="N18" t="b">
        <v>1</v>
      </c>
      <c r="O18" t="b">
        <v>0</v>
      </c>
      <c r="P18" t="b">
        <v>0</v>
      </c>
      <c r="Q18" t="s">
        <v>3155</v>
      </c>
      <c r="R18">
        <v>1512124</v>
      </c>
      <c r="AB18" s="120"/>
      <c r="BT18" s="90" t="s">
        <v>1264</v>
      </c>
      <c r="BU18" s="90">
        <v>1373</v>
      </c>
      <c r="BV18" s="90">
        <v>10</v>
      </c>
      <c r="BW18" s="68"/>
      <c r="BX18" s="90" t="s">
        <v>1268</v>
      </c>
      <c r="BY18" s="90" t="s">
        <v>1415</v>
      </c>
      <c r="BZ18" s="90">
        <v>0.5</v>
      </c>
      <c r="CA18" s="90"/>
      <c r="CB18" s="90">
        <v>1.66</v>
      </c>
      <c r="CC18" s="90">
        <v>0</v>
      </c>
      <c r="CD18" s="90" t="s">
        <v>1545</v>
      </c>
      <c r="CE18" s="90"/>
      <c r="CF18" s="90" t="s">
        <v>1534</v>
      </c>
      <c r="CG18" s="90">
        <v>300</v>
      </c>
      <c r="CH18" s="90">
        <v>440</v>
      </c>
      <c r="CI18" s="68"/>
      <c r="CJ18" s="68"/>
      <c r="CK18" s="125">
        <v>2.5</v>
      </c>
    </row>
    <row r="19" spans="1:89" ht="15" thickBot="1" x14ac:dyDescent="0.35">
      <c r="A19" s="114" t="s">
        <v>1376</v>
      </c>
      <c r="C19" t="s">
        <v>3249</v>
      </c>
      <c r="E19" s="90">
        <v>2.95</v>
      </c>
      <c r="F19" s="114" t="s">
        <v>2793</v>
      </c>
      <c r="G19" t="s">
        <v>3155</v>
      </c>
      <c r="H19" t="s">
        <v>3156</v>
      </c>
      <c r="M19" t="b">
        <v>1</v>
      </c>
      <c r="N19" t="b">
        <v>1</v>
      </c>
      <c r="O19" t="b">
        <v>0</v>
      </c>
      <c r="P19" t="b">
        <v>0</v>
      </c>
      <c r="Q19" t="s">
        <v>3155</v>
      </c>
      <c r="R19">
        <v>1512124</v>
      </c>
      <c r="AB19" s="120"/>
      <c r="BT19" s="90" t="s">
        <v>1264</v>
      </c>
      <c r="BU19" s="90">
        <v>1373</v>
      </c>
      <c r="BV19" s="90">
        <v>10</v>
      </c>
      <c r="BW19" s="68"/>
      <c r="BX19" s="90" t="s">
        <v>1533</v>
      </c>
      <c r="BY19" s="90" t="s">
        <v>1544</v>
      </c>
      <c r="BZ19" s="90">
        <v>1</v>
      </c>
      <c r="CA19" s="90"/>
      <c r="CB19" s="90">
        <v>1.66</v>
      </c>
      <c r="CC19" s="90">
        <v>0</v>
      </c>
      <c r="CD19" s="90" t="s">
        <v>1545</v>
      </c>
      <c r="CE19" s="90"/>
      <c r="CF19" s="90" t="s">
        <v>1534</v>
      </c>
      <c r="CG19" s="90">
        <v>300</v>
      </c>
      <c r="CH19" s="90">
        <v>440</v>
      </c>
      <c r="CI19" s="68"/>
      <c r="CJ19" s="68"/>
      <c r="CK19" s="125">
        <v>18.5</v>
      </c>
    </row>
    <row r="20" spans="1:89" ht="15" thickBot="1" x14ac:dyDescent="0.35">
      <c r="A20" s="114" t="s">
        <v>1376</v>
      </c>
      <c r="C20" t="s">
        <v>3249</v>
      </c>
      <c r="E20" s="90">
        <v>2.95</v>
      </c>
      <c r="F20" s="114" t="s">
        <v>2793</v>
      </c>
      <c r="G20" t="s">
        <v>3155</v>
      </c>
      <c r="H20" t="s">
        <v>3156</v>
      </c>
      <c r="M20" t="b">
        <v>1</v>
      </c>
      <c r="N20" t="b">
        <v>1</v>
      </c>
      <c r="O20" t="b">
        <v>0</v>
      </c>
      <c r="P20" t="b">
        <v>0</v>
      </c>
      <c r="Q20" t="s">
        <v>3155</v>
      </c>
      <c r="R20">
        <v>1512124</v>
      </c>
      <c r="AB20" s="120"/>
      <c r="BT20" s="90" t="s">
        <v>1264</v>
      </c>
      <c r="BU20" s="90">
        <v>1373</v>
      </c>
      <c r="BV20" s="90">
        <v>10</v>
      </c>
      <c r="BW20" s="68"/>
      <c r="BX20" s="90" t="s">
        <v>1533</v>
      </c>
      <c r="BY20" s="90" t="s">
        <v>1544</v>
      </c>
      <c r="BZ20" s="90">
        <v>3</v>
      </c>
      <c r="CA20" s="90"/>
      <c r="CB20" s="90">
        <v>1.66</v>
      </c>
      <c r="CC20" s="90">
        <v>0</v>
      </c>
      <c r="CD20" s="90" t="s">
        <v>1545</v>
      </c>
      <c r="CE20" s="90"/>
      <c r="CF20" s="90" t="s">
        <v>1534</v>
      </c>
      <c r="CG20" s="90">
        <v>300</v>
      </c>
      <c r="CH20" s="90">
        <v>300</v>
      </c>
      <c r="CI20" s="68"/>
      <c r="CJ20" s="68"/>
      <c r="CK20" s="125">
        <v>60</v>
      </c>
    </row>
    <row r="21" spans="1:89" ht="15" thickBot="1" x14ac:dyDescent="0.35">
      <c r="A21" s="114" t="s">
        <v>1376</v>
      </c>
      <c r="C21" t="s">
        <v>3249</v>
      </c>
      <c r="E21" s="90">
        <v>3.26</v>
      </c>
      <c r="F21" s="114" t="s">
        <v>2793</v>
      </c>
      <c r="G21" t="s">
        <v>3155</v>
      </c>
      <c r="H21" t="s">
        <v>3156</v>
      </c>
      <c r="M21" t="b">
        <v>1</v>
      </c>
      <c r="N21" t="b">
        <v>1</v>
      </c>
      <c r="O21" t="b">
        <v>0</v>
      </c>
      <c r="P21" t="b">
        <v>0</v>
      </c>
      <c r="Q21" t="s">
        <v>3155</v>
      </c>
      <c r="R21">
        <v>1512124</v>
      </c>
      <c r="AB21" s="120"/>
      <c r="BT21" s="90" t="s">
        <v>1264</v>
      </c>
      <c r="BU21" s="90">
        <v>1373</v>
      </c>
      <c r="BV21" s="90">
        <v>10</v>
      </c>
      <c r="BW21" s="68"/>
      <c r="BX21" s="90" t="s">
        <v>1533</v>
      </c>
      <c r="BY21" s="90" t="s">
        <v>1544</v>
      </c>
      <c r="BZ21" s="90">
        <v>3</v>
      </c>
      <c r="CA21" s="90"/>
      <c r="CB21" s="90">
        <v>1.66</v>
      </c>
      <c r="CC21" s="90">
        <v>0</v>
      </c>
      <c r="CD21" s="90" t="s">
        <v>1545</v>
      </c>
      <c r="CE21" s="90"/>
      <c r="CF21" s="90" t="s">
        <v>1534</v>
      </c>
      <c r="CG21" s="90">
        <v>300</v>
      </c>
      <c r="CH21" s="90">
        <v>440</v>
      </c>
      <c r="CI21" s="68"/>
      <c r="CJ21" s="68"/>
      <c r="CK21" s="125">
        <v>3.15</v>
      </c>
    </row>
    <row r="22" spans="1:89" ht="15" thickBot="1" x14ac:dyDescent="0.35">
      <c r="A22" s="114" t="s">
        <v>1376</v>
      </c>
      <c r="C22" t="s">
        <v>3249</v>
      </c>
      <c r="E22" s="90">
        <v>3.26</v>
      </c>
      <c r="F22" s="114" t="s">
        <v>2793</v>
      </c>
      <c r="G22" t="s">
        <v>3155</v>
      </c>
      <c r="H22" t="s">
        <v>3156</v>
      </c>
      <c r="M22" t="b">
        <v>1</v>
      </c>
      <c r="N22" t="b">
        <v>1</v>
      </c>
      <c r="O22" t="b">
        <v>0</v>
      </c>
      <c r="P22" t="b">
        <v>0</v>
      </c>
      <c r="Q22" t="s">
        <v>3155</v>
      </c>
      <c r="R22">
        <v>1512124</v>
      </c>
      <c r="AB22" s="120"/>
      <c r="BT22" s="90" t="s">
        <v>1264</v>
      </c>
      <c r="BU22" s="90">
        <v>1373</v>
      </c>
      <c r="BV22" s="90">
        <v>10</v>
      </c>
      <c r="BW22" s="68"/>
      <c r="BX22" s="90" t="s">
        <v>1533</v>
      </c>
      <c r="BY22" s="90" t="s">
        <v>1544</v>
      </c>
      <c r="BZ22" s="90">
        <v>3</v>
      </c>
      <c r="CA22" s="90"/>
      <c r="CB22" s="90">
        <v>1.66</v>
      </c>
      <c r="CC22" s="90">
        <v>0</v>
      </c>
      <c r="CD22" s="90" t="s">
        <v>1545</v>
      </c>
      <c r="CE22" s="90"/>
      <c r="CF22" s="90" t="s">
        <v>1534</v>
      </c>
      <c r="CG22" s="90">
        <v>300</v>
      </c>
      <c r="CH22" s="90">
        <v>300</v>
      </c>
      <c r="CI22" s="68"/>
      <c r="CJ22" s="68"/>
      <c r="CK22" s="125">
        <v>3.65</v>
      </c>
    </row>
    <row r="23" spans="1:89" ht="15" thickBot="1" x14ac:dyDescent="0.35">
      <c r="A23" s="114" t="s">
        <v>2794</v>
      </c>
      <c r="C23" t="s">
        <v>3250</v>
      </c>
      <c r="E23" s="90">
        <v>1.9</v>
      </c>
      <c r="F23" s="114" t="s">
        <v>2795</v>
      </c>
      <c r="G23" t="s">
        <v>3157</v>
      </c>
      <c r="H23" t="s">
        <v>3158</v>
      </c>
      <c r="M23" t="b">
        <v>1</v>
      </c>
      <c r="N23" t="b">
        <v>1</v>
      </c>
      <c r="O23" t="b">
        <v>0</v>
      </c>
      <c r="P23" t="b">
        <v>0</v>
      </c>
      <c r="Q23" t="s">
        <v>3157</v>
      </c>
      <c r="R23">
        <v>1009075</v>
      </c>
      <c r="AB23" s="120"/>
      <c r="BT23" s="90" t="s">
        <v>1305</v>
      </c>
      <c r="BU23" s="90">
        <v>773</v>
      </c>
      <c r="BV23" s="90">
        <v>12</v>
      </c>
      <c r="BW23" s="68"/>
      <c r="BX23" s="90" t="s">
        <v>1268</v>
      </c>
      <c r="BY23" s="90" t="s">
        <v>890</v>
      </c>
      <c r="BZ23" s="90">
        <v>1.5</v>
      </c>
      <c r="CA23" s="90"/>
      <c r="CB23" s="90">
        <v>0.5</v>
      </c>
      <c r="CC23" s="90">
        <v>0</v>
      </c>
      <c r="CD23" s="90" t="s">
        <v>1550</v>
      </c>
      <c r="CE23" s="90" t="s">
        <v>1551</v>
      </c>
      <c r="CF23" s="90" t="s">
        <v>1552</v>
      </c>
      <c r="CG23" s="90">
        <v>450</v>
      </c>
      <c r="CH23" s="90">
        <v>400</v>
      </c>
      <c r="CI23" s="68"/>
      <c r="CJ23" s="68"/>
      <c r="CK23" s="125">
        <v>312.5</v>
      </c>
    </row>
    <row r="24" spans="1:89" ht="15" thickBot="1" x14ac:dyDescent="0.35">
      <c r="A24" s="114" t="s">
        <v>2797</v>
      </c>
      <c r="C24" t="s">
        <v>3251</v>
      </c>
      <c r="E24" s="90">
        <v>2.64</v>
      </c>
      <c r="F24" s="90" t="s">
        <v>2796</v>
      </c>
      <c r="G24" t="s">
        <v>3154</v>
      </c>
      <c r="H24">
        <v>-1</v>
      </c>
      <c r="M24" t="b">
        <v>0</v>
      </c>
      <c r="N24" t="b">
        <v>0</v>
      </c>
      <c r="O24" t="b">
        <v>0</v>
      </c>
      <c r="P24" t="b">
        <v>1</v>
      </c>
      <c r="Q24" t="s">
        <v>3154</v>
      </c>
      <c r="R24">
        <v>-1</v>
      </c>
      <c r="AB24" s="120"/>
      <c r="BT24" s="90" t="s">
        <v>1407</v>
      </c>
      <c r="BU24" s="90"/>
      <c r="BV24" s="90"/>
      <c r="BW24" s="68"/>
      <c r="BX24" s="90" t="s">
        <v>1268</v>
      </c>
      <c r="BY24" s="90" t="s">
        <v>1415</v>
      </c>
      <c r="BZ24" s="90">
        <v>0.5</v>
      </c>
      <c r="CA24" s="90"/>
      <c r="CB24" s="90">
        <v>1</v>
      </c>
      <c r="CC24" s="90">
        <v>0</v>
      </c>
      <c r="CD24" s="90" t="s">
        <v>1550</v>
      </c>
      <c r="CE24" s="90" t="s">
        <v>1551</v>
      </c>
      <c r="CF24" s="90" t="s">
        <v>1534</v>
      </c>
      <c r="CG24" s="90">
        <v>300</v>
      </c>
      <c r="CH24" s="90">
        <v>420</v>
      </c>
      <c r="CI24" s="68"/>
      <c r="CJ24" s="68"/>
      <c r="CK24" s="125">
        <v>1850</v>
      </c>
    </row>
    <row r="25" spans="1:89" ht="15" thickBot="1" x14ac:dyDescent="0.35">
      <c r="A25" s="114" t="s">
        <v>2799</v>
      </c>
      <c r="C25" t="s">
        <v>3252</v>
      </c>
      <c r="E25" s="90">
        <v>2.57</v>
      </c>
      <c r="F25" s="90" t="s">
        <v>2796</v>
      </c>
      <c r="G25" t="s">
        <v>3154</v>
      </c>
      <c r="H25">
        <v>-1</v>
      </c>
      <c r="M25" t="b">
        <v>0</v>
      </c>
      <c r="N25" t="b">
        <v>0</v>
      </c>
      <c r="O25" t="b">
        <v>0</v>
      </c>
      <c r="P25" t="b">
        <v>1</v>
      </c>
      <c r="Q25" t="s">
        <v>3154</v>
      </c>
      <c r="R25">
        <v>-1</v>
      </c>
      <c r="AB25" s="120"/>
      <c r="BT25" s="90" t="s">
        <v>1407</v>
      </c>
      <c r="BU25" s="90"/>
      <c r="BV25" s="90"/>
      <c r="BW25" s="68"/>
      <c r="BX25" s="90" t="s">
        <v>1268</v>
      </c>
      <c r="BY25" s="90" t="s">
        <v>1415</v>
      </c>
      <c r="BZ25" s="90">
        <v>0.5</v>
      </c>
      <c r="CA25" s="90"/>
      <c r="CB25" s="90">
        <v>1</v>
      </c>
      <c r="CC25" s="90">
        <v>0</v>
      </c>
      <c r="CD25" s="90" t="s">
        <v>1550</v>
      </c>
      <c r="CE25" s="90" t="s">
        <v>1551</v>
      </c>
      <c r="CF25" s="90" t="s">
        <v>1534</v>
      </c>
      <c r="CG25" s="90">
        <v>300</v>
      </c>
      <c r="CH25" s="90">
        <v>420</v>
      </c>
      <c r="CI25" s="68"/>
      <c r="CJ25" s="68"/>
      <c r="CK25" s="125">
        <v>2810</v>
      </c>
    </row>
    <row r="26" spans="1:89" ht="15" thickBot="1" x14ac:dyDescent="0.35">
      <c r="A26" s="114" t="s">
        <v>2798</v>
      </c>
      <c r="C26" t="s">
        <v>3252</v>
      </c>
      <c r="E26" s="90">
        <v>2.48</v>
      </c>
      <c r="F26" s="90" t="s">
        <v>2796</v>
      </c>
      <c r="G26" t="s">
        <v>3154</v>
      </c>
      <c r="H26">
        <v>-1</v>
      </c>
      <c r="M26" t="b">
        <v>0</v>
      </c>
      <c r="N26" t="b">
        <v>0</v>
      </c>
      <c r="O26" t="b">
        <v>0</v>
      </c>
      <c r="P26" t="b">
        <v>1</v>
      </c>
      <c r="Q26" t="s">
        <v>3154</v>
      </c>
      <c r="R26">
        <v>-1</v>
      </c>
      <c r="AB26" s="120"/>
      <c r="BT26" s="90" t="s">
        <v>1407</v>
      </c>
      <c r="BU26" s="90"/>
      <c r="BV26" s="90"/>
      <c r="BW26" s="68"/>
      <c r="BX26" s="90" t="s">
        <v>1268</v>
      </c>
      <c r="BY26" s="90" t="s">
        <v>1415</v>
      </c>
      <c r="BZ26" s="90">
        <v>0.5</v>
      </c>
      <c r="CA26" s="90"/>
      <c r="CB26" s="90">
        <v>1</v>
      </c>
      <c r="CC26" s="90">
        <v>0</v>
      </c>
      <c r="CD26" s="90" t="s">
        <v>1550</v>
      </c>
      <c r="CE26" s="90" t="s">
        <v>1551</v>
      </c>
      <c r="CF26" s="90" t="s">
        <v>1534</v>
      </c>
      <c r="CG26" s="90">
        <v>300</v>
      </c>
      <c r="CH26" s="90">
        <v>420</v>
      </c>
      <c r="CI26" s="68"/>
      <c r="CJ26" s="68"/>
      <c r="CK26" s="125">
        <v>2940</v>
      </c>
    </row>
    <row r="27" spans="1:89" ht="15" thickBot="1" x14ac:dyDescent="0.35">
      <c r="A27" s="114" t="s">
        <v>2800</v>
      </c>
      <c r="C27" t="s">
        <v>3253</v>
      </c>
      <c r="E27" s="90">
        <v>2.4700000000000002</v>
      </c>
      <c r="F27" s="90" t="s">
        <v>2796</v>
      </c>
      <c r="G27" t="s">
        <v>3154</v>
      </c>
      <c r="H27">
        <v>-1</v>
      </c>
      <c r="M27" t="b">
        <v>0</v>
      </c>
      <c r="N27" t="b">
        <v>0</v>
      </c>
      <c r="O27" t="b">
        <v>0</v>
      </c>
      <c r="P27" t="b">
        <v>1</v>
      </c>
      <c r="Q27" t="s">
        <v>3154</v>
      </c>
      <c r="R27">
        <v>-1</v>
      </c>
      <c r="AB27" s="120"/>
      <c r="BT27" s="90" t="s">
        <v>1407</v>
      </c>
      <c r="BU27" s="90"/>
      <c r="BV27" s="90"/>
      <c r="BW27" s="68"/>
      <c r="BX27" s="90" t="s">
        <v>1268</v>
      </c>
      <c r="BY27" s="90" t="s">
        <v>1415</v>
      </c>
      <c r="BZ27" s="90">
        <v>0.5</v>
      </c>
      <c r="CA27" s="90"/>
      <c r="CB27" s="90">
        <v>1</v>
      </c>
      <c r="CC27" s="90">
        <v>0</v>
      </c>
      <c r="CD27" s="90" t="s">
        <v>1550</v>
      </c>
      <c r="CE27" s="90" t="s">
        <v>1551</v>
      </c>
      <c r="CF27" s="90" t="s">
        <v>1534</v>
      </c>
      <c r="CG27" s="90">
        <v>300</v>
      </c>
      <c r="CH27" s="90">
        <v>420</v>
      </c>
      <c r="CI27" s="68"/>
      <c r="CJ27" s="68"/>
      <c r="CK27" s="125">
        <v>3200</v>
      </c>
    </row>
    <row r="28" spans="1:89" ht="15" thickBot="1" x14ac:dyDescent="0.35">
      <c r="A28" s="114" t="s">
        <v>2801</v>
      </c>
      <c r="C28" t="s">
        <v>3254</v>
      </c>
      <c r="E28" s="90">
        <v>2.4500000000000002</v>
      </c>
      <c r="F28" s="90" t="s">
        <v>2796</v>
      </c>
      <c r="G28" t="s">
        <v>3154</v>
      </c>
      <c r="H28">
        <v>-1</v>
      </c>
      <c r="M28" t="b">
        <v>0</v>
      </c>
      <c r="N28" t="b">
        <v>0</v>
      </c>
      <c r="O28" t="b">
        <v>0</v>
      </c>
      <c r="P28" t="b">
        <v>1</v>
      </c>
      <c r="Q28" t="s">
        <v>3154</v>
      </c>
      <c r="R28">
        <v>-1</v>
      </c>
      <c r="AB28" s="120"/>
      <c r="BT28" s="90" t="s">
        <v>1407</v>
      </c>
      <c r="BU28" s="90"/>
      <c r="BV28" s="90"/>
      <c r="BW28" s="68"/>
      <c r="BX28" s="90" t="s">
        <v>1268</v>
      </c>
      <c r="BY28" s="90" t="s">
        <v>1415</v>
      </c>
      <c r="BZ28" s="90">
        <v>0.5</v>
      </c>
      <c r="CA28" s="90"/>
      <c r="CB28" s="90">
        <v>1</v>
      </c>
      <c r="CC28" s="90">
        <v>0</v>
      </c>
      <c r="CD28" s="90" t="s">
        <v>1550</v>
      </c>
      <c r="CE28" s="90" t="s">
        <v>1551</v>
      </c>
      <c r="CF28" s="90" t="s">
        <v>1534</v>
      </c>
      <c r="CG28" s="90">
        <v>300</v>
      </c>
      <c r="CH28" s="90">
        <v>420</v>
      </c>
      <c r="CI28" s="68"/>
      <c r="CJ28" s="68"/>
      <c r="CK28" s="125">
        <v>2580</v>
      </c>
    </row>
    <row r="29" spans="1:89" ht="15" thickBot="1" x14ac:dyDescent="0.35">
      <c r="A29" s="114" t="s">
        <v>2802</v>
      </c>
      <c r="C29" t="s">
        <v>3255</v>
      </c>
      <c r="E29" s="90">
        <v>2.41</v>
      </c>
      <c r="F29" s="90" t="s">
        <v>2796</v>
      </c>
      <c r="G29" t="s">
        <v>3154</v>
      </c>
      <c r="H29">
        <v>-1</v>
      </c>
      <c r="M29" t="b">
        <v>0</v>
      </c>
      <c r="N29" t="b">
        <v>0</v>
      </c>
      <c r="O29" t="b">
        <v>0</v>
      </c>
      <c r="P29" t="b">
        <v>1</v>
      </c>
      <c r="Q29" t="s">
        <v>3154</v>
      </c>
      <c r="R29">
        <v>-1</v>
      </c>
      <c r="AB29" s="120"/>
      <c r="BT29" s="90" t="s">
        <v>1407</v>
      </c>
      <c r="BU29" s="90"/>
      <c r="BV29" s="90"/>
      <c r="BW29" s="68"/>
      <c r="BX29" s="90" t="s">
        <v>1268</v>
      </c>
      <c r="BY29" s="90" t="s">
        <v>1415</v>
      </c>
      <c r="BZ29" s="90">
        <v>0.5</v>
      </c>
      <c r="CA29" s="90"/>
      <c r="CB29" s="90">
        <v>1</v>
      </c>
      <c r="CC29" s="90">
        <v>0</v>
      </c>
      <c r="CD29" s="90" t="s">
        <v>1550</v>
      </c>
      <c r="CE29" s="90" t="s">
        <v>1551</v>
      </c>
      <c r="CF29" s="90" t="s">
        <v>1534</v>
      </c>
      <c r="CG29" s="90">
        <v>300</v>
      </c>
      <c r="CH29" s="90">
        <v>420</v>
      </c>
      <c r="CI29" s="68"/>
      <c r="CJ29" s="68"/>
      <c r="CK29" s="125">
        <v>1940</v>
      </c>
    </row>
    <row r="30" spans="1:89" ht="15" thickBot="1" x14ac:dyDescent="0.35">
      <c r="A30" s="114" t="s">
        <v>2803</v>
      </c>
      <c r="C30" t="s">
        <v>3256</v>
      </c>
      <c r="E30" s="90">
        <v>3.99</v>
      </c>
      <c r="F30" s="114" t="s">
        <v>2804</v>
      </c>
      <c r="G30" t="s">
        <v>3154</v>
      </c>
      <c r="H30">
        <v>-1</v>
      </c>
      <c r="I30" t="s">
        <v>3396</v>
      </c>
      <c r="L30" s="73" t="s">
        <v>2248</v>
      </c>
      <c r="M30" t="b">
        <v>0</v>
      </c>
      <c r="N30" t="b">
        <v>0</v>
      </c>
      <c r="O30" t="b">
        <v>0</v>
      </c>
      <c r="P30" t="b">
        <v>1</v>
      </c>
      <c r="Q30" t="s">
        <v>3154</v>
      </c>
      <c r="R30">
        <v>-1</v>
      </c>
      <c r="S30" t="s">
        <v>3528</v>
      </c>
      <c r="AB30" s="120"/>
      <c r="BT30" s="90" t="s">
        <v>1264</v>
      </c>
      <c r="BU30" s="90">
        <v>1173</v>
      </c>
      <c r="BV30" s="90">
        <v>10</v>
      </c>
      <c r="BW30" s="68"/>
      <c r="BX30" s="90"/>
      <c r="BY30" s="90"/>
      <c r="BZ30" s="90">
        <v>0.5</v>
      </c>
      <c r="CA30" s="90"/>
      <c r="CB30" s="90">
        <v>1.42</v>
      </c>
      <c r="CC30" s="90">
        <v>0</v>
      </c>
      <c r="CD30" s="90"/>
      <c r="CE30" s="90"/>
      <c r="CF30" s="90" t="s">
        <v>1552</v>
      </c>
      <c r="CG30" s="90">
        <v>400</v>
      </c>
      <c r="CH30" s="90">
        <v>285</v>
      </c>
      <c r="CI30" s="68"/>
      <c r="CJ30" s="68"/>
      <c r="CK30" s="125">
        <v>542</v>
      </c>
    </row>
    <row r="31" spans="1:89" ht="15" thickBot="1" x14ac:dyDescent="0.35">
      <c r="A31" s="114" t="s">
        <v>2803</v>
      </c>
      <c r="C31" t="s">
        <v>3256</v>
      </c>
      <c r="E31" s="90">
        <v>3.99</v>
      </c>
      <c r="F31" s="114" t="s">
        <v>2804</v>
      </c>
      <c r="G31" t="s">
        <v>3154</v>
      </c>
      <c r="H31">
        <v>-1</v>
      </c>
      <c r="I31" t="s">
        <v>3396</v>
      </c>
      <c r="L31" s="73" t="s">
        <v>2248</v>
      </c>
      <c r="M31" t="b">
        <v>0</v>
      </c>
      <c r="N31" t="b">
        <v>0</v>
      </c>
      <c r="O31" t="b">
        <v>0</v>
      </c>
      <c r="P31" t="b">
        <v>1</v>
      </c>
      <c r="Q31" t="s">
        <v>3154</v>
      </c>
      <c r="R31">
        <v>-1</v>
      </c>
      <c r="S31" t="s">
        <v>3528</v>
      </c>
      <c r="AB31" s="120"/>
      <c r="BT31" s="90" t="s">
        <v>1264</v>
      </c>
      <c r="BU31" s="90">
        <v>1173</v>
      </c>
      <c r="BV31" s="90">
        <v>10</v>
      </c>
      <c r="BW31" s="68"/>
      <c r="BX31" s="90" t="s">
        <v>1533</v>
      </c>
      <c r="BY31" s="90" t="s">
        <v>56</v>
      </c>
      <c r="BZ31" s="90">
        <v>0.5</v>
      </c>
      <c r="CA31" s="90"/>
      <c r="CB31" s="90">
        <v>1.42</v>
      </c>
      <c r="CC31" s="90">
        <v>0</v>
      </c>
      <c r="CD31" s="90"/>
      <c r="CE31" s="90"/>
      <c r="CF31" s="90" t="s">
        <v>1552</v>
      </c>
      <c r="CG31" s="90">
        <v>400</v>
      </c>
      <c r="CH31" s="90">
        <v>285</v>
      </c>
      <c r="CI31" s="68"/>
      <c r="CJ31" s="68"/>
      <c r="CK31" s="125">
        <v>1278</v>
      </c>
    </row>
    <row r="32" spans="1:89" ht="15" thickBot="1" x14ac:dyDescent="0.35">
      <c r="A32" s="114" t="s">
        <v>2803</v>
      </c>
      <c r="C32" t="s">
        <v>3256</v>
      </c>
      <c r="E32" s="90">
        <v>4.13</v>
      </c>
      <c r="F32" s="114" t="s">
        <v>2804</v>
      </c>
      <c r="G32" t="s">
        <v>3154</v>
      </c>
      <c r="H32">
        <v>-1</v>
      </c>
      <c r="I32" t="s">
        <v>3396</v>
      </c>
      <c r="L32" s="73" t="s">
        <v>2248</v>
      </c>
      <c r="M32" t="b">
        <v>0</v>
      </c>
      <c r="N32" t="b">
        <v>0</v>
      </c>
      <c r="O32" t="b">
        <v>0</v>
      </c>
      <c r="P32" t="b">
        <v>1</v>
      </c>
      <c r="Q32" t="s">
        <v>3154</v>
      </c>
      <c r="R32">
        <v>-1</v>
      </c>
      <c r="S32" t="s">
        <v>3528</v>
      </c>
      <c r="AB32" s="120"/>
      <c r="BT32" s="90" t="s">
        <v>1264</v>
      </c>
      <c r="BU32" s="90">
        <v>1423</v>
      </c>
      <c r="BV32" s="90">
        <v>10</v>
      </c>
      <c r="BW32" s="68"/>
      <c r="BX32" s="90"/>
      <c r="BY32" s="90"/>
      <c r="BZ32" s="90">
        <v>0.5</v>
      </c>
      <c r="CA32" s="90"/>
      <c r="CB32" s="90">
        <v>1.42</v>
      </c>
      <c r="CC32" s="90">
        <v>0</v>
      </c>
      <c r="CD32" s="90"/>
      <c r="CE32" s="90"/>
      <c r="CF32" s="90" t="s">
        <v>1552</v>
      </c>
      <c r="CG32" s="90">
        <v>400</v>
      </c>
      <c r="CH32" s="90">
        <v>285</v>
      </c>
      <c r="CI32" s="68"/>
      <c r="CJ32" s="68"/>
      <c r="CK32" s="125">
        <v>204</v>
      </c>
    </row>
    <row r="33" spans="1:89" ht="15" thickBot="1" x14ac:dyDescent="0.35">
      <c r="A33" s="114" t="s">
        <v>2803</v>
      </c>
      <c r="C33" t="s">
        <v>3256</v>
      </c>
      <c r="E33" s="90">
        <v>4.13</v>
      </c>
      <c r="F33" s="114" t="s">
        <v>2804</v>
      </c>
      <c r="G33" t="s">
        <v>3154</v>
      </c>
      <c r="H33">
        <v>-1</v>
      </c>
      <c r="I33" t="s">
        <v>3396</v>
      </c>
      <c r="L33" s="73" t="s">
        <v>2248</v>
      </c>
      <c r="M33" t="b">
        <v>0</v>
      </c>
      <c r="N33" t="b">
        <v>0</v>
      </c>
      <c r="O33" t="b">
        <v>0</v>
      </c>
      <c r="P33" t="b">
        <v>1</v>
      </c>
      <c r="Q33" t="s">
        <v>3154</v>
      </c>
      <c r="R33">
        <v>-1</v>
      </c>
      <c r="S33" t="s">
        <v>3528</v>
      </c>
      <c r="AB33" s="120"/>
      <c r="BT33" s="90" t="s">
        <v>1264</v>
      </c>
      <c r="BU33" s="90">
        <v>1423</v>
      </c>
      <c r="BV33" s="90">
        <v>10</v>
      </c>
      <c r="BW33" s="68"/>
      <c r="BX33" s="90" t="s">
        <v>1533</v>
      </c>
      <c r="BY33" s="90" t="s">
        <v>56</v>
      </c>
      <c r="BZ33" s="90">
        <v>0.5</v>
      </c>
      <c r="CA33" s="90"/>
      <c r="CB33" s="90">
        <v>1.42</v>
      </c>
      <c r="CC33" s="90">
        <v>0</v>
      </c>
      <c r="CD33" s="90"/>
      <c r="CE33" s="90"/>
      <c r="CF33" s="90" t="s">
        <v>1552</v>
      </c>
      <c r="CG33" s="90">
        <v>400</v>
      </c>
      <c r="CH33" s="90">
        <v>285</v>
      </c>
      <c r="CI33" s="68"/>
      <c r="CJ33" s="68"/>
      <c r="CK33" s="125">
        <v>2678</v>
      </c>
    </row>
    <row r="34" spans="1:89" ht="15" thickBot="1" x14ac:dyDescent="0.35">
      <c r="A34" s="114" t="s">
        <v>2803</v>
      </c>
      <c r="C34" t="s">
        <v>3256</v>
      </c>
      <c r="E34" s="90">
        <v>4.13</v>
      </c>
      <c r="F34" s="114" t="s">
        <v>2804</v>
      </c>
      <c r="G34" t="s">
        <v>3154</v>
      </c>
      <c r="H34">
        <v>-1</v>
      </c>
      <c r="I34" t="s">
        <v>3396</v>
      </c>
      <c r="L34" s="73" t="s">
        <v>2248</v>
      </c>
      <c r="M34" t="b">
        <v>0</v>
      </c>
      <c r="N34" t="b">
        <v>0</v>
      </c>
      <c r="O34" t="b">
        <v>0</v>
      </c>
      <c r="P34" t="b">
        <v>1</v>
      </c>
      <c r="Q34" t="s">
        <v>3154</v>
      </c>
      <c r="R34">
        <v>-1</v>
      </c>
      <c r="S34" t="s">
        <v>3528</v>
      </c>
      <c r="AB34" s="120"/>
      <c r="BT34" s="90" t="s">
        <v>1264</v>
      </c>
      <c r="BU34" s="90">
        <v>1423</v>
      </c>
      <c r="BV34" s="90">
        <v>10</v>
      </c>
      <c r="BW34" s="68"/>
      <c r="BX34" s="90" t="s">
        <v>1268</v>
      </c>
      <c r="BY34" s="90" t="s">
        <v>1499</v>
      </c>
      <c r="BZ34" s="90">
        <v>0.5</v>
      </c>
      <c r="CA34" s="90"/>
      <c r="CB34" s="90">
        <v>1.42</v>
      </c>
      <c r="CC34" s="90">
        <v>0</v>
      </c>
      <c r="CD34" s="90"/>
      <c r="CE34" s="90"/>
      <c r="CF34" s="90" t="s">
        <v>1552</v>
      </c>
      <c r="CG34" s="90">
        <v>400</v>
      </c>
      <c r="CH34" s="90">
        <v>285</v>
      </c>
      <c r="CI34" s="68"/>
      <c r="CJ34" s="68"/>
      <c r="CK34" s="125">
        <v>50</v>
      </c>
    </row>
    <row r="35" spans="1:89" ht="15" thickBot="1" x14ac:dyDescent="0.35">
      <c r="A35" s="114" t="s">
        <v>2803</v>
      </c>
      <c r="C35" t="s">
        <v>3256</v>
      </c>
      <c r="E35" s="90">
        <v>4.13</v>
      </c>
      <c r="F35" s="114" t="s">
        <v>2804</v>
      </c>
      <c r="G35" t="s">
        <v>3154</v>
      </c>
      <c r="H35">
        <v>-1</v>
      </c>
      <c r="I35" t="s">
        <v>3396</v>
      </c>
      <c r="L35" s="73" t="s">
        <v>2248</v>
      </c>
      <c r="M35" t="b">
        <v>0</v>
      </c>
      <c r="N35" t="b">
        <v>0</v>
      </c>
      <c r="O35" t="b">
        <v>0</v>
      </c>
      <c r="P35" t="b">
        <v>1</v>
      </c>
      <c r="Q35" t="s">
        <v>3154</v>
      </c>
      <c r="R35">
        <v>-1</v>
      </c>
      <c r="S35" t="s">
        <v>3528</v>
      </c>
      <c r="AB35" s="120"/>
      <c r="BT35" s="90" t="s">
        <v>1264</v>
      </c>
      <c r="BU35" s="90">
        <v>1423</v>
      </c>
      <c r="BV35" s="90">
        <v>10</v>
      </c>
      <c r="BW35" s="68"/>
      <c r="BX35" s="90" t="s">
        <v>1533</v>
      </c>
      <c r="BY35" s="90" t="s">
        <v>1499</v>
      </c>
      <c r="BZ35" s="90">
        <v>0.5</v>
      </c>
      <c r="CA35" s="90"/>
      <c r="CB35" s="90">
        <v>1.42</v>
      </c>
      <c r="CC35" s="90">
        <v>0</v>
      </c>
      <c r="CD35" s="90"/>
      <c r="CE35" s="90"/>
      <c r="CF35" s="90" t="s">
        <v>1552</v>
      </c>
      <c r="CG35" s="90">
        <v>400</v>
      </c>
      <c r="CH35" s="90">
        <v>285</v>
      </c>
      <c r="CI35" s="68"/>
      <c r="CJ35" s="68"/>
      <c r="CK35" s="125">
        <v>230</v>
      </c>
    </row>
    <row r="36" spans="1:89" ht="15" thickBot="1" x14ac:dyDescent="0.35">
      <c r="A36" s="114" t="s">
        <v>2803</v>
      </c>
      <c r="C36" t="s">
        <v>3256</v>
      </c>
      <c r="E36" s="90">
        <v>4.2699999999999996</v>
      </c>
      <c r="F36" s="114" t="s">
        <v>2804</v>
      </c>
      <c r="G36" t="s">
        <v>3154</v>
      </c>
      <c r="H36">
        <v>-1</v>
      </c>
      <c r="I36" t="s">
        <v>3396</v>
      </c>
      <c r="L36" s="73" t="s">
        <v>2248</v>
      </c>
      <c r="M36" t="b">
        <v>0</v>
      </c>
      <c r="N36" t="b">
        <v>0</v>
      </c>
      <c r="O36" t="b">
        <v>0</v>
      </c>
      <c r="P36" t="b">
        <v>1</v>
      </c>
      <c r="Q36" t="s">
        <v>3154</v>
      </c>
      <c r="R36">
        <v>-1</v>
      </c>
      <c r="S36" t="s">
        <v>3528</v>
      </c>
      <c r="AB36" s="120"/>
      <c r="BT36" s="90" t="s">
        <v>1264</v>
      </c>
      <c r="BU36" s="90">
        <v>1573</v>
      </c>
      <c r="BV36" s="90">
        <v>10</v>
      </c>
      <c r="BW36" s="68"/>
      <c r="BX36" s="90"/>
      <c r="BY36" s="90"/>
      <c r="BZ36" s="90">
        <v>0.5</v>
      </c>
      <c r="CA36" s="90"/>
      <c r="CB36" s="90">
        <v>1.42</v>
      </c>
      <c r="CC36" s="90">
        <v>0</v>
      </c>
      <c r="CD36" s="90"/>
      <c r="CE36" s="90"/>
      <c r="CF36" s="90" t="s">
        <v>1552</v>
      </c>
      <c r="CG36" s="90">
        <v>400</v>
      </c>
      <c r="CH36" s="90">
        <v>285</v>
      </c>
      <c r="CI36" s="68"/>
      <c r="CJ36" s="68"/>
      <c r="CK36" s="125">
        <v>212</v>
      </c>
    </row>
    <row r="37" spans="1:89" ht="15" thickBot="1" x14ac:dyDescent="0.35">
      <c r="A37" s="114" t="s">
        <v>2803</v>
      </c>
      <c r="C37" t="s">
        <v>3256</v>
      </c>
      <c r="E37" s="90">
        <v>4.2699999999999996</v>
      </c>
      <c r="F37" s="114" t="s">
        <v>2804</v>
      </c>
      <c r="G37" t="s">
        <v>3154</v>
      </c>
      <c r="H37">
        <v>-1</v>
      </c>
      <c r="I37" t="s">
        <v>3396</v>
      </c>
      <c r="L37" s="73" t="s">
        <v>2248</v>
      </c>
      <c r="M37" t="b">
        <v>0</v>
      </c>
      <c r="N37" t="b">
        <v>0</v>
      </c>
      <c r="O37" t="b">
        <v>0</v>
      </c>
      <c r="P37" t="b">
        <v>1</v>
      </c>
      <c r="Q37" t="s">
        <v>3154</v>
      </c>
      <c r="R37">
        <v>-1</v>
      </c>
      <c r="S37" t="s">
        <v>3528</v>
      </c>
      <c r="AB37" s="120"/>
      <c r="BT37" s="90" t="s">
        <v>1264</v>
      </c>
      <c r="BU37" s="90">
        <v>1573</v>
      </c>
      <c r="BV37" s="90">
        <v>10</v>
      </c>
      <c r="BW37" s="68"/>
      <c r="BX37" s="90" t="s">
        <v>1533</v>
      </c>
      <c r="BY37" s="90" t="s">
        <v>56</v>
      </c>
      <c r="BZ37" s="90">
        <v>0.5</v>
      </c>
      <c r="CA37" s="90"/>
      <c r="CB37" s="90">
        <v>1.42</v>
      </c>
      <c r="CC37" s="90">
        <v>0</v>
      </c>
      <c r="CD37" s="90"/>
      <c r="CE37" s="90"/>
      <c r="CF37" s="90" t="s">
        <v>1552</v>
      </c>
      <c r="CG37" s="90">
        <v>400</v>
      </c>
      <c r="CH37" s="90">
        <v>285</v>
      </c>
      <c r="CI37" s="68"/>
      <c r="CJ37" s="68"/>
      <c r="CK37" s="125">
        <v>2540</v>
      </c>
    </row>
    <row r="38" spans="1:89" ht="15" thickBot="1" x14ac:dyDescent="0.35">
      <c r="A38" s="114" t="s">
        <v>2803</v>
      </c>
      <c r="C38" t="s">
        <v>3256</v>
      </c>
      <c r="E38" s="90">
        <v>4.0599999999999996</v>
      </c>
      <c r="F38" s="114" t="s">
        <v>2804</v>
      </c>
      <c r="G38" t="s">
        <v>3154</v>
      </c>
      <c r="H38">
        <v>-1</v>
      </c>
      <c r="I38" t="s">
        <v>3396</v>
      </c>
      <c r="L38" s="73" t="s">
        <v>2248</v>
      </c>
      <c r="M38" t="b">
        <v>0</v>
      </c>
      <c r="N38" t="b">
        <v>0</v>
      </c>
      <c r="O38" t="b">
        <v>0</v>
      </c>
      <c r="P38" t="b">
        <v>1</v>
      </c>
      <c r="Q38" t="s">
        <v>3154</v>
      </c>
      <c r="R38">
        <v>-1</v>
      </c>
      <c r="S38" t="s">
        <v>3528</v>
      </c>
      <c r="AB38" s="120"/>
      <c r="BT38" s="90" t="s">
        <v>1264</v>
      </c>
      <c r="BU38" s="90">
        <v>1773</v>
      </c>
      <c r="BV38" s="90">
        <v>10</v>
      </c>
      <c r="BW38" s="68"/>
      <c r="BX38" s="90"/>
      <c r="BY38" s="90"/>
      <c r="BZ38" s="90">
        <v>0.5</v>
      </c>
      <c r="CA38" s="90"/>
      <c r="CB38" s="90">
        <v>1.42</v>
      </c>
      <c r="CC38" s="90">
        <v>0</v>
      </c>
      <c r="CD38" s="90"/>
      <c r="CE38" s="90"/>
      <c r="CF38" s="90" t="s">
        <v>1552</v>
      </c>
      <c r="CG38" s="90">
        <v>400</v>
      </c>
      <c r="CH38" s="90">
        <v>285</v>
      </c>
      <c r="CI38" s="68"/>
      <c r="CJ38" s="68"/>
      <c r="CK38" s="125">
        <v>132</v>
      </c>
    </row>
    <row r="39" spans="1:89" ht="15" thickBot="1" x14ac:dyDescent="0.35">
      <c r="A39" s="114" t="s">
        <v>2803</v>
      </c>
      <c r="C39" t="s">
        <v>3256</v>
      </c>
      <c r="E39" s="90">
        <v>4.0599999999999996</v>
      </c>
      <c r="F39" s="114" t="s">
        <v>2804</v>
      </c>
      <c r="G39" t="s">
        <v>3154</v>
      </c>
      <c r="H39">
        <v>-1</v>
      </c>
      <c r="I39" t="s">
        <v>3396</v>
      </c>
      <c r="L39" s="73" t="s">
        <v>2248</v>
      </c>
      <c r="M39" t="b">
        <v>0</v>
      </c>
      <c r="N39" t="b">
        <v>0</v>
      </c>
      <c r="O39" t="b">
        <v>0</v>
      </c>
      <c r="P39" t="b">
        <v>1</v>
      </c>
      <c r="Q39" t="s">
        <v>3154</v>
      </c>
      <c r="R39">
        <v>-1</v>
      </c>
      <c r="S39" t="s">
        <v>3528</v>
      </c>
      <c r="AB39" s="120"/>
      <c r="BT39" s="90" t="s">
        <v>1264</v>
      </c>
      <c r="BU39" s="90">
        <v>1773</v>
      </c>
      <c r="BV39" s="90">
        <v>10</v>
      </c>
      <c r="BW39" s="68"/>
      <c r="BX39" s="90" t="s">
        <v>1533</v>
      </c>
      <c r="BY39" s="90" t="s">
        <v>56</v>
      </c>
      <c r="BZ39" s="90">
        <v>0.5</v>
      </c>
      <c r="CA39" s="90"/>
      <c r="CB39" s="90">
        <v>1.42</v>
      </c>
      <c r="CC39" s="90">
        <v>0</v>
      </c>
      <c r="CD39" s="90"/>
      <c r="CE39" s="90"/>
      <c r="CF39" s="90" t="s">
        <v>1552</v>
      </c>
      <c r="CG39" s="90">
        <v>400</v>
      </c>
      <c r="CH39" s="90">
        <v>285</v>
      </c>
      <c r="CI39" s="68"/>
      <c r="CJ39" s="68"/>
      <c r="CK39" s="125">
        <v>424</v>
      </c>
    </row>
    <row r="40" spans="1:89" ht="15" thickBot="1" x14ac:dyDescent="0.35">
      <c r="A40" s="114" t="s">
        <v>2803</v>
      </c>
      <c r="C40" t="s">
        <v>3256</v>
      </c>
      <c r="E40" s="90">
        <v>4.13</v>
      </c>
      <c r="F40" s="114" t="s">
        <v>2804</v>
      </c>
      <c r="G40" t="s">
        <v>3154</v>
      </c>
      <c r="H40">
        <v>-1</v>
      </c>
      <c r="I40" t="s">
        <v>3396</v>
      </c>
      <c r="L40" s="73" t="s">
        <v>2248</v>
      </c>
      <c r="M40" t="b">
        <v>0</v>
      </c>
      <c r="N40" t="b">
        <v>0</v>
      </c>
      <c r="O40" t="b">
        <v>0</v>
      </c>
      <c r="P40" t="b">
        <v>1</v>
      </c>
      <c r="Q40" t="s">
        <v>3154</v>
      </c>
      <c r="R40">
        <v>-1</v>
      </c>
      <c r="S40" t="s">
        <v>3528</v>
      </c>
      <c r="AB40" s="120"/>
      <c r="BT40" s="90" t="s">
        <v>1264</v>
      </c>
      <c r="BU40" s="90">
        <v>1423</v>
      </c>
      <c r="BV40" s="90">
        <v>10</v>
      </c>
      <c r="BW40" s="68"/>
      <c r="BX40" s="90" t="s">
        <v>1268</v>
      </c>
      <c r="BY40" s="90" t="s">
        <v>1559</v>
      </c>
      <c r="BZ40" s="90">
        <v>0.5</v>
      </c>
      <c r="CA40" s="90"/>
      <c r="CB40" s="90">
        <v>1.42</v>
      </c>
      <c r="CC40" s="90">
        <v>0</v>
      </c>
      <c r="CD40" s="90"/>
      <c r="CE40" s="90"/>
      <c r="CF40" s="90" t="s">
        <v>1552</v>
      </c>
      <c r="CG40" s="90">
        <v>400</v>
      </c>
      <c r="CH40" s="90">
        <v>285</v>
      </c>
      <c r="CI40" s="68"/>
      <c r="CJ40" s="68"/>
      <c r="CK40" s="125">
        <v>432</v>
      </c>
    </row>
    <row r="41" spans="1:89" ht="15" thickBot="1" x14ac:dyDescent="0.35">
      <c r="A41" s="114" t="s">
        <v>2803</v>
      </c>
      <c r="C41" t="s">
        <v>3256</v>
      </c>
      <c r="E41" s="90">
        <v>4.13</v>
      </c>
      <c r="F41" s="114" t="s">
        <v>2804</v>
      </c>
      <c r="G41" t="s">
        <v>3154</v>
      </c>
      <c r="H41">
        <v>-1</v>
      </c>
      <c r="I41" t="s">
        <v>3396</v>
      </c>
      <c r="L41" s="73" t="s">
        <v>2248</v>
      </c>
      <c r="M41" t="b">
        <v>0</v>
      </c>
      <c r="N41" t="b">
        <v>0</v>
      </c>
      <c r="O41" t="b">
        <v>0</v>
      </c>
      <c r="P41" t="b">
        <v>1</v>
      </c>
      <c r="Q41" t="s">
        <v>3154</v>
      </c>
      <c r="R41">
        <v>-1</v>
      </c>
      <c r="S41" t="s">
        <v>3528</v>
      </c>
      <c r="AB41" s="120"/>
      <c r="BT41" s="90" t="s">
        <v>1264</v>
      </c>
      <c r="BU41" s="90">
        <v>1423</v>
      </c>
      <c r="BV41" s="90">
        <v>10</v>
      </c>
      <c r="BW41" s="68"/>
      <c r="BX41" s="90" t="s">
        <v>1268</v>
      </c>
      <c r="BY41" s="90" t="s">
        <v>1415</v>
      </c>
      <c r="BZ41" s="90">
        <v>0.5</v>
      </c>
      <c r="CA41" s="90"/>
      <c r="CB41" s="90">
        <v>1.42</v>
      </c>
      <c r="CC41" s="90">
        <v>0</v>
      </c>
      <c r="CD41" s="90"/>
      <c r="CE41" s="90"/>
      <c r="CF41" s="90" t="s">
        <v>1552</v>
      </c>
      <c r="CG41" s="90">
        <v>400</v>
      </c>
      <c r="CH41" s="90">
        <v>285</v>
      </c>
      <c r="CI41" s="68"/>
      <c r="CJ41" s="68"/>
      <c r="CK41" s="125">
        <v>56</v>
      </c>
    </row>
    <row r="42" spans="1:89" ht="15" thickBot="1" x14ac:dyDescent="0.35">
      <c r="A42" s="114" t="s">
        <v>2803</v>
      </c>
      <c r="C42" t="s">
        <v>3256</v>
      </c>
      <c r="E42" s="90">
        <v>4.13</v>
      </c>
      <c r="F42" s="114" t="s">
        <v>2804</v>
      </c>
      <c r="G42" t="s">
        <v>3154</v>
      </c>
      <c r="H42">
        <v>-1</v>
      </c>
      <c r="I42" t="s">
        <v>3396</v>
      </c>
      <c r="L42" s="73" t="s">
        <v>2248</v>
      </c>
      <c r="M42" t="b">
        <v>0</v>
      </c>
      <c r="N42" t="b">
        <v>0</v>
      </c>
      <c r="O42" t="b">
        <v>0</v>
      </c>
      <c r="P42" t="b">
        <v>1</v>
      </c>
      <c r="Q42" t="s">
        <v>3154</v>
      </c>
      <c r="R42">
        <v>-1</v>
      </c>
      <c r="S42" t="s">
        <v>3528</v>
      </c>
      <c r="AB42" s="120"/>
      <c r="BT42" s="90" t="s">
        <v>1264</v>
      </c>
      <c r="BU42" s="90">
        <v>1423</v>
      </c>
      <c r="BV42" s="90">
        <v>10</v>
      </c>
      <c r="BW42" s="68"/>
      <c r="BX42" s="90" t="s">
        <v>1268</v>
      </c>
      <c r="BY42" s="90" t="s">
        <v>890</v>
      </c>
      <c r="BZ42" s="90">
        <v>0.5</v>
      </c>
      <c r="CA42" s="90"/>
      <c r="CB42" s="90">
        <v>1.42</v>
      </c>
      <c r="CC42" s="90">
        <v>0</v>
      </c>
      <c r="CD42" s="90"/>
      <c r="CE42" s="90"/>
      <c r="CF42" s="90" t="s">
        <v>1552</v>
      </c>
      <c r="CG42" s="90">
        <v>400</v>
      </c>
      <c r="CH42" s="90">
        <v>285</v>
      </c>
      <c r="CI42" s="68"/>
      <c r="CJ42" s="68"/>
      <c r="CK42" s="125">
        <v>86</v>
      </c>
    </row>
    <row r="43" spans="1:89" ht="15" thickBot="1" x14ac:dyDescent="0.35">
      <c r="A43" s="114" t="s">
        <v>2803</v>
      </c>
      <c r="C43" t="s">
        <v>3256</v>
      </c>
      <c r="E43" s="90">
        <v>4.13</v>
      </c>
      <c r="F43" s="114" t="s">
        <v>2804</v>
      </c>
      <c r="G43" t="s">
        <v>3154</v>
      </c>
      <c r="H43">
        <v>-1</v>
      </c>
      <c r="I43" t="s">
        <v>3396</v>
      </c>
      <c r="L43" s="73" t="s">
        <v>2248</v>
      </c>
      <c r="M43" t="b">
        <v>0</v>
      </c>
      <c r="N43" t="b">
        <v>0</v>
      </c>
      <c r="O43" t="b">
        <v>0</v>
      </c>
      <c r="P43" t="b">
        <v>1</v>
      </c>
      <c r="Q43" t="s">
        <v>3154</v>
      </c>
      <c r="R43">
        <v>-1</v>
      </c>
      <c r="S43" t="s">
        <v>3528</v>
      </c>
      <c r="AB43" s="120"/>
      <c r="BT43" s="90" t="s">
        <v>1264</v>
      </c>
      <c r="BU43" s="90">
        <v>1423</v>
      </c>
      <c r="BV43" s="90">
        <v>10</v>
      </c>
      <c r="BW43" s="68"/>
      <c r="BX43" s="90" t="s">
        <v>1268</v>
      </c>
      <c r="BY43" s="90" t="s">
        <v>1555</v>
      </c>
      <c r="BZ43" s="90">
        <v>0.5</v>
      </c>
      <c r="CA43" s="90"/>
      <c r="CB43" s="90">
        <v>1.42</v>
      </c>
      <c r="CC43" s="90">
        <v>0</v>
      </c>
      <c r="CD43" s="90"/>
      <c r="CE43" s="90"/>
      <c r="CF43" s="90" t="s">
        <v>1552</v>
      </c>
      <c r="CG43" s="90">
        <v>400</v>
      </c>
      <c r="CH43" s="90">
        <v>285</v>
      </c>
      <c r="CI43" s="68"/>
      <c r="CJ43" s="68"/>
      <c r="CK43" s="125">
        <v>106</v>
      </c>
    </row>
    <row r="44" spans="1:89" ht="15" thickBot="1" x14ac:dyDescent="0.35">
      <c r="A44" s="114" t="s">
        <v>2803</v>
      </c>
      <c r="C44" t="s">
        <v>3256</v>
      </c>
      <c r="E44" s="90">
        <v>4.13</v>
      </c>
      <c r="F44" s="114" t="s">
        <v>2804</v>
      </c>
      <c r="G44" t="s">
        <v>3154</v>
      </c>
      <c r="H44">
        <v>-1</v>
      </c>
      <c r="I44" t="s">
        <v>3396</v>
      </c>
      <c r="L44" s="73" t="s">
        <v>2248</v>
      </c>
      <c r="M44" t="b">
        <v>0</v>
      </c>
      <c r="N44" t="b">
        <v>0</v>
      </c>
      <c r="O44" t="b">
        <v>0</v>
      </c>
      <c r="P44" t="b">
        <v>1</v>
      </c>
      <c r="Q44" t="s">
        <v>3154</v>
      </c>
      <c r="R44">
        <v>-1</v>
      </c>
      <c r="S44" t="s">
        <v>3528</v>
      </c>
      <c r="AB44" s="120"/>
      <c r="BT44" s="90" t="s">
        <v>1264</v>
      </c>
      <c r="BU44" s="90">
        <v>1423</v>
      </c>
      <c r="BV44" s="90">
        <v>10</v>
      </c>
      <c r="BW44" s="68"/>
      <c r="BX44" s="90" t="s">
        <v>1533</v>
      </c>
      <c r="BY44" s="90" t="s">
        <v>1555</v>
      </c>
      <c r="BZ44" s="90">
        <v>0.5</v>
      </c>
      <c r="CA44" s="90"/>
      <c r="CB44" s="90">
        <v>1.42</v>
      </c>
      <c r="CC44" s="90">
        <v>0</v>
      </c>
      <c r="CD44" s="90"/>
      <c r="CE44" s="90"/>
      <c r="CF44" s="90" t="s">
        <v>1552</v>
      </c>
      <c r="CG44" s="90">
        <v>400</v>
      </c>
      <c r="CH44" s="90">
        <v>285</v>
      </c>
      <c r="CI44" s="68"/>
      <c r="CJ44" s="68"/>
      <c r="CK44" s="125">
        <v>110</v>
      </c>
    </row>
    <row r="45" spans="1:89" ht="15" thickBot="1" x14ac:dyDescent="0.35">
      <c r="A45" s="114" t="s">
        <v>2803</v>
      </c>
      <c r="C45" t="s">
        <v>3256</v>
      </c>
      <c r="E45" s="90">
        <v>4.13</v>
      </c>
      <c r="F45" s="114" t="s">
        <v>2804</v>
      </c>
      <c r="G45" t="s">
        <v>3154</v>
      </c>
      <c r="H45">
        <v>-1</v>
      </c>
      <c r="I45" t="s">
        <v>3396</v>
      </c>
      <c r="L45" s="73" t="s">
        <v>2248</v>
      </c>
      <c r="M45" t="b">
        <v>0</v>
      </c>
      <c r="N45" t="b">
        <v>0</v>
      </c>
      <c r="O45" t="b">
        <v>0</v>
      </c>
      <c r="P45" t="b">
        <v>1</v>
      </c>
      <c r="Q45" t="s">
        <v>3154</v>
      </c>
      <c r="R45">
        <v>-1</v>
      </c>
      <c r="S45" t="s">
        <v>3528</v>
      </c>
      <c r="AB45" s="120"/>
      <c r="BT45" s="90" t="s">
        <v>1264</v>
      </c>
      <c r="BU45" s="90">
        <v>1423</v>
      </c>
      <c r="BV45" s="90">
        <v>10</v>
      </c>
      <c r="BW45" s="68"/>
      <c r="BX45" s="90" t="s">
        <v>1533</v>
      </c>
      <c r="BY45" s="90" t="s">
        <v>1555</v>
      </c>
      <c r="BZ45" s="90">
        <v>0.5</v>
      </c>
      <c r="CA45" s="90"/>
      <c r="CB45" s="90">
        <v>1.42</v>
      </c>
      <c r="CC45" s="90">
        <v>0</v>
      </c>
      <c r="CD45" s="90"/>
      <c r="CE45" s="90"/>
      <c r="CF45" s="90" t="s">
        <v>1552</v>
      </c>
      <c r="CG45" s="90">
        <v>400</v>
      </c>
      <c r="CH45" s="90">
        <v>285</v>
      </c>
      <c r="CI45" s="68"/>
      <c r="CJ45" s="68"/>
      <c r="CK45" s="125">
        <v>192</v>
      </c>
    </row>
    <row r="46" spans="1:89" ht="15" thickBot="1" x14ac:dyDescent="0.35">
      <c r="A46" s="114" t="s">
        <v>2803</v>
      </c>
      <c r="C46" t="s">
        <v>3256</v>
      </c>
      <c r="E46" s="90">
        <v>4.13</v>
      </c>
      <c r="F46" s="114" t="s">
        <v>2804</v>
      </c>
      <c r="G46" t="s">
        <v>3154</v>
      </c>
      <c r="H46">
        <v>-1</v>
      </c>
      <c r="I46" t="s">
        <v>3396</v>
      </c>
      <c r="L46" s="73" t="s">
        <v>2248</v>
      </c>
      <c r="M46" t="b">
        <v>0</v>
      </c>
      <c r="N46" t="b">
        <v>0</v>
      </c>
      <c r="O46" t="b">
        <v>0</v>
      </c>
      <c r="P46" t="b">
        <v>1</v>
      </c>
      <c r="Q46" t="s">
        <v>3154</v>
      </c>
      <c r="R46">
        <v>-1</v>
      </c>
      <c r="S46" t="s">
        <v>3528</v>
      </c>
      <c r="AB46" s="120"/>
      <c r="BT46" s="90" t="s">
        <v>1264</v>
      </c>
      <c r="BU46" s="90">
        <v>1423</v>
      </c>
      <c r="BV46" s="90">
        <v>10</v>
      </c>
      <c r="BW46" s="68"/>
      <c r="BX46" s="90" t="s">
        <v>1268</v>
      </c>
      <c r="BY46" s="90" t="s">
        <v>863</v>
      </c>
      <c r="BZ46" s="90">
        <v>0.5</v>
      </c>
      <c r="CA46" s="90"/>
      <c r="CB46" s="90">
        <v>1.42</v>
      </c>
      <c r="CC46" s="90">
        <v>0</v>
      </c>
      <c r="CD46" s="90"/>
      <c r="CE46" s="90"/>
      <c r="CF46" s="90" t="s">
        <v>1552</v>
      </c>
      <c r="CG46" s="90">
        <v>400</v>
      </c>
      <c r="CH46" s="90">
        <v>285</v>
      </c>
      <c r="CI46" s="68"/>
      <c r="CJ46" s="68"/>
      <c r="CK46" s="125">
        <v>124</v>
      </c>
    </row>
    <row r="47" spans="1:89" ht="15" thickBot="1" x14ac:dyDescent="0.35">
      <c r="A47" s="114" t="s">
        <v>2803</v>
      </c>
      <c r="C47" t="s">
        <v>3256</v>
      </c>
      <c r="E47" s="90">
        <v>4.13</v>
      </c>
      <c r="F47" s="114" t="s">
        <v>2804</v>
      </c>
      <c r="G47" t="s">
        <v>3154</v>
      </c>
      <c r="H47">
        <v>-1</v>
      </c>
      <c r="I47" t="s">
        <v>3396</v>
      </c>
      <c r="L47" s="73" t="s">
        <v>2248</v>
      </c>
      <c r="M47" t="b">
        <v>0</v>
      </c>
      <c r="N47" t="b">
        <v>0</v>
      </c>
      <c r="O47" t="b">
        <v>0</v>
      </c>
      <c r="P47" t="b">
        <v>1</v>
      </c>
      <c r="Q47" t="s">
        <v>3154</v>
      </c>
      <c r="R47">
        <v>-1</v>
      </c>
      <c r="S47" t="s">
        <v>3528</v>
      </c>
      <c r="AB47" s="120"/>
      <c r="BT47" s="90" t="s">
        <v>1264</v>
      </c>
      <c r="BU47" s="90">
        <v>1423</v>
      </c>
      <c r="BV47" s="90">
        <v>10</v>
      </c>
      <c r="BW47" s="68"/>
      <c r="BX47" s="90" t="s">
        <v>1268</v>
      </c>
      <c r="BY47" s="90" t="s">
        <v>1560</v>
      </c>
      <c r="BZ47" s="90">
        <v>0.5</v>
      </c>
      <c r="CA47" s="90"/>
      <c r="CB47" s="90">
        <v>1.42</v>
      </c>
      <c r="CC47" s="90">
        <v>0</v>
      </c>
      <c r="CD47" s="90"/>
      <c r="CE47" s="90"/>
      <c r="CF47" s="90" t="s">
        <v>1552</v>
      </c>
      <c r="CG47" s="90">
        <v>400</v>
      </c>
      <c r="CH47" s="90">
        <v>285</v>
      </c>
      <c r="CI47" s="68"/>
      <c r="CJ47" s="68"/>
      <c r="CK47" s="125">
        <v>1168</v>
      </c>
    </row>
    <row r="48" spans="1:89" ht="15" thickBot="1" x14ac:dyDescent="0.35">
      <c r="A48" s="90" t="s">
        <v>2806</v>
      </c>
      <c r="C48" t="s">
        <v>3257</v>
      </c>
      <c r="E48" s="90">
        <v>1.55</v>
      </c>
      <c r="F48" s="114" t="s">
        <v>2805</v>
      </c>
      <c r="G48" t="s">
        <v>3159</v>
      </c>
      <c r="H48" t="s">
        <v>3160</v>
      </c>
      <c r="M48" t="b">
        <v>1</v>
      </c>
      <c r="N48" t="b">
        <v>1</v>
      </c>
      <c r="O48" t="b">
        <v>0</v>
      </c>
      <c r="P48" t="b">
        <v>0</v>
      </c>
      <c r="Q48" t="s">
        <v>3159</v>
      </c>
      <c r="R48">
        <v>1542205</v>
      </c>
      <c r="AB48" s="121"/>
      <c r="BT48" s="90" t="s">
        <v>1538</v>
      </c>
      <c r="BU48" s="90"/>
      <c r="BV48" s="90"/>
      <c r="BW48" s="68"/>
      <c r="BX48" s="90"/>
      <c r="BY48" s="90"/>
      <c r="BZ48" s="90"/>
      <c r="CA48" s="90"/>
      <c r="CB48" s="90">
        <v>0.2</v>
      </c>
      <c r="CC48" s="90">
        <v>0</v>
      </c>
      <c r="CD48" s="90" t="s">
        <v>1550</v>
      </c>
      <c r="CE48" s="90" t="s">
        <v>1551</v>
      </c>
      <c r="CF48" s="90" t="s">
        <v>1534</v>
      </c>
      <c r="CG48" s="90">
        <v>300</v>
      </c>
      <c r="CH48" s="90">
        <v>350</v>
      </c>
      <c r="CI48" s="68"/>
      <c r="CJ48" s="68"/>
      <c r="CK48" s="125">
        <v>290</v>
      </c>
    </row>
    <row r="49" spans="1:89" ht="15" thickBot="1" x14ac:dyDescent="0.35">
      <c r="A49" s="90" t="s">
        <v>2807</v>
      </c>
      <c r="C49" t="s">
        <v>3258</v>
      </c>
      <c r="E49" s="90">
        <v>1.57</v>
      </c>
      <c r="F49" s="114" t="s">
        <v>2805</v>
      </c>
      <c r="G49" t="s">
        <v>3159</v>
      </c>
      <c r="H49" t="s">
        <v>3160</v>
      </c>
      <c r="J49" s="73" t="s">
        <v>3397</v>
      </c>
      <c r="K49" s="73" t="s">
        <v>3397</v>
      </c>
      <c r="M49" t="b">
        <v>1</v>
      </c>
      <c r="N49" t="b">
        <v>1</v>
      </c>
      <c r="O49" t="b">
        <v>0</v>
      </c>
      <c r="P49" t="b">
        <v>0</v>
      </c>
      <c r="Q49" t="s">
        <v>3529</v>
      </c>
      <c r="R49" t="s">
        <v>3530</v>
      </c>
      <c r="AB49" s="121"/>
      <c r="BT49" s="90" t="s">
        <v>1538</v>
      </c>
      <c r="BU49" s="90"/>
      <c r="BV49" s="90"/>
      <c r="BW49" s="68"/>
      <c r="BX49" s="90"/>
      <c r="BY49" s="90"/>
      <c r="BZ49" s="90"/>
      <c r="CA49" s="90"/>
      <c r="CB49" s="90">
        <v>0.2</v>
      </c>
      <c r="CC49" s="90">
        <v>0</v>
      </c>
      <c r="CD49" s="90" t="s">
        <v>1550</v>
      </c>
      <c r="CE49" s="90" t="s">
        <v>1551</v>
      </c>
      <c r="CF49" s="90" t="s">
        <v>1534</v>
      </c>
      <c r="CG49" s="90">
        <v>300</v>
      </c>
      <c r="CH49" s="90">
        <v>350</v>
      </c>
      <c r="CI49" s="68"/>
      <c r="CJ49" s="68"/>
      <c r="CK49" s="125">
        <v>368</v>
      </c>
    </row>
    <row r="50" spans="1:89" ht="15" thickBot="1" x14ac:dyDescent="0.35">
      <c r="A50" s="90" t="s">
        <v>2808</v>
      </c>
      <c r="C50" t="s">
        <v>3258</v>
      </c>
      <c r="E50" s="90">
        <v>1.6</v>
      </c>
      <c r="F50" s="114" t="s">
        <v>2805</v>
      </c>
      <c r="G50" t="s">
        <v>3159</v>
      </c>
      <c r="H50" t="s">
        <v>3160</v>
      </c>
      <c r="J50" s="73" t="s">
        <v>3398</v>
      </c>
      <c r="K50" s="73" t="s">
        <v>3398</v>
      </c>
      <c r="M50" t="b">
        <v>0</v>
      </c>
      <c r="N50" t="b">
        <v>0</v>
      </c>
      <c r="O50" t="b">
        <v>0</v>
      </c>
      <c r="P50" t="b">
        <v>1</v>
      </c>
      <c r="Q50" t="s">
        <v>3531</v>
      </c>
      <c r="R50" t="s">
        <v>3532</v>
      </c>
      <c r="AB50" s="121"/>
      <c r="BT50" s="90" t="s">
        <v>1538</v>
      </c>
      <c r="BU50" s="90"/>
      <c r="BV50" s="90"/>
      <c r="BW50" s="68"/>
      <c r="BX50" s="90"/>
      <c r="BY50" s="90"/>
      <c r="BZ50" s="90"/>
      <c r="CA50" s="90"/>
      <c r="CB50" s="90">
        <v>0.2</v>
      </c>
      <c r="CC50" s="90">
        <v>0</v>
      </c>
      <c r="CD50" s="90" t="s">
        <v>1550</v>
      </c>
      <c r="CE50" s="90" t="s">
        <v>1551</v>
      </c>
      <c r="CF50" s="90" t="s">
        <v>1534</v>
      </c>
      <c r="CG50" s="90">
        <v>300</v>
      </c>
      <c r="CH50" s="90">
        <v>350</v>
      </c>
      <c r="CI50" s="68"/>
      <c r="CJ50" s="68"/>
      <c r="CK50" s="125">
        <v>514</v>
      </c>
    </row>
    <row r="51" spans="1:89" ht="15" thickBot="1" x14ac:dyDescent="0.35">
      <c r="A51" s="90" t="s">
        <v>2809</v>
      </c>
      <c r="C51" t="s">
        <v>3258</v>
      </c>
      <c r="E51" s="90">
        <v>1.68</v>
      </c>
      <c r="F51" s="114" t="s">
        <v>2805</v>
      </c>
      <c r="G51" t="s">
        <v>3159</v>
      </c>
      <c r="H51" t="s">
        <v>3160</v>
      </c>
      <c r="J51" s="73" t="s">
        <v>3399</v>
      </c>
      <c r="K51" s="73" t="s">
        <v>3399</v>
      </c>
      <c r="M51" t="b">
        <v>0</v>
      </c>
      <c r="N51" t="b">
        <v>0</v>
      </c>
      <c r="O51" t="b">
        <v>0</v>
      </c>
      <c r="P51" t="b">
        <v>1</v>
      </c>
      <c r="Q51" t="s">
        <v>3533</v>
      </c>
      <c r="R51" t="s">
        <v>3534</v>
      </c>
      <c r="AB51" s="121"/>
      <c r="BT51" s="90" t="s">
        <v>1538</v>
      </c>
      <c r="BU51" s="90"/>
      <c r="BV51" s="90"/>
      <c r="BW51" s="68"/>
      <c r="BX51" s="90"/>
      <c r="BY51" s="90"/>
      <c r="BZ51" s="90"/>
      <c r="CA51" s="90"/>
      <c r="CB51" s="90">
        <v>0.2</v>
      </c>
      <c r="CC51" s="90">
        <v>0</v>
      </c>
      <c r="CD51" s="90" t="s">
        <v>1550</v>
      </c>
      <c r="CE51" s="90" t="s">
        <v>1551</v>
      </c>
      <c r="CF51" s="90" t="s">
        <v>1534</v>
      </c>
      <c r="CG51" s="90">
        <v>300</v>
      </c>
      <c r="CH51" s="90">
        <v>350</v>
      </c>
      <c r="CI51" s="68"/>
      <c r="CJ51" s="68"/>
      <c r="CK51" s="125">
        <v>660</v>
      </c>
    </row>
    <row r="52" spans="1:89" ht="15" thickBot="1" x14ac:dyDescent="0.35">
      <c r="A52" s="90" t="s">
        <v>2810</v>
      </c>
      <c r="C52" t="s">
        <v>3258</v>
      </c>
      <c r="E52" s="90">
        <v>1.75</v>
      </c>
      <c r="F52" s="114" t="s">
        <v>2805</v>
      </c>
      <c r="G52" t="s">
        <v>3159</v>
      </c>
      <c r="H52" t="s">
        <v>3160</v>
      </c>
      <c r="J52" s="73" t="s">
        <v>3400</v>
      </c>
      <c r="K52" s="73" t="s">
        <v>3400</v>
      </c>
      <c r="M52" t="b">
        <v>0</v>
      </c>
      <c r="N52" t="b">
        <v>0</v>
      </c>
      <c r="O52" t="b">
        <v>0</v>
      </c>
      <c r="P52" t="b">
        <v>1</v>
      </c>
      <c r="Q52" t="s">
        <v>3535</v>
      </c>
      <c r="R52" t="s">
        <v>3536</v>
      </c>
      <c r="AB52" s="121"/>
      <c r="BT52" s="90" t="s">
        <v>1538</v>
      </c>
      <c r="BU52" s="90"/>
      <c r="BV52" s="90"/>
      <c r="BW52" s="68"/>
      <c r="BX52" s="90"/>
      <c r="BY52" s="90"/>
      <c r="BZ52" s="90"/>
      <c r="CA52" s="90"/>
      <c r="CB52" s="90">
        <v>0.2</v>
      </c>
      <c r="CC52" s="90">
        <v>0</v>
      </c>
      <c r="CD52" s="90" t="s">
        <v>1550</v>
      </c>
      <c r="CE52" s="90" t="s">
        <v>1551</v>
      </c>
      <c r="CF52" s="90" t="s">
        <v>1534</v>
      </c>
      <c r="CG52" s="90">
        <v>300</v>
      </c>
      <c r="CH52" s="90">
        <v>350</v>
      </c>
      <c r="CI52" s="68"/>
      <c r="CJ52" s="68"/>
      <c r="CK52" s="125">
        <v>747</v>
      </c>
    </row>
    <row r="53" spans="1:89" ht="15" thickBot="1" x14ac:dyDescent="0.35">
      <c r="A53" s="90" t="s">
        <v>2811</v>
      </c>
      <c r="C53" t="s">
        <v>3258</v>
      </c>
      <c r="E53" s="90">
        <v>2</v>
      </c>
      <c r="F53" s="114" t="s">
        <v>2805</v>
      </c>
      <c r="G53" t="s">
        <v>3159</v>
      </c>
      <c r="H53" t="s">
        <v>3160</v>
      </c>
      <c r="J53" s="73" t="s">
        <v>3401</v>
      </c>
      <c r="K53" s="73" t="s">
        <v>3401</v>
      </c>
      <c r="M53" t="b">
        <v>0</v>
      </c>
      <c r="N53" t="b">
        <v>0</v>
      </c>
      <c r="O53" t="b">
        <v>0</v>
      </c>
      <c r="P53" t="b">
        <v>1</v>
      </c>
      <c r="Q53" t="s">
        <v>3537</v>
      </c>
      <c r="R53" t="s">
        <v>3538</v>
      </c>
      <c r="AB53" s="121"/>
      <c r="BT53" s="90" t="s">
        <v>1538</v>
      </c>
      <c r="BU53" s="90"/>
      <c r="BV53" s="90"/>
      <c r="BW53" s="68"/>
      <c r="BX53" s="90"/>
      <c r="BY53" s="90"/>
      <c r="BZ53" s="90"/>
      <c r="CA53" s="90"/>
      <c r="CB53" s="90">
        <v>0.2</v>
      </c>
      <c r="CC53" s="90">
        <v>0</v>
      </c>
      <c r="CD53" s="90" t="s">
        <v>1550</v>
      </c>
      <c r="CE53" s="90" t="s">
        <v>1551</v>
      </c>
      <c r="CF53" s="90" t="s">
        <v>1534</v>
      </c>
      <c r="CG53" s="90">
        <v>300</v>
      </c>
      <c r="CH53" s="90">
        <v>350</v>
      </c>
      <c r="CI53" s="68"/>
      <c r="CJ53" s="68"/>
      <c r="CK53" s="125">
        <v>582</v>
      </c>
    </row>
    <row r="54" spans="1:89" ht="15" thickBot="1" x14ac:dyDescent="0.35">
      <c r="A54" s="90" t="s">
        <v>2812</v>
      </c>
      <c r="C54" t="s">
        <v>3259</v>
      </c>
      <c r="E54" s="90">
        <v>2.35</v>
      </c>
      <c r="F54" s="114" t="s">
        <v>2805</v>
      </c>
      <c r="G54" t="s">
        <v>3161</v>
      </c>
      <c r="H54" t="s">
        <v>3162</v>
      </c>
      <c r="M54" t="b">
        <v>1</v>
      </c>
      <c r="N54" t="b">
        <v>1</v>
      </c>
      <c r="O54" t="b">
        <v>0</v>
      </c>
      <c r="P54" t="b">
        <v>0</v>
      </c>
      <c r="Q54" t="s">
        <v>3161</v>
      </c>
      <c r="R54">
        <v>9009886</v>
      </c>
      <c r="AB54" s="121"/>
      <c r="BT54" s="90" t="s">
        <v>1538</v>
      </c>
      <c r="BU54" s="90"/>
      <c r="BV54" s="90"/>
      <c r="BW54" s="68"/>
      <c r="BX54" s="90"/>
      <c r="BY54" s="90"/>
      <c r="BZ54" s="90"/>
      <c r="CA54" s="90"/>
      <c r="CB54" s="90">
        <v>0.2</v>
      </c>
      <c r="CC54" s="90">
        <v>0</v>
      </c>
      <c r="CD54" s="90" t="s">
        <v>1550</v>
      </c>
      <c r="CE54" s="90" t="s">
        <v>1551</v>
      </c>
      <c r="CF54" s="90" t="s">
        <v>1534</v>
      </c>
      <c r="CG54" s="90">
        <v>300</v>
      </c>
      <c r="CH54" s="90">
        <v>350</v>
      </c>
      <c r="CI54" s="68"/>
      <c r="CJ54" s="68"/>
      <c r="CK54" s="125">
        <v>513</v>
      </c>
    </row>
    <row r="55" spans="1:89" ht="15" thickBot="1" x14ac:dyDescent="0.35">
      <c r="A55" s="114" t="s">
        <v>237</v>
      </c>
      <c r="C55" t="s">
        <v>811</v>
      </c>
      <c r="E55" s="90">
        <v>4.5999999999999996</v>
      </c>
      <c r="F55" s="114" t="s">
        <v>2813</v>
      </c>
      <c r="G55" t="s">
        <v>563</v>
      </c>
      <c r="H55">
        <v>-1</v>
      </c>
      <c r="M55" t="b">
        <v>1</v>
      </c>
      <c r="N55" t="b">
        <v>0</v>
      </c>
      <c r="O55" t="b">
        <v>0</v>
      </c>
      <c r="P55" t="b">
        <v>0</v>
      </c>
      <c r="Q55" t="s">
        <v>563</v>
      </c>
      <c r="R55">
        <v>-1</v>
      </c>
      <c r="AB55" s="120"/>
      <c r="BT55" s="90" t="s">
        <v>1336</v>
      </c>
      <c r="BU55" s="90">
        <v>773</v>
      </c>
      <c r="BV55" s="90">
        <v>6</v>
      </c>
      <c r="BW55" s="68"/>
      <c r="BX55" s="90"/>
      <c r="BY55" s="90"/>
      <c r="BZ55" s="90"/>
      <c r="CA55" s="90">
        <v>9.5</v>
      </c>
      <c r="CB55" s="90">
        <v>1</v>
      </c>
      <c r="CC55" s="90">
        <v>0</v>
      </c>
      <c r="CD55" s="90"/>
      <c r="CE55" s="90"/>
      <c r="CF55" s="90" t="s">
        <v>1552</v>
      </c>
      <c r="CG55" s="90">
        <v>400</v>
      </c>
      <c r="CH55" s="90">
        <v>275</v>
      </c>
      <c r="CI55" s="68"/>
      <c r="CJ55" s="68"/>
      <c r="CK55" s="125">
        <v>2800</v>
      </c>
    </row>
    <row r="56" spans="1:89" ht="15" thickBot="1" x14ac:dyDescent="0.35">
      <c r="A56" s="114" t="s">
        <v>237</v>
      </c>
      <c r="C56" t="s">
        <v>811</v>
      </c>
      <c r="E56" s="90">
        <v>4.5</v>
      </c>
      <c r="F56" s="114" t="s">
        <v>2813</v>
      </c>
      <c r="G56" t="s">
        <v>563</v>
      </c>
      <c r="H56">
        <v>-1</v>
      </c>
      <c r="M56" t="b">
        <v>1</v>
      </c>
      <c r="N56" t="b">
        <v>0</v>
      </c>
      <c r="O56" t="b">
        <v>0</v>
      </c>
      <c r="P56" t="b">
        <v>0</v>
      </c>
      <c r="Q56" t="s">
        <v>563</v>
      </c>
      <c r="R56">
        <v>-1</v>
      </c>
      <c r="AB56" s="120"/>
      <c r="BT56" s="90" t="s">
        <v>1407</v>
      </c>
      <c r="BU56" s="90">
        <v>773</v>
      </c>
      <c r="BV56" s="90">
        <v>6</v>
      </c>
      <c r="BW56" s="68"/>
      <c r="BX56" s="90"/>
      <c r="BY56" s="90"/>
      <c r="BZ56" s="90"/>
      <c r="CA56" s="90">
        <v>4.5</v>
      </c>
      <c r="CB56" s="90">
        <v>1</v>
      </c>
      <c r="CC56" s="90">
        <v>0</v>
      </c>
      <c r="CD56" s="90"/>
      <c r="CE56" s="90"/>
      <c r="CF56" s="90" t="s">
        <v>1552</v>
      </c>
      <c r="CG56" s="90">
        <v>400</v>
      </c>
      <c r="CH56" s="90">
        <v>275</v>
      </c>
      <c r="CI56" s="68"/>
      <c r="CJ56" s="68"/>
      <c r="CK56" s="125">
        <v>650</v>
      </c>
    </row>
    <row r="57" spans="1:89" ht="15" thickBot="1" x14ac:dyDescent="0.35">
      <c r="A57" s="114" t="s">
        <v>1273</v>
      </c>
      <c r="C57" t="s">
        <v>3260</v>
      </c>
      <c r="E57" s="90">
        <v>3.15</v>
      </c>
      <c r="F57" s="114" t="s">
        <v>2814</v>
      </c>
      <c r="G57" t="s">
        <v>3163</v>
      </c>
      <c r="H57" t="s">
        <v>3164</v>
      </c>
      <c r="M57" t="b">
        <v>1</v>
      </c>
      <c r="N57" t="b">
        <v>1</v>
      </c>
      <c r="O57" t="b">
        <v>0</v>
      </c>
      <c r="P57" t="b">
        <v>0</v>
      </c>
      <c r="Q57" t="s">
        <v>3163</v>
      </c>
      <c r="R57">
        <v>1531431</v>
      </c>
      <c r="AB57" s="120"/>
      <c r="BT57" s="90" t="s">
        <v>1407</v>
      </c>
      <c r="BU57" s="90"/>
      <c r="BV57" s="90"/>
      <c r="BW57" s="68"/>
      <c r="BX57" s="90"/>
      <c r="BY57" s="90"/>
      <c r="BZ57" s="90"/>
      <c r="CA57" s="90">
        <v>1.42</v>
      </c>
      <c r="CB57" s="90">
        <v>1.25</v>
      </c>
      <c r="CC57" s="90">
        <v>25</v>
      </c>
      <c r="CD57" s="90"/>
      <c r="CE57" s="90"/>
      <c r="CF57" s="90" t="s">
        <v>1534</v>
      </c>
      <c r="CG57" s="90">
        <v>300</v>
      </c>
      <c r="CH57" s="90">
        <v>380</v>
      </c>
      <c r="CI57" s="68"/>
      <c r="CJ57" s="68"/>
      <c r="CK57" s="125">
        <v>33</v>
      </c>
    </row>
    <row r="58" spans="1:89" ht="15" thickBot="1" x14ac:dyDescent="0.35">
      <c r="A58" s="114" t="s">
        <v>1273</v>
      </c>
      <c r="C58" t="s">
        <v>3260</v>
      </c>
      <c r="E58" s="90">
        <v>3.08</v>
      </c>
      <c r="F58" s="114" t="s">
        <v>2814</v>
      </c>
      <c r="G58" t="s">
        <v>3163</v>
      </c>
      <c r="H58" t="s">
        <v>3164</v>
      </c>
      <c r="M58" t="b">
        <v>1</v>
      </c>
      <c r="N58" t="b">
        <v>1</v>
      </c>
      <c r="O58" t="b">
        <v>0</v>
      </c>
      <c r="P58" t="b">
        <v>0</v>
      </c>
      <c r="Q58" t="s">
        <v>3163</v>
      </c>
      <c r="R58">
        <v>1531431</v>
      </c>
      <c r="AB58" s="120"/>
      <c r="BT58" s="90" t="s">
        <v>1407</v>
      </c>
      <c r="BU58" s="90"/>
      <c r="BV58" s="90"/>
      <c r="BW58" s="68"/>
      <c r="BX58" s="90"/>
      <c r="BY58" s="90"/>
      <c r="BZ58" s="90"/>
      <c r="CA58" s="90">
        <v>0.68</v>
      </c>
      <c r="CB58" s="90">
        <v>1.25</v>
      </c>
      <c r="CC58" s="90">
        <v>25</v>
      </c>
      <c r="CD58" s="90"/>
      <c r="CE58" s="90"/>
      <c r="CF58" s="90" t="s">
        <v>1534</v>
      </c>
      <c r="CG58" s="90">
        <v>300</v>
      </c>
      <c r="CH58" s="90">
        <v>380</v>
      </c>
      <c r="CI58" s="68"/>
      <c r="CJ58" s="68"/>
      <c r="CK58" s="125">
        <v>118</v>
      </c>
    </row>
    <row r="59" spans="1:89" ht="15" thickBot="1" x14ac:dyDescent="0.35">
      <c r="A59" s="114" t="s">
        <v>1273</v>
      </c>
      <c r="C59" t="s">
        <v>3260</v>
      </c>
      <c r="E59" s="90">
        <v>3.24</v>
      </c>
      <c r="F59" s="114" t="s">
        <v>2814</v>
      </c>
      <c r="G59" t="s">
        <v>3163</v>
      </c>
      <c r="H59" t="s">
        <v>3164</v>
      </c>
      <c r="M59" t="b">
        <v>1</v>
      </c>
      <c r="N59" t="b">
        <v>1</v>
      </c>
      <c r="O59" t="b">
        <v>0</v>
      </c>
      <c r="P59" t="b">
        <v>0</v>
      </c>
      <c r="Q59" t="s">
        <v>3163</v>
      </c>
      <c r="R59">
        <v>1531431</v>
      </c>
      <c r="AB59" s="120"/>
      <c r="BT59" s="90" t="s">
        <v>1407</v>
      </c>
      <c r="BU59" s="90"/>
      <c r="BV59" s="90"/>
      <c r="BW59" s="68"/>
      <c r="BX59" s="90"/>
      <c r="BY59" s="90"/>
      <c r="BZ59" s="90"/>
      <c r="CA59" s="90">
        <v>3.9</v>
      </c>
      <c r="CB59" s="90">
        <v>1.25</v>
      </c>
      <c r="CC59" s="90">
        <v>25</v>
      </c>
      <c r="CD59" s="90"/>
      <c r="CE59" s="90"/>
      <c r="CF59" s="90" t="s">
        <v>1534</v>
      </c>
      <c r="CG59" s="90">
        <v>300</v>
      </c>
      <c r="CH59" s="90">
        <v>380</v>
      </c>
      <c r="CI59" s="68"/>
      <c r="CJ59" s="68"/>
      <c r="CK59" s="125">
        <v>1242</v>
      </c>
    </row>
    <row r="60" spans="1:89" ht="15" thickBot="1" x14ac:dyDescent="0.35">
      <c r="A60" s="114" t="s">
        <v>1273</v>
      </c>
      <c r="C60" t="s">
        <v>3260</v>
      </c>
      <c r="E60" s="90">
        <v>3.15</v>
      </c>
      <c r="F60" s="114" t="s">
        <v>2814</v>
      </c>
      <c r="G60" t="s">
        <v>3163</v>
      </c>
      <c r="H60" t="s">
        <v>3164</v>
      </c>
      <c r="M60" t="b">
        <v>1</v>
      </c>
      <c r="N60" t="b">
        <v>1</v>
      </c>
      <c r="O60" t="b">
        <v>0</v>
      </c>
      <c r="P60" t="b">
        <v>0</v>
      </c>
      <c r="Q60" t="s">
        <v>3163</v>
      </c>
      <c r="R60">
        <v>1531431</v>
      </c>
      <c r="AB60" s="120"/>
      <c r="BT60" s="90" t="s">
        <v>1407</v>
      </c>
      <c r="BU60" s="90"/>
      <c r="BV60" s="90"/>
      <c r="BW60" s="68"/>
      <c r="BX60" s="90" t="s">
        <v>1268</v>
      </c>
      <c r="BY60" s="90" t="s">
        <v>863</v>
      </c>
      <c r="BZ60" s="90">
        <v>0.5</v>
      </c>
      <c r="CA60" s="90">
        <v>1.42</v>
      </c>
      <c r="CB60" s="90">
        <v>1.25</v>
      </c>
      <c r="CC60" s="90">
        <v>25</v>
      </c>
      <c r="CD60" s="90"/>
      <c r="CE60" s="90"/>
      <c r="CF60" s="90" t="s">
        <v>1534</v>
      </c>
      <c r="CG60" s="90">
        <v>300</v>
      </c>
      <c r="CH60" s="90">
        <v>380</v>
      </c>
      <c r="CI60" s="68"/>
      <c r="CJ60" s="68"/>
      <c r="CK60" s="125">
        <v>170</v>
      </c>
    </row>
    <row r="61" spans="1:89" ht="15" thickBot="1" x14ac:dyDescent="0.35">
      <c r="A61" s="114" t="s">
        <v>1273</v>
      </c>
      <c r="C61" t="s">
        <v>3260</v>
      </c>
      <c r="E61" s="90">
        <v>3.15</v>
      </c>
      <c r="F61" s="114" t="s">
        <v>2814</v>
      </c>
      <c r="G61" t="s">
        <v>3163</v>
      </c>
      <c r="H61" t="s">
        <v>3164</v>
      </c>
      <c r="M61" t="b">
        <v>1</v>
      </c>
      <c r="N61" t="b">
        <v>1</v>
      </c>
      <c r="O61" t="b">
        <v>0</v>
      </c>
      <c r="P61" t="b">
        <v>0</v>
      </c>
      <c r="Q61" t="s">
        <v>3163</v>
      </c>
      <c r="R61">
        <v>1531431</v>
      </c>
      <c r="AB61" s="120"/>
      <c r="BT61" s="90" t="s">
        <v>1407</v>
      </c>
      <c r="BU61" s="90"/>
      <c r="BV61" s="90"/>
      <c r="BW61" s="68"/>
      <c r="BX61" s="90" t="s">
        <v>1268</v>
      </c>
      <c r="BY61" s="90" t="s">
        <v>863</v>
      </c>
      <c r="BZ61" s="90">
        <v>1</v>
      </c>
      <c r="CA61" s="90">
        <v>1.42</v>
      </c>
      <c r="CB61" s="90">
        <v>1.25</v>
      </c>
      <c r="CC61" s="90">
        <v>25</v>
      </c>
      <c r="CD61" s="90"/>
      <c r="CE61" s="90"/>
      <c r="CF61" s="90" t="s">
        <v>1534</v>
      </c>
      <c r="CG61" s="90">
        <v>300</v>
      </c>
      <c r="CH61" s="90">
        <v>380</v>
      </c>
      <c r="CI61" s="68"/>
      <c r="CJ61" s="68"/>
      <c r="CK61" s="125">
        <v>240</v>
      </c>
    </row>
    <row r="62" spans="1:89" ht="15" thickBot="1" x14ac:dyDescent="0.35">
      <c r="A62" s="114" t="s">
        <v>1273</v>
      </c>
      <c r="C62" t="s">
        <v>3260</v>
      </c>
      <c r="E62" s="90">
        <v>3.15</v>
      </c>
      <c r="F62" s="114" t="s">
        <v>2814</v>
      </c>
      <c r="G62" t="s">
        <v>3163</v>
      </c>
      <c r="H62" t="s">
        <v>3164</v>
      </c>
      <c r="M62" t="b">
        <v>1</v>
      </c>
      <c r="N62" t="b">
        <v>1</v>
      </c>
      <c r="O62" t="b">
        <v>0</v>
      </c>
      <c r="P62" t="b">
        <v>0</v>
      </c>
      <c r="Q62" t="s">
        <v>3163</v>
      </c>
      <c r="R62">
        <v>1531431</v>
      </c>
      <c r="AB62" s="120"/>
      <c r="BT62" s="90" t="s">
        <v>1407</v>
      </c>
      <c r="BU62" s="90"/>
      <c r="BV62" s="90"/>
      <c r="BW62" s="68"/>
      <c r="BX62" s="90" t="s">
        <v>1268</v>
      </c>
      <c r="BY62" s="90" t="s">
        <v>863</v>
      </c>
      <c r="BZ62" s="90">
        <v>1.5</v>
      </c>
      <c r="CA62" s="90">
        <v>1.42</v>
      </c>
      <c r="CB62" s="90">
        <v>1.25</v>
      </c>
      <c r="CC62" s="90">
        <v>25</v>
      </c>
      <c r="CD62" s="90"/>
      <c r="CE62" s="90"/>
      <c r="CF62" s="90" t="s">
        <v>1534</v>
      </c>
      <c r="CG62" s="90">
        <v>300</v>
      </c>
      <c r="CH62" s="90">
        <v>380</v>
      </c>
      <c r="CI62" s="68"/>
      <c r="CJ62" s="68"/>
      <c r="CK62" s="125">
        <v>300</v>
      </c>
    </row>
    <row r="63" spans="1:89" ht="15" thickBot="1" x14ac:dyDescent="0.35">
      <c r="A63" s="114" t="s">
        <v>1273</v>
      </c>
      <c r="C63" t="s">
        <v>3260</v>
      </c>
      <c r="E63" s="90">
        <v>3.15</v>
      </c>
      <c r="F63" s="114" t="s">
        <v>2814</v>
      </c>
      <c r="G63" t="s">
        <v>3163</v>
      </c>
      <c r="H63" t="s">
        <v>3164</v>
      </c>
      <c r="M63" t="b">
        <v>1</v>
      </c>
      <c r="N63" t="b">
        <v>1</v>
      </c>
      <c r="O63" t="b">
        <v>0</v>
      </c>
      <c r="P63" t="b">
        <v>0</v>
      </c>
      <c r="Q63" t="s">
        <v>3163</v>
      </c>
      <c r="R63">
        <v>1531431</v>
      </c>
      <c r="AB63" s="120"/>
      <c r="BT63" s="90" t="s">
        <v>1407</v>
      </c>
      <c r="BU63" s="90"/>
      <c r="BV63" s="90"/>
      <c r="BW63" s="68"/>
      <c r="BX63" s="90" t="s">
        <v>1268</v>
      </c>
      <c r="BY63" s="90" t="s">
        <v>863</v>
      </c>
      <c r="BZ63" s="90">
        <v>2</v>
      </c>
      <c r="CA63" s="90">
        <v>1.42</v>
      </c>
      <c r="CB63" s="90">
        <v>1.25</v>
      </c>
      <c r="CC63" s="90">
        <v>25</v>
      </c>
      <c r="CD63" s="90"/>
      <c r="CE63" s="90"/>
      <c r="CF63" s="90" t="s">
        <v>1534</v>
      </c>
      <c r="CG63" s="90">
        <v>300</v>
      </c>
      <c r="CH63" s="90">
        <v>380</v>
      </c>
      <c r="CI63" s="68"/>
      <c r="CJ63" s="68"/>
      <c r="CK63" s="125">
        <v>28</v>
      </c>
    </row>
    <row r="64" spans="1:89" ht="15" thickBot="1" x14ac:dyDescent="0.35">
      <c r="A64" s="90" t="s">
        <v>2818</v>
      </c>
      <c r="C64" t="s">
        <v>3261</v>
      </c>
      <c r="E64" s="90">
        <v>2.64</v>
      </c>
      <c r="F64" s="114" t="s">
        <v>2815</v>
      </c>
      <c r="G64" s="8" t="s">
        <v>593</v>
      </c>
      <c r="H64" t="s">
        <v>667</v>
      </c>
      <c r="I64" t="s">
        <v>1172</v>
      </c>
      <c r="J64" s="73" t="s">
        <v>3402</v>
      </c>
      <c r="K64" s="73" t="s">
        <v>3402</v>
      </c>
      <c r="L64" s="73" t="s">
        <v>3402</v>
      </c>
      <c r="M64" t="b">
        <v>1</v>
      </c>
      <c r="N64" t="b">
        <v>1</v>
      </c>
      <c r="O64" t="b">
        <v>0</v>
      </c>
      <c r="P64" t="b">
        <v>0</v>
      </c>
      <c r="Q64" t="s">
        <v>3539</v>
      </c>
      <c r="R64" t="s">
        <v>3540</v>
      </c>
      <c r="S64" t="s">
        <v>3541</v>
      </c>
      <c r="AB64" s="121"/>
      <c r="BT64" s="90" t="s">
        <v>1538</v>
      </c>
      <c r="BU64" s="90"/>
      <c r="BV64" s="90"/>
      <c r="BW64" s="68"/>
      <c r="BX64" s="90"/>
      <c r="BY64" s="90"/>
      <c r="BZ64" s="90"/>
      <c r="CA64" s="90">
        <v>124.8</v>
      </c>
      <c r="CB64" s="90">
        <v>0.66</v>
      </c>
      <c r="CC64" s="90">
        <v>0</v>
      </c>
      <c r="CD64" s="90" t="s">
        <v>1550</v>
      </c>
      <c r="CE64" s="90" t="s">
        <v>1551</v>
      </c>
      <c r="CF64" s="90" t="s">
        <v>1534</v>
      </c>
      <c r="CG64" s="90">
        <v>300</v>
      </c>
      <c r="CH64" s="90">
        <v>420</v>
      </c>
      <c r="CI64" s="68"/>
      <c r="CJ64" s="68"/>
      <c r="CK64" s="125">
        <v>520</v>
      </c>
    </row>
    <row r="65" spans="1:89" ht="15" thickBot="1" x14ac:dyDescent="0.35">
      <c r="A65" s="90" t="s">
        <v>2819</v>
      </c>
      <c r="C65" t="s">
        <v>3261</v>
      </c>
      <c r="E65" s="90">
        <v>2.61</v>
      </c>
      <c r="F65" s="114" t="s">
        <v>2815</v>
      </c>
      <c r="G65" s="8" t="s">
        <v>593</v>
      </c>
      <c r="H65" t="s">
        <v>667</v>
      </c>
      <c r="I65" t="s">
        <v>1172</v>
      </c>
      <c r="J65" s="73" t="s">
        <v>3403</v>
      </c>
      <c r="K65" s="73" t="s">
        <v>3403</v>
      </c>
      <c r="L65" s="73" t="s">
        <v>3403</v>
      </c>
      <c r="M65" t="b">
        <v>1</v>
      </c>
      <c r="N65" t="b">
        <v>1</v>
      </c>
      <c r="O65" t="b">
        <v>0</v>
      </c>
      <c r="P65" t="b">
        <v>0</v>
      </c>
      <c r="Q65" t="s">
        <v>3542</v>
      </c>
      <c r="R65" t="s">
        <v>3543</v>
      </c>
      <c r="S65" t="s">
        <v>3541</v>
      </c>
      <c r="AB65" s="121"/>
      <c r="BT65" s="90" t="s">
        <v>1538</v>
      </c>
      <c r="BU65" s="90"/>
      <c r="BV65" s="90"/>
      <c r="BW65" s="68"/>
      <c r="BX65" s="90"/>
      <c r="BY65" s="90"/>
      <c r="BZ65" s="90"/>
      <c r="CA65" s="90">
        <v>131</v>
      </c>
      <c r="CB65" s="90">
        <v>0.66</v>
      </c>
      <c r="CC65" s="90">
        <v>0</v>
      </c>
      <c r="CD65" s="90" t="s">
        <v>1550</v>
      </c>
      <c r="CE65" s="90" t="s">
        <v>1551</v>
      </c>
      <c r="CF65" s="90" t="s">
        <v>1534</v>
      </c>
      <c r="CG65" s="90">
        <v>300</v>
      </c>
      <c r="CH65" s="90">
        <v>420</v>
      </c>
      <c r="CI65" s="68"/>
      <c r="CJ65" s="68"/>
      <c r="CK65" s="125">
        <v>610</v>
      </c>
    </row>
    <row r="66" spans="1:89" ht="15" thickBot="1" x14ac:dyDescent="0.35">
      <c r="A66" s="90" t="s">
        <v>1414</v>
      </c>
      <c r="C66" t="s">
        <v>3261</v>
      </c>
      <c r="E66" s="90">
        <v>2.58</v>
      </c>
      <c r="F66" s="114" t="s">
        <v>2815</v>
      </c>
      <c r="G66" s="8" t="s">
        <v>593</v>
      </c>
      <c r="H66" t="s">
        <v>667</v>
      </c>
      <c r="I66" t="s">
        <v>1172</v>
      </c>
      <c r="J66" s="73" t="s">
        <v>3404</v>
      </c>
      <c r="K66" s="73" t="s">
        <v>3404</v>
      </c>
      <c r="L66" s="73" t="s">
        <v>3404</v>
      </c>
      <c r="M66" t="b">
        <v>1</v>
      </c>
      <c r="N66" t="b">
        <v>1</v>
      </c>
      <c r="O66" t="b">
        <v>0</v>
      </c>
      <c r="P66" t="b">
        <v>0</v>
      </c>
      <c r="Q66" t="s">
        <v>3544</v>
      </c>
      <c r="R66" t="s">
        <v>3545</v>
      </c>
      <c r="S66" t="s">
        <v>3541</v>
      </c>
      <c r="AB66" s="121"/>
      <c r="BT66" s="90" t="s">
        <v>1538</v>
      </c>
      <c r="BU66" s="90"/>
      <c r="BV66" s="90"/>
      <c r="BW66" s="68"/>
      <c r="BX66" s="90"/>
      <c r="BY66" s="90"/>
      <c r="BZ66" s="90"/>
      <c r="CA66" s="90">
        <v>156</v>
      </c>
      <c r="CB66" s="90">
        <v>0.66</v>
      </c>
      <c r="CC66" s="90">
        <v>0</v>
      </c>
      <c r="CD66" s="90" t="s">
        <v>1550</v>
      </c>
      <c r="CE66" s="90" t="s">
        <v>1551</v>
      </c>
      <c r="CF66" s="90" t="s">
        <v>1534</v>
      </c>
      <c r="CG66" s="90">
        <v>300</v>
      </c>
      <c r="CH66" s="90">
        <v>420</v>
      </c>
      <c r="CI66" s="68"/>
      <c r="CJ66" s="68"/>
      <c r="CK66" s="125">
        <v>970</v>
      </c>
    </row>
    <row r="67" spans="1:89" ht="15" thickBot="1" x14ac:dyDescent="0.35">
      <c r="A67" s="90" t="s">
        <v>2817</v>
      </c>
      <c r="C67" t="s">
        <v>3261</v>
      </c>
      <c r="E67" s="90">
        <v>2.5499999999999998</v>
      </c>
      <c r="F67" s="114" t="s">
        <v>2815</v>
      </c>
      <c r="G67" s="8" t="s">
        <v>593</v>
      </c>
      <c r="H67" t="s">
        <v>667</v>
      </c>
      <c r="I67" t="s">
        <v>1172</v>
      </c>
      <c r="J67" s="73" t="s">
        <v>3405</v>
      </c>
      <c r="K67" s="73" t="s">
        <v>3405</v>
      </c>
      <c r="L67" s="73" t="s">
        <v>3405</v>
      </c>
      <c r="M67" t="b">
        <v>1</v>
      </c>
      <c r="N67" t="b">
        <v>1</v>
      </c>
      <c r="O67" t="b">
        <v>0</v>
      </c>
      <c r="P67" t="b">
        <v>0</v>
      </c>
      <c r="Q67" t="s">
        <v>3546</v>
      </c>
      <c r="R67" t="s">
        <v>3547</v>
      </c>
      <c r="S67" t="s">
        <v>3541</v>
      </c>
      <c r="AB67" s="121"/>
      <c r="BT67" s="90" t="s">
        <v>1538</v>
      </c>
      <c r="BU67" s="90"/>
      <c r="BV67" s="90"/>
      <c r="BW67" s="68"/>
      <c r="BX67" s="90"/>
      <c r="BY67" s="90"/>
      <c r="BZ67" s="90"/>
      <c r="CA67" s="90">
        <v>65.599999999999994</v>
      </c>
      <c r="CB67" s="90">
        <v>0.66</v>
      </c>
      <c r="CC67" s="90">
        <v>0</v>
      </c>
      <c r="CD67" s="90" t="s">
        <v>1550</v>
      </c>
      <c r="CE67" s="90" t="s">
        <v>1551</v>
      </c>
      <c r="CF67" s="90" t="s">
        <v>1534</v>
      </c>
      <c r="CG67" s="90">
        <v>300</v>
      </c>
      <c r="CH67" s="90">
        <v>420</v>
      </c>
      <c r="CI67" s="68"/>
      <c r="CJ67" s="68"/>
      <c r="CK67" s="125">
        <v>510</v>
      </c>
    </row>
    <row r="68" spans="1:89" ht="15" thickBot="1" x14ac:dyDescent="0.35">
      <c r="A68" s="90" t="s">
        <v>2816</v>
      </c>
      <c r="C68" t="s">
        <v>3261</v>
      </c>
      <c r="E68" s="90">
        <v>2.52</v>
      </c>
      <c r="F68" s="114" t="s">
        <v>2815</v>
      </c>
      <c r="G68" s="8" t="s">
        <v>593</v>
      </c>
      <c r="H68" t="s">
        <v>667</v>
      </c>
      <c r="I68" t="s">
        <v>1172</v>
      </c>
      <c r="J68" s="73" t="s">
        <v>3406</v>
      </c>
      <c r="K68" s="73" t="s">
        <v>3406</v>
      </c>
      <c r="L68" s="73" t="s">
        <v>3406</v>
      </c>
      <c r="M68" t="b">
        <v>1</v>
      </c>
      <c r="N68" t="b">
        <v>1</v>
      </c>
      <c r="O68" t="b">
        <v>0</v>
      </c>
      <c r="P68" t="b">
        <v>0</v>
      </c>
      <c r="Q68" t="s">
        <v>3548</v>
      </c>
      <c r="R68" t="s">
        <v>3549</v>
      </c>
      <c r="S68" t="s">
        <v>3541</v>
      </c>
      <c r="AB68" s="121"/>
      <c r="BT68" s="90" t="s">
        <v>1538</v>
      </c>
      <c r="BU68" s="90"/>
      <c r="BV68" s="90"/>
      <c r="BW68" s="68"/>
      <c r="BX68" s="90"/>
      <c r="BY68" s="90"/>
      <c r="BZ68" s="90"/>
      <c r="CA68" s="90">
        <v>49.26</v>
      </c>
      <c r="CB68" s="90">
        <v>0.66</v>
      </c>
      <c r="CC68" s="90">
        <v>0</v>
      </c>
      <c r="CD68" s="90" t="s">
        <v>1550</v>
      </c>
      <c r="CE68" s="90" t="s">
        <v>1551</v>
      </c>
      <c r="CF68" s="90" t="s">
        <v>1534</v>
      </c>
      <c r="CG68" s="90">
        <v>300</v>
      </c>
      <c r="CH68" s="90">
        <v>420</v>
      </c>
      <c r="CI68" s="68"/>
      <c r="CJ68" s="68"/>
      <c r="CK68" s="125">
        <v>360</v>
      </c>
    </row>
    <row r="69" spans="1:89" ht="15" thickBot="1" x14ac:dyDescent="0.35">
      <c r="A69" s="90" t="s">
        <v>1414</v>
      </c>
      <c r="C69" t="s">
        <v>3261</v>
      </c>
      <c r="E69" s="90">
        <v>2.58</v>
      </c>
      <c r="F69" s="114" t="s">
        <v>2815</v>
      </c>
      <c r="G69" s="8" t="s">
        <v>593</v>
      </c>
      <c r="H69" t="s">
        <v>667</v>
      </c>
      <c r="I69" t="s">
        <v>1172</v>
      </c>
      <c r="J69" s="73" t="s">
        <v>3404</v>
      </c>
      <c r="K69" s="73" t="s">
        <v>3404</v>
      </c>
      <c r="L69" s="73" t="s">
        <v>3404</v>
      </c>
      <c r="M69" t="b">
        <v>1</v>
      </c>
      <c r="N69" t="b">
        <v>1</v>
      </c>
      <c r="O69" t="b">
        <v>0</v>
      </c>
      <c r="P69" t="b">
        <v>0</v>
      </c>
      <c r="Q69" t="s">
        <v>3550</v>
      </c>
      <c r="R69" t="s">
        <v>3551</v>
      </c>
      <c r="S69" t="s">
        <v>3541</v>
      </c>
      <c r="AB69" s="121"/>
      <c r="BT69" s="90" t="s">
        <v>1538</v>
      </c>
      <c r="BU69" s="90"/>
      <c r="BV69" s="90"/>
      <c r="BW69" s="68"/>
      <c r="BX69" s="90" t="s">
        <v>1268</v>
      </c>
      <c r="BY69" s="90" t="s">
        <v>863</v>
      </c>
      <c r="BZ69" s="90">
        <v>0.15</v>
      </c>
      <c r="CA69" s="90">
        <v>156</v>
      </c>
      <c r="CB69" s="90">
        <v>0.66</v>
      </c>
      <c r="CC69" s="90">
        <v>0</v>
      </c>
      <c r="CD69" s="90" t="s">
        <v>1550</v>
      </c>
      <c r="CE69" s="90" t="s">
        <v>1551</v>
      </c>
      <c r="CF69" s="90" t="s">
        <v>1534</v>
      </c>
      <c r="CG69" s="90">
        <v>300</v>
      </c>
      <c r="CH69" s="90">
        <v>420</v>
      </c>
      <c r="CI69" s="68"/>
      <c r="CJ69" s="68"/>
      <c r="CK69" s="125">
        <v>1800</v>
      </c>
    </row>
    <row r="70" spans="1:89" ht="15" thickBot="1" x14ac:dyDescent="0.35">
      <c r="A70" s="90" t="s">
        <v>1414</v>
      </c>
      <c r="C70" t="s">
        <v>3261</v>
      </c>
      <c r="E70" s="90">
        <v>2.58</v>
      </c>
      <c r="F70" s="114" t="s">
        <v>2815</v>
      </c>
      <c r="G70" s="8" t="s">
        <v>593</v>
      </c>
      <c r="H70" t="s">
        <v>667</v>
      </c>
      <c r="I70" t="s">
        <v>1172</v>
      </c>
      <c r="J70" s="73" t="s">
        <v>3404</v>
      </c>
      <c r="K70" s="73" t="s">
        <v>3404</v>
      </c>
      <c r="L70" s="73" t="s">
        <v>3404</v>
      </c>
      <c r="M70" t="b">
        <v>1</v>
      </c>
      <c r="N70" t="b">
        <v>1</v>
      </c>
      <c r="O70" t="b">
        <v>0</v>
      </c>
      <c r="P70" t="b">
        <v>0</v>
      </c>
      <c r="Q70" t="s">
        <v>3552</v>
      </c>
      <c r="R70" t="s">
        <v>3553</v>
      </c>
      <c r="S70" t="s">
        <v>3541</v>
      </c>
      <c r="AB70" s="121"/>
      <c r="BT70" s="90" t="s">
        <v>1538</v>
      </c>
      <c r="BU70" s="90"/>
      <c r="BV70" s="90"/>
      <c r="BW70" s="68"/>
      <c r="BX70" s="90" t="s">
        <v>1268</v>
      </c>
      <c r="BY70" s="90" t="s">
        <v>863</v>
      </c>
      <c r="BZ70" s="90">
        <v>0.25</v>
      </c>
      <c r="CA70" s="90">
        <v>156</v>
      </c>
      <c r="CB70" s="90">
        <v>0.66</v>
      </c>
      <c r="CC70" s="90">
        <v>0</v>
      </c>
      <c r="CD70" s="90" t="s">
        <v>1550</v>
      </c>
      <c r="CE70" s="90" t="s">
        <v>1551</v>
      </c>
      <c r="CF70" s="90" t="s">
        <v>1534</v>
      </c>
      <c r="CG70" s="90">
        <v>300</v>
      </c>
      <c r="CH70" s="90">
        <v>420</v>
      </c>
      <c r="CI70" s="68"/>
      <c r="CJ70" s="68"/>
      <c r="CK70" s="125">
        <v>2275</v>
      </c>
    </row>
    <row r="71" spans="1:89" ht="15" thickBot="1" x14ac:dyDescent="0.35">
      <c r="A71" s="90" t="s">
        <v>1414</v>
      </c>
      <c r="C71" t="s">
        <v>3261</v>
      </c>
      <c r="E71" s="90">
        <v>2.58</v>
      </c>
      <c r="F71" s="114" t="s">
        <v>2815</v>
      </c>
      <c r="G71" s="8" t="s">
        <v>593</v>
      </c>
      <c r="H71" t="s">
        <v>667</v>
      </c>
      <c r="I71" t="s">
        <v>1172</v>
      </c>
      <c r="J71" s="73" t="s">
        <v>3404</v>
      </c>
      <c r="K71" s="73" t="s">
        <v>3404</v>
      </c>
      <c r="L71" s="73" t="s">
        <v>3404</v>
      </c>
      <c r="M71" t="b">
        <v>1</v>
      </c>
      <c r="N71" t="b">
        <v>1</v>
      </c>
      <c r="O71" t="b">
        <v>0</v>
      </c>
      <c r="P71" t="b">
        <v>0</v>
      </c>
      <c r="Q71" t="s">
        <v>3554</v>
      </c>
      <c r="R71" t="s">
        <v>3555</v>
      </c>
      <c r="S71" t="s">
        <v>3541</v>
      </c>
      <c r="AB71" s="121"/>
      <c r="BT71" s="90" t="s">
        <v>1538</v>
      </c>
      <c r="BU71" s="90"/>
      <c r="BV71" s="90"/>
      <c r="BW71" s="68"/>
      <c r="BX71" s="90" t="s">
        <v>1268</v>
      </c>
      <c r="BY71" s="90" t="s">
        <v>863</v>
      </c>
      <c r="BZ71" s="90">
        <v>0.5</v>
      </c>
      <c r="CA71" s="90">
        <v>156</v>
      </c>
      <c r="CB71" s="90">
        <v>0.66</v>
      </c>
      <c r="CC71" s="90">
        <v>0</v>
      </c>
      <c r="CD71" s="90" t="s">
        <v>1550</v>
      </c>
      <c r="CE71" s="90" t="s">
        <v>1551</v>
      </c>
      <c r="CF71" s="90" t="s">
        <v>1534</v>
      </c>
      <c r="CG71" s="90">
        <v>300</v>
      </c>
      <c r="CH71" s="90">
        <v>420</v>
      </c>
      <c r="CI71" s="68"/>
      <c r="CJ71" s="68"/>
      <c r="CK71" s="125">
        <v>1850</v>
      </c>
    </row>
    <row r="72" spans="1:89" ht="15" thickBot="1" x14ac:dyDescent="0.35">
      <c r="A72" s="90" t="s">
        <v>1414</v>
      </c>
      <c r="C72" t="s">
        <v>3261</v>
      </c>
      <c r="E72" s="90">
        <v>2.58</v>
      </c>
      <c r="F72" s="114" t="s">
        <v>2815</v>
      </c>
      <c r="G72" s="8" t="s">
        <v>593</v>
      </c>
      <c r="H72" t="s">
        <v>667</v>
      </c>
      <c r="I72" t="s">
        <v>1172</v>
      </c>
      <c r="J72" s="73" t="s">
        <v>3404</v>
      </c>
      <c r="K72" s="73" t="s">
        <v>3404</v>
      </c>
      <c r="L72" s="73" t="s">
        <v>3404</v>
      </c>
      <c r="M72" t="b">
        <v>1</v>
      </c>
      <c r="N72" t="b">
        <v>1</v>
      </c>
      <c r="O72" t="b">
        <v>0</v>
      </c>
      <c r="P72" t="b">
        <v>0</v>
      </c>
      <c r="Q72" t="s">
        <v>3556</v>
      </c>
      <c r="R72" t="s">
        <v>3557</v>
      </c>
      <c r="S72" t="s">
        <v>3541</v>
      </c>
      <c r="AB72" s="121"/>
      <c r="BT72" s="90" t="s">
        <v>1538</v>
      </c>
      <c r="BU72" s="90"/>
      <c r="BV72" s="90"/>
      <c r="BW72" s="68"/>
      <c r="BX72" s="90" t="s">
        <v>1268</v>
      </c>
      <c r="BY72" s="90" t="s">
        <v>863</v>
      </c>
      <c r="BZ72" s="90">
        <v>1</v>
      </c>
      <c r="CA72" s="90">
        <v>156</v>
      </c>
      <c r="CB72" s="90">
        <v>0.66</v>
      </c>
      <c r="CC72" s="90">
        <v>0</v>
      </c>
      <c r="CD72" s="90" t="s">
        <v>1550</v>
      </c>
      <c r="CE72" s="90" t="s">
        <v>1551</v>
      </c>
      <c r="CF72" s="90" t="s">
        <v>1534</v>
      </c>
      <c r="CG72" s="90">
        <v>300</v>
      </c>
      <c r="CH72" s="90">
        <v>420</v>
      </c>
      <c r="CI72" s="68"/>
      <c r="CJ72" s="68"/>
      <c r="CK72" s="125">
        <v>1725</v>
      </c>
    </row>
    <row r="73" spans="1:89" ht="15" thickBot="1" x14ac:dyDescent="0.35">
      <c r="A73" s="90" t="s">
        <v>2821</v>
      </c>
      <c r="C73" t="s">
        <v>3262</v>
      </c>
      <c r="E73" s="90">
        <v>4.8</v>
      </c>
      <c r="F73" s="114" t="s">
        <v>2820</v>
      </c>
      <c r="G73" t="s">
        <v>3165</v>
      </c>
      <c r="H73" t="s">
        <v>3166</v>
      </c>
      <c r="M73" t="b">
        <v>1</v>
      </c>
      <c r="N73" t="b">
        <v>1</v>
      </c>
      <c r="O73" t="b">
        <v>0</v>
      </c>
      <c r="P73" t="b">
        <v>0</v>
      </c>
      <c r="Q73" t="s">
        <v>3165</v>
      </c>
      <c r="R73">
        <v>1532743</v>
      </c>
      <c r="AB73" s="121"/>
      <c r="BT73" s="90" t="s">
        <v>1293</v>
      </c>
      <c r="BU73" s="90">
        <v>1273</v>
      </c>
      <c r="BV73" s="90">
        <v>6</v>
      </c>
      <c r="BW73" s="68"/>
      <c r="BX73" s="90"/>
      <c r="BY73" s="90"/>
      <c r="BZ73" s="90"/>
      <c r="CA73" s="90">
        <v>8.5</v>
      </c>
      <c r="CB73" s="90">
        <v>0.47599999999999998</v>
      </c>
      <c r="CC73" s="90">
        <v>0</v>
      </c>
      <c r="CD73" s="90"/>
      <c r="CE73" s="90"/>
      <c r="CF73" s="90" t="s">
        <v>1552</v>
      </c>
      <c r="CG73" s="90">
        <v>400</v>
      </c>
      <c r="CH73" s="90">
        <v>365</v>
      </c>
      <c r="CI73" s="68"/>
      <c r="CJ73" s="68"/>
      <c r="CK73" s="125">
        <v>112</v>
      </c>
    </row>
    <row r="74" spans="1:89" ht="15" thickBot="1" x14ac:dyDescent="0.35">
      <c r="A74" s="90" t="s">
        <v>2822</v>
      </c>
      <c r="C74" t="s">
        <v>3263</v>
      </c>
      <c r="E74" s="90">
        <v>4.4000000000000004</v>
      </c>
      <c r="F74" s="114" t="s">
        <v>2820</v>
      </c>
      <c r="G74" t="s">
        <v>3165</v>
      </c>
      <c r="H74" t="s">
        <v>3166</v>
      </c>
      <c r="J74" s="73" t="s">
        <v>3407</v>
      </c>
      <c r="K74" s="73" t="s">
        <v>3407</v>
      </c>
      <c r="M74" t="b">
        <v>1</v>
      </c>
      <c r="N74" t="b">
        <v>1</v>
      </c>
      <c r="O74" t="b">
        <v>0</v>
      </c>
      <c r="P74" t="b">
        <v>0</v>
      </c>
      <c r="Q74" t="s">
        <v>3558</v>
      </c>
      <c r="R74" t="s">
        <v>3559</v>
      </c>
      <c r="AB74" s="121"/>
      <c r="BT74" s="90" t="s">
        <v>1293</v>
      </c>
      <c r="BU74" s="90">
        <v>1273</v>
      </c>
      <c r="BV74" s="90">
        <v>6</v>
      </c>
      <c r="BW74" s="68"/>
      <c r="BX74" s="90"/>
      <c r="BY74" s="90"/>
      <c r="BZ74" s="90"/>
      <c r="CA74" s="90">
        <v>5.7</v>
      </c>
      <c r="CB74" s="90">
        <v>0.47599999999999998</v>
      </c>
      <c r="CC74" s="90">
        <v>0</v>
      </c>
      <c r="CD74" s="90"/>
      <c r="CE74" s="90"/>
      <c r="CF74" s="90" t="s">
        <v>1552</v>
      </c>
      <c r="CG74" s="90">
        <v>400</v>
      </c>
      <c r="CH74" s="90">
        <v>365</v>
      </c>
      <c r="CI74" s="68"/>
      <c r="CJ74" s="68"/>
      <c r="CK74" s="125">
        <v>100</v>
      </c>
    </row>
    <row r="75" spans="1:89" ht="15" thickBot="1" x14ac:dyDescent="0.35">
      <c r="A75" s="90" t="s">
        <v>2823</v>
      </c>
      <c r="C75" t="s">
        <v>3263</v>
      </c>
      <c r="E75" s="90">
        <v>4</v>
      </c>
      <c r="F75" s="114" t="s">
        <v>2820</v>
      </c>
      <c r="G75" t="s">
        <v>3165</v>
      </c>
      <c r="H75" t="s">
        <v>3166</v>
      </c>
      <c r="J75" s="73" t="s">
        <v>3408</v>
      </c>
      <c r="K75" s="73" t="s">
        <v>3408</v>
      </c>
      <c r="M75" t="b">
        <v>1</v>
      </c>
      <c r="N75" t="b">
        <v>1</v>
      </c>
      <c r="O75" t="b">
        <v>0</v>
      </c>
      <c r="P75" t="b">
        <v>0</v>
      </c>
      <c r="Q75" t="s">
        <v>3560</v>
      </c>
      <c r="R75" t="s">
        <v>3561</v>
      </c>
      <c r="AB75" s="121"/>
      <c r="BT75" s="90" t="s">
        <v>1293</v>
      </c>
      <c r="BU75" s="90">
        <v>1273</v>
      </c>
      <c r="BV75" s="90">
        <v>6</v>
      </c>
      <c r="BW75" s="68"/>
      <c r="BX75" s="90"/>
      <c r="BY75" s="90"/>
      <c r="BZ75" s="90"/>
      <c r="CA75" s="90">
        <v>3.8</v>
      </c>
      <c r="CB75" s="90">
        <v>0.47599999999999998</v>
      </c>
      <c r="CC75" s="90">
        <v>0</v>
      </c>
      <c r="CD75" s="90"/>
      <c r="CE75" s="90"/>
      <c r="CF75" s="90" t="s">
        <v>1552</v>
      </c>
      <c r="CG75" s="90">
        <v>400</v>
      </c>
      <c r="CH75" s="90">
        <v>365</v>
      </c>
      <c r="CI75" s="68"/>
      <c r="CJ75" s="68"/>
      <c r="CK75" s="125">
        <v>125</v>
      </c>
    </row>
    <row r="76" spans="1:89" ht="15" thickBot="1" x14ac:dyDescent="0.35">
      <c r="A76" s="90" t="s">
        <v>2824</v>
      </c>
      <c r="C76" t="s">
        <v>3263</v>
      </c>
      <c r="E76" s="90">
        <v>3.6</v>
      </c>
      <c r="F76" s="114" t="s">
        <v>2820</v>
      </c>
      <c r="G76" t="s">
        <v>3165</v>
      </c>
      <c r="H76" t="s">
        <v>3166</v>
      </c>
      <c r="J76" s="73" t="s">
        <v>3409</v>
      </c>
      <c r="K76" s="73" t="s">
        <v>3409</v>
      </c>
      <c r="M76" t="b">
        <v>1</v>
      </c>
      <c r="N76" t="b">
        <v>1</v>
      </c>
      <c r="O76" t="b">
        <v>0</v>
      </c>
      <c r="P76" t="b">
        <v>0</v>
      </c>
      <c r="Q76" t="s">
        <v>3562</v>
      </c>
      <c r="R76" t="s">
        <v>3563</v>
      </c>
      <c r="AB76" s="121"/>
      <c r="BT76" s="90" t="s">
        <v>1293</v>
      </c>
      <c r="BU76" s="90">
        <v>1273</v>
      </c>
      <c r="BV76" s="90">
        <v>6</v>
      </c>
      <c r="BW76" s="68"/>
      <c r="BX76" s="90"/>
      <c r="BY76" s="90"/>
      <c r="BZ76" s="90"/>
      <c r="CA76" s="90">
        <v>4</v>
      </c>
      <c r="CB76" s="90">
        <v>0.47599999999999998</v>
      </c>
      <c r="CC76" s="90">
        <v>0</v>
      </c>
      <c r="CD76" s="90"/>
      <c r="CE76" s="90"/>
      <c r="CF76" s="90" t="s">
        <v>1552</v>
      </c>
      <c r="CG76" s="90">
        <v>400</v>
      </c>
      <c r="CH76" s="90">
        <v>365</v>
      </c>
      <c r="CI76" s="68"/>
      <c r="CJ76" s="68"/>
      <c r="CK76" s="125">
        <v>138</v>
      </c>
    </row>
    <row r="77" spans="1:89" ht="15" thickBot="1" x14ac:dyDescent="0.35">
      <c r="A77" s="90" t="s">
        <v>2825</v>
      </c>
      <c r="C77" t="s">
        <v>3263</v>
      </c>
      <c r="E77" s="90">
        <v>3.3</v>
      </c>
      <c r="F77" s="114" t="s">
        <v>2820</v>
      </c>
      <c r="G77" t="s">
        <v>3165</v>
      </c>
      <c r="H77" t="s">
        <v>3166</v>
      </c>
      <c r="J77" s="73" t="s">
        <v>3410</v>
      </c>
      <c r="K77" s="73" t="s">
        <v>3410</v>
      </c>
      <c r="M77" t="b">
        <v>1</v>
      </c>
      <c r="N77" t="b">
        <v>1</v>
      </c>
      <c r="O77" t="b">
        <v>0</v>
      </c>
      <c r="P77" t="b">
        <v>0</v>
      </c>
      <c r="Q77" t="s">
        <v>3564</v>
      </c>
      <c r="R77" t="s">
        <v>3565</v>
      </c>
      <c r="AB77" s="121"/>
      <c r="BT77" s="90" t="s">
        <v>1293</v>
      </c>
      <c r="BU77" s="90">
        <v>1273</v>
      </c>
      <c r="BV77" s="90">
        <v>6</v>
      </c>
      <c r="BW77" s="68"/>
      <c r="BX77" s="90"/>
      <c r="BY77" s="90"/>
      <c r="BZ77" s="90"/>
      <c r="CA77" s="90">
        <v>2.1</v>
      </c>
      <c r="CB77" s="90">
        <v>0.47599999999999998</v>
      </c>
      <c r="CC77" s="90">
        <v>0</v>
      </c>
      <c r="CD77" s="90"/>
      <c r="CE77" s="90"/>
      <c r="CF77" s="90" t="s">
        <v>1552</v>
      </c>
      <c r="CG77" s="90">
        <v>400</v>
      </c>
      <c r="CH77" s="90">
        <v>365</v>
      </c>
      <c r="CI77" s="68"/>
      <c r="CJ77" s="68"/>
      <c r="CK77" s="125">
        <v>70</v>
      </c>
    </row>
    <row r="78" spans="1:89" ht="15" thickBot="1" x14ac:dyDescent="0.35">
      <c r="A78" s="90" t="s">
        <v>2828</v>
      </c>
      <c r="C78" t="s">
        <v>3264</v>
      </c>
      <c r="E78" s="90">
        <v>3.08</v>
      </c>
      <c r="F78" s="114" t="s">
        <v>2826</v>
      </c>
      <c r="G78" s="8" t="s">
        <v>593</v>
      </c>
      <c r="H78" t="s">
        <v>667</v>
      </c>
      <c r="J78" s="73" t="s">
        <v>3411</v>
      </c>
      <c r="K78" s="73" t="s">
        <v>3411</v>
      </c>
      <c r="M78" t="b">
        <v>1</v>
      </c>
      <c r="N78" t="b">
        <v>1</v>
      </c>
      <c r="O78" t="b">
        <v>0</v>
      </c>
      <c r="P78" t="b">
        <v>0</v>
      </c>
      <c r="Q78" t="s">
        <v>3566</v>
      </c>
      <c r="R78" t="s">
        <v>3567</v>
      </c>
      <c r="AB78" s="121"/>
      <c r="BT78" s="90" t="s">
        <v>1407</v>
      </c>
      <c r="BU78" s="90"/>
      <c r="BV78" s="90"/>
      <c r="BW78" s="68"/>
      <c r="BX78" s="90"/>
      <c r="BY78" s="90"/>
      <c r="BZ78" s="90"/>
      <c r="CA78" s="90"/>
      <c r="CB78" s="90">
        <v>1</v>
      </c>
      <c r="CC78" s="90">
        <v>50</v>
      </c>
      <c r="CD78" s="90"/>
      <c r="CE78" s="90"/>
      <c r="CF78" s="90" t="s">
        <v>1572</v>
      </c>
      <c r="CG78" s="90"/>
      <c r="CH78" s="90">
        <v>365</v>
      </c>
      <c r="CI78" s="68"/>
      <c r="CJ78" s="68"/>
      <c r="CK78" s="125">
        <v>34.200000000000003</v>
      </c>
    </row>
    <row r="79" spans="1:89" ht="15" thickBot="1" x14ac:dyDescent="0.35">
      <c r="A79" s="90" t="s">
        <v>2829</v>
      </c>
      <c r="C79" t="s">
        <v>3264</v>
      </c>
      <c r="E79" s="90">
        <v>3.06</v>
      </c>
      <c r="F79" s="114" t="s">
        <v>2826</v>
      </c>
      <c r="G79" s="8" t="s">
        <v>593</v>
      </c>
      <c r="H79" t="s">
        <v>667</v>
      </c>
      <c r="J79" s="73" t="s">
        <v>3412</v>
      </c>
      <c r="K79" s="73" t="s">
        <v>3412</v>
      </c>
      <c r="M79" t="b">
        <v>1</v>
      </c>
      <c r="N79" t="b">
        <v>1</v>
      </c>
      <c r="O79" t="b">
        <v>0</v>
      </c>
      <c r="P79" t="b">
        <v>0</v>
      </c>
      <c r="Q79" t="s">
        <v>3568</v>
      </c>
      <c r="R79" t="s">
        <v>3569</v>
      </c>
      <c r="AB79" s="121"/>
      <c r="BT79" s="90" t="s">
        <v>1407</v>
      </c>
      <c r="BU79" s="90"/>
      <c r="BV79" s="90"/>
      <c r="BW79" s="68"/>
      <c r="BX79" s="90"/>
      <c r="BY79" s="90"/>
      <c r="BZ79" s="90"/>
      <c r="CA79" s="90"/>
      <c r="CB79" s="90">
        <v>1</v>
      </c>
      <c r="CC79" s="90">
        <v>50</v>
      </c>
      <c r="CD79" s="90"/>
      <c r="CE79" s="90"/>
      <c r="CF79" s="90" t="s">
        <v>1572</v>
      </c>
      <c r="CG79" s="90"/>
      <c r="CH79" s="90">
        <v>365</v>
      </c>
      <c r="CI79" s="68"/>
      <c r="CJ79" s="68"/>
      <c r="CK79" s="125">
        <v>113</v>
      </c>
    </row>
    <row r="80" spans="1:89" ht="15" thickBot="1" x14ac:dyDescent="0.35">
      <c r="A80" s="90" t="s">
        <v>2827</v>
      </c>
      <c r="C80" t="s">
        <v>3264</v>
      </c>
      <c r="E80" s="90">
        <v>3.05</v>
      </c>
      <c r="F80" s="114" t="s">
        <v>2826</v>
      </c>
      <c r="G80" s="8" t="s">
        <v>593</v>
      </c>
      <c r="H80" t="s">
        <v>667</v>
      </c>
      <c r="J80" s="73" t="s">
        <v>3413</v>
      </c>
      <c r="K80" s="73" t="s">
        <v>3413</v>
      </c>
      <c r="M80" t="b">
        <v>1</v>
      </c>
      <c r="N80" t="b">
        <v>1</v>
      </c>
      <c r="O80" t="b">
        <v>0</v>
      </c>
      <c r="P80" t="b">
        <v>0</v>
      </c>
      <c r="Q80" t="s">
        <v>3570</v>
      </c>
      <c r="R80" t="s">
        <v>3571</v>
      </c>
      <c r="AB80" s="121"/>
      <c r="BT80" s="90" t="s">
        <v>1407</v>
      </c>
      <c r="BU80" s="90"/>
      <c r="BV80" s="90"/>
      <c r="BW80" s="68"/>
      <c r="BX80" s="90"/>
      <c r="BY80" s="90"/>
      <c r="BZ80" s="90"/>
      <c r="CA80" s="90"/>
      <c r="CB80" s="90">
        <v>1</v>
      </c>
      <c r="CC80" s="90">
        <v>50</v>
      </c>
      <c r="CD80" s="90"/>
      <c r="CE80" s="90"/>
      <c r="CF80" s="90" t="s">
        <v>1572</v>
      </c>
      <c r="CG80" s="90"/>
      <c r="CH80" s="90">
        <v>365</v>
      </c>
      <c r="CI80" s="68"/>
      <c r="CJ80" s="68"/>
      <c r="CK80" s="125">
        <v>396</v>
      </c>
    </row>
    <row r="81" spans="1:89" ht="15" thickBot="1" x14ac:dyDescent="0.35">
      <c r="A81" s="90" t="s">
        <v>2828</v>
      </c>
      <c r="C81" t="s">
        <v>3264</v>
      </c>
      <c r="E81" s="90">
        <v>3.11</v>
      </c>
      <c r="F81" s="114" t="s">
        <v>2826</v>
      </c>
      <c r="G81" s="8" t="s">
        <v>593</v>
      </c>
      <c r="H81" t="s">
        <v>667</v>
      </c>
      <c r="J81" s="73" t="s">
        <v>3411</v>
      </c>
      <c r="K81" s="73" t="s">
        <v>3411</v>
      </c>
      <c r="M81" t="b">
        <v>1</v>
      </c>
      <c r="N81" t="b">
        <v>1</v>
      </c>
      <c r="O81" t="b">
        <v>0</v>
      </c>
      <c r="P81" t="b">
        <v>0</v>
      </c>
      <c r="Q81" t="s">
        <v>3572</v>
      </c>
      <c r="R81" t="s">
        <v>3573</v>
      </c>
      <c r="AB81" s="121"/>
      <c r="BT81" s="90" t="s">
        <v>1407</v>
      </c>
      <c r="BU81" s="90"/>
      <c r="BV81" s="90"/>
      <c r="BW81" s="68"/>
      <c r="BX81" s="90"/>
      <c r="BY81" s="90"/>
      <c r="BZ81" s="90"/>
      <c r="CA81" s="90"/>
      <c r="CB81" s="90">
        <v>1</v>
      </c>
      <c r="CC81" s="90">
        <v>50</v>
      </c>
      <c r="CD81" s="90"/>
      <c r="CE81" s="90"/>
      <c r="CF81" s="90" t="s">
        <v>1572</v>
      </c>
      <c r="CG81" s="90"/>
      <c r="CH81" s="90">
        <v>365</v>
      </c>
      <c r="CI81" s="68"/>
      <c r="CJ81" s="68"/>
      <c r="CK81" s="125">
        <v>275</v>
      </c>
    </row>
    <row r="82" spans="1:89" ht="15" thickBot="1" x14ac:dyDescent="0.35">
      <c r="A82" s="90" t="s">
        <v>2827</v>
      </c>
      <c r="C82" t="s">
        <v>3264</v>
      </c>
      <c r="E82" s="90">
        <v>3.05</v>
      </c>
      <c r="F82" s="114" t="s">
        <v>2826</v>
      </c>
      <c r="G82" s="8" t="s">
        <v>593</v>
      </c>
      <c r="H82" t="s">
        <v>667</v>
      </c>
      <c r="J82" s="73" t="s">
        <v>3413</v>
      </c>
      <c r="K82" s="73" t="s">
        <v>3413</v>
      </c>
      <c r="M82" t="b">
        <v>1</v>
      </c>
      <c r="N82" t="b">
        <v>1</v>
      </c>
      <c r="O82" t="b">
        <v>0</v>
      </c>
      <c r="P82" t="b">
        <v>0</v>
      </c>
      <c r="Q82" t="s">
        <v>3574</v>
      </c>
      <c r="R82" t="s">
        <v>3575</v>
      </c>
      <c r="AB82" s="121"/>
      <c r="BT82" s="90" t="s">
        <v>1407</v>
      </c>
      <c r="BU82" s="90"/>
      <c r="BV82" s="90"/>
      <c r="BW82" s="68"/>
      <c r="BX82" s="90"/>
      <c r="BY82" s="90"/>
      <c r="BZ82" s="90"/>
      <c r="CA82" s="90"/>
      <c r="CB82" s="90">
        <v>1</v>
      </c>
      <c r="CC82" s="90">
        <v>50</v>
      </c>
      <c r="CD82" s="90" t="s">
        <v>1545</v>
      </c>
      <c r="CE82" s="90"/>
      <c r="CF82" s="90" t="s">
        <v>1572</v>
      </c>
      <c r="CG82" s="90"/>
      <c r="CH82" s="90">
        <v>365</v>
      </c>
      <c r="CI82" s="68"/>
      <c r="CJ82" s="68"/>
      <c r="CK82" s="125">
        <v>13.9</v>
      </c>
    </row>
    <row r="83" spans="1:89" ht="15" thickBot="1" x14ac:dyDescent="0.35">
      <c r="A83" s="90" t="s">
        <v>2827</v>
      </c>
      <c r="C83" t="s">
        <v>3264</v>
      </c>
      <c r="E83" s="90">
        <v>3.05</v>
      </c>
      <c r="F83" s="114" t="s">
        <v>2826</v>
      </c>
      <c r="G83" s="8" t="s">
        <v>593</v>
      </c>
      <c r="H83" t="s">
        <v>667</v>
      </c>
      <c r="J83" s="73" t="s">
        <v>3413</v>
      </c>
      <c r="K83" s="73" t="s">
        <v>3413</v>
      </c>
      <c r="M83" t="b">
        <v>1</v>
      </c>
      <c r="N83" t="b">
        <v>1</v>
      </c>
      <c r="O83" t="b">
        <v>0</v>
      </c>
      <c r="P83" t="b">
        <v>0</v>
      </c>
      <c r="Q83" t="s">
        <v>3576</v>
      </c>
      <c r="R83" t="s">
        <v>3577</v>
      </c>
      <c r="AB83" s="121"/>
      <c r="BT83" s="90" t="s">
        <v>1407</v>
      </c>
      <c r="BU83" s="90"/>
      <c r="BV83" s="90"/>
      <c r="BW83" s="68"/>
      <c r="BX83" s="90"/>
      <c r="BY83" s="90"/>
      <c r="BZ83" s="90"/>
      <c r="CA83" s="90"/>
      <c r="CB83" s="90">
        <v>1</v>
      </c>
      <c r="CC83" s="90">
        <v>50</v>
      </c>
      <c r="CD83" s="90" t="s">
        <v>1573</v>
      </c>
      <c r="CE83" s="90"/>
      <c r="CF83" s="90" t="s">
        <v>1572</v>
      </c>
      <c r="CG83" s="90"/>
      <c r="CH83" s="90">
        <v>365</v>
      </c>
      <c r="CI83" s="68"/>
      <c r="CJ83" s="68"/>
      <c r="CK83" s="125">
        <v>38.6</v>
      </c>
    </row>
    <row r="84" spans="1:89" ht="15" thickBot="1" x14ac:dyDescent="0.35">
      <c r="A84" s="90" t="s">
        <v>2827</v>
      </c>
      <c r="C84" t="s">
        <v>3264</v>
      </c>
      <c r="E84" s="90">
        <v>3.05</v>
      </c>
      <c r="F84" s="114" t="s">
        <v>2826</v>
      </c>
      <c r="G84" s="8" t="s">
        <v>593</v>
      </c>
      <c r="H84" t="s">
        <v>667</v>
      </c>
      <c r="J84" s="73" t="s">
        <v>3413</v>
      </c>
      <c r="K84" s="73" t="s">
        <v>3413</v>
      </c>
      <c r="M84" t="b">
        <v>1</v>
      </c>
      <c r="N84" t="b">
        <v>1</v>
      </c>
      <c r="O84" t="b">
        <v>0</v>
      </c>
      <c r="P84" t="b">
        <v>0</v>
      </c>
      <c r="Q84" t="s">
        <v>3578</v>
      </c>
      <c r="R84" t="s">
        <v>3579</v>
      </c>
      <c r="AB84" s="121"/>
      <c r="BT84" s="90" t="s">
        <v>1407</v>
      </c>
      <c r="BU84" s="90"/>
      <c r="BV84" s="90"/>
      <c r="BW84" s="68"/>
      <c r="BX84" s="90"/>
      <c r="BY84" s="90"/>
      <c r="BZ84" s="90"/>
      <c r="CA84" s="90"/>
      <c r="CB84" s="90">
        <v>1</v>
      </c>
      <c r="CC84" s="90">
        <v>50</v>
      </c>
      <c r="CD84" s="90" t="s">
        <v>1574</v>
      </c>
      <c r="CE84" s="90"/>
      <c r="CF84" s="90" t="s">
        <v>1572</v>
      </c>
      <c r="CG84" s="90"/>
      <c r="CH84" s="90">
        <v>365</v>
      </c>
      <c r="CI84" s="68"/>
      <c r="CJ84" s="68"/>
      <c r="CK84" s="125">
        <v>63.2</v>
      </c>
    </row>
    <row r="85" spans="1:89" ht="15" thickBot="1" x14ac:dyDescent="0.35">
      <c r="A85" s="90" t="s">
        <v>2827</v>
      </c>
      <c r="C85" t="s">
        <v>3264</v>
      </c>
      <c r="E85" s="90">
        <v>3.05</v>
      </c>
      <c r="F85" s="114" t="s">
        <v>2826</v>
      </c>
      <c r="G85" s="8" t="s">
        <v>593</v>
      </c>
      <c r="H85" t="s">
        <v>667</v>
      </c>
      <c r="J85" s="73" t="s">
        <v>3413</v>
      </c>
      <c r="K85" s="73" t="s">
        <v>3413</v>
      </c>
      <c r="M85" t="b">
        <v>1</v>
      </c>
      <c r="N85" t="b">
        <v>1</v>
      </c>
      <c r="O85" t="b">
        <v>0</v>
      </c>
      <c r="P85" t="b">
        <v>0</v>
      </c>
      <c r="Q85" t="s">
        <v>3580</v>
      </c>
      <c r="R85" t="s">
        <v>3581</v>
      </c>
      <c r="AB85" s="121"/>
      <c r="BT85" s="90" t="s">
        <v>1407</v>
      </c>
      <c r="BU85" s="90"/>
      <c r="BV85" s="90"/>
      <c r="BW85" s="68"/>
      <c r="BX85" s="90"/>
      <c r="BY85" s="90"/>
      <c r="BZ85" s="90"/>
      <c r="CA85" s="90"/>
      <c r="CB85" s="90">
        <v>1</v>
      </c>
      <c r="CC85" s="90">
        <v>50</v>
      </c>
      <c r="CD85" s="90" t="s">
        <v>1575</v>
      </c>
      <c r="CE85" s="90"/>
      <c r="CF85" s="90" t="s">
        <v>1572</v>
      </c>
      <c r="CG85" s="90"/>
      <c r="CH85" s="90">
        <v>365</v>
      </c>
      <c r="CI85" s="68"/>
      <c r="CJ85" s="68"/>
      <c r="CK85" s="125">
        <v>528</v>
      </c>
    </row>
    <row r="86" spans="1:89" ht="15" thickBot="1" x14ac:dyDescent="0.35">
      <c r="A86" s="90" t="s">
        <v>2827</v>
      </c>
      <c r="C86" t="s">
        <v>3264</v>
      </c>
      <c r="E86" s="90">
        <v>3.05</v>
      </c>
      <c r="F86" s="114" t="s">
        <v>2826</v>
      </c>
      <c r="G86" s="8" t="s">
        <v>593</v>
      </c>
      <c r="H86" t="s">
        <v>667</v>
      </c>
      <c r="J86" s="73" t="s">
        <v>3413</v>
      </c>
      <c r="K86" s="73" t="s">
        <v>3413</v>
      </c>
      <c r="M86" t="b">
        <v>1</v>
      </c>
      <c r="N86" t="b">
        <v>1</v>
      </c>
      <c r="O86" t="b">
        <v>0</v>
      </c>
      <c r="P86" t="b">
        <v>0</v>
      </c>
      <c r="Q86" t="s">
        <v>3582</v>
      </c>
      <c r="R86" t="s">
        <v>3583</v>
      </c>
      <c r="AB86" s="121"/>
      <c r="BT86" s="90" t="s">
        <v>1407</v>
      </c>
      <c r="BU86" s="90"/>
      <c r="BV86" s="90"/>
      <c r="BW86" s="68"/>
      <c r="BX86" s="90"/>
      <c r="BY86" s="90"/>
      <c r="BZ86" s="90"/>
      <c r="CA86" s="90"/>
      <c r="CB86" s="90">
        <v>1</v>
      </c>
      <c r="CC86" s="90">
        <v>50</v>
      </c>
      <c r="CD86" s="90" t="s">
        <v>1576</v>
      </c>
      <c r="CE86" s="90"/>
      <c r="CF86" s="90" t="s">
        <v>1572</v>
      </c>
      <c r="CG86" s="90"/>
      <c r="CH86" s="90">
        <v>365</v>
      </c>
      <c r="CI86" s="68"/>
      <c r="CJ86" s="68"/>
      <c r="CK86" s="125">
        <v>794</v>
      </c>
    </row>
    <row r="87" spans="1:89" ht="15" thickBot="1" x14ac:dyDescent="0.35">
      <c r="A87" s="114" t="s">
        <v>95</v>
      </c>
      <c r="C87" t="s">
        <v>744</v>
      </c>
      <c r="E87" s="90">
        <v>3.3</v>
      </c>
      <c r="F87" s="114" t="s">
        <v>96</v>
      </c>
      <c r="G87" t="s">
        <v>3154</v>
      </c>
      <c r="H87" t="s">
        <v>642</v>
      </c>
      <c r="M87" t="b">
        <v>0</v>
      </c>
      <c r="N87" t="b">
        <v>1</v>
      </c>
      <c r="O87" t="b">
        <v>0</v>
      </c>
      <c r="P87" t="b">
        <v>0</v>
      </c>
      <c r="Q87" t="s">
        <v>3154</v>
      </c>
      <c r="R87">
        <v>1544411</v>
      </c>
      <c r="AB87" s="120"/>
      <c r="BT87" s="90" t="s">
        <v>1532</v>
      </c>
      <c r="BU87" s="90"/>
      <c r="BV87" s="90"/>
      <c r="BW87" s="68"/>
      <c r="BX87" s="90" t="s">
        <v>1533</v>
      </c>
      <c r="BY87" s="90" t="s">
        <v>863</v>
      </c>
      <c r="BZ87" s="90">
        <v>1</v>
      </c>
      <c r="CA87" s="90">
        <v>1.6</v>
      </c>
      <c r="CB87" s="90">
        <v>2</v>
      </c>
      <c r="CC87" s="90">
        <v>20</v>
      </c>
      <c r="CD87" s="90"/>
      <c r="CE87" s="90"/>
      <c r="CF87" s="90" t="s">
        <v>1534</v>
      </c>
      <c r="CG87" s="90">
        <v>1000</v>
      </c>
      <c r="CH87" s="90">
        <v>350</v>
      </c>
      <c r="CI87" s="68"/>
      <c r="CJ87" s="68"/>
      <c r="CK87" s="125">
        <v>74.17</v>
      </c>
    </row>
    <row r="88" spans="1:89" ht="15" thickBot="1" x14ac:dyDescent="0.35">
      <c r="A88" s="114" t="s">
        <v>95</v>
      </c>
      <c r="C88" t="s">
        <v>744</v>
      </c>
      <c r="E88" s="90">
        <v>3.3</v>
      </c>
      <c r="F88" s="114" t="s">
        <v>96</v>
      </c>
      <c r="G88" t="s">
        <v>3154</v>
      </c>
      <c r="H88" t="s">
        <v>642</v>
      </c>
      <c r="M88" t="b">
        <v>0</v>
      </c>
      <c r="N88" t="b">
        <v>1</v>
      </c>
      <c r="O88" t="b">
        <v>0</v>
      </c>
      <c r="P88" t="b">
        <v>0</v>
      </c>
      <c r="Q88" t="s">
        <v>3154</v>
      </c>
      <c r="R88">
        <v>1544411</v>
      </c>
      <c r="AB88" s="120"/>
      <c r="BT88" s="90" t="s">
        <v>1532</v>
      </c>
      <c r="BU88" s="90"/>
      <c r="BV88" s="90"/>
      <c r="BW88" s="68"/>
      <c r="BX88" s="90" t="s">
        <v>1533</v>
      </c>
      <c r="BY88" s="90" t="s">
        <v>863</v>
      </c>
      <c r="BZ88" s="90">
        <v>1</v>
      </c>
      <c r="CA88" s="90">
        <v>0.36</v>
      </c>
      <c r="CB88" s="90">
        <v>2</v>
      </c>
      <c r="CC88" s="90">
        <v>20</v>
      </c>
      <c r="CD88" s="90"/>
      <c r="CE88" s="90"/>
      <c r="CF88" s="90" t="s">
        <v>1534</v>
      </c>
      <c r="CG88" s="90">
        <v>1000</v>
      </c>
      <c r="CH88" s="90">
        <v>350</v>
      </c>
      <c r="CI88" s="68"/>
      <c r="CJ88" s="68"/>
      <c r="CK88" s="125">
        <v>150</v>
      </c>
    </row>
    <row r="89" spans="1:89" ht="15" thickBot="1" x14ac:dyDescent="0.35">
      <c r="A89" s="114" t="s">
        <v>95</v>
      </c>
      <c r="C89" t="s">
        <v>744</v>
      </c>
      <c r="E89" s="90">
        <v>3.3</v>
      </c>
      <c r="F89" s="114" t="s">
        <v>96</v>
      </c>
      <c r="G89" t="s">
        <v>3154</v>
      </c>
      <c r="H89" t="s">
        <v>642</v>
      </c>
      <c r="M89" t="b">
        <v>0</v>
      </c>
      <c r="N89" t="b">
        <v>1</v>
      </c>
      <c r="O89" t="b">
        <v>0</v>
      </c>
      <c r="P89" t="b">
        <v>0</v>
      </c>
      <c r="Q89" t="s">
        <v>3154</v>
      </c>
      <c r="R89">
        <v>1544411</v>
      </c>
      <c r="AB89" s="120"/>
      <c r="BT89" s="90" t="s">
        <v>1532</v>
      </c>
      <c r="BU89" s="90"/>
      <c r="BV89" s="90"/>
      <c r="BW89" s="68"/>
      <c r="BX89" s="90" t="s">
        <v>1533</v>
      </c>
      <c r="BY89" s="90" t="s">
        <v>863</v>
      </c>
      <c r="BZ89" s="90">
        <v>1</v>
      </c>
      <c r="CA89" s="90">
        <v>4.5999999999999996</v>
      </c>
      <c r="CB89" s="90">
        <v>2</v>
      </c>
      <c r="CC89" s="90">
        <v>20</v>
      </c>
      <c r="CD89" s="90"/>
      <c r="CE89" s="90"/>
      <c r="CF89" s="90" t="s">
        <v>1534</v>
      </c>
      <c r="CG89" s="90">
        <v>1000</v>
      </c>
      <c r="CH89" s="90">
        <v>350</v>
      </c>
      <c r="CI89" s="68"/>
      <c r="CJ89" s="68"/>
      <c r="CK89" s="125">
        <v>445.5</v>
      </c>
    </row>
    <row r="90" spans="1:89" ht="15" thickBot="1" x14ac:dyDescent="0.35">
      <c r="A90" s="114" t="s">
        <v>95</v>
      </c>
      <c r="C90" t="s">
        <v>744</v>
      </c>
      <c r="E90" s="90">
        <v>3.3</v>
      </c>
      <c r="F90" s="114" t="s">
        <v>96</v>
      </c>
      <c r="G90" t="s">
        <v>3154</v>
      </c>
      <c r="H90" t="s">
        <v>642</v>
      </c>
      <c r="M90" t="b">
        <v>0</v>
      </c>
      <c r="N90" t="b">
        <v>1</v>
      </c>
      <c r="O90" t="b">
        <v>0</v>
      </c>
      <c r="P90" t="b">
        <v>0</v>
      </c>
      <c r="Q90" t="s">
        <v>3154</v>
      </c>
      <c r="R90">
        <v>1544411</v>
      </c>
      <c r="AB90" s="120"/>
      <c r="BT90" s="90" t="s">
        <v>1532</v>
      </c>
      <c r="BU90" s="90"/>
      <c r="BV90" s="90"/>
      <c r="BW90" s="68"/>
      <c r="BX90" s="90" t="s">
        <v>1533</v>
      </c>
      <c r="BY90" s="90" t="s">
        <v>863</v>
      </c>
      <c r="BZ90" s="90">
        <v>1</v>
      </c>
      <c r="CA90" s="90">
        <v>3.9</v>
      </c>
      <c r="CB90" s="90">
        <v>2</v>
      </c>
      <c r="CC90" s="90">
        <v>20</v>
      </c>
      <c r="CD90" s="90"/>
      <c r="CE90" s="90"/>
      <c r="CF90" s="90" t="s">
        <v>1534</v>
      </c>
      <c r="CG90" s="90">
        <v>1000</v>
      </c>
      <c r="CH90" s="90">
        <v>350</v>
      </c>
      <c r="CI90" s="68"/>
      <c r="CJ90" s="68"/>
      <c r="CK90" s="125">
        <v>275.5</v>
      </c>
    </row>
    <row r="91" spans="1:89" ht="15" thickBot="1" x14ac:dyDescent="0.35">
      <c r="A91" s="114" t="s">
        <v>2834</v>
      </c>
      <c r="C91" t="s">
        <v>3265</v>
      </c>
      <c r="E91" s="90">
        <v>1.81</v>
      </c>
      <c r="F91" s="114" t="s">
        <v>2831</v>
      </c>
      <c r="G91" t="s">
        <v>3154</v>
      </c>
      <c r="H91">
        <v>-1</v>
      </c>
      <c r="M91" t="b">
        <v>0</v>
      </c>
      <c r="N91" t="b">
        <v>0</v>
      </c>
      <c r="O91" t="b">
        <v>0</v>
      </c>
      <c r="P91" t="b">
        <v>1</v>
      </c>
      <c r="Q91" t="s">
        <v>3154</v>
      </c>
      <c r="R91">
        <v>-1</v>
      </c>
      <c r="AB91" s="120"/>
      <c r="BT91" s="90" t="s">
        <v>1407</v>
      </c>
      <c r="BU91" s="90"/>
      <c r="BV91" s="90"/>
      <c r="BW91" s="68"/>
      <c r="BX91" s="90"/>
      <c r="BY91" s="90"/>
      <c r="BZ91" s="90"/>
      <c r="CA91" s="90"/>
      <c r="CB91" s="90">
        <v>0.5</v>
      </c>
      <c r="CC91" s="90">
        <v>50</v>
      </c>
      <c r="CD91" s="90"/>
      <c r="CE91" s="90"/>
      <c r="CF91" s="90" t="s">
        <v>1572</v>
      </c>
      <c r="CG91" s="90"/>
      <c r="CH91" s="90">
        <v>365</v>
      </c>
      <c r="CI91" s="68"/>
      <c r="CJ91" s="68"/>
      <c r="CK91" s="125">
        <v>5.3</v>
      </c>
    </row>
    <row r="92" spans="1:89" ht="15" thickBot="1" x14ac:dyDescent="0.35">
      <c r="A92" s="114" t="s">
        <v>2833</v>
      </c>
      <c r="C92" t="s">
        <v>3266</v>
      </c>
      <c r="E92" s="90">
        <v>1.87</v>
      </c>
      <c r="F92" s="114" t="s">
        <v>2831</v>
      </c>
      <c r="G92" t="s">
        <v>3154</v>
      </c>
      <c r="H92">
        <v>-1</v>
      </c>
      <c r="M92" t="b">
        <v>0</v>
      </c>
      <c r="N92" t="b">
        <v>0</v>
      </c>
      <c r="O92" t="b">
        <v>0</v>
      </c>
      <c r="P92" t="b">
        <v>1</v>
      </c>
      <c r="Q92" t="s">
        <v>3154</v>
      </c>
      <c r="R92">
        <v>-1</v>
      </c>
      <c r="AB92" s="120"/>
      <c r="BT92" s="90" t="s">
        <v>1407</v>
      </c>
      <c r="BU92" s="90"/>
      <c r="BV92" s="90"/>
      <c r="BW92" s="68"/>
      <c r="BX92" s="90"/>
      <c r="BY92" s="90"/>
      <c r="BZ92" s="90"/>
      <c r="CA92" s="90"/>
      <c r="CB92" s="90">
        <v>0.5</v>
      </c>
      <c r="CC92" s="90">
        <v>50</v>
      </c>
      <c r="CD92" s="90"/>
      <c r="CE92" s="90"/>
      <c r="CF92" s="90" t="s">
        <v>1572</v>
      </c>
      <c r="CG92" s="90"/>
      <c r="CH92" s="90">
        <v>365</v>
      </c>
      <c r="CI92" s="68"/>
      <c r="CJ92" s="68"/>
      <c r="CK92" s="125">
        <v>10.199999999999999</v>
      </c>
    </row>
    <row r="93" spans="1:89" ht="15" thickBot="1" x14ac:dyDescent="0.35">
      <c r="A93" s="114" t="s">
        <v>2832</v>
      </c>
      <c r="C93" t="s">
        <v>3267</v>
      </c>
      <c r="E93" s="90">
        <v>2.04</v>
      </c>
      <c r="F93" s="114" t="s">
        <v>2831</v>
      </c>
      <c r="G93" t="s">
        <v>3154</v>
      </c>
      <c r="H93">
        <v>-1</v>
      </c>
      <c r="M93" t="b">
        <v>0</v>
      </c>
      <c r="N93" t="b">
        <v>0</v>
      </c>
      <c r="O93" t="b">
        <v>0</v>
      </c>
      <c r="P93" t="b">
        <v>1</v>
      </c>
      <c r="Q93" t="s">
        <v>3154</v>
      </c>
      <c r="R93">
        <v>-1</v>
      </c>
      <c r="AB93" s="120"/>
      <c r="BT93" s="90" t="s">
        <v>1407</v>
      </c>
      <c r="BU93" s="90"/>
      <c r="BV93" s="90"/>
      <c r="BW93" s="68"/>
      <c r="BX93" s="90"/>
      <c r="BY93" s="90"/>
      <c r="BZ93" s="90"/>
      <c r="CA93" s="90"/>
      <c r="CB93" s="90">
        <v>0.5</v>
      </c>
      <c r="CC93" s="90">
        <v>50</v>
      </c>
      <c r="CD93" s="90"/>
      <c r="CE93" s="90"/>
      <c r="CF93" s="90" t="s">
        <v>1572</v>
      </c>
      <c r="CG93" s="90"/>
      <c r="CH93" s="90">
        <v>365</v>
      </c>
      <c r="CI93" s="68"/>
      <c r="CJ93" s="68"/>
      <c r="CK93" s="125">
        <v>6.9</v>
      </c>
    </row>
    <row r="94" spans="1:89" ht="15" thickBot="1" x14ac:dyDescent="0.35">
      <c r="A94" s="114" t="s">
        <v>2833</v>
      </c>
      <c r="C94" t="s">
        <v>3266</v>
      </c>
      <c r="E94" s="90">
        <v>1.87</v>
      </c>
      <c r="F94" s="114" t="s">
        <v>2831</v>
      </c>
      <c r="G94" t="s">
        <v>3154</v>
      </c>
      <c r="H94">
        <v>-1</v>
      </c>
      <c r="M94" t="b">
        <v>0</v>
      </c>
      <c r="N94" t="b">
        <v>0</v>
      </c>
      <c r="O94" t="b">
        <v>0</v>
      </c>
      <c r="P94" t="b">
        <v>1</v>
      </c>
      <c r="Q94" t="s">
        <v>3154</v>
      </c>
      <c r="R94">
        <v>-1</v>
      </c>
      <c r="AB94" s="120"/>
      <c r="BT94" s="90" t="s">
        <v>1407</v>
      </c>
      <c r="BU94" s="90"/>
      <c r="BV94" s="90"/>
      <c r="BW94" s="68"/>
      <c r="BX94" s="90"/>
      <c r="BY94" s="90"/>
      <c r="BZ94" s="90"/>
      <c r="CA94" s="90"/>
      <c r="CB94" s="90">
        <v>0.5</v>
      </c>
      <c r="CC94" s="90">
        <v>50</v>
      </c>
      <c r="CD94" s="90"/>
      <c r="CE94" s="90"/>
      <c r="CF94" s="90" t="s">
        <v>1572</v>
      </c>
      <c r="CG94" s="90"/>
      <c r="CH94" s="90">
        <v>365</v>
      </c>
      <c r="CI94" s="68"/>
      <c r="CJ94" s="68"/>
      <c r="CK94" s="125">
        <v>2.9</v>
      </c>
    </row>
    <row r="95" spans="1:89" ht="15" thickBot="1" x14ac:dyDescent="0.35">
      <c r="A95" s="114" t="s">
        <v>2833</v>
      </c>
      <c r="C95" t="s">
        <v>3266</v>
      </c>
      <c r="E95" s="90">
        <v>1.87</v>
      </c>
      <c r="F95" s="114" t="s">
        <v>2831</v>
      </c>
      <c r="G95" t="s">
        <v>3154</v>
      </c>
      <c r="H95">
        <v>-1</v>
      </c>
      <c r="M95" t="b">
        <v>0</v>
      </c>
      <c r="N95" t="b">
        <v>0</v>
      </c>
      <c r="O95" t="b">
        <v>0</v>
      </c>
      <c r="P95" t="b">
        <v>1</v>
      </c>
      <c r="Q95" t="s">
        <v>3154</v>
      </c>
      <c r="R95">
        <v>-1</v>
      </c>
      <c r="AB95" s="120"/>
      <c r="BT95" s="90" t="s">
        <v>1407</v>
      </c>
      <c r="BU95" s="90"/>
      <c r="BV95" s="90"/>
      <c r="BW95" s="68"/>
      <c r="BX95" s="90"/>
      <c r="BY95" s="90"/>
      <c r="BZ95" s="90"/>
      <c r="CA95" s="90"/>
      <c r="CB95" s="90">
        <v>0.5</v>
      </c>
      <c r="CC95" s="90">
        <v>50</v>
      </c>
      <c r="CD95" s="90"/>
      <c r="CE95" s="90"/>
      <c r="CF95" s="90" t="s">
        <v>1572</v>
      </c>
      <c r="CG95" s="90"/>
      <c r="CH95" s="90">
        <v>365</v>
      </c>
      <c r="CI95" s="68"/>
      <c r="CJ95" s="68"/>
      <c r="CK95" s="125">
        <v>4.5</v>
      </c>
    </row>
    <row r="96" spans="1:89" ht="15" thickBot="1" x14ac:dyDescent="0.35">
      <c r="A96" s="114" t="s">
        <v>2833</v>
      </c>
      <c r="C96" t="s">
        <v>3266</v>
      </c>
      <c r="E96" s="90">
        <v>1.87</v>
      </c>
      <c r="F96" s="114" t="s">
        <v>2831</v>
      </c>
      <c r="G96" t="s">
        <v>3154</v>
      </c>
      <c r="H96">
        <v>-1</v>
      </c>
      <c r="M96" t="b">
        <v>0</v>
      </c>
      <c r="N96" t="b">
        <v>0</v>
      </c>
      <c r="O96" t="b">
        <v>0</v>
      </c>
      <c r="P96" t="b">
        <v>1</v>
      </c>
      <c r="Q96" t="s">
        <v>3154</v>
      </c>
      <c r="R96">
        <v>-1</v>
      </c>
      <c r="AB96" s="120"/>
      <c r="BT96" s="90" t="s">
        <v>1407</v>
      </c>
      <c r="BU96" s="90"/>
      <c r="BV96" s="90"/>
      <c r="BW96" s="68"/>
      <c r="BX96" s="90"/>
      <c r="BY96" s="90"/>
      <c r="BZ96" s="90"/>
      <c r="CA96" s="90"/>
      <c r="CB96" s="90">
        <v>0.5</v>
      </c>
      <c r="CC96" s="90">
        <v>50</v>
      </c>
      <c r="CD96" s="90"/>
      <c r="CE96" s="90"/>
      <c r="CF96" s="90" t="s">
        <v>1572</v>
      </c>
      <c r="CG96" s="90"/>
      <c r="CH96" s="90">
        <v>365</v>
      </c>
      <c r="CI96" s="68"/>
      <c r="CJ96" s="68"/>
      <c r="CK96" s="125">
        <v>12.1</v>
      </c>
    </row>
    <row r="97" spans="1:89" ht="15" thickBot="1" x14ac:dyDescent="0.35">
      <c r="A97" s="114" t="s">
        <v>2833</v>
      </c>
      <c r="C97" t="s">
        <v>3266</v>
      </c>
      <c r="E97" s="90">
        <v>1.87</v>
      </c>
      <c r="F97" s="114" t="s">
        <v>2831</v>
      </c>
      <c r="G97" t="s">
        <v>3154</v>
      </c>
      <c r="H97">
        <v>-1</v>
      </c>
      <c r="M97" t="b">
        <v>0</v>
      </c>
      <c r="N97" t="b">
        <v>0</v>
      </c>
      <c r="O97" t="b">
        <v>0</v>
      </c>
      <c r="P97" t="b">
        <v>1</v>
      </c>
      <c r="Q97" t="s">
        <v>3154</v>
      </c>
      <c r="R97">
        <v>-1</v>
      </c>
      <c r="AB97" s="120"/>
      <c r="BT97" s="90" t="s">
        <v>1407</v>
      </c>
      <c r="BU97" s="90"/>
      <c r="BV97" s="90"/>
      <c r="BW97" s="68"/>
      <c r="BX97" s="90"/>
      <c r="BY97" s="90"/>
      <c r="BZ97" s="90"/>
      <c r="CA97" s="90"/>
      <c r="CB97" s="90">
        <v>0.5</v>
      </c>
      <c r="CC97" s="90">
        <v>50</v>
      </c>
      <c r="CD97" s="90"/>
      <c r="CE97" s="90"/>
      <c r="CF97" s="90" t="s">
        <v>1572</v>
      </c>
      <c r="CG97" s="90"/>
      <c r="CH97" s="90">
        <v>365</v>
      </c>
      <c r="CI97" s="68"/>
      <c r="CJ97" s="68"/>
      <c r="CK97" s="125">
        <v>15.3</v>
      </c>
    </row>
    <row r="98" spans="1:89" ht="15" thickBot="1" x14ac:dyDescent="0.35">
      <c r="A98" s="114" t="s">
        <v>2835</v>
      </c>
      <c r="C98" t="s">
        <v>3268</v>
      </c>
      <c r="E98" s="90">
        <v>1.68</v>
      </c>
      <c r="F98" s="90" t="s">
        <v>2836</v>
      </c>
      <c r="G98" t="s">
        <v>3167</v>
      </c>
      <c r="H98" t="s">
        <v>3168</v>
      </c>
      <c r="M98" t="b">
        <v>1</v>
      </c>
      <c r="N98" t="b">
        <v>1</v>
      </c>
      <c r="O98" t="b">
        <v>0</v>
      </c>
      <c r="P98" t="b">
        <v>0</v>
      </c>
      <c r="Q98" t="s">
        <v>3167</v>
      </c>
      <c r="R98">
        <v>9012322</v>
      </c>
      <c r="AB98" s="120"/>
      <c r="BT98" s="90" t="s">
        <v>1407</v>
      </c>
      <c r="BU98" s="90"/>
      <c r="BV98" s="90"/>
      <c r="BW98" s="68"/>
      <c r="BX98" s="90"/>
      <c r="BY98" s="90"/>
      <c r="BZ98" s="90"/>
      <c r="CA98" s="90">
        <v>75.38</v>
      </c>
      <c r="CB98" s="90">
        <v>0.5</v>
      </c>
      <c r="CC98" s="90">
        <v>50</v>
      </c>
      <c r="CD98" s="90"/>
      <c r="CE98" s="90"/>
      <c r="CF98" s="90" t="s">
        <v>1534</v>
      </c>
      <c r="CG98" s="90">
        <v>300</v>
      </c>
      <c r="CH98" s="90">
        <v>420</v>
      </c>
      <c r="CI98" s="68"/>
      <c r="CJ98" s="68"/>
      <c r="CK98" s="125">
        <v>2.625</v>
      </c>
    </row>
    <row r="99" spans="1:89" ht="15" thickBot="1" x14ac:dyDescent="0.35">
      <c r="A99" s="114" t="s">
        <v>2835</v>
      </c>
      <c r="C99" t="s">
        <v>3268</v>
      </c>
      <c r="E99" s="90">
        <v>1.78</v>
      </c>
      <c r="F99" s="90" t="s">
        <v>2836</v>
      </c>
      <c r="G99" t="s">
        <v>3167</v>
      </c>
      <c r="H99" t="s">
        <v>3168</v>
      </c>
      <c r="M99" t="b">
        <v>1</v>
      </c>
      <c r="N99" t="b">
        <v>1</v>
      </c>
      <c r="O99" t="b">
        <v>0</v>
      </c>
      <c r="P99" t="b">
        <v>0</v>
      </c>
      <c r="Q99" t="s">
        <v>3167</v>
      </c>
      <c r="R99">
        <v>9012322</v>
      </c>
      <c r="AB99" s="120"/>
      <c r="BT99" s="90" t="s">
        <v>1407</v>
      </c>
      <c r="BU99" s="90">
        <v>773</v>
      </c>
      <c r="BV99" s="90">
        <v>12</v>
      </c>
      <c r="BW99" s="68"/>
      <c r="BX99" s="90"/>
      <c r="BY99" s="90"/>
      <c r="BZ99" s="90"/>
      <c r="CA99" s="90">
        <v>6.66</v>
      </c>
      <c r="CB99" s="90">
        <v>0.5</v>
      </c>
      <c r="CC99" s="90">
        <v>50</v>
      </c>
      <c r="CD99" s="90"/>
      <c r="CE99" s="90"/>
      <c r="CF99" s="90" t="s">
        <v>1534</v>
      </c>
      <c r="CG99" s="90">
        <v>300</v>
      </c>
      <c r="CH99" s="90">
        <v>420</v>
      </c>
      <c r="CI99" s="68"/>
      <c r="CJ99" s="68"/>
      <c r="CK99" s="125">
        <v>10.5</v>
      </c>
    </row>
    <row r="100" spans="1:89" ht="15" thickBot="1" x14ac:dyDescent="0.35">
      <c r="A100" s="114" t="s">
        <v>2835</v>
      </c>
      <c r="C100" t="s">
        <v>3268</v>
      </c>
      <c r="E100" s="90">
        <v>1.8</v>
      </c>
      <c r="F100" s="90" t="s">
        <v>2836</v>
      </c>
      <c r="G100" t="s">
        <v>3167</v>
      </c>
      <c r="H100" t="s">
        <v>3168</v>
      </c>
      <c r="M100" t="b">
        <v>1</v>
      </c>
      <c r="N100" t="b">
        <v>1</v>
      </c>
      <c r="O100" t="b">
        <v>0</v>
      </c>
      <c r="P100" t="b">
        <v>0</v>
      </c>
      <c r="Q100" t="s">
        <v>3167</v>
      </c>
      <c r="R100">
        <v>9012322</v>
      </c>
      <c r="AB100" s="120"/>
      <c r="BT100" s="90" t="s">
        <v>1407</v>
      </c>
      <c r="BU100" s="90">
        <v>873</v>
      </c>
      <c r="BV100" s="90">
        <v>12</v>
      </c>
      <c r="BW100" s="68"/>
      <c r="BX100" s="90"/>
      <c r="BY100" s="90"/>
      <c r="BZ100" s="90"/>
      <c r="CA100" s="90">
        <v>5.1100000000000003</v>
      </c>
      <c r="CB100" s="90">
        <v>0.5</v>
      </c>
      <c r="CC100" s="90">
        <v>50</v>
      </c>
      <c r="CD100" s="90"/>
      <c r="CE100" s="90"/>
      <c r="CF100" s="90" t="s">
        <v>1534</v>
      </c>
      <c r="CG100" s="90">
        <v>300</v>
      </c>
      <c r="CH100" s="90">
        <v>420</v>
      </c>
      <c r="CI100" s="68"/>
      <c r="CJ100" s="68"/>
      <c r="CK100" s="125">
        <v>17.625</v>
      </c>
    </row>
    <row r="101" spans="1:89" ht="15" thickBot="1" x14ac:dyDescent="0.35">
      <c r="A101" s="114" t="s">
        <v>2835</v>
      </c>
      <c r="C101" t="s">
        <v>3268</v>
      </c>
      <c r="E101" s="90">
        <v>1.82</v>
      </c>
      <c r="F101" s="90" t="s">
        <v>2836</v>
      </c>
      <c r="G101" t="s">
        <v>3167</v>
      </c>
      <c r="H101" t="s">
        <v>3168</v>
      </c>
      <c r="M101" t="b">
        <v>1</v>
      </c>
      <c r="N101" t="b">
        <v>1</v>
      </c>
      <c r="O101" t="b">
        <v>0</v>
      </c>
      <c r="P101" t="b">
        <v>0</v>
      </c>
      <c r="Q101" t="s">
        <v>3167</v>
      </c>
      <c r="R101">
        <v>9012322</v>
      </c>
      <c r="AB101" s="120"/>
      <c r="BT101" s="90" t="s">
        <v>1407</v>
      </c>
      <c r="BU101" s="90">
        <v>973</v>
      </c>
      <c r="BV101" s="90">
        <v>12</v>
      </c>
      <c r="BW101" s="68"/>
      <c r="BX101" s="90"/>
      <c r="BY101" s="90"/>
      <c r="BZ101" s="90"/>
      <c r="CA101" s="90">
        <v>3.79</v>
      </c>
      <c r="CB101" s="90">
        <v>0.5</v>
      </c>
      <c r="CC101" s="90">
        <v>50</v>
      </c>
      <c r="CD101" s="90"/>
      <c r="CE101" s="90"/>
      <c r="CF101" s="90" t="s">
        <v>1534</v>
      </c>
      <c r="CG101" s="90">
        <v>300</v>
      </c>
      <c r="CH101" s="90">
        <v>420</v>
      </c>
      <c r="CI101" s="68"/>
      <c r="CJ101" s="68"/>
      <c r="CK101" s="125">
        <v>15</v>
      </c>
    </row>
    <row r="102" spans="1:89" ht="15" thickBot="1" x14ac:dyDescent="0.35">
      <c r="A102" s="114" t="s">
        <v>2835</v>
      </c>
      <c r="C102" t="s">
        <v>3268</v>
      </c>
      <c r="E102" s="90">
        <v>1.83</v>
      </c>
      <c r="F102" s="90" t="s">
        <v>2836</v>
      </c>
      <c r="G102" t="s">
        <v>3167</v>
      </c>
      <c r="H102" t="s">
        <v>3168</v>
      </c>
      <c r="M102" t="b">
        <v>1</v>
      </c>
      <c r="N102" t="b">
        <v>1</v>
      </c>
      <c r="O102" t="b">
        <v>0</v>
      </c>
      <c r="P102" t="b">
        <v>0</v>
      </c>
      <c r="Q102" t="s">
        <v>3167</v>
      </c>
      <c r="R102">
        <v>9012322</v>
      </c>
      <c r="AB102" s="120"/>
      <c r="BT102" s="90" t="s">
        <v>1407</v>
      </c>
      <c r="BU102" s="90">
        <v>1073</v>
      </c>
      <c r="BV102" s="90">
        <v>12</v>
      </c>
      <c r="BW102" s="68"/>
      <c r="BX102" s="90"/>
      <c r="BY102" s="90"/>
      <c r="BZ102" s="90"/>
      <c r="CA102" s="90">
        <v>3.26</v>
      </c>
      <c r="CB102" s="90">
        <v>0.5</v>
      </c>
      <c r="CC102" s="90">
        <v>50</v>
      </c>
      <c r="CD102" s="90"/>
      <c r="CE102" s="90"/>
      <c r="CF102" s="90" t="s">
        <v>1534</v>
      </c>
      <c r="CG102" s="90">
        <v>300</v>
      </c>
      <c r="CH102" s="90">
        <v>420</v>
      </c>
      <c r="CI102" s="68"/>
      <c r="CJ102" s="68"/>
      <c r="CK102" s="125">
        <v>13.75</v>
      </c>
    </row>
    <row r="103" spans="1:89" ht="15" thickBot="1" x14ac:dyDescent="0.35">
      <c r="A103" s="114" t="s">
        <v>2835</v>
      </c>
      <c r="C103" t="s">
        <v>3268</v>
      </c>
      <c r="E103" s="90">
        <v>1.84</v>
      </c>
      <c r="F103" s="90" t="s">
        <v>2836</v>
      </c>
      <c r="G103" t="s">
        <v>3167</v>
      </c>
      <c r="H103" t="s">
        <v>3168</v>
      </c>
      <c r="M103" t="b">
        <v>1</v>
      </c>
      <c r="N103" t="b">
        <v>1</v>
      </c>
      <c r="O103" t="b">
        <v>0</v>
      </c>
      <c r="P103" t="b">
        <v>0</v>
      </c>
      <c r="Q103" t="s">
        <v>3167</v>
      </c>
      <c r="R103">
        <v>9012322</v>
      </c>
      <c r="AB103" s="120"/>
      <c r="BT103" s="90" t="s">
        <v>1407</v>
      </c>
      <c r="BU103" s="90">
        <v>1173</v>
      </c>
      <c r="BV103" s="90">
        <v>12</v>
      </c>
      <c r="BW103" s="68"/>
      <c r="BX103" s="90"/>
      <c r="BY103" s="90"/>
      <c r="BZ103" s="90"/>
      <c r="CA103" s="90">
        <v>2.74</v>
      </c>
      <c r="CB103" s="90">
        <v>0.5</v>
      </c>
      <c r="CC103" s="90">
        <v>50</v>
      </c>
      <c r="CD103" s="90"/>
      <c r="CE103" s="90"/>
      <c r="CF103" s="90" t="s">
        <v>1534</v>
      </c>
      <c r="CG103" s="90">
        <v>300</v>
      </c>
      <c r="CH103" s="90">
        <v>420</v>
      </c>
      <c r="CI103" s="68"/>
      <c r="CJ103" s="68"/>
      <c r="CK103" s="125">
        <v>4.75</v>
      </c>
    </row>
    <row r="104" spans="1:89" ht="15" thickBot="1" x14ac:dyDescent="0.35">
      <c r="A104" s="114" t="s">
        <v>2835</v>
      </c>
      <c r="C104" t="s">
        <v>3268</v>
      </c>
      <c r="E104" s="90">
        <v>1.74</v>
      </c>
      <c r="F104" s="90" t="s">
        <v>2836</v>
      </c>
      <c r="G104" t="s">
        <v>3167</v>
      </c>
      <c r="H104" t="s">
        <v>3168</v>
      </c>
      <c r="M104" t="b">
        <v>1</v>
      </c>
      <c r="N104" t="b">
        <v>1</v>
      </c>
      <c r="O104" t="b">
        <v>0</v>
      </c>
      <c r="P104" t="b">
        <v>0</v>
      </c>
      <c r="Q104" t="s">
        <v>3167</v>
      </c>
      <c r="R104">
        <v>9012322</v>
      </c>
      <c r="AB104" s="120"/>
      <c r="BT104" s="90" t="s">
        <v>1407</v>
      </c>
      <c r="BU104" s="90">
        <v>873</v>
      </c>
      <c r="BV104" s="90">
        <v>1</v>
      </c>
      <c r="BW104" s="68"/>
      <c r="BX104" s="90"/>
      <c r="BY104" s="90"/>
      <c r="BZ104" s="90"/>
      <c r="CA104" s="90">
        <v>8.06</v>
      </c>
      <c r="CB104" s="90">
        <v>0.5</v>
      </c>
      <c r="CC104" s="90">
        <v>50</v>
      </c>
      <c r="CD104" s="90"/>
      <c r="CE104" s="90"/>
      <c r="CF104" s="90" t="s">
        <v>1534</v>
      </c>
      <c r="CG104" s="90">
        <v>300</v>
      </c>
      <c r="CH104" s="90">
        <v>420</v>
      </c>
      <c r="CI104" s="68"/>
      <c r="CJ104" s="68"/>
      <c r="CK104" s="125">
        <v>13.5</v>
      </c>
    </row>
    <row r="105" spans="1:89" ht="15" thickBot="1" x14ac:dyDescent="0.35">
      <c r="A105" s="114" t="s">
        <v>2835</v>
      </c>
      <c r="C105" t="s">
        <v>3268</v>
      </c>
      <c r="E105" s="90">
        <v>1.76</v>
      </c>
      <c r="F105" s="90" t="s">
        <v>2836</v>
      </c>
      <c r="G105" t="s">
        <v>3167</v>
      </c>
      <c r="H105" t="s">
        <v>3168</v>
      </c>
      <c r="M105" t="b">
        <v>1</v>
      </c>
      <c r="N105" t="b">
        <v>1</v>
      </c>
      <c r="O105" t="b">
        <v>0</v>
      </c>
      <c r="P105" t="b">
        <v>0</v>
      </c>
      <c r="Q105" t="s">
        <v>3167</v>
      </c>
      <c r="R105">
        <v>9012322</v>
      </c>
      <c r="AB105" s="120"/>
      <c r="BT105" s="90" t="s">
        <v>1407</v>
      </c>
      <c r="BU105" s="90">
        <v>873</v>
      </c>
      <c r="BV105" s="90">
        <v>3</v>
      </c>
      <c r="BW105" s="68"/>
      <c r="BX105" s="90"/>
      <c r="BY105" s="90"/>
      <c r="BZ105" s="90"/>
      <c r="CA105" s="90">
        <v>6.64</v>
      </c>
      <c r="CB105" s="90">
        <v>0.5</v>
      </c>
      <c r="CC105" s="90">
        <v>50</v>
      </c>
      <c r="CD105" s="90"/>
      <c r="CE105" s="90"/>
      <c r="CF105" s="90" t="s">
        <v>1534</v>
      </c>
      <c r="CG105" s="90">
        <v>300</v>
      </c>
      <c r="CH105" s="90">
        <v>420</v>
      </c>
      <c r="CI105" s="68"/>
      <c r="CJ105" s="68"/>
      <c r="CK105" s="125">
        <v>31.125</v>
      </c>
    </row>
    <row r="106" spans="1:89" ht="15" thickBot="1" x14ac:dyDescent="0.35">
      <c r="A106" s="114" t="s">
        <v>2835</v>
      </c>
      <c r="C106" t="s">
        <v>3268</v>
      </c>
      <c r="E106" s="90">
        <v>1.78</v>
      </c>
      <c r="F106" s="90" t="s">
        <v>2836</v>
      </c>
      <c r="G106" t="s">
        <v>3167</v>
      </c>
      <c r="H106" t="s">
        <v>3168</v>
      </c>
      <c r="M106" t="b">
        <v>1</v>
      </c>
      <c r="N106" t="b">
        <v>1</v>
      </c>
      <c r="O106" t="b">
        <v>0</v>
      </c>
      <c r="P106" t="b">
        <v>0</v>
      </c>
      <c r="Q106" t="s">
        <v>3167</v>
      </c>
      <c r="R106">
        <v>9012322</v>
      </c>
      <c r="AB106" s="120"/>
      <c r="BT106" s="90" t="s">
        <v>1407</v>
      </c>
      <c r="BU106" s="90">
        <v>873</v>
      </c>
      <c r="BV106" s="90">
        <v>6</v>
      </c>
      <c r="BW106" s="68"/>
      <c r="BX106" s="90"/>
      <c r="BY106" s="90"/>
      <c r="BZ106" s="90"/>
      <c r="CA106" s="90">
        <v>6.17</v>
      </c>
      <c r="CB106" s="90">
        <v>0.5</v>
      </c>
      <c r="CC106" s="90">
        <v>50</v>
      </c>
      <c r="CD106" s="90"/>
      <c r="CE106" s="90"/>
      <c r="CF106" s="90" t="s">
        <v>1534</v>
      </c>
      <c r="CG106" s="90">
        <v>300</v>
      </c>
      <c r="CH106" s="90">
        <v>420</v>
      </c>
      <c r="CI106" s="68"/>
      <c r="CJ106" s="68"/>
      <c r="CK106" s="125">
        <v>25.25</v>
      </c>
    </row>
    <row r="107" spans="1:89" ht="15" thickBot="1" x14ac:dyDescent="0.35">
      <c r="A107" s="114" t="s">
        <v>2835</v>
      </c>
      <c r="C107" t="s">
        <v>3268</v>
      </c>
      <c r="E107" s="90">
        <v>1.78</v>
      </c>
      <c r="F107" s="90" t="s">
        <v>2836</v>
      </c>
      <c r="G107" t="s">
        <v>3167</v>
      </c>
      <c r="H107" t="s">
        <v>3168</v>
      </c>
      <c r="M107" t="b">
        <v>1</v>
      </c>
      <c r="N107" t="b">
        <v>1</v>
      </c>
      <c r="O107" t="b">
        <v>0</v>
      </c>
      <c r="P107" t="b">
        <v>0</v>
      </c>
      <c r="Q107" t="s">
        <v>3167</v>
      </c>
      <c r="R107">
        <v>9012322</v>
      </c>
      <c r="AB107" s="120"/>
      <c r="BT107" s="90" t="s">
        <v>1407</v>
      </c>
      <c r="BU107" s="90">
        <v>873</v>
      </c>
      <c r="BV107" s="90">
        <v>9</v>
      </c>
      <c r="BW107" s="68"/>
      <c r="BX107" s="90"/>
      <c r="BY107" s="90"/>
      <c r="BZ107" s="90"/>
      <c r="CA107" s="90">
        <v>5.61</v>
      </c>
      <c r="CB107" s="90">
        <v>0.5</v>
      </c>
      <c r="CC107" s="90">
        <v>50</v>
      </c>
      <c r="CD107" s="90"/>
      <c r="CE107" s="90"/>
      <c r="CF107" s="90" t="s">
        <v>1534</v>
      </c>
      <c r="CG107" s="90">
        <v>300</v>
      </c>
      <c r="CH107" s="90">
        <v>420</v>
      </c>
      <c r="CI107" s="68"/>
      <c r="CJ107" s="68"/>
      <c r="CK107" s="125">
        <v>21.875</v>
      </c>
    </row>
    <row r="108" spans="1:89" ht="15" thickBot="1" x14ac:dyDescent="0.35">
      <c r="A108" s="114" t="s">
        <v>2837</v>
      </c>
      <c r="C108" t="s">
        <v>3269</v>
      </c>
      <c r="E108" s="90">
        <v>3.12</v>
      </c>
      <c r="F108" s="114" t="s">
        <v>2839</v>
      </c>
      <c r="G108" t="s">
        <v>3169</v>
      </c>
      <c r="H108" t="s">
        <v>3170</v>
      </c>
      <c r="M108" t="b">
        <v>1</v>
      </c>
      <c r="N108" t="b">
        <v>1</v>
      </c>
      <c r="O108" t="b">
        <v>0</v>
      </c>
      <c r="P108" t="b">
        <v>0</v>
      </c>
      <c r="Q108" t="s">
        <v>3169</v>
      </c>
      <c r="R108">
        <v>1530606</v>
      </c>
      <c r="AB108" s="120"/>
      <c r="BT108" s="90" t="s">
        <v>1407</v>
      </c>
      <c r="BU108" s="90">
        <v>1173</v>
      </c>
      <c r="BV108" s="90">
        <v>2</v>
      </c>
      <c r="BW108" s="68"/>
      <c r="BX108" s="90"/>
      <c r="BY108" s="90"/>
      <c r="BZ108" s="90"/>
      <c r="CA108" s="90">
        <v>1.7</v>
      </c>
      <c r="CB108" s="90">
        <v>0.83299999999999996</v>
      </c>
      <c r="CC108" s="90">
        <v>0</v>
      </c>
      <c r="CD108" s="90"/>
      <c r="CE108" s="90"/>
      <c r="CF108" s="90" t="s">
        <v>1552</v>
      </c>
      <c r="CG108" s="90">
        <v>450</v>
      </c>
      <c r="CH108" s="90">
        <v>365</v>
      </c>
      <c r="CI108" s="68"/>
      <c r="CJ108" s="68"/>
      <c r="CK108" s="125">
        <v>4.5</v>
      </c>
    </row>
    <row r="109" spans="1:89" ht="15" thickBot="1" x14ac:dyDescent="0.35">
      <c r="A109" s="114" t="s">
        <v>2837</v>
      </c>
      <c r="C109" t="s">
        <v>3269</v>
      </c>
      <c r="E109" s="90">
        <v>3.12</v>
      </c>
      <c r="F109" s="114" t="s">
        <v>2839</v>
      </c>
      <c r="G109" t="s">
        <v>3169</v>
      </c>
      <c r="H109" t="s">
        <v>3170</v>
      </c>
      <c r="M109" t="b">
        <v>1</v>
      </c>
      <c r="N109" t="b">
        <v>1</v>
      </c>
      <c r="O109" t="b">
        <v>0</v>
      </c>
      <c r="P109" t="b">
        <v>0</v>
      </c>
      <c r="Q109" t="s">
        <v>3169</v>
      </c>
      <c r="R109">
        <v>1530606</v>
      </c>
      <c r="AB109" s="120"/>
      <c r="BT109" s="90" t="s">
        <v>1264</v>
      </c>
      <c r="BU109" s="90">
        <v>1173</v>
      </c>
      <c r="BV109" s="90">
        <v>2</v>
      </c>
      <c r="BW109" s="68"/>
      <c r="BX109" s="90"/>
      <c r="BY109" s="90"/>
      <c r="BZ109" s="90"/>
      <c r="CA109" s="90">
        <v>1.7</v>
      </c>
      <c r="CB109" s="90">
        <v>0.83299999999999996</v>
      </c>
      <c r="CC109" s="90">
        <v>0</v>
      </c>
      <c r="CD109" s="90"/>
      <c r="CE109" s="90"/>
      <c r="CF109" s="90" t="s">
        <v>1552</v>
      </c>
      <c r="CG109" s="90">
        <v>450</v>
      </c>
      <c r="CH109" s="90">
        <v>365</v>
      </c>
      <c r="CI109" s="68"/>
      <c r="CJ109" s="68"/>
      <c r="CK109" s="125">
        <v>5</v>
      </c>
    </row>
    <row r="110" spans="1:89" ht="15" thickBot="1" x14ac:dyDescent="0.35">
      <c r="A110" s="114" t="s">
        <v>2838</v>
      </c>
      <c r="C110" t="s">
        <v>3270</v>
      </c>
      <c r="E110" s="90">
        <v>3.72</v>
      </c>
      <c r="F110" s="114" t="s">
        <v>2839</v>
      </c>
      <c r="G110" t="s">
        <v>3171</v>
      </c>
      <c r="H110" t="s">
        <v>3172</v>
      </c>
      <c r="M110" t="b">
        <v>1</v>
      </c>
      <c r="N110" t="b">
        <v>1</v>
      </c>
      <c r="O110" t="b">
        <v>0</v>
      </c>
      <c r="P110" t="b">
        <v>0</v>
      </c>
      <c r="Q110" t="s">
        <v>3171</v>
      </c>
      <c r="R110">
        <v>1011144</v>
      </c>
      <c r="AB110" s="120"/>
      <c r="BT110" s="90" t="s">
        <v>1264</v>
      </c>
      <c r="BU110" s="90">
        <v>1173</v>
      </c>
      <c r="BV110" s="90">
        <v>2</v>
      </c>
      <c r="BW110" s="68"/>
      <c r="BX110" s="90"/>
      <c r="BY110" s="90"/>
      <c r="BZ110" s="90"/>
      <c r="CA110" s="90">
        <v>1.5</v>
      </c>
      <c r="CB110" s="90">
        <v>0.83299999999999996</v>
      </c>
      <c r="CC110" s="90">
        <v>0</v>
      </c>
      <c r="CD110" s="90"/>
      <c r="CE110" s="90"/>
      <c r="CF110" s="90" t="s">
        <v>1552</v>
      </c>
      <c r="CG110" s="90">
        <v>450</v>
      </c>
      <c r="CH110" s="90">
        <v>365</v>
      </c>
      <c r="CI110" s="68"/>
      <c r="CJ110" s="68"/>
      <c r="CK110" s="125">
        <v>10</v>
      </c>
    </row>
    <row r="111" spans="1:89" ht="15" thickBot="1" x14ac:dyDescent="0.35">
      <c r="A111" s="114" t="s">
        <v>2838</v>
      </c>
      <c r="C111" t="s">
        <v>3270</v>
      </c>
      <c r="E111" s="90">
        <v>3.72</v>
      </c>
      <c r="F111" s="114" t="s">
        <v>2839</v>
      </c>
      <c r="G111" t="s">
        <v>3171</v>
      </c>
      <c r="H111" t="s">
        <v>3172</v>
      </c>
      <c r="M111" t="b">
        <v>1</v>
      </c>
      <c r="N111" t="b">
        <v>1</v>
      </c>
      <c r="O111" t="b">
        <v>0</v>
      </c>
      <c r="P111" t="b">
        <v>0</v>
      </c>
      <c r="Q111" t="s">
        <v>3171</v>
      </c>
      <c r="R111">
        <v>1011144</v>
      </c>
      <c r="AB111" s="120"/>
      <c r="BT111" s="90" t="s">
        <v>1264</v>
      </c>
      <c r="BU111" s="90">
        <v>1173</v>
      </c>
      <c r="BV111" s="90">
        <v>2</v>
      </c>
      <c r="BW111" s="68"/>
      <c r="BX111" s="90"/>
      <c r="BY111" s="90"/>
      <c r="BZ111" s="90"/>
      <c r="CA111" s="90">
        <v>1.5</v>
      </c>
      <c r="CB111" s="90">
        <v>0.83299999999999996</v>
      </c>
      <c r="CC111" s="90">
        <v>0</v>
      </c>
      <c r="CD111" s="90"/>
      <c r="CE111" s="90"/>
      <c r="CF111" s="90" t="s">
        <v>1552</v>
      </c>
      <c r="CG111" s="90">
        <v>450</v>
      </c>
      <c r="CH111" s="90">
        <v>365</v>
      </c>
      <c r="CI111" s="68"/>
      <c r="CJ111" s="68"/>
      <c r="CK111" s="125">
        <v>9.5</v>
      </c>
    </row>
    <row r="112" spans="1:89" ht="15" thickBot="1" x14ac:dyDescent="0.35">
      <c r="A112" s="114" t="s">
        <v>2837</v>
      </c>
      <c r="C112" t="s">
        <v>3269</v>
      </c>
      <c r="E112" s="90">
        <v>3.12</v>
      </c>
      <c r="F112" s="114" t="s">
        <v>2839</v>
      </c>
      <c r="G112" t="s">
        <v>3169</v>
      </c>
      <c r="H112" t="s">
        <v>3170</v>
      </c>
      <c r="M112" t="b">
        <v>1</v>
      </c>
      <c r="N112" t="b">
        <v>1</v>
      </c>
      <c r="O112" t="b">
        <v>0</v>
      </c>
      <c r="P112" t="b">
        <v>0</v>
      </c>
      <c r="Q112" t="s">
        <v>3169</v>
      </c>
      <c r="R112">
        <v>1530606</v>
      </c>
      <c r="AB112" s="120"/>
      <c r="BT112" s="90" t="s">
        <v>1264</v>
      </c>
      <c r="BU112" s="90">
        <v>1173</v>
      </c>
      <c r="BV112" s="90">
        <v>2</v>
      </c>
      <c r="BW112" s="68"/>
      <c r="BX112" s="90" t="s">
        <v>1533</v>
      </c>
      <c r="BY112" s="90" t="s">
        <v>1313</v>
      </c>
      <c r="BZ112" s="90">
        <v>1</v>
      </c>
      <c r="CA112" s="90">
        <v>1.7</v>
      </c>
      <c r="CB112" s="90">
        <v>0.83299999999999996</v>
      </c>
      <c r="CC112" s="90">
        <v>0</v>
      </c>
      <c r="CD112" s="90"/>
      <c r="CE112" s="90"/>
      <c r="CF112" s="90" t="s">
        <v>1552</v>
      </c>
      <c r="CG112" s="90">
        <v>450</v>
      </c>
      <c r="CH112" s="90">
        <v>365</v>
      </c>
      <c r="CI112" s="68"/>
      <c r="CJ112" s="68"/>
      <c r="CK112" s="125">
        <v>61.5</v>
      </c>
    </row>
    <row r="113" spans="1:89" ht="15" thickBot="1" x14ac:dyDescent="0.35">
      <c r="A113" s="114" t="s">
        <v>2838</v>
      </c>
      <c r="C113" t="s">
        <v>3270</v>
      </c>
      <c r="E113" s="90">
        <v>3.72</v>
      </c>
      <c r="F113" s="114" t="s">
        <v>2839</v>
      </c>
      <c r="G113" t="s">
        <v>3171</v>
      </c>
      <c r="H113" t="s">
        <v>3172</v>
      </c>
      <c r="M113" t="b">
        <v>1</v>
      </c>
      <c r="N113" t="b">
        <v>1</v>
      </c>
      <c r="O113" t="b">
        <v>0</v>
      </c>
      <c r="P113" t="b">
        <v>0</v>
      </c>
      <c r="Q113" t="s">
        <v>3171</v>
      </c>
      <c r="R113">
        <v>1011144</v>
      </c>
      <c r="AB113" s="120"/>
      <c r="BT113" s="90" t="s">
        <v>1264</v>
      </c>
      <c r="BU113" s="90">
        <v>1173</v>
      </c>
      <c r="BV113" s="90">
        <v>2</v>
      </c>
      <c r="BW113" s="68"/>
      <c r="BX113" s="90" t="s">
        <v>1533</v>
      </c>
      <c r="BY113" s="90" t="s">
        <v>1313</v>
      </c>
      <c r="BZ113" s="90">
        <v>1</v>
      </c>
      <c r="CA113" s="90">
        <v>1.5</v>
      </c>
      <c r="CB113" s="90">
        <v>0.83299999999999996</v>
      </c>
      <c r="CC113" s="90">
        <v>0</v>
      </c>
      <c r="CD113" s="90"/>
      <c r="CE113" s="90"/>
      <c r="CF113" s="90" t="s">
        <v>1552</v>
      </c>
      <c r="CG113" s="90">
        <v>450</v>
      </c>
      <c r="CH113" s="90">
        <v>365</v>
      </c>
      <c r="CI113" s="68"/>
      <c r="CJ113" s="68"/>
      <c r="CK113" s="125">
        <v>146</v>
      </c>
    </row>
    <row r="114" spans="1:89" ht="15" thickBot="1" x14ac:dyDescent="0.35">
      <c r="A114" s="114" t="s">
        <v>118</v>
      </c>
      <c r="C114" t="s">
        <v>3271</v>
      </c>
      <c r="E114" s="90">
        <v>3.44</v>
      </c>
      <c r="F114" s="114" t="s">
        <v>122</v>
      </c>
      <c r="G114" t="s">
        <v>3154</v>
      </c>
      <c r="H114">
        <v>-1</v>
      </c>
      <c r="I114" t="s">
        <v>1218</v>
      </c>
      <c r="M114" t="b">
        <v>0</v>
      </c>
      <c r="N114" t="b">
        <v>0</v>
      </c>
      <c r="O114" t="b">
        <v>1</v>
      </c>
      <c r="P114" t="b">
        <v>0</v>
      </c>
      <c r="Q114" t="s">
        <v>3154</v>
      </c>
      <c r="R114">
        <v>-1</v>
      </c>
      <c r="S114" t="s">
        <v>1218</v>
      </c>
      <c r="AB114" s="120"/>
      <c r="BT114" s="90" t="s">
        <v>1264</v>
      </c>
      <c r="BU114" s="90">
        <v>1173</v>
      </c>
      <c r="BV114" s="90">
        <v>6</v>
      </c>
      <c r="BW114" s="68"/>
      <c r="BX114" s="90"/>
      <c r="BY114" s="90"/>
      <c r="BZ114" s="90"/>
      <c r="CA114" s="90">
        <v>1.3</v>
      </c>
      <c r="CB114" s="90">
        <v>3.07</v>
      </c>
      <c r="CC114" s="90">
        <v>0</v>
      </c>
      <c r="CD114" s="90"/>
      <c r="CE114" s="90"/>
      <c r="CF114" s="90" t="s">
        <v>1552</v>
      </c>
      <c r="CG114" s="90">
        <v>300</v>
      </c>
      <c r="CH114" s="90">
        <v>365</v>
      </c>
      <c r="CI114" s="68"/>
      <c r="CJ114" s="68"/>
      <c r="CK114" s="125">
        <v>2635</v>
      </c>
    </row>
    <row r="115" spans="1:89" ht="15" thickBot="1" x14ac:dyDescent="0.35">
      <c r="A115" s="114" t="s">
        <v>28</v>
      </c>
      <c r="C115" t="s">
        <v>805</v>
      </c>
      <c r="E115" s="90">
        <v>2.64</v>
      </c>
      <c r="F115" s="114" t="s">
        <v>2840</v>
      </c>
      <c r="G115" t="s">
        <v>586</v>
      </c>
      <c r="H115" t="s">
        <v>660</v>
      </c>
      <c r="M115" t="b">
        <v>1</v>
      </c>
      <c r="N115" t="b">
        <v>1</v>
      </c>
      <c r="O115" t="b">
        <v>0</v>
      </c>
      <c r="P115" t="b">
        <v>0</v>
      </c>
      <c r="Q115" t="s">
        <v>586</v>
      </c>
      <c r="R115">
        <v>1521385</v>
      </c>
      <c r="AB115" s="120"/>
      <c r="BT115" s="90" t="s">
        <v>1407</v>
      </c>
      <c r="BU115" s="90">
        <v>1173</v>
      </c>
      <c r="BV115" s="90">
        <v>10</v>
      </c>
      <c r="BW115" s="68"/>
      <c r="BX115" s="90"/>
      <c r="BY115" s="90"/>
      <c r="BZ115" s="90"/>
      <c r="CA115" s="90">
        <v>1.22</v>
      </c>
      <c r="CB115" s="90">
        <v>0.5</v>
      </c>
      <c r="CC115" s="90">
        <v>20</v>
      </c>
      <c r="CD115" s="90"/>
      <c r="CE115" s="90"/>
      <c r="CF115" s="90" t="s">
        <v>1534</v>
      </c>
      <c r="CG115" s="90">
        <v>800</v>
      </c>
      <c r="CH115" s="90">
        <v>390</v>
      </c>
      <c r="CI115" s="68"/>
      <c r="CJ115" s="68"/>
      <c r="CK115" s="125">
        <v>0.08</v>
      </c>
    </row>
    <row r="116" spans="1:89" ht="15" thickBot="1" x14ac:dyDescent="0.35">
      <c r="A116" s="114" t="s">
        <v>28</v>
      </c>
      <c r="C116" t="s">
        <v>805</v>
      </c>
      <c r="E116" s="90">
        <v>2.64</v>
      </c>
      <c r="F116" s="114" t="s">
        <v>2840</v>
      </c>
      <c r="G116" t="s">
        <v>586</v>
      </c>
      <c r="H116" t="s">
        <v>660</v>
      </c>
      <c r="M116" t="b">
        <v>1</v>
      </c>
      <c r="N116" t="b">
        <v>1</v>
      </c>
      <c r="O116" t="b">
        <v>0</v>
      </c>
      <c r="P116" t="b">
        <v>0</v>
      </c>
      <c r="Q116" t="s">
        <v>586</v>
      </c>
      <c r="R116">
        <v>1521385</v>
      </c>
      <c r="AB116" s="120"/>
      <c r="BT116" s="90" t="s">
        <v>1407</v>
      </c>
      <c r="BU116" s="90">
        <v>1173</v>
      </c>
      <c r="BV116" s="90">
        <v>10</v>
      </c>
      <c r="BW116" s="68"/>
      <c r="BX116" s="90" t="s">
        <v>1533</v>
      </c>
      <c r="BY116" s="90" t="s">
        <v>863</v>
      </c>
      <c r="BZ116" s="90">
        <v>0.03</v>
      </c>
      <c r="CA116" s="90">
        <v>1.22</v>
      </c>
      <c r="CB116" s="90">
        <v>0.5</v>
      </c>
      <c r="CC116" s="90">
        <v>20</v>
      </c>
      <c r="CD116" s="90"/>
      <c r="CE116" s="90"/>
      <c r="CF116" s="90" t="s">
        <v>1534</v>
      </c>
      <c r="CG116" s="90">
        <v>800</v>
      </c>
      <c r="CH116" s="90">
        <v>390</v>
      </c>
      <c r="CI116" s="68"/>
      <c r="CJ116" s="68"/>
      <c r="CK116" s="125">
        <v>0.57999999999999996</v>
      </c>
    </row>
    <row r="117" spans="1:89" ht="15" thickBot="1" x14ac:dyDescent="0.35">
      <c r="A117" s="114" t="s">
        <v>28</v>
      </c>
      <c r="C117" t="s">
        <v>805</v>
      </c>
      <c r="E117" s="90">
        <v>2.64</v>
      </c>
      <c r="F117" s="114" t="s">
        <v>2840</v>
      </c>
      <c r="G117" t="s">
        <v>586</v>
      </c>
      <c r="H117" t="s">
        <v>660</v>
      </c>
      <c r="M117" t="b">
        <v>1</v>
      </c>
      <c r="N117" t="b">
        <v>1</v>
      </c>
      <c r="O117" t="b">
        <v>0</v>
      </c>
      <c r="P117" t="b">
        <v>0</v>
      </c>
      <c r="Q117" t="s">
        <v>586</v>
      </c>
      <c r="R117">
        <v>1521385</v>
      </c>
      <c r="AB117" s="120"/>
      <c r="BT117" s="90" t="s">
        <v>1407</v>
      </c>
      <c r="BU117" s="90">
        <v>1173</v>
      </c>
      <c r="BV117" s="90">
        <v>10</v>
      </c>
      <c r="BW117" s="68"/>
      <c r="BX117" s="90" t="s">
        <v>1533</v>
      </c>
      <c r="BY117" s="90" t="s">
        <v>863</v>
      </c>
      <c r="BZ117" s="90">
        <v>0.06</v>
      </c>
      <c r="CA117" s="90">
        <v>1.22</v>
      </c>
      <c r="CB117" s="90">
        <v>0.5</v>
      </c>
      <c r="CC117" s="90">
        <v>20</v>
      </c>
      <c r="CD117" s="90"/>
      <c r="CE117" s="90"/>
      <c r="CF117" s="90" t="s">
        <v>1534</v>
      </c>
      <c r="CG117" s="90">
        <v>800</v>
      </c>
      <c r="CH117" s="90">
        <v>390</v>
      </c>
      <c r="CI117" s="68"/>
      <c r="CJ117" s="68"/>
      <c r="CK117" s="125">
        <v>1</v>
      </c>
    </row>
    <row r="118" spans="1:89" ht="15" thickBot="1" x14ac:dyDescent="0.35">
      <c r="A118" s="114" t="s">
        <v>28</v>
      </c>
      <c r="C118" t="s">
        <v>805</v>
      </c>
      <c r="E118" s="90">
        <v>2.64</v>
      </c>
      <c r="F118" s="114" t="s">
        <v>2840</v>
      </c>
      <c r="G118" t="s">
        <v>586</v>
      </c>
      <c r="H118" t="s">
        <v>660</v>
      </c>
      <c r="M118" t="b">
        <v>1</v>
      </c>
      <c r="N118" t="b">
        <v>1</v>
      </c>
      <c r="O118" t="b">
        <v>0</v>
      </c>
      <c r="P118" t="b">
        <v>0</v>
      </c>
      <c r="Q118" t="s">
        <v>586</v>
      </c>
      <c r="R118">
        <v>1521385</v>
      </c>
      <c r="AB118" s="120"/>
      <c r="BT118" s="90" t="s">
        <v>1264</v>
      </c>
      <c r="BU118" s="90">
        <v>1173</v>
      </c>
      <c r="BV118" s="90">
        <v>10</v>
      </c>
      <c r="BW118" s="68"/>
      <c r="BX118" s="90" t="s">
        <v>1533</v>
      </c>
      <c r="BY118" s="90" t="s">
        <v>863</v>
      </c>
      <c r="BZ118" s="90">
        <v>0.1</v>
      </c>
      <c r="CA118" s="90">
        <v>1.22</v>
      </c>
      <c r="CB118" s="90">
        <v>0.5</v>
      </c>
      <c r="CC118" s="90">
        <v>20</v>
      </c>
      <c r="CD118" s="90"/>
      <c r="CE118" s="90"/>
      <c r="CF118" s="90" t="s">
        <v>1534</v>
      </c>
      <c r="CG118" s="90">
        <v>800</v>
      </c>
      <c r="CH118" s="90">
        <v>390</v>
      </c>
      <c r="CI118" s="68"/>
      <c r="CJ118" s="68"/>
      <c r="CK118" s="125">
        <v>0.25</v>
      </c>
    </row>
    <row r="119" spans="1:89" ht="15" thickBot="1" x14ac:dyDescent="0.35">
      <c r="A119" s="114" t="s">
        <v>28</v>
      </c>
      <c r="C119" t="s">
        <v>805</v>
      </c>
      <c r="E119" s="90">
        <v>2.64</v>
      </c>
      <c r="F119" s="114" t="s">
        <v>2840</v>
      </c>
      <c r="G119" t="s">
        <v>586</v>
      </c>
      <c r="H119" t="s">
        <v>660</v>
      </c>
      <c r="M119" t="b">
        <v>1</v>
      </c>
      <c r="N119" t="b">
        <v>1</v>
      </c>
      <c r="O119" t="b">
        <v>0</v>
      </c>
      <c r="P119" t="b">
        <v>0</v>
      </c>
      <c r="Q119" t="s">
        <v>586</v>
      </c>
      <c r="R119">
        <v>1521385</v>
      </c>
      <c r="AB119" s="120"/>
      <c r="BT119" s="90" t="s">
        <v>1264</v>
      </c>
      <c r="BU119" s="90">
        <v>1173</v>
      </c>
      <c r="BV119" s="90">
        <v>10</v>
      </c>
      <c r="BW119" s="68"/>
      <c r="BX119" s="90" t="s">
        <v>1533</v>
      </c>
      <c r="BY119" s="90" t="s">
        <v>863</v>
      </c>
      <c r="BZ119" s="90">
        <v>0.13</v>
      </c>
      <c r="CA119" s="90">
        <v>1.22</v>
      </c>
      <c r="CB119" s="90">
        <v>0.5</v>
      </c>
      <c r="CC119" s="90">
        <v>20</v>
      </c>
      <c r="CD119" s="90"/>
      <c r="CE119" s="90"/>
      <c r="CF119" s="90" t="s">
        <v>1534</v>
      </c>
      <c r="CG119" s="90">
        <v>800</v>
      </c>
      <c r="CH119" s="90">
        <v>390</v>
      </c>
      <c r="CI119" s="68"/>
      <c r="CJ119" s="68"/>
      <c r="CK119" s="125">
        <v>0.16</v>
      </c>
    </row>
    <row r="120" spans="1:89" ht="15" thickBot="1" x14ac:dyDescent="0.35">
      <c r="A120" s="114" t="s">
        <v>28</v>
      </c>
      <c r="C120" t="s">
        <v>805</v>
      </c>
      <c r="E120" s="90">
        <v>4.01</v>
      </c>
      <c r="F120" s="114" t="s">
        <v>2840</v>
      </c>
      <c r="G120" t="s">
        <v>586</v>
      </c>
      <c r="H120" t="s">
        <v>660</v>
      </c>
      <c r="M120" t="b">
        <v>1</v>
      </c>
      <c r="N120" t="b">
        <v>1</v>
      </c>
      <c r="O120" t="b">
        <v>0</v>
      </c>
      <c r="P120" t="b">
        <v>0</v>
      </c>
      <c r="Q120" t="s">
        <v>586</v>
      </c>
      <c r="R120">
        <v>1521385</v>
      </c>
      <c r="AB120" s="120"/>
      <c r="BT120" s="90" t="s">
        <v>1264</v>
      </c>
      <c r="BU120" s="90">
        <v>1173</v>
      </c>
      <c r="BV120" s="90">
        <v>10</v>
      </c>
      <c r="BW120" s="68"/>
      <c r="BX120" s="90" t="s">
        <v>1533</v>
      </c>
      <c r="BY120" s="90" t="s">
        <v>863</v>
      </c>
      <c r="BZ120" s="90">
        <v>0.06</v>
      </c>
      <c r="CA120" s="90">
        <v>1.1299999999999999</v>
      </c>
      <c r="CB120" s="90">
        <v>0.5</v>
      </c>
      <c r="CC120" s="90">
        <v>20</v>
      </c>
      <c r="CD120" s="90"/>
      <c r="CE120" s="90"/>
      <c r="CF120" s="90" t="s">
        <v>1534</v>
      </c>
      <c r="CG120" s="90">
        <v>800</v>
      </c>
      <c r="CH120" s="90">
        <v>390</v>
      </c>
      <c r="CI120" s="68"/>
      <c r="CJ120" s="68"/>
      <c r="CK120" s="125">
        <v>0.08</v>
      </c>
    </row>
    <row r="121" spans="1:89" ht="15" thickBot="1" x14ac:dyDescent="0.35">
      <c r="A121" s="114" t="s">
        <v>2841</v>
      </c>
      <c r="C121" t="s">
        <v>3272</v>
      </c>
      <c r="E121" s="90">
        <v>4.01</v>
      </c>
      <c r="F121" s="114" t="s">
        <v>2842</v>
      </c>
      <c r="G121" t="s">
        <v>3173</v>
      </c>
      <c r="H121" t="s">
        <v>3174</v>
      </c>
      <c r="M121" t="b">
        <v>1</v>
      </c>
      <c r="N121" t="b">
        <v>1</v>
      </c>
      <c r="O121" t="b">
        <v>0</v>
      </c>
      <c r="P121" t="b">
        <v>0</v>
      </c>
      <c r="Q121" t="s">
        <v>3173</v>
      </c>
      <c r="R121">
        <v>1521093</v>
      </c>
      <c r="AB121" s="120"/>
      <c r="BT121" s="90" t="s">
        <v>1264</v>
      </c>
      <c r="BU121" s="90">
        <v>1373</v>
      </c>
      <c r="BV121" s="90">
        <v>6</v>
      </c>
      <c r="BW121" s="68"/>
      <c r="BX121" s="90"/>
      <c r="BY121" s="90"/>
      <c r="BZ121" s="90"/>
      <c r="CA121" s="90">
        <v>3.28</v>
      </c>
      <c r="CB121" s="90">
        <v>1</v>
      </c>
      <c r="CC121" s="90">
        <v>0</v>
      </c>
      <c r="CD121" s="90"/>
      <c r="CE121" s="90"/>
      <c r="CF121" s="90" t="s">
        <v>1552</v>
      </c>
      <c r="CG121" s="90">
        <v>450</v>
      </c>
      <c r="CH121" s="90">
        <v>365</v>
      </c>
      <c r="CI121" s="68"/>
      <c r="CJ121" s="68"/>
      <c r="CK121" s="125">
        <v>11</v>
      </c>
    </row>
    <row r="122" spans="1:89" ht="15" thickBot="1" x14ac:dyDescent="0.35">
      <c r="A122" s="114" t="s">
        <v>2841</v>
      </c>
      <c r="C122" t="s">
        <v>3272</v>
      </c>
      <c r="E122" s="90">
        <v>4.01</v>
      </c>
      <c r="F122" s="114" t="s">
        <v>2842</v>
      </c>
      <c r="G122" t="s">
        <v>3173</v>
      </c>
      <c r="H122" t="s">
        <v>3174</v>
      </c>
      <c r="M122" t="b">
        <v>1</v>
      </c>
      <c r="N122" t="b">
        <v>1</v>
      </c>
      <c r="O122" t="b">
        <v>0</v>
      </c>
      <c r="P122" t="b">
        <v>0</v>
      </c>
      <c r="Q122" t="s">
        <v>3173</v>
      </c>
      <c r="R122">
        <v>1521093</v>
      </c>
      <c r="AB122" s="120"/>
      <c r="BT122" s="90" t="s">
        <v>1264</v>
      </c>
      <c r="BU122" s="90">
        <v>1373</v>
      </c>
      <c r="BV122" s="90">
        <v>6</v>
      </c>
      <c r="BW122" s="68"/>
      <c r="BX122" s="90" t="s">
        <v>1533</v>
      </c>
      <c r="BY122" s="90" t="s">
        <v>56</v>
      </c>
      <c r="BZ122" s="90">
        <v>1</v>
      </c>
      <c r="CA122" s="90">
        <v>3.28</v>
      </c>
      <c r="CB122" s="90">
        <v>1</v>
      </c>
      <c r="CC122" s="90">
        <v>0</v>
      </c>
      <c r="CD122" s="90"/>
      <c r="CE122" s="90"/>
      <c r="CF122" s="90" t="s">
        <v>1552</v>
      </c>
      <c r="CG122" s="90">
        <v>450</v>
      </c>
      <c r="CH122" s="90">
        <v>365</v>
      </c>
      <c r="CI122" s="68"/>
      <c r="CJ122" s="68"/>
      <c r="CK122" s="125">
        <v>24.2</v>
      </c>
    </row>
    <row r="123" spans="1:89" ht="15" thickBot="1" x14ac:dyDescent="0.35">
      <c r="A123" s="114" t="s">
        <v>2841</v>
      </c>
      <c r="C123" t="s">
        <v>3272</v>
      </c>
      <c r="E123" s="90">
        <v>4.04</v>
      </c>
      <c r="F123" s="114" t="s">
        <v>2842</v>
      </c>
      <c r="G123" t="s">
        <v>3173</v>
      </c>
      <c r="H123" t="s">
        <v>3174</v>
      </c>
      <c r="M123" t="b">
        <v>1</v>
      </c>
      <c r="N123" t="b">
        <v>1</v>
      </c>
      <c r="O123" t="b">
        <v>0</v>
      </c>
      <c r="P123" t="b">
        <v>0</v>
      </c>
      <c r="Q123" t="s">
        <v>3173</v>
      </c>
      <c r="R123">
        <v>1521093</v>
      </c>
      <c r="AB123" s="120"/>
      <c r="BT123" s="90" t="s">
        <v>1264</v>
      </c>
      <c r="BU123" s="90">
        <v>973</v>
      </c>
      <c r="BV123" s="90">
        <v>6</v>
      </c>
      <c r="BW123" s="68"/>
      <c r="BX123" s="90"/>
      <c r="BY123" s="90"/>
      <c r="BZ123" s="90"/>
      <c r="CA123" s="90">
        <v>27.08</v>
      </c>
      <c r="CB123" s="90">
        <v>1</v>
      </c>
      <c r="CC123" s="90">
        <v>0</v>
      </c>
      <c r="CD123" s="90"/>
      <c r="CE123" s="90"/>
      <c r="CF123" s="90" t="s">
        <v>1552</v>
      </c>
      <c r="CG123" s="90">
        <v>450</v>
      </c>
      <c r="CH123" s="90">
        <v>365</v>
      </c>
      <c r="CI123" s="68"/>
      <c r="CJ123" s="68"/>
      <c r="CK123" s="125">
        <v>59.8</v>
      </c>
    </row>
    <row r="124" spans="1:89" ht="15" thickBot="1" x14ac:dyDescent="0.35">
      <c r="A124" s="114" t="s">
        <v>2841</v>
      </c>
      <c r="C124" t="s">
        <v>3272</v>
      </c>
      <c r="E124" s="90">
        <v>4.04</v>
      </c>
      <c r="F124" s="114" t="s">
        <v>2842</v>
      </c>
      <c r="G124" t="s">
        <v>3173</v>
      </c>
      <c r="H124" t="s">
        <v>3174</v>
      </c>
      <c r="M124" t="b">
        <v>1</v>
      </c>
      <c r="N124" t="b">
        <v>1</v>
      </c>
      <c r="O124" t="b">
        <v>0</v>
      </c>
      <c r="P124" t="b">
        <v>0</v>
      </c>
      <c r="Q124" t="s">
        <v>3173</v>
      </c>
      <c r="R124">
        <v>1521093</v>
      </c>
      <c r="AB124" s="120"/>
      <c r="BT124" s="90" t="s">
        <v>1264</v>
      </c>
      <c r="BU124" s="90">
        <v>973</v>
      </c>
      <c r="BV124" s="90">
        <v>6</v>
      </c>
      <c r="BW124" s="68"/>
      <c r="BX124" s="90" t="s">
        <v>1533</v>
      </c>
      <c r="BY124" s="90" t="s">
        <v>56</v>
      </c>
      <c r="BZ124" s="90">
        <v>1</v>
      </c>
      <c r="CA124" s="90">
        <v>27.08</v>
      </c>
      <c r="CB124" s="90">
        <v>1</v>
      </c>
      <c r="CC124" s="90">
        <v>0</v>
      </c>
      <c r="CD124" s="90"/>
      <c r="CE124" s="90"/>
      <c r="CF124" s="90" t="s">
        <v>1552</v>
      </c>
      <c r="CG124" s="90">
        <v>450</v>
      </c>
      <c r="CH124" s="90">
        <v>365</v>
      </c>
      <c r="CI124" s="68"/>
      <c r="CJ124" s="68"/>
      <c r="CK124" s="125">
        <v>236</v>
      </c>
    </row>
    <row r="125" spans="1:89" ht="15" thickBot="1" x14ac:dyDescent="0.35">
      <c r="A125" s="114" t="s">
        <v>204</v>
      </c>
      <c r="C125" t="s">
        <v>804</v>
      </c>
      <c r="E125" s="90">
        <v>3.93</v>
      </c>
      <c r="F125" s="114" t="s">
        <v>2843</v>
      </c>
      <c r="G125" t="s">
        <v>585</v>
      </c>
      <c r="H125" t="s">
        <v>659</v>
      </c>
      <c r="M125" t="b">
        <v>1</v>
      </c>
      <c r="N125" t="b">
        <v>1</v>
      </c>
      <c r="O125" t="b">
        <v>0</v>
      </c>
      <c r="P125" t="b">
        <v>0</v>
      </c>
      <c r="Q125" t="s">
        <v>585</v>
      </c>
      <c r="R125">
        <v>1531051</v>
      </c>
      <c r="AB125" s="120"/>
      <c r="BT125" s="90" t="s">
        <v>1264</v>
      </c>
      <c r="BU125" s="90"/>
      <c r="BV125" s="90"/>
      <c r="BW125" s="68"/>
      <c r="BX125" s="90"/>
      <c r="BY125" s="90"/>
      <c r="BZ125" s="90"/>
      <c r="CA125" s="90">
        <v>1.34</v>
      </c>
      <c r="CB125" s="90">
        <v>0.25</v>
      </c>
      <c r="CC125" s="90">
        <v>0</v>
      </c>
      <c r="CD125" s="90" t="s">
        <v>1590</v>
      </c>
      <c r="CE125" s="90"/>
      <c r="CF125" s="90" t="s">
        <v>1552</v>
      </c>
      <c r="CG125" s="90">
        <v>150</v>
      </c>
      <c r="CH125" s="90">
        <v>366</v>
      </c>
      <c r="CI125" s="68"/>
      <c r="CJ125" s="68"/>
      <c r="CK125" s="125">
        <v>354.5</v>
      </c>
    </row>
    <row r="126" spans="1:89" ht="15" thickBot="1" x14ac:dyDescent="0.35">
      <c r="A126" s="114" t="s">
        <v>204</v>
      </c>
      <c r="C126" t="s">
        <v>804</v>
      </c>
      <c r="E126" s="90">
        <v>3.3</v>
      </c>
      <c r="F126" s="114" t="s">
        <v>2843</v>
      </c>
      <c r="G126" t="s">
        <v>585</v>
      </c>
      <c r="H126" t="s">
        <v>659</v>
      </c>
      <c r="M126" t="b">
        <v>1</v>
      </c>
      <c r="N126" t="b">
        <v>1</v>
      </c>
      <c r="O126" t="b">
        <v>0</v>
      </c>
      <c r="P126" t="b">
        <v>0</v>
      </c>
      <c r="Q126" t="s">
        <v>585</v>
      </c>
      <c r="R126">
        <v>1531051</v>
      </c>
      <c r="AB126" s="120"/>
      <c r="BT126" s="90" t="s">
        <v>1538</v>
      </c>
      <c r="BU126" s="90">
        <v>723</v>
      </c>
      <c r="BV126" s="90">
        <v>11</v>
      </c>
      <c r="BW126" s="68"/>
      <c r="BX126" s="90"/>
      <c r="BY126" s="90"/>
      <c r="BZ126" s="90"/>
      <c r="CA126" s="90">
        <v>4.08</v>
      </c>
      <c r="CB126" s="90">
        <v>0.25</v>
      </c>
      <c r="CC126" s="90">
        <v>0</v>
      </c>
      <c r="CD126" s="90" t="s">
        <v>1590</v>
      </c>
      <c r="CE126" s="90"/>
      <c r="CF126" s="90" t="s">
        <v>1552</v>
      </c>
      <c r="CG126" s="90">
        <v>150</v>
      </c>
      <c r="CH126" s="90">
        <v>366</v>
      </c>
      <c r="CI126" s="68"/>
      <c r="CJ126" s="68"/>
      <c r="CK126" s="125">
        <v>308</v>
      </c>
    </row>
    <row r="127" spans="1:89" ht="15" thickBot="1" x14ac:dyDescent="0.35">
      <c r="A127" s="114" t="s">
        <v>204</v>
      </c>
      <c r="C127" t="s">
        <v>804</v>
      </c>
      <c r="E127" s="90">
        <v>3.77</v>
      </c>
      <c r="F127" s="114" t="s">
        <v>2843</v>
      </c>
      <c r="G127" t="s">
        <v>585</v>
      </c>
      <c r="H127" t="s">
        <v>659</v>
      </c>
      <c r="M127" t="b">
        <v>1</v>
      </c>
      <c r="N127" t="b">
        <v>1</v>
      </c>
      <c r="O127" t="b">
        <v>0</v>
      </c>
      <c r="P127" t="b">
        <v>0</v>
      </c>
      <c r="Q127" t="s">
        <v>585</v>
      </c>
      <c r="R127">
        <v>1531051</v>
      </c>
      <c r="AB127" s="120"/>
      <c r="BT127" s="90" t="s">
        <v>1538</v>
      </c>
      <c r="BU127" s="90">
        <v>773</v>
      </c>
      <c r="BV127" s="90">
        <v>11</v>
      </c>
      <c r="BW127" s="68"/>
      <c r="BX127" s="90"/>
      <c r="BY127" s="90"/>
      <c r="BZ127" s="90"/>
      <c r="CA127" s="90">
        <v>3.66</v>
      </c>
      <c r="CB127" s="90">
        <v>0.25</v>
      </c>
      <c r="CC127" s="90">
        <v>0</v>
      </c>
      <c r="CD127" s="90" t="s">
        <v>1590</v>
      </c>
      <c r="CE127" s="90"/>
      <c r="CF127" s="90" t="s">
        <v>1552</v>
      </c>
      <c r="CG127" s="90">
        <v>150</v>
      </c>
      <c r="CH127" s="90">
        <v>366</v>
      </c>
      <c r="CI127" s="68"/>
      <c r="CJ127" s="68"/>
      <c r="CK127" s="125">
        <v>525</v>
      </c>
    </row>
    <row r="128" spans="1:89" ht="15" thickBot="1" x14ac:dyDescent="0.35">
      <c r="A128" s="114" t="s">
        <v>204</v>
      </c>
      <c r="C128" t="s">
        <v>804</v>
      </c>
      <c r="E128" s="90">
        <v>3.69</v>
      </c>
      <c r="F128" s="114" t="s">
        <v>2843</v>
      </c>
      <c r="G128" t="s">
        <v>585</v>
      </c>
      <c r="H128" t="s">
        <v>659</v>
      </c>
      <c r="M128" t="b">
        <v>1</v>
      </c>
      <c r="N128" t="b">
        <v>1</v>
      </c>
      <c r="O128" t="b">
        <v>0</v>
      </c>
      <c r="P128" t="b">
        <v>0</v>
      </c>
      <c r="Q128" t="s">
        <v>585</v>
      </c>
      <c r="R128">
        <v>1531051</v>
      </c>
      <c r="AB128" s="120"/>
      <c r="BT128" s="90" t="s">
        <v>1538</v>
      </c>
      <c r="BU128" s="90">
        <v>823</v>
      </c>
      <c r="BV128" s="90">
        <v>11</v>
      </c>
      <c r="BW128" s="68"/>
      <c r="BX128" s="90"/>
      <c r="BY128" s="90"/>
      <c r="BZ128" s="90"/>
      <c r="CA128" s="90">
        <v>3.08</v>
      </c>
      <c r="CB128" s="90">
        <v>0.25</v>
      </c>
      <c r="CC128" s="90">
        <v>0</v>
      </c>
      <c r="CD128" s="90" t="s">
        <v>1590</v>
      </c>
      <c r="CE128" s="90"/>
      <c r="CF128" s="90" t="s">
        <v>1552</v>
      </c>
      <c r="CG128" s="90">
        <v>150</v>
      </c>
      <c r="CH128" s="90">
        <v>366</v>
      </c>
      <c r="CI128" s="68"/>
      <c r="CJ128" s="68"/>
      <c r="CK128" s="125">
        <v>765</v>
      </c>
    </row>
    <row r="129" spans="1:89" ht="15" thickBot="1" x14ac:dyDescent="0.35">
      <c r="A129" s="114" t="s">
        <v>204</v>
      </c>
      <c r="C129" t="s">
        <v>804</v>
      </c>
      <c r="E129" s="90">
        <v>3.74</v>
      </c>
      <c r="F129" s="114" t="s">
        <v>2843</v>
      </c>
      <c r="G129" t="s">
        <v>585</v>
      </c>
      <c r="H129" t="s">
        <v>659</v>
      </c>
      <c r="M129" t="b">
        <v>1</v>
      </c>
      <c r="N129" t="b">
        <v>1</v>
      </c>
      <c r="O129" t="b">
        <v>0</v>
      </c>
      <c r="P129" t="b">
        <v>0</v>
      </c>
      <c r="Q129" t="s">
        <v>585</v>
      </c>
      <c r="R129">
        <v>1531051</v>
      </c>
      <c r="AB129" s="120"/>
      <c r="BT129" s="90" t="s">
        <v>1538</v>
      </c>
      <c r="BU129" s="90">
        <v>873</v>
      </c>
      <c r="BV129" s="90">
        <v>11</v>
      </c>
      <c r="BW129" s="68"/>
      <c r="BX129" s="90"/>
      <c r="BY129" s="90"/>
      <c r="BZ129" s="90"/>
      <c r="CA129" s="90">
        <v>3.01</v>
      </c>
      <c r="CB129" s="90">
        <v>0.25</v>
      </c>
      <c r="CC129" s="90">
        <v>0</v>
      </c>
      <c r="CD129" s="90" t="s">
        <v>1590</v>
      </c>
      <c r="CE129" s="90"/>
      <c r="CF129" s="90" t="s">
        <v>1552</v>
      </c>
      <c r="CG129" s="90">
        <v>150</v>
      </c>
      <c r="CH129" s="92">
        <v>366</v>
      </c>
      <c r="CI129" s="68"/>
      <c r="CJ129" s="68"/>
      <c r="CK129" s="125">
        <v>545</v>
      </c>
    </row>
    <row r="130" spans="1:89" ht="15" thickBot="1" x14ac:dyDescent="0.35">
      <c r="A130" s="114" t="s">
        <v>204</v>
      </c>
      <c r="C130" t="s">
        <v>804</v>
      </c>
      <c r="E130" s="90">
        <v>4.9000000000000004</v>
      </c>
      <c r="F130" s="114" t="s">
        <v>2843</v>
      </c>
      <c r="G130" t="s">
        <v>585</v>
      </c>
      <c r="H130" t="s">
        <v>659</v>
      </c>
      <c r="M130" t="b">
        <v>1</v>
      </c>
      <c r="N130" t="b">
        <v>1</v>
      </c>
      <c r="O130" t="b">
        <v>0</v>
      </c>
      <c r="P130" t="b">
        <v>0</v>
      </c>
      <c r="Q130" t="s">
        <v>585</v>
      </c>
      <c r="R130">
        <v>1531051</v>
      </c>
      <c r="AB130" s="120"/>
      <c r="BT130" s="90" t="s">
        <v>1538</v>
      </c>
      <c r="BU130" s="90">
        <v>923</v>
      </c>
      <c r="BV130" s="90">
        <v>11</v>
      </c>
      <c r="BW130" s="68"/>
      <c r="BX130" s="90"/>
      <c r="BY130" s="90"/>
      <c r="BZ130" s="90"/>
      <c r="CA130" s="90">
        <v>2.86</v>
      </c>
      <c r="CB130" s="90">
        <v>0.25</v>
      </c>
      <c r="CC130" s="90">
        <v>0</v>
      </c>
      <c r="CD130" s="90" t="s">
        <v>1590</v>
      </c>
      <c r="CE130" s="90"/>
      <c r="CF130" s="90" t="s">
        <v>1552</v>
      </c>
      <c r="CG130" s="90">
        <v>150</v>
      </c>
      <c r="CH130" s="92">
        <v>366</v>
      </c>
      <c r="CI130" s="68"/>
      <c r="CJ130" s="68"/>
      <c r="CK130" s="125">
        <v>450</v>
      </c>
    </row>
    <row r="131" spans="1:89" ht="15" thickBot="1" x14ac:dyDescent="0.35">
      <c r="A131" s="114" t="s">
        <v>204</v>
      </c>
      <c r="C131" t="s">
        <v>804</v>
      </c>
      <c r="E131" s="90">
        <v>4.93</v>
      </c>
      <c r="F131" s="114" t="s">
        <v>2843</v>
      </c>
      <c r="G131" t="s">
        <v>585</v>
      </c>
      <c r="H131" t="s">
        <v>659</v>
      </c>
      <c r="M131" t="b">
        <v>1</v>
      </c>
      <c r="N131" t="b">
        <v>1</v>
      </c>
      <c r="O131" t="b">
        <v>0</v>
      </c>
      <c r="P131" t="b">
        <v>0</v>
      </c>
      <c r="Q131" t="s">
        <v>585</v>
      </c>
      <c r="R131">
        <v>1531051</v>
      </c>
      <c r="AB131" s="120"/>
      <c r="BT131" s="90" t="s">
        <v>1538</v>
      </c>
      <c r="BU131" s="90">
        <v>973</v>
      </c>
      <c r="BV131" s="90">
        <v>11</v>
      </c>
      <c r="BW131" s="68"/>
      <c r="BX131" s="90"/>
      <c r="BY131" s="90"/>
      <c r="BZ131" s="90"/>
      <c r="CA131" s="90">
        <v>2.4900000000000002</v>
      </c>
      <c r="CB131" s="90">
        <v>0.25</v>
      </c>
      <c r="CC131" s="90">
        <v>0</v>
      </c>
      <c r="CD131" s="90" t="s">
        <v>1590</v>
      </c>
      <c r="CE131" s="90"/>
      <c r="CF131" s="90" t="s">
        <v>1552</v>
      </c>
      <c r="CG131" s="90">
        <v>150</v>
      </c>
      <c r="CH131" s="92">
        <v>366</v>
      </c>
      <c r="CI131" s="68"/>
      <c r="CJ131" s="68"/>
      <c r="CK131" s="125">
        <v>429</v>
      </c>
    </row>
    <row r="132" spans="1:89" ht="15" thickBot="1" x14ac:dyDescent="0.35">
      <c r="A132" s="114" t="s">
        <v>204</v>
      </c>
      <c r="C132" t="s">
        <v>804</v>
      </c>
      <c r="E132" s="90">
        <v>4.95</v>
      </c>
      <c r="F132" s="114" t="s">
        <v>2843</v>
      </c>
      <c r="G132" t="s">
        <v>585</v>
      </c>
      <c r="H132" t="s">
        <v>659</v>
      </c>
      <c r="M132" t="b">
        <v>1</v>
      </c>
      <c r="N132" t="b">
        <v>1</v>
      </c>
      <c r="O132" t="b">
        <v>0</v>
      </c>
      <c r="P132" t="b">
        <v>0</v>
      </c>
      <c r="Q132" t="s">
        <v>585</v>
      </c>
      <c r="R132">
        <v>1531051</v>
      </c>
      <c r="AB132" s="120"/>
      <c r="BT132" s="90" t="s">
        <v>1538</v>
      </c>
      <c r="BU132" s="90">
        <v>1023</v>
      </c>
      <c r="BV132" s="90">
        <v>11</v>
      </c>
      <c r="BW132" s="68"/>
      <c r="BX132" s="90"/>
      <c r="BY132" s="90"/>
      <c r="BZ132" s="90"/>
      <c r="CA132" s="90">
        <v>2.38</v>
      </c>
      <c r="CB132" s="90">
        <v>0.25</v>
      </c>
      <c r="CC132" s="90">
        <v>0</v>
      </c>
      <c r="CD132" s="90" t="s">
        <v>1590</v>
      </c>
      <c r="CE132" s="90"/>
      <c r="CF132" s="90" t="s">
        <v>1552</v>
      </c>
      <c r="CG132" s="90">
        <v>150</v>
      </c>
      <c r="CH132" s="92">
        <v>366</v>
      </c>
      <c r="CI132" s="68"/>
      <c r="CJ132" s="68"/>
      <c r="CK132" s="125">
        <v>437</v>
      </c>
    </row>
    <row r="133" spans="1:89" ht="15" thickBot="1" x14ac:dyDescent="0.35">
      <c r="A133" s="114" t="s">
        <v>204</v>
      </c>
      <c r="C133" t="s">
        <v>804</v>
      </c>
      <c r="E133" s="90">
        <v>4.9800000000000004</v>
      </c>
      <c r="F133" s="114" t="s">
        <v>2843</v>
      </c>
      <c r="G133" t="s">
        <v>585</v>
      </c>
      <c r="H133" t="s">
        <v>659</v>
      </c>
      <c r="M133" t="b">
        <v>1</v>
      </c>
      <c r="N133" t="b">
        <v>1</v>
      </c>
      <c r="O133" t="b">
        <v>0</v>
      </c>
      <c r="P133" t="b">
        <v>0</v>
      </c>
      <c r="Q133" t="s">
        <v>585</v>
      </c>
      <c r="R133">
        <v>1531051</v>
      </c>
      <c r="AB133" s="120"/>
      <c r="BT133" s="90" t="s">
        <v>1538</v>
      </c>
      <c r="BU133" s="90">
        <v>1073</v>
      </c>
      <c r="BV133" s="90">
        <v>11</v>
      </c>
      <c r="BW133" s="68"/>
      <c r="BX133" s="90"/>
      <c r="BY133" s="90"/>
      <c r="BZ133" s="90"/>
      <c r="CA133" s="90">
        <v>1.96</v>
      </c>
      <c r="CB133" s="90">
        <v>0.25</v>
      </c>
      <c r="CC133" s="90">
        <v>0</v>
      </c>
      <c r="CD133" s="90" t="s">
        <v>1590</v>
      </c>
      <c r="CE133" s="90"/>
      <c r="CF133" s="90" t="s">
        <v>1552</v>
      </c>
      <c r="CG133" s="90">
        <v>150</v>
      </c>
      <c r="CH133" s="92">
        <v>366</v>
      </c>
      <c r="CI133" s="68"/>
      <c r="CJ133" s="68"/>
      <c r="CK133" s="125">
        <v>336</v>
      </c>
    </row>
    <row r="134" spans="1:89" ht="15" thickBot="1" x14ac:dyDescent="0.35">
      <c r="A134" s="90" t="s">
        <v>2845</v>
      </c>
      <c r="C134" t="s">
        <v>3273</v>
      </c>
      <c r="E134" s="90">
        <v>4</v>
      </c>
      <c r="F134" s="115" t="s">
        <v>2844</v>
      </c>
      <c r="G134" t="s">
        <v>3175</v>
      </c>
      <c r="H134" t="s">
        <v>3176</v>
      </c>
      <c r="M134" t="b">
        <v>1</v>
      </c>
      <c r="N134" t="b">
        <v>1</v>
      </c>
      <c r="O134" t="b">
        <v>0</v>
      </c>
      <c r="P134" t="b">
        <v>0</v>
      </c>
      <c r="Q134" t="s">
        <v>3175</v>
      </c>
      <c r="R134">
        <v>1532747</v>
      </c>
      <c r="AB134" s="121"/>
      <c r="BT134" s="90" t="s">
        <v>1538</v>
      </c>
      <c r="BU134" s="90">
        <v>923</v>
      </c>
      <c r="BV134" s="90">
        <v>6</v>
      </c>
      <c r="BW134" s="68"/>
      <c r="BX134" s="90" t="s">
        <v>1268</v>
      </c>
      <c r="BY134" s="90" t="s">
        <v>863</v>
      </c>
      <c r="BZ134" s="90">
        <v>1</v>
      </c>
      <c r="CA134" s="90">
        <v>21.87</v>
      </c>
      <c r="CB134" s="90">
        <v>0.55500000000000005</v>
      </c>
      <c r="CC134" s="90">
        <v>0</v>
      </c>
      <c r="CD134" s="90" t="s">
        <v>1590</v>
      </c>
      <c r="CE134" s="90"/>
      <c r="CF134" s="90" t="s">
        <v>1534</v>
      </c>
      <c r="CG134" s="90">
        <v>300</v>
      </c>
      <c r="CH134" s="92">
        <v>420</v>
      </c>
      <c r="CI134" s="68"/>
      <c r="CJ134" s="68"/>
      <c r="CK134" s="125">
        <v>9.8000000000000007</v>
      </c>
    </row>
    <row r="135" spans="1:89" ht="15" thickBot="1" x14ac:dyDescent="0.35">
      <c r="A135" s="90" t="s">
        <v>2846</v>
      </c>
      <c r="C135" t="s">
        <v>3274</v>
      </c>
      <c r="E135" s="90">
        <v>3.22</v>
      </c>
      <c r="F135" s="115" t="s">
        <v>2844</v>
      </c>
      <c r="G135" t="s">
        <v>3155</v>
      </c>
      <c r="H135" t="s">
        <v>3156</v>
      </c>
      <c r="J135" s="73" t="s">
        <v>3414</v>
      </c>
      <c r="K135" s="73" t="s">
        <v>3414</v>
      </c>
      <c r="M135" t="b">
        <v>1</v>
      </c>
      <c r="N135" t="b">
        <v>1</v>
      </c>
      <c r="O135" t="b">
        <v>0</v>
      </c>
      <c r="P135" t="b">
        <v>0</v>
      </c>
      <c r="Q135" t="s">
        <v>3584</v>
      </c>
      <c r="R135" t="s">
        <v>3585</v>
      </c>
      <c r="AB135" s="121"/>
      <c r="BT135" s="90" t="s">
        <v>1538</v>
      </c>
      <c r="BU135" s="90">
        <v>923</v>
      </c>
      <c r="BV135" s="90">
        <v>6</v>
      </c>
      <c r="BW135" s="68"/>
      <c r="BX135" s="90" t="s">
        <v>1268</v>
      </c>
      <c r="BY135" s="90" t="s">
        <v>863</v>
      </c>
      <c r="BZ135" s="90">
        <v>1</v>
      </c>
      <c r="CA135" s="90">
        <v>15.74</v>
      </c>
      <c r="CB135" s="90">
        <v>0.55500000000000005</v>
      </c>
      <c r="CC135" s="90">
        <v>0</v>
      </c>
      <c r="CD135" s="90" t="s">
        <v>1590</v>
      </c>
      <c r="CE135" s="90"/>
      <c r="CF135" s="90" t="s">
        <v>1534</v>
      </c>
      <c r="CG135" s="90">
        <v>300</v>
      </c>
      <c r="CH135" s="92">
        <v>420</v>
      </c>
      <c r="CI135" s="68"/>
      <c r="CJ135" s="68"/>
      <c r="CK135" s="125">
        <v>10.4</v>
      </c>
    </row>
    <row r="136" spans="1:89" ht="15" thickBot="1" x14ac:dyDescent="0.35">
      <c r="A136" s="90" t="s">
        <v>2847</v>
      </c>
      <c r="C136" t="s">
        <v>3274</v>
      </c>
      <c r="E136" s="90">
        <v>2.84</v>
      </c>
      <c r="F136" s="115" t="s">
        <v>2844</v>
      </c>
      <c r="G136" t="s">
        <v>3155</v>
      </c>
      <c r="H136" t="s">
        <v>3156</v>
      </c>
      <c r="J136" s="73" t="s">
        <v>3415</v>
      </c>
      <c r="K136" s="73" t="s">
        <v>3415</v>
      </c>
      <c r="M136" t="b">
        <v>1</v>
      </c>
      <c r="N136" t="b">
        <v>1</v>
      </c>
      <c r="O136" t="b">
        <v>0</v>
      </c>
      <c r="P136" t="b">
        <v>0</v>
      </c>
      <c r="Q136" t="s">
        <v>3586</v>
      </c>
      <c r="R136" t="s">
        <v>3587</v>
      </c>
      <c r="AB136" s="121"/>
      <c r="BT136" s="90" t="s">
        <v>1538</v>
      </c>
      <c r="BU136" s="90">
        <v>923</v>
      </c>
      <c r="BV136" s="90">
        <v>6</v>
      </c>
      <c r="BW136" s="68"/>
      <c r="BX136" s="90" t="s">
        <v>1268</v>
      </c>
      <c r="BY136" s="90" t="s">
        <v>863</v>
      </c>
      <c r="BZ136" s="90">
        <v>1</v>
      </c>
      <c r="CA136" s="90">
        <v>6.48</v>
      </c>
      <c r="CB136" s="90">
        <v>0.55500000000000005</v>
      </c>
      <c r="CC136" s="90">
        <v>0</v>
      </c>
      <c r="CD136" s="90" t="s">
        <v>1590</v>
      </c>
      <c r="CE136" s="90"/>
      <c r="CF136" s="90" t="s">
        <v>1534</v>
      </c>
      <c r="CG136" s="90">
        <v>300</v>
      </c>
      <c r="CH136" s="92">
        <v>420</v>
      </c>
      <c r="CI136" s="68"/>
      <c r="CJ136" s="68"/>
      <c r="CK136" s="125">
        <v>14.8</v>
      </c>
    </row>
    <row r="137" spans="1:89" ht="15" thickBot="1" x14ac:dyDescent="0.35">
      <c r="A137" s="90" t="s">
        <v>2848</v>
      </c>
      <c r="C137" t="s">
        <v>3274</v>
      </c>
      <c r="E137" s="90">
        <v>2.69</v>
      </c>
      <c r="F137" s="115" t="s">
        <v>2844</v>
      </c>
      <c r="G137" t="s">
        <v>3155</v>
      </c>
      <c r="H137" t="s">
        <v>3156</v>
      </c>
      <c r="J137" s="73" t="s">
        <v>3416</v>
      </c>
      <c r="K137" s="73" t="s">
        <v>3416</v>
      </c>
      <c r="M137" t="b">
        <v>1</v>
      </c>
      <c r="N137" t="b">
        <v>1</v>
      </c>
      <c r="O137" t="b">
        <v>0</v>
      </c>
      <c r="P137" t="b">
        <v>0</v>
      </c>
      <c r="Q137" t="s">
        <v>3588</v>
      </c>
      <c r="R137" t="s">
        <v>3589</v>
      </c>
      <c r="AB137" s="121"/>
      <c r="BT137" s="90" t="s">
        <v>1305</v>
      </c>
      <c r="BU137" s="90">
        <v>923</v>
      </c>
      <c r="BV137" s="90">
        <v>6</v>
      </c>
      <c r="BW137" s="68"/>
      <c r="BX137" s="90" t="s">
        <v>1268</v>
      </c>
      <c r="BY137" s="90" t="s">
        <v>863</v>
      </c>
      <c r="BZ137" s="90">
        <v>1</v>
      </c>
      <c r="CA137" s="90">
        <v>7.65</v>
      </c>
      <c r="CB137" s="90">
        <v>0.55500000000000005</v>
      </c>
      <c r="CC137" s="90">
        <v>0</v>
      </c>
      <c r="CD137" s="90" t="s">
        <v>1590</v>
      </c>
      <c r="CE137" s="90"/>
      <c r="CF137" s="90" t="s">
        <v>1534</v>
      </c>
      <c r="CG137" s="90">
        <v>300</v>
      </c>
      <c r="CH137" s="92">
        <v>420</v>
      </c>
      <c r="CI137" s="68"/>
      <c r="CJ137" s="68"/>
      <c r="CK137" s="125">
        <v>16.8</v>
      </c>
    </row>
    <row r="138" spans="1:89" ht="15" thickBot="1" x14ac:dyDescent="0.35">
      <c r="A138" s="90" t="s">
        <v>2846</v>
      </c>
      <c r="C138" t="s">
        <v>3274</v>
      </c>
      <c r="E138" s="90">
        <v>2.63</v>
      </c>
      <c r="F138" s="115" t="s">
        <v>2844</v>
      </c>
      <c r="G138" t="s">
        <v>3155</v>
      </c>
      <c r="H138" t="s">
        <v>3156</v>
      </c>
      <c r="J138" s="73" t="s">
        <v>3414</v>
      </c>
      <c r="K138" s="73" t="s">
        <v>3414</v>
      </c>
      <c r="M138" t="b">
        <v>1</v>
      </c>
      <c r="N138" t="b">
        <v>1</v>
      </c>
      <c r="O138" t="b">
        <v>0</v>
      </c>
      <c r="P138" t="b">
        <v>0</v>
      </c>
      <c r="Q138" t="s">
        <v>3590</v>
      </c>
      <c r="R138" t="s">
        <v>3591</v>
      </c>
      <c r="AB138" s="121"/>
      <c r="BT138" s="90" t="s">
        <v>1305</v>
      </c>
      <c r="BU138" s="90">
        <v>923</v>
      </c>
      <c r="BV138" s="90">
        <v>6</v>
      </c>
      <c r="BW138" s="68"/>
      <c r="BX138" s="90" t="s">
        <v>1268</v>
      </c>
      <c r="BY138" s="90" t="s">
        <v>863</v>
      </c>
      <c r="BZ138" s="90">
        <v>1</v>
      </c>
      <c r="CA138" s="90">
        <v>7.28</v>
      </c>
      <c r="CB138" s="90">
        <v>0.55500000000000005</v>
      </c>
      <c r="CC138" s="90">
        <v>0</v>
      </c>
      <c r="CD138" s="90" t="s">
        <v>1590</v>
      </c>
      <c r="CE138" s="90"/>
      <c r="CF138" s="90" t="s">
        <v>1534</v>
      </c>
      <c r="CG138" s="90">
        <v>300</v>
      </c>
      <c r="CH138" s="92">
        <v>420</v>
      </c>
      <c r="CI138" s="68"/>
      <c r="CJ138" s="68"/>
      <c r="CK138" s="125">
        <v>25.8</v>
      </c>
    </row>
    <row r="139" spans="1:89" ht="15" thickBot="1" x14ac:dyDescent="0.35">
      <c r="A139" s="90" t="s">
        <v>2849</v>
      </c>
      <c r="C139" t="s">
        <v>3275</v>
      </c>
      <c r="E139" s="90">
        <v>2.57</v>
      </c>
      <c r="F139" s="115" t="s">
        <v>2844</v>
      </c>
      <c r="G139" t="s">
        <v>3154</v>
      </c>
      <c r="H139">
        <v>-1</v>
      </c>
      <c r="M139" t="b">
        <v>0</v>
      </c>
      <c r="N139" t="b">
        <v>0</v>
      </c>
      <c r="O139" t="b">
        <v>0</v>
      </c>
      <c r="P139" t="b">
        <v>1</v>
      </c>
      <c r="Q139" t="s">
        <v>3154</v>
      </c>
      <c r="R139">
        <v>-1</v>
      </c>
      <c r="AB139" s="121"/>
      <c r="BT139" s="90" t="s">
        <v>1305</v>
      </c>
      <c r="BU139" s="90">
        <v>923</v>
      </c>
      <c r="BV139" s="90">
        <v>6</v>
      </c>
      <c r="BW139" s="68"/>
      <c r="BX139" s="90" t="s">
        <v>1268</v>
      </c>
      <c r="BY139" s="90" t="s">
        <v>863</v>
      </c>
      <c r="BZ139" s="90">
        <v>1</v>
      </c>
      <c r="CA139" s="90">
        <v>6.96</v>
      </c>
      <c r="CB139" s="90">
        <v>0.55500000000000005</v>
      </c>
      <c r="CC139" s="90">
        <v>0</v>
      </c>
      <c r="CD139" s="90" t="s">
        <v>1590</v>
      </c>
      <c r="CE139" s="90"/>
      <c r="CF139" s="90" t="s">
        <v>1534</v>
      </c>
      <c r="CG139" s="90">
        <v>300</v>
      </c>
      <c r="CH139" s="92">
        <v>420</v>
      </c>
      <c r="CI139" s="68"/>
      <c r="CJ139" s="68"/>
      <c r="CK139" s="125">
        <v>18</v>
      </c>
    </row>
    <row r="140" spans="1:89" ht="15" thickBot="1" x14ac:dyDescent="0.35">
      <c r="A140" s="115" t="s">
        <v>0</v>
      </c>
      <c r="C140" t="s">
        <v>685</v>
      </c>
      <c r="E140" s="90">
        <v>3.89</v>
      </c>
      <c r="F140" s="115" t="s">
        <v>2850</v>
      </c>
      <c r="G140" t="s">
        <v>523</v>
      </c>
      <c r="H140" t="s">
        <v>606</v>
      </c>
      <c r="M140" t="b">
        <v>1</v>
      </c>
      <c r="N140" t="b">
        <v>1</v>
      </c>
      <c r="O140" t="b">
        <v>0</v>
      </c>
      <c r="P140" t="b">
        <v>0</v>
      </c>
      <c r="Q140" t="s">
        <v>523</v>
      </c>
      <c r="R140">
        <v>1001842</v>
      </c>
      <c r="AB140" s="122"/>
      <c r="BT140" s="90" t="s">
        <v>1305</v>
      </c>
      <c r="BU140" s="90"/>
      <c r="BV140" s="90"/>
      <c r="BW140" s="68"/>
      <c r="BX140" s="90"/>
      <c r="BY140" s="90"/>
      <c r="BZ140" s="90"/>
      <c r="CA140" s="90">
        <v>86.6</v>
      </c>
      <c r="CB140" s="90">
        <v>0.27</v>
      </c>
      <c r="CC140" s="90">
        <v>13.5</v>
      </c>
      <c r="CD140" s="90"/>
      <c r="CE140" s="90"/>
      <c r="CF140" s="90" t="s">
        <v>1552</v>
      </c>
      <c r="CG140" s="90">
        <v>350</v>
      </c>
      <c r="CH140" s="92">
        <v>365</v>
      </c>
      <c r="CI140" s="68"/>
      <c r="CJ140" s="68"/>
      <c r="CK140" s="125">
        <v>30266</v>
      </c>
    </row>
    <row r="141" spans="1:89" ht="15" thickBot="1" x14ac:dyDescent="0.35">
      <c r="A141" s="115" t="s">
        <v>2852</v>
      </c>
      <c r="C141" t="s">
        <v>3276</v>
      </c>
      <c r="E141" s="90">
        <v>2.8</v>
      </c>
      <c r="F141" s="115" t="s">
        <v>2853</v>
      </c>
      <c r="G141" t="s">
        <v>3154</v>
      </c>
      <c r="H141">
        <v>-1</v>
      </c>
      <c r="M141" t="b">
        <v>0</v>
      </c>
      <c r="N141" t="b">
        <v>0</v>
      </c>
      <c r="O141" t="b">
        <v>0</v>
      </c>
      <c r="P141" t="b">
        <v>1</v>
      </c>
      <c r="Q141" t="s">
        <v>3154</v>
      </c>
      <c r="R141">
        <v>-1</v>
      </c>
      <c r="AB141" s="122"/>
      <c r="BT141" s="90" t="s">
        <v>1264</v>
      </c>
      <c r="BU141" s="90"/>
      <c r="BV141" s="90"/>
      <c r="BW141" s="68"/>
      <c r="BX141" s="90" t="s">
        <v>1268</v>
      </c>
      <c r="BY141" s="90" t="s">
        <v>863</v>
      </c>
      <c r="BZ141" s="90">
        <v>0.5</v>
      </c>
      <c r="CA141" s="90"/>
      <c r="CB141" s="90">
        <v>0.37</v>
      </c>
      <c r="CC141" s="90">
        <v>18.5</v>
      </c>
      <c r="CD141" s="90"/>
      <c r="CE141" s="90"/>
      <c r="CF141" s="90" t="s">
        <v>1534</v>
      </c>
      <c r="CG141" s="90">
        <v>300</v>
      </c>
      <c r="CH141" s="92">
        <v>420</v>
      </c>
      <c r="CI141" s="68"/>
      <c r="CJ141" s="68"/>
      <c r="CK141" s="125">
        <v>257</v>
      </c>
    </row>
    <row r="142" spans="1:89" ht="15" thickBot="1" x14ac:dyDescent="0.35">
      <c r="A142" s="115" t="s">
        <v>2854</v>
      </c>
      <c r="C142" t="s">
        <v>3277</v>
      </c>
      <c r="E142" s="90">
        <v>3.26</v>
      </c>
      <c r="F142" s="115" t="s">
        <v>2855</v>
      </c>
      <c r="G142" t="s">
        <v>3177</v>
      </c>
      <c r="H142" t="s">
        <v>3178</v>
      </c>
      <c r="M142" t="b">
        <v>1</v>
      </c>
      <c r="N142" t="b">
        <v>1</v>
      </c>
      <c r="O142" t="b">
        <v>0</v>
      </c>
      <c r="P142" t="b">
        <v>0</v>
      </c>
      <c r="Q142" t="s">
        <v>3177</v>
      </c>
      <c r="R142">
        <v>1525846</v>
      </c>
      <c r="AB142" s="122"/>
      <c r="BT142" s="90" t="s">
        <v>1264</v>
      </c>
      <c r="BU142" s="90">
        <v>333</v>
      </c>
      <c r="BV142" s="90">
        <v>6</v>
      </c>
      <c r="BW142" s="68"/>
      <c r="BX142" s="90"/>
      <c r="BY142" s="90"/>
      <c r="BZ142" s="90"/>
      <c r="CA142" s="90"/>
      <c r="CB142" s="90">
        <v>1.2</v>
      </c>
      <c r="CC142" s="90">
        <v>0</v>
      </c>
      <c r="CD142" s="90" t="s">
        <v>1550</v>
      </c>
      <c r="CE142" s="90" t="s">
        <v>1551</v>
      </c>
      <c r="CF142" s="90" t="s">
        <v>1534</v>
      </c>
      <c r="CG142" s="90">
        <v>350</v>
      </c>
      <c r="CH142" s="92">
        <v>250</v>
      </c>
      <c r="CI142" s="68"/>
      <c r="CJ142" s="68"/>
      <c r="CK142" s="125">
        <v>319</v>
      </c>
    </row>
    <row r="143" spans="1:89" ht="15" thickBot="1" x14ac:dyDescent="0.35">
      <c r="A143" s="115" t="s">
        <v>2854</v>
      </c>
      <c r="C143" t="s">
        <v>3277</v>
      </c>
      <c r="E143" s="90">
        <v>2.4300000000000002</v>
      </c>
      <c r="F143" s="115" t="s">
        <v>2855</v>
      </c>
      <c r="G143" t="s">
        <v>3177</v>
      </c>
      <c r="H143" t="s">
        <v>3178</v>
      </c>
      <c r="M143" t="b">
        <v>1</v>
      </c>
      <c r="N143" t="b">
        <v>1</v>
      </c>
      <c r="O143" t="b">
        <v>0</v>
      </c>
      <c r="P143" t="b">
        <v>0</v>
      </c>
      <c r="Q143" t="s">
        <v>3177</v>
      </c>
      <c r="R143">
        <v>1525846</v>
      </c>
      <c r="AB143" s="122"/>
      <c r="BT143" s="90" t="s">
        <v>1264</v>
      </c>
      <c r="BU143" s="90">
        <v>333</v>
      </c>
      <c r="BV143" s="90">
        <v>6</v>
      </c>
      <c r="BW143" s="68"/>
      <c r="BX143" s="90"/>
      <c r="BY143" s="90"/>
      <c r="BZ143" s="90"/>
      <c r="CA143" s="90"/>
      <c r="CB143" s="90">
        <v>4.08</v>
      </c>
      <c r="CC143" s="90">
        <v>0</v>
      </c>
      <c r="CD143" s="90" t="s">
        <v>1550</v>
      </c>
      <c r="CE143" s="90" t="s">
        <v>1551</v>
      </c>
      <c r="CF143" s="90" t="s">
        <v>1534</v>
      </c>
      <c r="CG143" s="90">
        <v>350</v>
      </c>
      <c r="CH143" s="92">
        <v>250</v>
      </c>
      <c r="CI143" s="68"/>
      <c r="CJ143" s="68"/>
      <c r="CK143" s="125">
        <v>284</v>
      </c>
    </row>
    <row r="144" spans="1:89" ht="15" thickBot="1" x14ac:dyDescent="0.35">
      <c r="A144" s="115" t="s">
        <v>8</v>
      </c>
      <c r="C144" t="s">
        <v>694</v>
      </c>
      <c r="E144" s="90"/>
      <c r="F144" s="114" t="s">
        <v>2856</v>
      </c>
      <c r="G144" t="s">
        <v>530</v>
      </c>
      <c r="H144" t="s">
        <v>612</v>
      </c>
      <c r="M144" t="b">
        <v>1</v>
      </c>
      <c r="N144" t="b">
        <v>1</v>
      </c>
      <c r="O144" t="b">
        <v>0</v>
      </c>
      <c r="P144" t="b">
        <v>0</v>
      </c>
      <c r="Q144" t="s">
        <v>530</v>
      </c>
      <c r="R144">
        <v>1010942</v>
      </c>
      <c r="AB144" s="122">
        <v>0</v>
      </c>
      <c r="BT144" s="90" t="s">
        <v>1264</v>
      </c>
      <c r="BU144" s="90">
        <f t="shared" ref="BU144:BU155" si="0">1150+273</f>
        <v>1423</v>
      </c>
      <c r="BV144" s="90">
        <v>24</v>
      </c>
      <c r="BW144" s="68"/>
      <c r="BX144" s="90"/>
      <c r="BY144" s="90"/>
      <c r="BZ144" s="90"/>
      <c r="CA144" s="90"/>
      <c r="CB144" s="90">
        <v>2</v>
      </c>
      <c r="CC144" s="90">
        <v>10</v>
      </c>
      <c r="CD144" s="90"/>
      <c r="CE144" s="90"/>
      <c r="CF144" s="90" t="s">
        <v>1552</v>
      </c>
      <c r="CG144" s="90">
        <v>100</v>
      </c>
      <c r="CH144" s="90">
        <v>290</v>
      </c>
      <c r="CI144" s="68"/>
      <c r="CJ144" s="68"/>
      <c r="CK144" s="125">
        <v>133.92857142857144</v>
      </c>
    </row>
    <row r="145" spans="1:89" ht="15" thickBot="1" x14ac:dyDescent="0.35">
      <c r="A145" s="115" t="s">
        <v>153</v>
      </c>
      <c r="C145" t="s">
        <v>775</v>
      </c>
      <c r="E145" s="90">
        <v>3.45</v>
      </c>
      <c r="F145" s="114" t="s">
        <v>2856</v>
      </c>
      <c r="G145" t="s">
        <v>578</v>
      </c>
      <c r="H145">
        <v>-1</v>
      </c>
      <c r="M145" t="b">
        <v>1</v>
      </c>
      <c r="N145" t="b">
        <v>0</v>
      </c>
      <c r="O145" t="b">
        <v>0</v>
      </c>
      <c r="P145" t="b">
        <v>0</v>
      </c>
      <c r="Q145" t="s">
        <v>578</v>
      </c>
      <c r="R145">
        <v>-1</v>
      </c>
      <c r="AB145" s="122">
        <v>12.05</v>
      </c>
      <c r="BT145" s="90" t="s">
        <v>1264</v>
      </c>
      <c r="BU145" s="90">
        <f t="shared" si="0"/>
        <v>1423</v>
      </c>
      <c r="BV145" s="90">
        <v>24</v>
      </c>
      <c r="BW145" s="68"/>
      <c r="BX145" s="90"/>
      <c r="BY145" s="90"/>
      <c r="BZ145" s="90"/>
      <c r="CA145" s="90">
        <v>10.220000000000001</v>
      </c>
      <c r="CB145" s="90">
        <v>2</v>
      </c>
      <c r="CC145" s="90">
        <v>10</v>
      </c>
      <c r="CD145" s="90"/>
      <c r="CE145" s="90"/>
      <c r="CF145" s="90" t="s">
        <v>1552</v>
      </c>
      <c r="CG145" s="90">
        <v>100</v>
      </c>
      <c r="CH145" s="90">
        <v>290</v>
      </c>
      <c r="CI145" s="68"/>
      <c r="CJ145" s="68"/>
      <c r="CK145" s="125">
        <v>669.64285714285711</v>
      </c>
    </row>
    <row r="146" spans="1:89" ht="15" thickBot="1" x14ac:dyDescent="0.35">
      <c r="A146" s="115" t="s">
        <v>2857</v>
      </c>
      <c r="C146" t="s">
        <v>3278</v>
      </c>
      <c r="E146" s="90">
        <v>3.62</v>
      </c>
      <c r="F146" s="114" t="s">
        <v>2856</v>
      </c>
      <c r="G146" t="s">
        <v>578</v>
      </c>
      <c r="H146">
        <v>-1</v>
      </c>
      <c r="J146" s="73" t="s">
        <v>3420</v>
      </c>
      <c r="M146" t="b">
        <v>1</v>
      </c>
      <c r="N146" t="b">
        <v>0</v>
      </c>
      <c r="O146" t="b">
        <v>0</v>
      </c>
      <c r="P146" t="b">
        <v>0</v>
      </c>
      <c r="Q146" t="s">
        <v>3592</v>
      </c>
      <c r="R146">
        <v>-1</v>
      </c>
      <c r="AB146" s="122">
        <v>11.95</v>
      </c>
      <c r="BT146" s="90" t="s">
        <v>1264</v>
      </c>
      <c r="BU146" s="90">
        <f t="shared" si="0"/>
        <v>1423</v>
      </c>
      <c r="BV146" s="90">
        <v>24</v>
      </c>
      <c r="BW146" s="68"/>
      <c r="BX146" s="90"/>
      <c r="BY146" s="90"/>
      <c r="BZ146" s="90"/>
      <c r="CA146" s="90">
        <v>10.63</v>
      </c>
      <c r="CB146" s="90">
        <v>2</v>
      </c>
      <c r="CC146" s="90">
        <v>10</v>
      </c>
      <c r="CD146" s="90"/>
      <c r="CE146" s="90"/>
      <c r="CF146" s="90" t="s">
        <v>1552</v>
      </c>
      <c r="CG146" s="90">
        <v>100</v>
      </c>
      <c r="CH146" s="90">
        <v>290</v>
      </c>
      <c r="CI146" s="68"/>
      <c r="CJ146" s="68"/>
      <c r="CK146" s="125">
        <v>937.50000000000011</v>
      </c>
    </row>
    <row r="147" spans="1:89" ht="15" thickBot="1" x14ac:dyDescent="0.35">
      <c r="A147" s="115" t="s">
        <v>2858</v>
      </c>
      <c r="C147" t="s">
        <v>3278</v>
      </c>
      <c r="E147" s="90">
        <v>3.78</v>
      </c>
      <c r="F147" s="114" t="s">
        <v>2856</v>
      </c>
      <c r="G147" t="s">
        <v>578</v>
      </c>
      <c r="H147">
        <v>-1</v>
      </c>
      <c r="J147" s="73" t="s">
        <v>3417</v>
      </c>
      <c r="M147" t="b">
        <v>1</v>
      </c>
      <c r="N147" t="b">
        <v>0</v>
      </c>
      <c r="O147" t="b">
        <v>0</v>
      </c>
      <c r="P147" t="b">
        <v>0</v>
      </c>
      <c r="Q147" t="s">
        <v>3593</v>
      </c>
      <c r="R147">
        <v>-1</v>
      </c>
      <c r="AB147" s="122">
        <v>10.69</v>
      </c>
      <c r="BT147" s="90" t="s">
        <v>1264</v>
      </c>
      <c r="BU147" s="90">
        <f t="shared" si="0"/>
        <v>1423</v>
      </c>
      <c r="BV147" s="90">
        <v>24</v>
      </c>
      <c r="BW147" s="68"/>
      <c r="BX147" s="90"/>
      <c r="BY147" s="90"/>
      <c r="BZ147" s="90"/>
      <c r="CA147" s="90">
        <v>11.56</v>
      </c>
      <c r="CB147" s="90">
        <v>2</v>
      </c>
      <c r="CC147" s="90">
        <v>10</v>
      </c>
      <c r="CD147" s="90"/>
      <c r="CE147" s="90"/>
      <c r="CF147" s="90" t="s">
        <v>1552</v>
      </c>
      <c r="CG147" s="90">
        <v>100</v>
      </c>
      <c r="CH147" s="90">
        <v>290</v>
      </c>
      <c r="CI147" s="68"/>
      <c r="CJ147" s="68"/>
      <c r="CK147" s="125">
        <v>803.57142857142867</v>
      </c>
    </row>
    <row r="148" spans="1:89" ht="15" thickBot="1" x14ac:dyDescent="0.35">
      <c r="A148" s="115" t="s">
        <v>2859</v>
      </c>
      <c r="C148" t="s">
        <v>3278</v>
      </c>
      <c r="E148" s="90">
        <v>3.87</v>
      </c>
      <c r="F148" s="114" t="s">
        <v>2856</v>
      </c>
      <c r="G148" t="s">
        <v>578</v>
      </c>
      <c r="H148">
        <v>-1</v>
      </c>
      <c r="J148" s="73" t="s">
        <v>3419</v>
      </c>
      <c r="M148" t="b">
        <v>1</v>
      </c>
      <c r="N148" t="b">
        <v>0</v>
      </c>
      <c r="O148" t="b">
        <v>0</v>
      </c>
      <c r="P148" t="b">
        <v>0</v>
      </c>
      <c r="Q148" t="s">
        <v>3594</v>
      </c>
      <c r="R148">
        <v>-1</v>
      </c>
      <c r="AB148" s="122">
        <v>10.56</v>
      </c>
      <c r="BT148" s="90" t="s">
        <v>1264</v>
      </c>
      <c r="BU148" s="90">
        <f t="shared" si="0"/>
        <v>1423</v>
      </c>
      <c r="BV148" s="90">
        <v>24</v>
      </c>
      <c r="BW148" s="68"/>
      <c r="BX148" s="90"/>
      <c r="BY148" s="90"/>
      <c r="BZ148" s="90"/>
      <c r="CA148" s="90">
        <v>12.42</v>
      </c>
      <c r="CB148" s="90">
        <v>2</v>
      </c>
      <c r="CC148" s="90">
        <v>10</v>
      </c>
      <c r="CD148" s="90"/>
      <c r="CE148" s="90"/>
      <c r="CF148" s="90" t="s">
        <v>1552</v>
      </c>
      <c r="CG148" s="90">
        <v>100</v>
      </c>
      <c r="CH148" s="90">
        <v>290</v>
      </c>
      <c r="CI148" s="68"/>
      <c r="CJ148" s="68"/>
      <c r="CK148" s="125">
        <v>758.92857142857156</v>
      </c>
    </row>
    <row r="149" spans="1:89" ht="15" thickBot="1" x14ac:dyDescent="0.35">
      <c r="A149" s="115" t="s">
        <v>136</v>
      </c>
      <c r="C149" t="s">
        <v>760</v>
      </c>
      <c r="E149" s="90">
        <v>4.25</v>
      </c>
      <c r="F149" s="114" t="s">
        <v>2856</v>
      </c>
      <c r="G149" t="s">
        <v>578</v>
      </c>
      <c r="H149">
        <v>-1</v>
      </c>
      <c r="J149" s="73" t="s">
        <v>3418</v>
      </c>
      <c r="M149" t="b">
        <v>1</v>
      </c>
      <c r="N149" t="b">
        <v>0</v>
      </c>
      <c r="O149" t="b">
        <v>0</v>
      </c>
      <c r="P149" t="b">
        <v>0</v>
      </c>
      <c r="Q149" t="s">
        <v>3595</v>
      </c>
      <c r="R149">
        <v>-1</v>
      </c>
      <c r="AB149" s="122">
        <v>9.67</v>
      </c>
      <c r="BT149" s="90" t="s">
        <v>1264</v>
      </c>
      <c r="BU149" s="90">
        <f t="shared" si="0"/>
        <v>1423</v>
      </c>
      <c r="BV149" s="90">
        <v>24</v>
      </c>
      <c r="BW149" s="68"/>
      <c r="BX149" s="90"/>
      <c r="BY149" s="90"/>
      <c r="BZ149" s="90"/>
      <c r="CA149" s="90">
        <v>13.35</v>
      </c>
      <c r="CB149" s="90">
        <v>2</v>
      </c>
      <c r="CC149" s="90">
        <v>10</v>
      </c>
      <c r="CD149" s="90"/>
      <c r="CE149" s="90"/>
      <c r="CF149" s="90" t="s">
        <v>1552</v>
      </c>
      <c r="CG149" s="90">
        <v>100</v>
      </c>
      <c r="CH149" s="90">
        <v>290</v>
      </c>
      <c r="CI149" s="68"/>
      <c r="CJ149" s="68"/>
      <c r="CK149" s="125">
        <v>267.85714285714289</v>
      </c>
    </row>
    <row r="150" spans="1:89" ht="15" thickBot="1" x14ac:dyDescent="0.35">
      <c r="A150" s="115" t="s">
        <v>8</v>
      </c>
      <c r="C150" t="s">
        <v>694</v>
      </c>
      <c r="E150" s="90"/>
      <c r="F150" s="114" t="s">
        <v>2856</v>
      </c>
      <c r="G150" t="s">
        <v>530</v>
      </c>
      <c r="H150" t="s">
        <v>612</v>
      </c>
      <c r="M150" t="b">
        <v>1</v>
      </c>
      <c r="N150" t="b">
        <v>1</v>
      </c>
      <c r="O150" t="b">
        <v>0</v>
      </c>
      <c r="P150" t="b">
        <v>0</v>
      </c>
      <c r="Q150" t="s">
        <v>530</v>
      </c>
      <c r="R150">
        <v>1010942</v>
      </c>
      <c r="AB150" s="122">
        <v>0</v>
      </c>
      <c r="BT150" s="90" t="s">
        <v>1264</v>
      </c>
      <c r="BU150" s="90">
        <f t="shared" si="0"/>
        <v>1423</v>
      </c>
      <c r="BV150" s="90">
        <v>24</v>
      </c>
      <c r="BW150" s="68"/>
      <c r="BX150" s="90"/>
      <c r="BY150" s="90"/>
      <c r="BZ150" s="90"/>
      <c r="CA150" s="90"/>
      <c r="CB150" s="90">
        <v>2</v>
      </c>
      <c r="CC150" s="90">
        <v>10</v>
      </c>
      <c r="CD150" s="90"/>
      <c r="CE150" s="90"/>
      <c r="CF150" s="90" t="s">
        <v>1552</v>
      </c>
      <c r="CG150" s="90">
        <v>100</v>
      </c>
      <c r="CH150" s="90">
        <v>290</v>
      </c>
      <c r="CI150" s="68"/>
      <c r="CJ150" s="68"/>
      <c r="CK150" s="125">
        <v>4508.9285714285716</v>
      </c>
    </row>
    <row r="151" spans="1:89" ht="15" thickBot="1" x14ac:dyDescent="0.35">
      <c r="A151" s="115" t="s">
        <v>153</v>
      </c>
      <c r="C151" t="s">
        <v>775</v>
      </c>
      <c r="E151" s="90">
        <v>3.42</v>
      </c>
      <c r="F151" s="114" t="s">
        <v>2856</v>
      </c>
      <c r="G151" t="s">
        <v>578</v>
      </c>
      <c r="H151">
        <v>-1</v>
      </c>
      <c r="M151" t="b">
        <v>1</v>
      </c>
      <c r="N151" t="b">
        <v>0</v>
      </c>
      <c r="O151" t="b">
        <v>0</v>
      </c>
      <c r="P151" t="b">
        <v>0</v>
      </c>
      <c r="Q151" t="s">
        <v>578</v>
      </c>
      <c r="R151">
        <v>-1</v>
      </c>
      <c r="AB151" s="122">
        <v>10.77</v>
      </c>
      <c r="BT151" s="90" t="s">
        <v>1264</v>
      </c>
      <c r="BU151" s="90">
        <f t="shared" si="0"/>
        <v>1423</v>
      </c>
      <c r="BV151" s="90">
        <v>24</v>
      </c>
      <c r="BW151" s="68"/>
      <c r="BX151" s="90" t="s">
        <v>1533</v>
      </c>
      <c r="BY151" s="90" t="s">
        <v>863</v>
      </c>
      <c r="BZ151" s="90">
        <v>1.42</v>
      </c>
      <c r="CA151" s="90">
        <v>10.84</v>
      </c>
      <c r="CB151" s="90">
        <v>2</v>
      </c>
      <c r="CC151" s="90">
        <v>10</v>
      </c>
      <c r="CD151" s="90"/>
      <c r="CE151" s="90"/>
      <c r="CF151" s="90" t="s">
        <v>1552</v>
      </c>
      <c r="CG151" s="90">
        <v>100</v>
      </c>
      <c r="CH151" s="90">
        <v>290</v>
      </c>
      <c r="CI151" s="68"/>
      <c r="CJ151" s="68"/>
      <c r="CK151" s="125">
        <v>1517.8571428571431</v>
      </c>
    </row>
    <row r="152" spans="1:89" ht="15" thickBot="1" x14ac:dyDescent="0.35">
      <c r="A152" s="115" t="s">
        <v>2857</v>
      </c>
      <c r="C152" t="s">
        <v>3278</v>
      </c>
      <c r="E152" s="90">
        <v>3.6</v>
      </c>
      <c r="F152" s="114" t="s">
        <v>2856</v>
      </c>
      <c r="G152" t="s">
        <v>578</v>
      </c>
      <c r="H152">
        <v>-1</v>
      </c>
      <c r="J152" s="73" t="s">
        <v>3420</v>
      </c>
      <c r="M152" t="b">
        <v>1</v>
      </c>
      <c r="N152" t="b">
        <v>0</v>
      </c>
      <c r="O152" t="b">
        <v>0</v>
      </c>
      <c r="P152" t="b">
        <v>0</v>
      </c>
      <c r="Q152" t="s">
        <v>3596</v>
      </c>
      <c r="R152">
        <v>-1</v>
      </c>
      <c r="AB152" s="122">
        <v>10.55</v>
      </c>
      <c r="BT152" s="90" t="s">
        <v>1264</v>
      </c>
      <c r="BU152" s="90">
        <f t="shared" si="0"/>
        <v>1423</v>
      </c>
      <c r="BV152" s="90">
        <v>24</v>
      </c>
      <c r="BW152" s="68"/>
      <c r="BX152" s="90" t="s">
        <v>1533</v>
      </c>
      <c r="BY152" s="90" t="s">
        <v>863</v>
      </c>
      <c r="BZ152" s="90">
        <v>1.03</v>
      </c>
      <c r="CA152" s="90">
        <v>11.4</v>
      </c>
      <c r="CB152" s="90">
        <v>2</v>
      </c>
      <c r="CC152" s="90">
        <v>10</v>
      </c>
      <c r="CD152" s="90"/>
      <c r="CE152" s="90"/>
      <c r="CF152" s="90" t="s">
        <v>1552</v>
      </c>
      <c r="CG152" s="90">
        <v>100</v>
      </c>
      <c r="CH152" s="90">
        <v>290</v>
      </c>
      <c r="CI152" s="68"/>
      <c r="CJ152" s="68"/>
      <c r="CK152" s="125">
        <v>6071.4285714285725</v>
      </c>
    </row>
    <row r="153" spans="1:89" ht="15" thickBot="1" x14ac:dyDescent="0.35">
      <c r="A153" s="115" t="s">
        <v>2858</v>
      </c>
      <c r="C153" t="s">
        <v>3278</v>
      </c>
      <c r="E153" s="90">
        <v>3.72</v>
      </c>
      <c r="F153" s="114" t="s">
        <v>2856</v>
      </c>
      <c r="G153" t="s">
        <v>578</v>
      </c>
      <c r="H153">
        <v>-1</v>
      </c>
      <c r="J153" s="73" t="s">
        <v>3417</v>
      </c>
      <c r="M153" t="b">
        <v>1</v>
      </c>
      <c r="N153" t="b">
        <v>0</v>
      </c>
      <c r="O153" t="b">
        <v>0</v>
      </c>
      <c r="P153" t="b">
        <v>0</v>
      </c>
      <c r="Q153" t="s">
        <v>3597</v>
      </c>
      <c r="R153">
        <v>-1</v>
      </c>
      <c r="AB153" s="122">
        <v>10.56</v>
      </c>
      <c r="BT153" s="90" t="s">
        <v>1264</v>
      </c>
      <c r="BU153" s="90">
        <f t="shared" si="0"/>
        <v>1423</v>
      </c>
      <c r="BV153" s="90">
        <v>24</v>
      </c>
      <c r="BW153" s="68"/>
      <c r="BX153" s="90" t="s">
        <v>1533</v>
      </c>
      <c r="BY153" s="90" t="s">
        <v>863</v>
      </c>
      <c r="BZ153" s="90">
        <v>1.1200000000000001</v>
      </c>
      <c r="CA153" s="90">
        <v>11.13</v>
      </c>
      <c r="CB153" s="90">
        <v>2</v>
      </c>
      <c r="CC153" s="90">
        <v>10</v>
      </c>
      <c r="CD153" s="90"/>
      <c r="CE153" s="90"/>
      <c r="CF153" s="90" t="s">
        <v>1552</v>
      </c>
      <c r="CG153" s="90">
        <v>100</v>
      </c>
      <c r="CH153" s="90">
        <v>290</v>
      </c>
      <c r="CI153" s="68"/>
      <c r="CJ153" s="68"/>
      <c r="CK153" s="125">
        <v>2232.1428571428573</v>
      </c>
    </row>
    <row r="154" spans="1:89" ht="15" thickBot="1" x14ac:dyDescent="0.35">
      <c r="A154" s="115" t="s">
        <v>2859</v>
      </c>
      <c r="C154" t="s">
        <v>3278</v>
      </c>
      <c r="E154" s="90">
        <v>3.81</v>
      </c>
      <c r="F154" s="114" t="s">
        <v>2856</v>
      </c>
      <c r="G154" t="s">
        <v>578</v>
      </c>
      <c r="H154">
        <v>-1</v>
      </c>
      <c r="J154" s="73" t="s">
        <v>3419</v>
      </c>
      <c r="M154" t="b">
        <v>1</v>
      </c>
      <c r="N154" t="b">
        <v>0</v>
      </c>
      <c r="O154" t="b">
        <v>0</v>
      </c>
      <c r="P154" t="b">
        <v>0</v>
      </c>
      <c r="Q154" t="s">
        <v>3598</v>
      </c>
      <c r="R154">
        <v>-1</v>
      </c>
      <c r="AB154" s="122">
        <v>10.53</v>
      </c>
      <c r="BT154" s="90" t="s">
        <v>1264</v>
      </c>
      <c r="BU154" s="90">
        <f t="shared" si="0"/>
        <v>1423</v>
      </c>
      <c r="BV154" s="90">
        <v>24</v>
      </c>
      <c r="BW154" s="68"/>
      <c r="BX154" s="90" t="s">
        <v>1533</v>
      </c>
      <c r="BY154" s="90" t="s">
        <v>863</v>
      </c>
      <c r="BZ154" s="90">
        <v>1.18</v>
      </c>
      <c r="CA154" s="90">
        <v>11.28</v>
      </c>
      <c r="CB154" s="90">
        <v>2</v>
      </c>
      <c r="CC154" s="90">
        <v>10</v>
      </c>
      <c r="CD154" s="90"/>
      <c r="CE154" s="90"/>
      <c r="CF154" s="90" t="s">
        <v>1552</v>
      </c>
      <c r="CG154" s="90">
        <v>100</v>
      </c>
      <c r="CH154" s="90">
        <v>290</v>
      </c>
      <c r="CI154" s="68"/>
      <c r="CJ154" s="68"/>
      <c r="CK154" s="125">
        <v>1785.7142857142858</v>
      </c>
    </row>
    <row r="155" spans="1:89" ht="15" thickBot="1" x14ac:dyDescent="0.35">
      <c r="A155" s="115" t="s">
        <v>136</v>
      </c>
      <c r="C155" t="s">
        <v>760</v>
      </c>
      <c r="E155" s="90">
        <v>3.92</v>
      </c>
      <c r="F155" s="114" t="s">
        <v>2856</v>
      </c>
      <c r="G155" t="s">
        <v>578</v>
      </c>
      <c r="H155">
        <v>-1</v>
      </c>
      <c r="J155" s="73" t="s">
        <v>3418</v>
      </c>
      <c r="M155" t="b">
        <v>1</v>
      </c>
      <c r="N155" t="b">
        <v>0</v>
      </c>
      <c r="O155" t="b">
        <v>0</v>
      </c>
      <c r="P155" t="b">
        <v>0</v>
      </c>
      <c r="Q155" t="s">
        <v>3599</v>
      </c>
      <c r="R155">
        <v>-1</v>
      </c>
      <c r="AB155" s="122">
        <v>9.7899999999999991</v>
      </c>
      <c r="BT155" s="90" t="s">
        <v>1264</v>
      </c>
      <c r="BU155" s="90">
        <f t="shared" si="0"/>
        <v>1423</v>
      </c>
      <c r="BV155" s="90">
        <v>24</v>
      </c>
      <c r="BW155" s="68"/>
      <c r="BX155" s="90" t="s">
        <v>1533</v>
      </c>
      <c r="BY155" s="90" t="s">
        <v>863</v>
      </c>
      <c r="BZ155" s="90">
        <v>1.35</v>
      </c>
      <c r="CA155" s="90">
        <v>12.01</v>
      </c>
      <c r="CB155" s="90">
        <v>2</v>
      </c>
      <c r="CC155" s="90">
        <v>10</v>
      </c>
      <c r="CD155" s="90"/>
      <c r="CE155" s="90"/>
      <c r="CF155" s="90" t="s">
        <v>1552</v>
      </c>
      <c r="CG155" s="90">
        <v>100</v>
      </c>
      <c r="CH155" s="90">
        <v>290</v>
      </c>
      <c r="CI155" s="68"/>
      <c r="CJ155" s="68"/>
      <c r="CK155" s="125">
        <v>758.92857142857156</v>
      </c>
    </row>
    <row r="156" spans="1:89" ht="15" thickBot="1" x14ac:dyDescent="0.35">
      <c r="A156" s="115" t="s">
        <v>2862</v>
      </c>
      <c r="C156" t="s">
        <v>3279</v>
      </c>
      <c r="E156" s="90">
        <v>3.6</v>
      </c>
      <c r="F156" s="114" t="s">
        <v>2861</v>
      </c>
      <c r="G156" t="s">
        <v>3154</v>
      </c>
      <c r="H156">
        <v>-1</v>
      </c>
      <c r="I156" t="s">
        <v>3421</v>
      </c>
      <c r="M156" t="b">
        <v>0</v>
      </c>
      <c r="N156" t="b">
        <v>0</v>
      </c>
      <c r="O156" t="b">
        <v>0</v>
      </c>
      <c r="P156" t="b">
        <v>1</v>
      </c>
      <c r="Q156" t="s">
        <v>3154</v>
      </c>
      <c r="R156">
        <v>-1</v>
      </c>
      <c r="S156" t="s">
        <v>3421</v>
      </c>
      <c r="AB156" s="122"/>
      <c r="BT156" s="90" t="s">
        <v>1336</v>
      </c>
      <c r="BU156" s="90">
        <v>273</v>
      </c>
      <c r="BV156" s="90">
        <v>3</v>
      </c>
      <c r="BW156" s="68"/>
      <c r="BX156" s="90"/>
      <c r="BY156" s="90"/>
      <c r="BZ156" s="90"/>
      <c r="CA156" s="90"/>
      <c r="CB156" s="90">
        <v>0.5</v>
      </c>
      <c r="CC156" s="90">
        <v>0</v>
      </c>
      <c r="CD156" s="90" t="s">
        <v>2866</v>
      </c>
      <c r="CE156" s="90"/>
      <c r="CF156" s="90" t="s">
        <v>1534</v>
      </c>
      <c r="CG156" s="90">
        <v>125</v>
      </c>
      <c r="CH156" s="90">
        <v>400</v>
      </c>
      <c r="CI156" s="68"/>
      <c r="CJ156" s="68"/>
      <c r="CK156" s="125">
        <v>0.92</v>
      </c>
    </row>
    <row r="157" spans="1:89" ht="15" thickBot="1" x14ac:dyDescent="0.35">
      <c r="A157" s="115" t="s">
        <v>2862</v>
      </c>
      <c r="C157" t="s">
        <v>3279</v>
      </c>
      <c r="E157" s="90">
        <v>2.69</v>
      </c>
      <c r="F157" s="114" t="s">
        <v>2861</v>
      </c>
      <c r="G157" t="s">
        <v>3154</v>
      </c>
      <c r="H157">
        <v>-1</v>
      </c>
      <c r="I157" t="s">
        <v>3421</v>
      </c>
      <c r="M157" t="b">
        <v>0</v>
      </c>
      <c r="N157" t="b">
        <v>0</v>
      </c>
      <c r="O157" t="b">
        <v>0</v>
      </c>
      <c r="P157" t="b">
        <v>1</v>
      </c>
      <c r="Q157" t="s">
        <v>3154</v>
      </c>
      <c r="R157">
        <v>-1</v>
      </c>
      <c r="S157" t="s">
        <v>3421</v>
      </c>
      <c r="AB157" s="122"/>
      <c r="BT157" s="90" t="s">
        <v>1336</v>
      </c>
      <c r="BU157" s="90">
        <v>573</v>
      </c>
      <c r="BV157" s="90">
        <v>3</v>
      </c>
      <c r="BW157" s="68"/>
      <c r="BX157" s="90"/>
      <c r="BY157" s="90"/>
      <c r="BZ157" s="90"/>
      <c r="CA157" s="90"/>
      <c r="CB157" s="90">
        <v>0.5</v>
      </c>
      <c r="CC157" s="90">
        <v>0</v>
      </c>
      <c r="CD157" s="90" t="s">
        <v>2866</v>
      </c>
      <c r="CE157" s="90"/>
      <c r="CF157" s="90" t="s">
        <v>1534</v>
      </c>
      <c r="CG157" s="90">
        <v>125</v>
      </c>
      <c r="CH157" s="90">
        <v>400</v>
      </c>
      <c r="CI157" s="68"/>
      <c r="CJ157" s="68"/>
      <c r="CK157" s="125">
        <v>439</v>
      </c>
    </row>
    <row r="158" spans="1:89" ht="15" thickBot="1" x14ac:dyDescent="0.35">
      <c r="A158" s="115" t="s">
        <v>2862</v>
      </c>
      <c r="C158" t="s">
        <v>3279</v>
      </c>
      <c r="E158" s="90">
        <v>2.72</v>
      </c>
      <c r="F158" s="114" t="s">
        <v>2861</v>
      </c>
      <c r="G158" t="s">
        <v>3154</v>
      </c>
      <c r="H158">
        <v>-1</v>
      </c>
      <c r="I158" t="s">
        <v>3421</v>
      </c>
      <c r="M158" t="b">
        <v>0</v>
      </c>
      <c r="N158" t="b">
        <v>0</v>
      </c>
      <c r="O158" t="b">
        <v>0</v>
      </c>
      <c r="P158" t="b">
        <v>1</v>
      </c>
      <c r="Q158" t="s">
        <v>3154</v>
      </c>
      <c r="R158">
        <v>-1</v>
      </c>
      <c r="S158" t="s">
        <v>3421</v>
      </c>
      <c r="AB158" s="122"/>
      <c r="BT158" s="90" t="s">
        <v>1336</v>
      </c>
      <c r="BU158" s="90">
        <v>673</v>
      </c>
      <c r="BV158" s="90">
        <v>3</v>
      </c>
      <c r="BW158" s="68"/>
      <c r="BX158" s="90"/>
      <c r="BY158" s="90"/>
      <c r="BZ158" s="90"/>
      <c r="CA158" s="90"/>
      <c r="CB158" s="90">
        <v>0.5</v>
      </c>
      <c r="CC158" s="90">
        <v>0</v>
      </c>
      <c r="CD158" s="90" t="s">
        <v>2866</v>
      </c>
      <c r="CE158" s="90"/>
      <c r="CF158" s="90" t="s">
        <v>1534</v>
      </c>
      <c r="CG158" s="90">
        <v>125</v>
      </c>
      <c r="CH158" s="90">
        <v>400</v>
      </c>
      <c r="CI158" s="68"/>
      <c r="CJ158" s="68"/>
      <c r="CK158" s="125">
        <v>574</v>
      </c>
    </row>
    <row r="159" spans="1:89" ht="15" thickBot="1" x14ac:dyDescent="0.35">
      <c r="A159" s="115" t="s">
        <v>2862</v>
      </c>
      <c r="C159" t="s">
        <v>3279</v>
      </c>
      <c r="E159" s="90">
        <v>2.95</v>
      </c>
      <c r="F159" s="114" t="s">
        <v>2861</v>
      </c>
      <c r="G159" t="s">
        <v>3154</v>
      </c>
      <c r="H159">
        <v>-1</v>
      </c>
      <c r="I159" t="s">
        <v>3421</v>
      </c>
      <c r="M159" t="b">
        <v>0</v>
      </c>
      <c r="N159" t="b">
        <v>0</v>
      </c>
      <c r="O159" t="b">
        <v>0</v>
      </c>
      <c r="P159" t="b">
        <v>1</v>
      </c>
      <c r="Q159" t="s">
        <v>3154</v>
      </c>
      <c r="R159">
        <v>-1</v>
      </c>
      <c r="S159" t="s">
        <v>3421</v>
      </c>
      <c r="AB159" s="122"/>
      <c r="BT159" s="90" t="s">
        <v>1336</v>
      </c>
      <c r="BU159" s="90">
        <v>773</v>
      </c>
      <c r="BV159" s="90">
        <v>3</v>
      </c>
      <c r="BW159" s="68"/>
      <c r="BX159" s="90"/>
      <c r="BY159" s="90"/>
      <c r="BZ159" s="90"/>
      <c r="CA159" s="90"/>
      <c r="CB159" s="90">
        <v>0.5</v>
      </c>
      <c r="CC159" s="90">
        <v>0</v>
      </c>
      <c r="CD159" s="90" t="s">
        <v>2866</v>
      </c>
      <c r="CE159" s="90"/>
      <c r="CF159" s="90" t="s">
        <v>1534</v>
      </c>
      <c r="CG159" s="90">
        <v>125</v>
      </c>
      <c r="CH159" s="90">
        <v>400</v>
      </c>
      <c r="CI159" s="68"/>
      <c r="CJ159" s="68"/>
      <c r="CK159" s="125">
        <v>359</v>
      </c>
    </row>
    <row r="160" spans="1:89" ht="15" thickBot="1" x14ac:dyDescent="0.35">
      <c r="A160" s="115" t="s">
        <v>2863</v>
      </c>
      <c r="C160" t="s">
        <v>3279</v>
      </c>
      <c r="E160" s="90">
        <v>3.7</v>
      </c>
      <c r="F160" s="114" t="s">
        <v>2861</v>
      </c>
      <c r="G160" t="s">
        <v>3154</v>
      </c>
      <c r="H160">
        <v>-1</v>
      </c>
      <c r="I160" t="s">
        <v>3421</v>
      </c>
      <c r="M160" t="b">
        <v>0</v>
      </c>
      <c r="N160" t="b">
        <v>0</v>
      </c>
      <c r="O160" t="b">
        <v>0</v>
      </c>
      <c r="P160" t="b">
        <v>1</v>
      </c>
      <c r="Q160" t="s">
        <v>3154</v>
      </c>
      <c r="R160">
        <v>-1</v>
      </c>
      <c r="S160" t="s">
        <v>3421</v>
      </c>
      <c r="AB160" s="122"/>
      <c r="BT160" s="90" t="s">
        <v>1336</v>
      </c>
      <c r="BU160" s="90">
        <v>273</v>
      </c>
      <c r="BV160" s="90">
        <v>3</v>
      </c>
      <c r="BW160" s="68"/>
      <c r="BX160" s="90"/>
      <c r="BY160" s="90"/>
      <c r="BZ160" s="90"/>
      <c r="CA160" s="90"/>
      <c r="CB160" s="90">
        <v>0.5</v>
      </c>
      <c r="CC160" s="90">
        <v>0</v>
      </c>
      <c r="CD160" s="90" t="s">
        <v>2866</v>
      </c>
      <c r="CE160" s="90"/>
      <c r="CF160" s="90" t="s">
        <v>1534</v>
      </c>
      <c r="CG160" s="90">
        <v>125</v>
      </c>
      <c r="CH160" s="90">
        <v>400</v>
      </c>
      <c r="CI160" s="68"/>
      <c r="CJ160" s="68"/>
      <c r="CK160" s="125">
        <v>5.74</v>
      </c>
    </row>
    <row r="161" spans="1:89" ht="15" thickBot="1" x14ac:dyDescent="0.35">
      <c r="A161" s="115" t="s">
        <v>2863</v>
      </c>
      <c r="C161" t="s">
        <v>3279</v>
      </c>
      <c r="E161" s="90">
        <v>2.8</v>
      </c>
      <c r="F161" s="114" t="s">
        <v>2861</v>
      </c>
      <c r="G161" t="s">
        <v>3154</v>
      </c>
      <c r="H161">
        <v>-1</v>
      </c>
      <c r="I161" t="s">
        <v>3421</v>
      </c>
      <c r="M161" t="b">
        <v>0</v>
      </c>
      <c r="N161" t="b">
        <v>0</v>
      </c>
      <c r="O161" t="b">
        <v>0</v>
      </c>
      <c r="P161" t="b">
        <v>1</v>
      </c>
      <c r="Q161" t="s">
        <v>3154</v>
      </c>
      <c r="R161">
        <v>-1</v>
      </c>
      <c r="S161" t="s">
        <v>3421</v>
      </c>
      <c r="AB161" s="122"/>
      <c r="BT161" s="90" t="s">
        <v>1336</v>
      </c>
      <c r="BU161" s="90">
        <v>573</v>
      </c>
      <c r="BV161" s="90">
        <v>3</v>
      </c>
      <c r="BW161" s="68"/>
      <c r="BX161" s="90"/>
      <c r="BY161" s="90"/>
      <c r="BZ161" s="90"/>
      <c r="CA161" s="90"/>
      <c r="CB161" s="90">
        <v>0.5</v>
      </c>
      <c r="CC161" s="90">
        <v>0</v>
      </c>
      <c r="CD161" s="90" t="s">
        <v>2866</v>
      </c>
      <c r="CE161" s="90"/>
      <c r="CF161" s="90" t="s">
        <v>1534</v>
      </c>
      <c r="CG161" s="90">
        <v>125</v>
      </c>
      <c r="CH161" s="90">
        <v>400</v>
      </c>
      <c r="CI161" s="68"/>
      <c r="CJ161" s="68"/>
      <c r="CK161" s="125">
        <v>582</v>
      </c>
    </row>
    <row r="162" spans="1:89" ht="15" thickBot="1" x14ac:dyDescent="0.35">
      <c r="A162" s="115" t="s">
        <v>2864</v>
      </c>
      <c r="C162" t="s">
        <v>3279</v>
      </c>
      <c r="E162" s="90">
        <v>3.6</v>
      </c>
      <c r="F162" s="114" t="s">
        <v>2861</v>
      </c>
      <c r="G162" t="s">
        <v>3154</v>
      </c>
      <c r="H162">
        <v>-1</v>
      </c>
      <c r="I162" t="s">
        <v>3421</v>
      </c>
      <c r="M162" t="b">
        <v>0</v>
      </c>
      <c r="N162" t="b">
        <v>0</v>
      </c>
      <c r="O162" t="b">
        <v>1</v>
      </c>
      <c r="P162" t="b">
        <v>0</v>
      </c>
      <c r="Q162" t="s">
        <v>3154</v>
      </c>
      <c r="R162">
        <v>-1</v>
      </c>
      <c r="S162" t="s">
        <v>3421</v>
      </c>
      <c r="AB162" s="122"/>
      <c r="BT162" s="90" t="s">
        <v>1336</v>
      </c>
      <c r="BU162" s="90">
        <v>273</v>
      </c>
      <c r="BV162" s="90">
        <v>3</v>
      </c>
      <c r="BW162" s="68"/>
      <c r="BX162" s="90"/>
      <c r="BY162" s="90"/>
      <c r="BZ162" s="90"/>
      <c r="CA162" s="90"/>
      <c r="CB162" s="90">
        <v>0.5</v>
      </c>
      <c r="CC162" s="90">
        <v>0</v>
      </c>
      <c r="CD162" s="90" t="s">
        <v>2866</v>
      </c>
      <c r="CE162" s="90"/>
      <c r="CF162" s="90" t="s">
        <v>1534</v>
      </c>
      <c r="CG162" s="90">
        <v>125</v>
      </c>
      <c r="CH162" s="90">
        <v>400</v>
      </c>
      <c r="CI162" s="68"/>
      <c r="CJ162" s="68"/>
      <c r="CK162" s="125">
        <v>0.23</v>
      </c>
    </row>
    <row r="163" spans="1:89" ht="15" thickBot="1" x14ac:dyDescent="0.35">
      <c r="A163" s="115" t="s">
        <v>2864</v>
      </c>
      <c r="C163" t="s">
        <v>3279</v>
      </c>
      <c r="E163" s="90">
        <v>2.5099999999999998</v>
      </c>
      <c r="F163" s="114" t="s">
        <v>2861</v>
      </c>
      <c r="G163" t="s">
        <v>3154</v>
      </c>
      <c r="H163">
        <v>-1</v>
      </c>
      <c r="I163" t="s">
        <v>3421</v>
      </c>
      <c r="M163" t="b">
        <v>0</v>
      </c>
      <c r="N163" t="b">
        <v>0</v>
      </c>
      <c r="O163" t="b">
        <v>1</v>
      </c>
      <c r="P163" t="b">
        <v>0</v>
      </c>
      <c r="Q163" t="s">
        <v>3154</v>
      </c>
      <c r="R163">
        <v>-1</v>
      </c>
      <c r="S163" t="s">
        <v>3421</v>
      </c>
      <c r="AB163" s="122"/>
      <c r="BT163" s="90" t="s">
        <v>1336</v>
      </c>
      <c r="BU163" s="90">
        <v>473</v>
      </c>
      <c r="BV163" s="90">
        <v>3</v>
      </c>
      <c r="BW163" s="68"/>
      <c r="BX163" s="90"/>
      <c r="BY163" s="90"/>
      <c r="BZ163" s="90"/>
      <c r="CA163" s="90"/>
      <c r="CB163" s="90">
        <v>0.5</v>
      </c>
      <c r="CC163" s="90">
        <v>0</v>
      </c>
      <c r="CD163" s="90" t="s">
        <v>2866</v>
      </c>
      <c r="CE163" s="90"/>
      <c r="CF163" s="90" t="s">
        <v>1534</v>
      </c>
      <c r="CG163" s="90">
        <v>125</v>
      </c>
      <c r="CH163" s="90">
        <v>400</v>
      </c>
      <c r="CI163" s="68"/>
      <c r="CJ163" s="68"/>
      <c r="CK163" s="125">
        <v>1169</v>
      </c>
    </row>
    <row r="164" spans="1:89" ht="15" thickBot="1" x14ac:dyDescent="0.35">
      <c r="A164" s="115" t="s">
        <v>2864</v>
      </c>
      <c r="C164" t="s">
        <v>3279</v>
      </c>
      <c r="E164" s="90">
        <v>2.54</v>
      </c>
      <c r="F164" s="114" t="s">
        <v>2861</v>
      </c>
      <c r="G164" t="s">
        <v>3154</v>
      </c>
      <c r="H164">
        <v>-1</v>
      </c>
      <c r="I164" t="s">
        <v>3421</v>
      </c>
      <c r="M164" t="b">
        <v>0</v>
      </c>
      <c r="N164" t="b">
        <v>0</v>
      </c>
      <c r="O164" t="b">
        <v>1</v>
      </c>
      <c r="P164" t="b">
        <v>0</v>
      </c>
      <c r="Q164" t="s">
        <v>3154</v>
      </c>
      <c r="R164">
        <v>-1</v>
      </c>
      <c r="S164" t="s">
        <v>3421</v>
      </c>
      <c r="AB164" s="122"/>
      <c r="BT164" s="90" t="s">
        <v>1336</v>
      </c>
      <c r="BU164" s="90">
        <v>523</v>
      </c>
      <c r="BV164" s="90">
        <v>3</v>
      </c>
      <c r="BW164" s="68"/>
      <c r="BX164" s="90"/>
      <c r="BY164" s="90"/>
      <c r="BZ164" s="90"/>
      <c r="CA164" s="90"/>
      <c r="CB164" s="90">
        <v>0.5</v>
      </c>
      <c r="CC164" s="90">
        <v>0</v>
      </c>
      <c r="CD164" s="90" t="s">
        <v>2866</v>
      </c>
      <c r="CE164" s="90"/>
      <c r="CF164" s="90" t="s">
        <v>1534</v>
      </c>
      <c r="CG164" s="90">
        <v>125</v>
      </c>
      <c r="CH164" s="90">
        <v>400</v>
      </c>
      <c r="CI164" s="68"/>
      <c r="CJ164" s="68"/>
      <c r="CK164" s="125">
        <v>1180</v>
      </c>
    </row>
    <row r="165" spans="1:89" ht="15" thickBot="1" x14ac:dyDescent="0.35">
      <c r="A165" s="115" t="s">
        <v>2864</v>
      </c>
      <c r="C165" t="s">
        <v>3279</v>
      </c>
      <c r="E165" s="90">
        <v>2.78</v>
      </c>
      <c r="F165" s="114" t="s">
        <v>2861</v>
      </c>
      <c r="G165" t="s">
        <v>3154</v>
      </c>
      <c r="H165">
        <v>-1</v>
      </c>
      <c r="I165" t="s">
        <v>3421</v>
      </c>
      <c r="M165" t="b">
        <v>0</v>
      </c>
      <c r="N165" t="b">
        <v>0</v>
      </c>
      <c r="O165" t="b">
        <v>1</v>
      </c>
      <c r="P165" t="b">
        <v>0</v>
      </c>
      <c r="Q165" t="s">
        <v>3154</v>
      </c>
      <c r="R165">
        <v>-1</v>
      </c>
      <c r="S165" t="s">
        <v>3421</v>
      </c>
      <c r="AB165" s="122"/>
      <c r="BT165" s="90" t="s">
        <v>1336</v>
      </c>
      <c r="BU165" s="90">
        <v>573</v>
      </c>
      <c r="BV165" s="90">
        <v>3</v>
      </c>
      <c r="BW165" s="68"/>
      <c r="BX165" s="90"/>
      <c r="BY165" s="90"/>
      <c r="BZ165" s="90"/>
      <c r="CA165" s="90"/>
      <c r="CB165" s="90">
        <v>0.5</v>
      </c>
      <c r="CC165" s="90">
        <v>0</v>
      </c>
      <c r="CD165" s="90" t="s">
        <v>2866</v>
      </c>
      <c r="CE165" s="90"/>
      <c r="CF165" s="90" t="s">
        <v>1534</v>
      </c>
      <c r="CG165" s="90">
        <v>125</v>
      </c>
      <c r="CH165" s="90">
        <v>400</v>
      </c>
      <c r="CI165" s="68"/>
      <c r="CJ165" s="68"/>
      <c r="CK165" s="125">
        <v>788</v>
      </c>
    </row>
    <row r="166" spans="1:89" ht="15" thickBot="1" x14ac:dyDescent="0.35">
      <c r="A166" s="115" t="s">
        <v>2865</v>
      </c>
      <c r="C166" t="s">
        <v>3279</v>
      </c>
      <c r="E166" s="90">
        <v>3.4</v>
      </c>
      <c r="F166" s="114" t="s">
        <v>2861</v>
      </c>
      <c r="G166" t="s">
        <v>3154</v>
      </c>
      <c r="H166">
        <v>-1</v>
      </c>
      <c r="I166" t="s">
        <v>3421</v>
      </c>
      <c r="M166" t="b">
        <v>0</v>
      </c>
      <c r="N166" t="b">
        <v>0</v>
      </c>
      <c r="O166" t="b">
        <v>1</v>
      </c>
      <c r="P166" t="b">
        <v>0</v>
      </c>
      <c r="Q166" t="s">
        <v>3154</v>
      </c>
      <c r="R166">
        <v>-1</v>
      </c>
      <c r="S166" t="s">
        <v>3421</v>
      </c>
      <c r="AB166" s="122"/>
      <c r="BT166" s="90" t="s">
        <v>1336</v>
      </c>
      <c r="BU166" s="90">
        <v>273</v>
      </c>
      <c r="BV166" s="90">
        <v>3</v>
      </c>
      <c r="BW166" s="68"/>
      <c r="BX166" s="90"/>
      <c r="BY166" s="90"/>
      <c r="BZ166" s="90"/>
      <c r="CA166" s="90"/>
      <c r="CB166" s="90">
        <v>0.5</v>
      </c>
      <c r="CC166" s="90">
        <v>0</v>
      </c>
      <c r="CD166" s="90" t="s">
        <v>2866</v>
      </c>
      <c r="CE166" s="90"/>
      <c r="CF166" s="90" t="s">
        <v>1534</v>
      </c>
      <c r="CG166" s="90">
        <v>125</v>
      </c>
      <c r="CH166" s="90">
        <v>400</v>
      </c>
      <c r="CI166" s="68"/>
      <c r="CJ166" s="68"/>
      <c r="CK166" s="125">
        <v>5.66</v>
      </c>
    </row>
    <row r="167" spans="1:89" ht="15" thickBot="1" x14ac:dyDescent="0.35">
      <c r="A167" s="115" t="s">
        <v>2865</v>
      </c>
      <c r="C167" t="s">
        <v>3279</v>
      </c>
      <c r="E167" s="90">
        <v>2.4700000000000002</v>
      </c>
      <c r="F167" s="114" t="s">
        <v>2861</v>
      </c>
      <c r="G167" t="s">
        <v>3154</v>
      </c>
      <c r="H167">
        <v>-1</v>
      </c>
      <c r="I167" t="s">
        <v>3421</v>
      </c>
      <c r="M167" t="b">
        <v>0</v>
      </c>
      <c r="N167" t="b">
        <v>0</v>
      </c>
      <c r="O167" t="b">
        <v>1</v>
      </c>
      <c r="P167" t="b">
        <v>0</v>
      </c>
      <c r="Q167" t="s">
        <v>3154</v>
      </c>
      <c r="R167">
        <v>-1</v>
      </c>
      <c r="S167" t="s">
        <v>3421</v>
      </c>
      <c r="AB167" s="122"/>
      <c r="BT167" s="90" t="s">
        <v>1336</v>
      </c>
      <c r="BU167" s="90">
        <v>473</v>
      </c>
      <c r="BV167" s="90">
        <v>3</v>
      </c>
      <c r="BW167" s="68"/>
      <c r="BX167" s="90"/>
      <c r="BY167" s="90"/>
      <c r="BZ167" s="90"/>
      <c r="CA167" s="90"/>
      <c r="CB167" s="90">
        <v>0.5</v>
      </c>
      <c r="CC167" s="90">
        <v>0</v>
      </c>
      <c r="CD167" s="90" t="s">
        <v>2866</v>
      </c>
      <c r="CE167" s="90"/>
      <c r="CF167" s="90" t="s">
        <v>1534</v>
      </c>
      <c r="CG167" s="90">
        <v>125</v>
      </c>
      <c r="CH167" s="90">
        <v>400</v>
      </c>
      <c r="CI167" s="68"/>
      <c r="CJ167" s="68"/>
      <c r="CK167" s="125">
        <v>1166</v>
      </c>
    </row>
    <row r="168" spans="1:89" ht="15" thickBot="1" x14ac:dyDescent="0.35">
      <c r="A168" s="115" t="s">
        <v>2865</v>
      </c>
      <c r="C168" t="s">
        <v>3279</v>
      </c>
      <c r="E168" s="90">
        <v>2.71</v>
      </c>
      <c r="F168" s="114" t="s">
        <v>2861</v>
      </c>
      <c r="G168" t="s">
        <v>3154</v>
      </c>
      <c r="H168">
        <v>-1</v>
      </c>
      <c r="I168" t="s">
        <v>3421</v>
      </c>
      <c r="M168" t="b">
        <v>0</v>
      </c>
      <c r="N168" t="b">
        <v>0</v>
      </c>
      <c r="O168" t="b">
        <v>1</v>
      </c>
      <c r="P168" t="b">
        <v>0</v>
      </c>
      <c r="Q168" t="s">
        <v>3154</v>
      </c>
      <c r="R168">
        <v>-1</v>
      </c>
      <c r="S168" t="s">
        <v>3421</v>
      </c>
      <c r="AB168" s="122"/>
      <c r="BT168" s="90" t="s">
        <v>1336</v>
      </c>
      <c r="BU168" s="90">
        <v>523</v>
      </c>
      <c r="BV168" s="90">
        <v>3</v>
      </c>
      <c r="BW168" s="68"/>
      <c r="BX168" s="90"/>
      <c r="BY168" s="90"/>
      <c r="BZ168" s="90"/>
      <c r="CA168" s="90"/>
      <c r="CB168" s="90">
        <v>0.5</v>
      </c>
      <c r="CC168" s="90">
        <v>0</v>
      </c>
      <c r="CD168" s="90" t="s">
        <v>2866</v>
      </c>
      <c r="CE168" s="90"/>
      <c r="CF168" s="90" t="s">
        <v>1534</v>
      </c>
      <c r="CG168" s="90">
        <v>125</v>
      </c>
      <c r="CH168" s="90">
        <v>400</v>
      </c>
      <c r="CI168" s="68"/>
      <c r="CJ168" s="68"/>
      <c r="CK168" s="125">
        <v>635</v>
      </c>
    </row>
    <row r="169" spans="1:89" ht="15" thickBot="1" x14ac:dyDescent="0.35">
      <c r="A169" s="115" t="s">
        <v>2865</v>
      </c>
      <c r="C169" t="s">
        <v>3279</v>
      </c>
      <c r="E169" s="90">
        <v>2.77</v>
      </c>
      <c r="F169" s="114" t="s">
        <v>2861</v>
      </c>
      <c r="G169" t="s">
        <v>3154</v>
      </c>
      <c r="H169">
        <v>-1</v>
      </c>
      <c r="I169" t="s">
        <v>3421</v>
      </c>
      <c r="M169" t="b">
        <v>0</v>
      </c>
      <c r="N169" t="b">
        <v>0</v>
      </c>
      <c r="O169" t="b">
        <v>1</v>
      </c>
      <c r="P169" t="b">
        <v>0</v>
      </c>
      <c r="Q169" t="s">
        <v>3154</v>
      </c>
      <c r="R169">
        <v>-1</v>
      </c>
      <c r="S169" t="s">
        <v>3421</v>
      </c>
      <c r="AB169" s="122"/>
      <c r="BT169" s="90" t="s">
        <v>1336</v>
      </c>
      <c r="BU169" s="90">
        <v>573</v>
      </c>
      <c r="BV169" s="90">
        <v>3</v>
      </c>
      <c r="BW169" s="68"/>
      <c r="BX169" s="90"/>
      <c r="BY169" s="90"/>
      <c r="BZ169" s="90"/>
      <c r="CA169" s="90"/>
      <c r="CB169" s="90">
        <v>0.5</v>
      </c>
      <c r="CC169" s="90">
        <v>0</v>
      </c>
      <c r="CD169" s="90" t="s">
        <v>2866</v>
      </c>
      <c r="CE169" s="90"/>
      <c r="CF169" s="90" t="s">
        <v>1534</v>
      </c>
      <c r="CG169" s="90">
        <v>125</v>
      </c>
      <c r="CH169" s="90">
        <v>400</v>
      </c>
      <c r="CI169" s="68"/>
      <c r="CJ169" s="68"/>
      <c r="CK169" s="125">
        <v>369</v>
      </c>
    </row>
    <row r="170" spans="1:89" ht="15" thickBot="1" x14ac:dyDescent="0.35">
      <c r="A170" s="90" t="s">
        <v>28</v>
      </c>
      <c r="C170" t="s">
        <v>805</v>
      </c>
      <c r="E170" s="90">
        <v>3.96</v>
      </c>
      <c r="F170" s="114" t="s">
        <v>2867</v>
      </c>
      <c r="G170" t="s">
        <v>586</v>
      </c>
      <c r="H170" t="s">
        <v>660</v>
      </c>
      <c r="M170" t="b">
        <v>1</v>
      </c>
      <c r="N170" t="b">
        <v>1</v>
      </c>
      <c r="O170" t="b">
        <v>0</v>
      </c>
      <c r="P170" t="b">
        <v>0</v>
      </c>
      <c r="Q170" t="s">
        <v>586</v>
      </c>
      <c r="R170">
        <v>1521385</v>
      </c>
      <c r="AB170" s="90"/>
      <c r="BT170" s="90" t="s">
        <v>1264</v>
      </c>
      <c r="BU170" s="90">
        <v>873</v>
      </c>
      <c r="BV170" s="90">
        <v>6</v>
      </c>
      <c r="BW170" s="68"/>
      <c r="BX170" s="90"/>
      <c r="BY170" s="90"/>
      <c r="BZ170" s="90"/>
      <c r="CA170" s="90">
        <v>14</v>
      </c>
      <c r="CB170" s="90"/>
      <c r="CC170" s="90">
        <v>0</v>
      </c>
      <c r="CD170" s="90"/>
      <c r="CE170" s="90"/>
      <c r="CF170" s="90" t="s">
        <v>1552</v>
      </c>
      <c r="CG170" s="90">
        <v>400</v>
      </c>
      <c r="CH170" s="90">
        <v>200</v>
      </c>
      <c r="CI170" s="68"/>
      <c r="CJ170" s="68"/>
      <c r="CK170" s="125">
        <v>113.67</v>
      </c>
    </row>
    <row r="171" spans="1:89" ht="15" thickBot="1" x14ac:dyDescent="0.35">
      <c r="A171" s="90" t="s">
        <v>2868</v>
      </c>
      <c r="C171" t="s">
        <v>3280</v>
      </c>
      <c r="E171" s="90">
        <v>4</v>
      </c>
      <c r="F171" s="114" t="s">
        <v>2867</v>
      </c>
      <c r="G171" t="s">
        <v>586</v>
      </c>
      <c r="H171" t="s">
        <v>660</v>
      </c>
      <c r="M171" t="b">
        <v>1</v>
      </c>
      <c r="N171" t="b">
        <v>1</v>
      </c>
      <c r="O171" t="b">
        <v>0</v>
      </c>
      <c r="P171" t="b">
        <v>0</v>
      </c>
      <c r="Q171" t="s">
        <v>586</v>
      </c>
      <c r="R171">
        <v>1521385</v>
      </c>
      <c r="AB171" s="90"/>
      <c r="BT171" s="90" t="s">
        <v>1264</v>
      </c>
      <c r="BU171" s="90">
        <v>873</v>
      </c>
      <c r="BV171" s="90">
        <v>6</v>
      </c>
      <c r="BW171" s="68"/>
      <c r="BX171" s="90"/>
      <c r="BY171" s="90"/>
      <c r="BZ171" s="90"/>
      <c r="CA171" s="90">
        <v>14</v>
      </c>
      <c r="CB171" s="90"/>
      <c r="CC171" s="90">
        <v>0</v>
      </c>
      <c r="CD171" s="90"/>
      <c r="CE171" s="90"/>
      <c r="CF171" s="90" t="s">
        <v>1552</v>
      </c>
      <c r="CG171" s="90">
        <v>400</v>
      </c>
      <c r="CH171" s="90">
        <v>200</v>
      </c>
      <c r="CI171" s="68"/>
      <c r="CJ171" s="68"/>
      <c r="CK171" s="125">
        <v>172.33</v>
      </c>
    </row>
    <row r="172" spans="1:89" ht="15" thickBot="1" x14ac:dyDescent="0.35">
      <c r="A172" s="90" t="s">
        <v>2868</v>
      </c>
      <c r="C172" t="s">
        <v>3280</v>
      </c>
      <c r="E172" s="90">
        <v>4</v>
      </c>
      <c r="F172" s="117" t="s">
        <v>2867</v>
      </c>
      <c r="G172" t="s">
        <v>586</v>
      </c>
      <c r="H172" t="s">
        <v>660</v>
      </c>
      <c r="M172" t="b">
        <v>1</v>
      </c>
      <c r="N172" t="b">
        <v>1</v>
      </c>
      <c r="O172" t="b">
        <v>0</v>
      </c>
      <c r="P172" t="b">
        <v>0</v>
      </c>
      <c r="Q172" t="s">
        <v>586</v>
      </c>
      <c r="R172">
        <v>1521385</v>
      </c>
      <c r="AB172" s="90">
        <v>0.6</v>
      </c>
      <c r="BT172" s="90" t="s">
        <v>1264</v>
      </c>
      <c r="BU172" s="90">
        <v>873</v>
      </c>
      <c r="BV172" s="90">
        <v>6</v>
      </c>
      <c r="BW172" s="68"/>
      <c r="BX172" s="90" t="s">
        <v>1533</v>
      </c>
      <c r="BY172" s="90" t="s">
        <v>1313</v>
      </c>
      <c r="BZ172" s="90">
        <v>0.6</v>
      </c>
      <c r="CA172" s="90">
        <v>14</v>
      </c>
      <c r="CB172" s="90"/>
      <c r="CC172" s="90">
        <v>0</v>
      </c>
      <c r="CD172" s="90"/>
      <c r="CE172" s="90"/>
      <c r="CF172" s="90" t="s">
        <v>1552</v>
      </c>
      <c r="CG172" s="90">
        <v>400</v>
      </c>
      <c r="CH172" s="90">
        <v>200</v>
      </c>
      <c r="CI172" s="68"/>
      <c r="CJ172" s="68"/>
      <c r="CK172" s="125">
        <v>3326</v>
      </c>
    </row>
    <row r="173" spans="1:89" ht="15" thickBot="1" x14ac:dyDescent="0.35">
      <c r="A173" s="90" t="s">
        <v>2868</v>
      </c>
      <c r="C173" t="s">
        <v>3280</v>
      </c>
      <c r="E173" s="90">
        <v>4</v>
      </c>
      <c r="F173" s="114" t="s">
        <v>2867</v>
      </c>
      <c r="G173" t="s">
        <v>586</v>
      </c>
      <c r="H173" t="s">
        <v>660</v>
      </c>
      <c r="M173" t="b">
        <v>1</v>
      </c>
      <c r="N173" t="b">
        <v>1</v>
      </c>
      <c r="O173" t="b">
        <v>0</v>
      </c>
      <c r="P173" t="b">
        <v>0</v>
      </c>
      <c r="Q173" t="s">
        <v>586</v>
      </c>
      <c r="R173">
        <v>1521385</v>
      </c>
      <c r="AB173" s="90">
        <v>1</v>
      </c>
      <c r="BT173" s="90" t="s">
        <v>1336</v>
      </c>
      <c r="BU173" s="90">
        <v>873</v>
      </c>
      <c r="BV173" s="90">
        <v>6</v>
      </c>
      <c r="BW173" s="68"/>
      <c r="BX173" s="90" t="s">
        <v>1533</v>
      </c>
      <c r="BY173" s="90" t="s">
        <v>1313</v>
      </c>
      <c r="BZ173" s="90">
        <v>1</v>
      </c>
      <c r="CA173" s="90">
        <v>13</v>
      </c>
      <c r="CB173" s="90"/>
      <c r="CC173" s="90">
        <v>0</v>
      </c>
      <c r="CD173" s="90"/>
      <c r="CE173" s="90"/>
      <c r="CF173" s="90" t="s">
        <v>1552</v>
      </c>
      <c r="CG173" s="90">
        <v>400</v>
      </c>
      <c r="CH173" s="90">
        <v>200</v>
      </c>
      <c r="CI173" s="68"/>
      <c r="CJ173" s="68"/>
      <c r="CK173" s="125">
        <v>3800</v>
      </c>
    </row>
    <row r="174" spans="1:89" ht="15" thickBot="1" x14ac:dyDescent="0.35">
      <c r="A174" s="90" t="s">
        <v>2868</v>
      </c>
      <c r="C174" t="s">
        <v>3280</v>
      </c>
      <c r="E174" s="90">
        <v>4</v>
      </c>
      <c r="F174" s="114" t="s">
        <v>2867</v>
      </c>
      <c r="G174" t="s">
        <v>586</v>
      </c>
      <c r="H174" t="s">
        <v>660</v>
      </c>
      <c r="M174" t="b">
        <v>1</v>
      </c>
      <c r="N174" t="b">
        <v>1</v>
      </c>
      <c r="O174" t="b">
        <v>0</v>
      </c>
      <c r="P174" t="b">
        <v>0</v>
      </c>
      <c r="Q174" t="s">
        <v>586</v>
      </c>
      <c r="R174">
        <v>1521385</v>
      </c>
      <c r="AB174" s="90">
        <v>0.2</v>
      </c>
      <c r="BT174" s="90" t="s">
        <v>1336</v>
      </c>
      <c r="BU174" s="90">
        <v>873</v>
      </c>
      <c r="BV174" s="90">
        <v>6</v>
      </c>
      <c r="BW174" s="68"/>
      <c r="BX174" s="90" t="s">
        <v>1533</v>
      </c>
      <c r="BY174" s="90" t="s">
        <v>1313</v>
      </c>
      <c r="BZ174" s="90">
        <v>0.2</v>
      </c>
      <c r="CA174" s="90">
        <v>14</v>
      </c>
      <c r="CB174" s="90"/>
      <c r="CC174" s="90">
        <v>0</v>
      </c>
      <c r="CD174" s="90"/>
      <c r="CE174" s="90"/>
      <c r="CF174" s="90" t="s">
        <v>1552</v>
      </c>
      <c r="CG174" s="90">
        <v>400</v>
      </c>
      <c r="CH174" s="90">
        <v>200</v>
      </c>
      <c r="CI174" s="68"/>
      <c r="CJ174" s="68"/>
      <c r="CK174" s="125">
        <v>706.67</v>
      </c>
    </row>
    <row r="175" spans="1:89" ht="15" thickBot="1" x14ac:dyDescent="0.35">
      <c r="A175" s="90" t="s">
        <v>2868</v>
      </c>
      <c r="C175" t="s">
        <v>3280</v>
      </c>
      <c r="E175" s="90">
        <v>4</v>
      </c>
      <c r="F175" s="114" t="s">
        <v>2867</v>
      </c>
      <c r="G175" t="s">
        <v>586</v>
      </c>
      <c r="H175" t="s">
        <v>660</v>
      </c>
      <c r="M175" t="b">
        <v>1</v>
      </c>
      <c r="N175" t="b">
        <v>1</v>
      </c>
      <c r="O175" t="b">
        <v>0</v>
      </c>
      <c r="P175" t="b">
        <v>0</v>
      </c>
      <c r="Q175" t="s">
        <v>586</v>
      </c>
      <c r="R175">
        <v>1521385</v>
      </c>
      <c r="AB175" s="90">
        <v>2</v>
      </c>
      <c r="BT175" s="90" t="s">
        <v>1336</v>
      </c>
      <c r="BU175" s="90">
        <v>873</v>
      </c>
      <c r="BV175" s="90">
        <v>6</v>
      </c>
      <c r="BW175" s="68"/>
      <c r="BX175" s="90" t="s">
        <v>1533</v>
      </c>
      <c r="BY175" s="90" t="s">
        <v>1313</v>
      </c>
      <c r="BZ175" s="90">
        <v>2</v>
      </c>
      <c r="CA175" s="90">
        <v>13</v>
      </c>
      <c r="CB175" s="90"/>
      <c r="CC175" s="90">
        <v>0</v>
      </c>
      <c r="CD175" s="90"/>
      <c r="CE175" s="90"/>
      <c r="CF175" s="90" t="s">
        <v>1552</v>
      </c>
      <c r="CG175" s="90">
        <v>400</v>
      </c>
      <c r="CH175" s="90">
        <v>200</v>
      </c>
      <c r="CI175" s="68"/>
      <c r="CJ175" s="68"/>
      <c r="CK175" s="125">
        <v>1953</v>
      </c>
    </row>
    <row r="176" spans="1:89" ht="15" thickBot="1" x14ac:dyDescent="0.35">
      <c r="A176" s="114" t="s">
        <v>2851</v>
      </c>
      <c r="C176" t="s">
        <v>3281</v>
      </c>
      <c r="E176" s="90">
        <v>3.52</v>
      </c>
      <c r="F176" s="114" t="s">
        <v>2869</v>
      </c>
      <c r="G176" t="s">
        <v>3179</v>
      </c>
      <c r="H176" t="s">
        <v>3180</v>
      </c>
      <c r="M176" t="b">
        <v>1</v>
      </c>
      <c r="N176" t="b">
        <v>1</v>
      </c>
      <c r="O176" t="b">
        <v>0</v>
      </c>
      <c r="P176" t="b">
        <v>0</v>
      </c>
      <c r="Q176" t="s">
        <v>3179</v>
      </c>
      <c r="R176">
        <v>9008090</v>
      </c>
      <c r="AB176" s="120"/>
      <c r="BT176" s="90" t="s">
        <v>1336</v>
      </c>
      <c r="BU176" s="90">
        <v>1373</v>
      </c>
      <c r="BV176" s="90">
        <v>10</v>
      </c>
      <c r="BW176" s="68"/>
      <c r="BX176" s="90" t="s">
        <v>1268</v>
      </c>
      <c r="BY176" s="90" t="s">
        <v>890</v>
      </c>
      <c r="BZ176" s="90">
        <v>5.0000000000000001E-3</v>
      </c>
      <c r="CA176" s="90">
        <v>2</v>
      </c>
      <c r="CB176" s="90">
        <v>0.4</v>
      </c>
      <c r="CC176" s="90">
        <v>0</v>
      </c>
      <c r="CD176" s="90"/>
      <c r="CE176" s="90"/>
      <c r="CF176" s="90" t="s">
        <v>1534</v>
      </c>
      <c r="CG176" s="90">
        <v>300</v>
      </c>
      <c r="CH176" s="90">
        <v>254</v>
      </c>
      <c r="CI176" s="68"/>
      <c r="CJ176" s="68"/>
      <c r="CK176" s="125">
        <v>16.2</v>
      </c>
    </row>
    <row r="177" spans="1:89" ht="15" thickBot="1" x14ac:dyDescent="0.35">
      <c r="A177" s="114" t="s">
        <v>2851</v>
      </c>
      <c r="C177" t="s">
        <v>3281</v>
      </c>
      <c r="E177" s="90">
        <v>3.53</v>
      </c>
      <c r="F177" s="114" t="s">
        <v>2869</v>
      </c>
      <c r="G177" t="s">
        <v>3179</v>
      </c>
      <c r="H177" t="s">
        <v>3180</v>
      </c>
      <c r="M177" t="b">
        <v>1</v>
      </c>
      <c r="N177" t="b">
        <v>1</v>
      </c>
      <c r="O177" t="b">
        <v>0</v>
      </c>
      <c r="P177" t="b">
        <v>0</v>
      </c>
      <c r="Q177" t="s">
        <v>3179</v>
      </c>
      <c r="R177">
        <v>9008090</v>
      </c>
      <c r="AB177" s="120"/>
      <c r="BT177" s="90" t="s">
        <v>1336</v>
      </c>
      <c r="BU177" s="90">
        <v>1373</v>
      </c>
      <c r="BV177" s="90">
        <v>10</v>
      </c>
      <c r="BW177" s="68"/>
      <c r="BX177" s="90" t="s">
        <v>1268</v>
      </c>
      <c r="BY177" s="90" t="s">
        <v>890</v>
      </c>
      <c r="BZ177" s="90">
        <v>5.0000000000000001E-3</v>
      </c>
      <c r="CA177" s="90">
        <v>1.2</v>
      </c>
      <c r="CB177" s="90">
        <v>0.4</v>
      </c>
      <c r="CC177" s="90">
        <v>0</v>
      </c>
      <c r="CD177" s="90"/>
      <c r="CE177" s="90"/>
      <c r="CF177" s="90" t="s">
        <v>1534</v>
      </c>
      <c r="CG177" s="90">
        <v>300</v>
      </c>
      <c r="CH177" s="90">
        <v>254</v>
      </c>
      <c r="CI177" s="68"/>
      <c r="CJ177" s="68"/>
      <c r="CK177" s="125">
        <v>17.600000000000001</v>
      </c>
    </row>
    <row r="178" spans="1:89" ht="15" thickBot="1" x14ac:dyDescent="0.35">
      <c r="A178" s="114" t="s">
        <v>2851</v>
      </c>
      <c r="C178" t="s">
        <v>3281</v>
      </c>
      <c r="E178" s="90">
        <v>3.54</v>
      </c>
      <c r="F178" s="114" t="s">
        <v>2869</v>
      </c>
      <c r="G178" t="s">
        <v>3179</v>
      </c>
      <c r="H178" t="s">
        <v>3180</v>
      </c>
      <c r="M178" t="b">
        <v>1</v>
      </c>
      <c r="N178" t="b">
        <v>1</v>
      </c>
      <c r="O178" t="b">
        <v>0</v>
      </c>
      <c r="P178" t="b">
        <v>0</v>
      </c>
      <c r="Q178" t="s">
        <v>3179</v>
      </c>
      <c r="R178">
        <v>9008090</v>
      </c>
      <c r="AB178" s="120"/>
      <c r="BT178" s="90" t="s">
        <v>1336</v>
      </c>
      <c r="BU178" s="90">
        <v>1373</v>
      </c>
      <c r="BV178" s="90">
        <v>10</v>
      </c>
      <c r="BW178" s="68"/>
      <c r="BX178" s="90" t="s">
        <v>1268</v>
      </c>
      <c r="BY178" s="90" t="s">
        <v>890</v>
      </c>
      <c r="BZ178" s="90">
        <v>5.0000000000000001E-3</v>
      </c>
      <c r="CA178" s="90">
        <v>2.1</v>
      </c>
      <c r="CB178" s="90">
        <v>0.4</v>
      </c>
      <c r="CC178" s="90">
        <v>0</v>
      </c>
      <c r="CD178" s="90"/>
      <c r="CE178" s="90"/>
      <c r="CF178" s="90" t="s">
        <v>1534</v>
      </c>
      <c r="CG178" s="90">
        <v>300</v>
      </c>
      <c r="CH178" s="90">
        <v>254</v>
      </c>
      <c r="CI178" s="68"/>
      <c r="CJ178" s="68"/>
      <c r="CK178" s="125">
        <v>14</v>
      </c>
    </row>
    <row r="179" spans="1:89" ht="15" thickBot="1" x14ac:dyDescent="0.35">
      <c r="A179" s="114" t="s">
        <v>2851</v>
      </c>
      <c r="C179" t="s">
        <v>3281</v>
      </c>
      <c r="E179" s="90">
        <v>3.6</v>
      </c>
      <c r="F179" s="114" t="s">
        <v>2869</v>
      </c>
      <c r="G179" t="s">
        <v>3179</v>
      </c>
      <c r="H179" t="s">
        <v>3180</v>
      </c>
      <c r="M179" t="b">
        <v>1</v>
      </c>
      <c r="N179" t="b">
        <v>1</v>
      </c>
      <c r="O179" t="b">
        <v>0</v>
      </c>
      <c r="P179" t="b">
        <v>0</v>
      </c>
      <c r="Q179" t="s">
        <v>3179</v>
      </c>
      <c r="R179">
        <v>9008090</v>
      </c>
      <c r="AB179" s="120"/>
      <c r="BT179" s="90" t="s">
        <v>1532</v>
      </c>
      <c r="BU179" s="90">
        <v>1373</v>
      </c>
      <c r="BV179" s="90">
        <v>10</v>
      </c>
      <c r="BW179" s="68"/>
      <c r="BX179" s="90" t="s">
        <v>1268</v>
      </c>
      <c r="BY179" s="90" t="s">
        <v>890</v>
      </c>
      <c r="BZ179" s="90">
        <v>3.0000000000000001E-3</v>
      </c>
      <c r="CA179" s="90">
        <v>2.9</v>
      </c>
      <c r="CB179" s="90">
        <v>0.4</v>
      </c>
      <c r="CC179" s="90">
        <v>0</v>
      </c>
      <c r="CD179" s="90"/>
      <c r="CE179" s="90"/>
      <c r="CF179" s="90" t="s">
        <v>1534</v>
      </c>
      <c r="CG179" s="90">
        <v>300</v>
      </c>
      <c r="CH179" s="90">
        <v>254</v>
      </c>
      <c r="CI179" s="68"/>
      <c r="CJ179" s="68"/>
      <c r="CK179" s="125">
        <v>8</v>
      </c>
    </row>
    <row r="180" spans="1:89" ht="15" thickBot="1" x14ac:dyDescent="0.35">
      <c r="A180" s="114" t="s">
        <v>2851</v>
      </c>
      <c r="C180" t="s">
        <v>3281</v>
      </c>
      <c r="E180" s="90">
        <v>3.6</v>
      </c>
      <c r="F180" s="114" t="s">
        <v>2869</v>
      </c>
      <c r="G180" t="s">
        <v>3179</v>
      </c>
      <c r="H180" t="s">
        <v>3180</v>
      </c>
      <c r="M180" t="b">
        <v>1</v>
      </c>
      <c r="N180" t="b">
        <v>1</v>
      </c>
      <c r="O180" t="b">
        <v>0</v>
      </c>
      <c r="P180" t="b">
        <v>0</v>
      </c>
      <c r="Q180" t="s">
        <v>3179</v>
      </c>
      <c r="R180">
        <v>9008090</v>
      </c>
      <c r="AB180" s="120"/>
      <c r="BT180" s="90" t="s">
        <v>1532</v>
      </c>
      <c r="BU180" s="90">
        <v>1373</v>
      </c>
      <c r="BV180" s="90">
        <v>10</v>
      </c>
      <c r="BW180" s="68"/>
      <c r="BX180" s="90" t="s">
        <v>1268</v>
      </c>
      <c r="BY180" s="90" t="s">
        <v>890</v>
      </c>
      <c r="BZ180" s="90">
        <v>3.0000000000000001E-3</v>
      </c>
      <c r="CA180" s="90">
        <v>2.2000000000000002</v>
      </c>
      <c r="CB180" s="90">
        <v>0.4</v>
      </c>
      <c r="CC180" s="90">
        <v>0</v>
      </c>
      <c r="CD180" s="90"/>
      <c r="CE180" s="90"/>
      <c r="CF180" s="90" t="s">
        <v>1534</v>
      </c>
      <c r="CG180" s="90">
        <v>300</v>
      </c>
      <c r="CH180" s="90">
        <v>254</v>
      </c>
      <c r="CI180" s="68"/>
      <c r="CJ180" s="68"/>
      <c r="CK180" s="125">
        <v>7.6</v>
      </c>
    </row>
    <row r="181" spans="1:89" ht="15" thickBot="1" x14ac:dyDescent="0.35">
      <c r="A181" s="114" t="s">
        <v>2851</v>
      </c>
      <c r="C181" t="s">
        <v>3281</v>
      </c>
      <c r="E181" s="90">
        <v>3.6</v>
      </c>
      <c r="F181" s="114" t="s">
        <v>2869</v>
      </c>
      <c r="G181" t="s">
        <v>3179</v>
      </c>
      <c r="H181" t="s">
        <v>3180</v>
      </c>
      <c r="M181" t="b">
        <v>1</v>
      </c>
      <c r="N181" t="b">
        <v>1</v>
      </c>
      <c r="O181" t="b">
        <v>0</v>
      </c>
      <c r="P181" t="b">
        <v>0</v>
      </c>
      <c r="Q181" t="s">
        <v>3179</v>
      </c>
      <c r="R181">
        <v>9008090</v>
      </c>
      <c r="AB181" s="120"/>
      <c r="BT181" s="90" t="s">
        <v>1532</v>
      </c>
      <c r="BU181" s="90">
        <v>1373</v>
      </c>
      <c r="BV181" s="90">
        <v>10</v>
      </c>
      <c r="BW181" s="68"/>
      <c r="BX181" s="90" t="s">
        <v>1268</v>
      </c>
      <c r="BY181" s="90" t="s">
        <v>890</v>
      </c>
      <c r="BZ181" s="90">
        <v>3.0000000000000001E-3</v>
      </c>
      <c r="CA181" s="90">
        <v>2.6</v>
      </c>
      <c r="CB181" s="90">
        <v>0.4</v>
      </c>
      <c r="CC181" s="90">
        <v>0</v>
      </c>
      <c r="CD181" s="90"/>
      <c r="CE181" s="90"/>
      <c r="CF181" s="90" t="s">
        <v>1534</v>
      </c>
      <c r="CG181" s="90">
        <v>300</v>
      </c>
      <c r="CH181" s="90">
        <v>254</v>
      </c>
      <c r="CI181" s="68"/>
      <c r="CJ181" s="68"/>
      <c r="CK181" s="125">
        <v>2.6</v>
      </c>
    </row>
    <row r="182" spans="1:89" ht="15" thickBot="1" x14ac:dyDescent="0.35">
      <c r="A182" s="114" t="s">
        <v>2871</v>
      </c>
      <c r="C182" t="s">
        <v>3282</v>
      </c>
      <c r="E182" s="90"/>
      <c r="F182" s="114" t="s">
        <v>2870</v>
      </c>
      <c r="G182" t="s">
        <v>3154</v>
      </c>
      <c r="H182">
        <v>-1</v>
      </c>
      <c r="M182" t="b">
        <v>0</v>
      </c>
      <c r="N182" t="b">
        <v>0</v>
      </c>
      <c r="O182" t="b">
        <v>0</v>
      </c>
      <c r="P182" t="b">
        <v>1</v>
      </c>
      <c r="Q182" t="s">
        <v>3154</v>
      </c>
      <c r="R182">
        <v>-1</v>
      </c>
      <c r="AB182" s="120"/>
      <c r="BT182" s="90" t="s">
        <v>1532</v>
      </c>
      <c r="BU182" s="90">
        <v>1423</v>
      </c>
      <c r="BV182" s="90">
        <v>48</v>
      </c>
      <c r="BW182" s="68"/>
      <c r="BX182" s="90"/>
      <c r="BY182" s="90"/>
      <c r="BZ182" s="90"/>
      <c r="CA182" s="90">
        <v>1.1399999999999999</v>
      </c>
      <c r="CB182" s="90">
        <v>2</v>
      </c>
      <c r="CC182" s="90">
        <v>0</v>
      </c>
      <c r="CD182" s="90"/>
      <c r="CE182" s="90"/>
      <c r="CF182" s="90" t="s">
        <v>1534</v>
      </c>
      <c r="CG182" s="90">
        <v>300</v>
      </c>
      <c r="CH182" s="90">
        <v>400</v>
      </c>
      <c r="CI182" s="68"/>
      <c r="CJ182" s="68"/>
      <c r="CK182" s="125">
        <v>0</v>
      </c>
    </row>
    <row r="183" spans="1:89" ht="15" thickBot="1" x14ac:dyDescent="0.35">
      <c r="A183" s="114" t="s">
        <v>2872</v>
      </c>
      <c r="C183" t="s">
        <v>3283</v>
      </c>
      <c r="E183" s="90"/>
      <c r="F183" s="114" t="s">
        <v>2870</v>
      </c>
      <c r="G183" t="s">
        <v>3154</v>
      </c>
      <c r="H183">
        <v>-1</v>
      </c>
      <c r="M183" t="b">
        <v>0</v>
      </c>
      <c r="N183" t="b">
        <v>0</v>
      </c>
      <c r="O183" t="b">
        <v>0</v>
      </c>
      <c r="P183" t="b">
        <v>1</v>
      </c>
      <c r="Q183" t="s">
        <v>3154</v>
      </c>
      <c r="R183">
        <v>-1</v>
      </c>
      <c r="AB183" s="120"/>
      <c r="BT183" s="90" t="s">
        <v>1532</v>
      </c>
      <c r="BU183" s="90">
        <v>1423</v>
      </c>
      <c r="BV183" s="90">
        <v>48</v>
      </c>
      <c r="BW183" s="68"/>
      <c r="BX183" s="90"/>
      <c r="BY183" s="90"/>
      <c r="BZ183" s="90"/>
      <c r="CA183" s="90">
        <v>1.23</v>
      </c>
      <c r="CB183" s="90">
        <v>2</v>
      </c>
      <c r="CC183" s="90">
        <v>0</v>
      </c>
      <c r="CD183" s="90"/>
      <c r="CE183" s="90"/>
      <c r="CF183" s="90" t="s">
        <v>1534</v>
      </c>
      <c r="CG183" s="90">
        <v>300</v>
      </c>
      <c r="CH183" s="90">
        <v>400</v>
      </c>
      <c r="CI183" s="68"/>
      <c r="CJ183" s="68"/>
      <c r="CK183" s="125">
        <v>2.5446428571428572</v>
      </c>
    </row>
    <row r="184" spans="1:89" ht="15" thickBot="1" x14ac:dyDescent="0.35">
      <c r="A184" s="114" t="s">
        <v>2873</v>
      </c>
      <c r="C184" t="s">
        <v>3283</v>
      </c>
      <c r="E184" s="90"/>
      <c r="F184" s="114" t="s">
        <v>2870</v>
      </c>
      <c r="G184" t="s">
        <v>3154</v>
      </c>
      <c r="H184">
        <v>-1</v>
      </c>
      <c r="M184" t="b">
        <v>0</v>
      </c>
      <c r="N184" t="b">
        <v>0</v>
      </c>
      <c r="O184" t="b">
        <v>0</v>
      </c>
      <c r="P184" t="b">
        <v>1</v>
      </c>
      <c r="Q184" t="s">
        <v>3154</v>
      </c>
      <c r="R184">
        <v>-1</v>
      </c>
      <c r="AB184" s="120"/>
      <c r="BT184" s="90" t="s">
        <v>1532</v>
      </c>
      <c r="BU184" s="90">
        <v>1423</v>
      </c>
      <c r="BV184" s="90">
        <v>48</v>
      </c>
      <c r="BW184" s="68"/>
      <c r="BX184" s="90"/>
      <c r="BY184" s="90"/>
      <c r="BZ184" s="90"/>
      <c r="CA184" s="90">
        <v>1.87</v>
      </c>
      <c r="CB184" s="90">
        <v>2</v>
      </c>
      <c r="CC184" s="90">
        <v>0</v>
      </c>
      <c r="CD184" s="90"/>
      <c r="CE184" s="90"/>
      <c r="CF184" s="90" t="s">
        <v>1534</v>
      </c>
      <c r="CG184" s="90">
        <v>300</v>
      </c>
      <c r="CH184" s="90">
        <v>400</v>
      </c>
      <c r="CI184" s="68"/>
      <c r="CJ184" s="68"/>
      <c r="CK184" s="125">
        <v>3.5267857142857144</v>
      </c>
    </row>
    <row r="185" spans="1:89" ht="15" thickBot="1" x14ac:dyDescent="0.35">
      <c r="A185" s="114" t="s">
        <v>2874</v>
      </c>
      <c r="C185" t="s">
        <v>3283</v>
      </c>
      <c r="E185" s="90"/>
      <c r="F185" s="114" t="s">
        <v>2870</v>
      </c>
      <c r="G185" t="s">
        <v>3154</v>
      </c>
      <c r="H185">
        <v>-1</v>
      </c>
      <c r="M185" t="b">
        <v>0</v>
      </c>
      <c r="N185" t="b">
        <v>0</v>
      </c>
      <c r="O185" t="b">
        <v>0</v>
      </c>
      <c r="P185" t="b">
        <v>1</v>
      </c>
      <c r="Q185" t="s">
        <v>3154</v>
      </c>
      <c r="R185">
        <v>-1</v>
      </c>
      <c r="AB185" s="120"/>
      <c r="BT185" s="90" t="s">
        <v>1532</v>
      </c>
      <c r="BU185" s="90">
        <v>1423</v>
      </c>
      <c r="BV185" s="90">
        <v>48</v>
      </c>
      <c r="BW185" s="68"/>
      <c r="BX185" s="90"/>
      <c r="BY185" s="90"/>
      <c r="BZ185" s="90"/>
      <c r="CA185" s="90">
        <v>2.6</v>
      </c>
      <c r="CB185" s="90">
        <v>2</v>
      </c>
      <c r="CC185" s="90">
        <v>0</v>
      </c>
      <c r="CD185" s="90"/>
      <c r="CE185" s="90"/>
      <c r="CF185" s="90" t="s">
        <v>1534</v>
      </c>
      <c r="CG185" s="90">
        <v>300</v>
      </c>
      <c r="CH185" s="90">
        <v>400</v>
      </c>
      <c r="CI185" s="68"/>
      <c r="CJ185" s="68"/>
      <c r="CK185" s="125">
        <v>8.9285714285714288</v>
      </c>
    </row>
    <row r="186" spans="1:89" ht="15" thickBot="1" x14ac:dyDescent="0.35">
      <c r="A186" s="114" t="s">
        <v>2875</v>
      </c>
      <c r="C186" t="s">
        <v>3283</v>
      </c>
      <c r="E186" s="90"/>
      <c r="F186" s="114" t="s">
        <v>2870</v>
      </c>
      <c r="G186" t="s">
        <v>3154</v>
      </c>
      <c r="H186">
        <v>-1</v>
      </c>
      <c r="M186" t="b">
        <v>0</v>
      </c>
      <c r="N186" t="b">
        <v>0</v>
      </c>
      <c r="O186" t="b">
        <v>0</v>
      </c>
      <c r="P186" t="b">
        <v>1</v>
      </c>
      <c r="Q186" t="s">
        <v>3154</v>
      </c>
      <c r="R186">
        <v>-1</v>
      </c>
      <c r="AB186" s="120"/>
      <c r="BT186" s="90" t="s">
        <v>1532</v>
      </c>
      <c r="BU186" s="90">
        <v>1423</v>
      </c>
      <c r="BV186" s="90">
        <v>48</v>
      </c>
      <c r="BW186" s="68"/>
      <c r="BX186" s="90"/>
      <c r="BY186" s="90"/>
      <c r="BZ186" s="90"/>
      <c r="CA186" s="90">
        <v>4.6399999999999997</v>
      </c>
      <c r="CB186" s="90">
        <v>2</v>
      </c>
      <c r="CC186" s="90">
        <v>0</v>
      </c>
      <c r="CD186" s="90"/>
      <c r="CE186" s="90"/>
      <c r="CF186" s="90" t="s">
        <v>1534</v>
      </c>
      <c r="CG186" s="90">
        <v>300</v>
      </c>
      <c r="CH186" s="90">
        <v>400</v>
      </c>
      <c r="CI186" s="68"/>
      <c r="CJ186" s="68"/>
      <c r="CK186" s="125">
        <v>10.714285714285715</v>
      </c>
    </row>
    <row r="187" spans="1:89" ht="15" thickBot="1" x14ac:dyDescent="0.35">
      <c r="A187" s="114" t="s">
        <v>2876</v>
      </c>
      <c r="C187" t="s">
        <v>3284</v>
      </c>
      <c r="E187" s="90"/>
      <c r="F187" s="114" t="s">
        <v>2870</v>
      </c>
      <c r="G187" t="s">
        <v>3154</v>
      </c>
      <c r="H187">
        <v>-1</v>
      </c>
      <c r="M187" t="b">
        <v>0</v>
      </c>
      <c r="N187" t="b">
        <v>0</v>
      </c>
      <c r="O187" t="b">
        <v>0</v>
      </c>
      <c r="P187" t="b">
        <v>1</v>
      </c>
      <c r="Q187" t="s">
        <v>3154</v>
      </c>
      <c r="R187">
        <v>-1</v>
      </c>
      <c r="AB187" s="120"/>
      <c r="BT187" s="90" t="s">
        <v>1532</v>
      </c>
      <c r="BU187" s="90">
        <v>1423</v>
      </c>
      <c r="BV187" s="90">
        <v>48</v>
      </c>
      <c r="BW187" s="68"/>
      <c r="BX187" s="90"/>
      <c r="BY187" s="90"/>
      <c r="BZ187" s="90"/>
      <c r="CA187" s="90">
        <v>6.17</v>
      </c>
      <c r="CB187" s="90">
        <v>2</v>
      </c>
      <c r="CC187" s="90">
        <v>0</v>
      </c>
      <c r="CD187" s="90"/>
      <c r="CE187" s="90"/>
      <c r="CF187" s="90" t="s">
        <v>1534</v>
      </c>
      <c r="CG187" s="90">
        <v>300</v>
      </c>
      <c r="CH187" s="90">
        <v>400</v>
      </c>
      <c r="CI187" s="68"/>
      <c r="CJ187" s="68"/>
      <c r="CK187" s="125">
        <v>12.5</v>
      </c>
    </row>
    <row r="188" spans="1:89" ht="15" thickBot="1" x14ac:dyDescent="0.35">
      <c r="A188" s="114" t="s">
        <v>28</v>
      </c>
      <c r="C188" t="s">
        <v>805</v>
      </c>
      <c r="E188" s="90">
        <v>4.08</v>
      </c>
      <c r="F188" s="114" t="s">
        <v>2877</v>
      </c>
      <c r="G188" t="s">
        <v>586</v>
      </c>
      <c r="H188" t="s">
        <v>660</v>
      </c>
      <c r="M188" t="b">
        <v>1</v>
      </c>
      <c r="N188" t="b">
        <v>1</v>
      </c>
      <c r="O188" t="b">
        <v>0</v>
      </c>
      <c r="P188" t="b">
        <v>0</v>
      </c>
      <c r="Q188" t="s">
        <v>586</v>
      </c>
      <c r="R188">
        <v>1521385</v>
      </c>
      <c r="AB188" s="120"/>
      <c r="BT188" s="90" t="s">
        <v>1532</v>
      </c>
      <c r="BU188" s="90">
        <v>623</v>
      </c>
      <c r="BV188" s="90">
        <v>1</v>
      </c>
      <c r="BW188" s="68"/>
      <c r="BX188" s="90" t="s">
        <v>1533</v>
      </c>
      <c r="BY188" s="90" t="s">
        <v>56</v>
      </c>
      <c r="BZ188" s="90">
        <v>0.1</v>
      </c>
      <c r="CA188" s="90">
        <v>1.1299999999999999</v>
      </c>
      <c r="CB188" s="90">
        <v>0.625</v>
      </c>
      <c r="CC188" s="90">
        <v>0</v>
      </c>
      <c r="CD188" s="90"/>
      <c r="CE188" s="90"/>
      <c r="CF188" s="90" t="s">
        <v>1552</v>
      </c>
      <c r="CG188" s="90">
        <v>8</v>
      </c>
      <c r="CH188" s="90">
        <v>254</v>
      </c>
      <c r="CI188" s="68"/>
      <c r="CJ188" s="68"/>
      <c r="CK188" s="125">
        <v>86</v>
      </c>
    </row>
    <row r="189" spans="1:89" ht="15" thickBot="1" x14ac:dyDescent="0.35">
      <c r="A189" s="114" t="s">
        <v>28</v>
      </c>
      <c r="C189" t="s">
        <v>805</v>
      </c>
      <c r="E189" s="90">
        <v>4.08</v>
      </c>
      <c r="F189" s="114" t="s">
        <v>2877</v>
      </c>
      <c r="G189" t="s">
        <v>586</v>
      </c>
      <c r="H189" t="s">
        <v>660</v>
      </c>
      <c r="M189" t="b">
        <v>1</v>
      </c>
      <c r="N189" t="b">
        <v>1</v>
      </c>
      <c r="O189" t="b">
        <v>0</v>
      </c>
      <c r="P189" t="b">
        <v>0</v>
      </c>
      <c r="Q189" t="s">
        <v>586</v>
      </c>
      <c r="R189">
        <v>1521385</v>
      </c>
      <c r="AB189" s="120"/>
      <c r="BT189" s="90" t="s">
        <v>1532</v>
      </c>
      <c r="BU189" s="90">
        <v>623</v>
      </c>
      <c r="BV189" s="90">
        <v>1</v>
      </c>
      <c r="BW189" s="68"/>
      <c r="BX189" s="90" t="s">
        <v>1533</v>
      </c>
      <c r="BY189" s="90" t="s">
        <v>56</v>
      </c>
      <c r="BZ189" s="90">
        <v>0.2</v>
      </c>
      <c r="CA189" s="90">
        <v>1.1299999999999999</v>
      </c>
      <c r="CB189" s="90">
        <v>0.625</v>
      </c>
      <c r="CC189" s="90">
        <v>0</v>
      </c>
      <c r="CD189" s="90"/>
      <c r="CE189" s="90"/>
      <c r="CF189" s="90" t="s">
        <v>1552</v>
      </c>
      <c r="CG189" s="90">
        <v>8</v>
      </c>
      <c r="CH189" s="90">
        <v>254</v>
      </c>
      <c r="CI189" s="68"/>
      <c r="CJ189" s="68"/>
      <c r="CK189" s="125">
        <v>149</v>
      </c>
    </row>
    <row r="190" spans="1:89" ht="15" thickBot="1" x14ac:dyDescent="0.35">
      <c r="A190" s="114" t="s">
        <v>28</v>
      </c>
      <c r="C190" t="s">
        <v>805</v>
      </c>
      <c r="E190" s="90">
        <v>4.08</v>
      </c>
      <c r="F190" s="114" t="s">
        <v>2877</v>
      </c>
      <c r="G190" t="s">
        <v>586</v>
      </c>
      <c r="H190" t="s">
        <v>660</v>
      </c>
      <c r="M190" t="b">
        <v>1</v>
      </c>
      <c r="N190" t="b">
        <v>1</v>
      </c>
      <c r="O190" t="b">
        <v>0</v>
      </c>
      <c r="P190" t="b">
        <v>0</v>
      </c>
      <c r="Q190" t="s">
        <v>586</v>
      </c>
      <c r="R190">
        <v>1521385</v>
      </c>
      <c r="AB190" s="120"/>
      <c r="BT190" s="90" t="s">
        <v>1264</v>
      </c>
      <c r="BU190" s="90">
        <v>623</v>
      </c>
      <c r="BV190" s="90">
        <v>1</v>
      </c>
      <c r="BW190" s="68"/>
      <c r="BX190" s="90" t="s">
        <v>1533</v>
      </c>
      <c r="BY190" s="90" t="s">
        <v>56</v>
      </c>
      <c r="BZ190" s="90">
        <v>0.3</v>
      </c>
      <c r="CA190" s="90">
        <v>1.1299999999999999</v>
      </c>
      <c r="CB190" s="90">
        <v>0.625</v>
      </c>
      <c r="CC190" s="90">
        <v>0</v>
      </c>
      <c r="CD190" s="90"/>
      <c r="CE190" s="90"/>
      <c r="CF190" s="90" t="s">
        <v>1552</v>
      </c>
      <c r="CG190" s="90">
        <v>8</v>
      </c>
      <c r="CH190" s="90">
        <v>254</v>
      </c>
      <c r="CI190" s="68"/>
      <c r="CJ190" s="68"/>
      <c r="CK190" s="125">
        <v>275</v>
      </c>
    </row>
    <row r="191" spans="1:89" ht="15" thickBot="1" x14ac:dyDescent="0.35">
      <c r="A191" s="114" t="s">
        <v>28</v>
      </c>
      <c r="C191" t="s">
        <v>805</v>
      </c>
      <c r="E191" s="90">
        <v>4.08</v>
      </c>
      <c r="F191" s="114" t="s">
        <v>2877</v>
      </c>
      <c r="G191" t="s">
        <v>586</v>
      </c>
      <c r="H191" t="s">
        <v>660</v>
      </c>
      <c r="M191" t="b">
        <v>1</v>
      </c>
      <c r="N191" t="b">
        <v>1</v>
      </c>
      <c r="O191" t="b">
        <v>0</v>
      </c>
      <c r="P191" t="b">
        <v>0</v>
      </c>
      <c r="Q191" t="s">
        <v>586</v>
      </c>
      <c r="R191">
        <v>1521385</v>
      </c>
      <c r="AB191" s="120"/>
      <c r="BT191" s="90" t="s">
        <v>1407</v>
      </c>
      <c r="BU191" s="90">
        <v>623</v>
      </c>
      <c r="BV191" s="90">
        <v>1</v>
      </c>
      <c r="BW191" s="68"/>
      <c r="BX191" s="90" t="s">
        <v>1533</v>
      </c>
      <c r="BY191" s="90" t="s">
        <v>56</v>
      </c>
      <c r="BZ191" s="90">
        <v>0.4</v>
      </c>
      <c r="CA191" s="90">
        <v>1.1299999999999999</v>
      </c>
      <c r="CB191" s="90">
        <v>0.625</v>
      </c>
      <c r="CC191" s="90">
        <v>0</v>
      </c>
      <c r="CD191" s="90"/>
      <c r="CE191" s="90"/>
      <c r="CF191" s="90" t="s">
        <v>1552</v>
      </c>
      <c r="CG191" s="90">
        <v>8</v>
      </c>
      <c r="CH191" s="90">
        <v>254</v>
      </c>
      <c r="CI191" s="68"/>
      <c r="CJ191" s="68"/>
      <c r="CK191" s="125">
        <v>168</v>
      </c>
    </row>
    <row r="192" spans="1:89" ht="15" thickBot="1" x14ac:dyDescent="0.35">
      <c r="A192" t="s">
        <v>120</v>
      </c>
      <c r="C192" t="s">
        <v>3285</v>
      </c>
      <c r="E192" s="90">
        <v>4</v>
      </c>
      <c r="F192" s="114" t="s">
        <v>1315</v>
      </c>
      <c r="G192" t="s">
        <v>3154</v>
      </c>
      <c r="H192">
        <v>-1</v>
      </c>
      <c r="M192" t="b">
        <v>0</v>
      </c>
      <c r="N192" t="b">
        <v>0</v>
      </c>
      <c r="O192" t="b">
        <v>0</v>
      </c>
      <c r="P192" t="b">
        <v>1</v>
      </c>
      <c r="Q192" t="s">
        <v>3154</v>
      </c>
      <c r="R192">
        <v>-1</v>
      </c>
      <c r="AB192" s="120"/>
      <c r="BT192" s="90" t="s">
        <v>1407</v>
      </c>
      <c r="BU192" s="90">
        <v>1173</v>
      </c>
      <c r="BV192" s="90">
        <v>6</v>
      </c>
      <c r="BW192" s="68"/>
      <c r="BX192" s="90" t="s">
        <v>1268</v>
      </c>
      <c r="BY192" s="90" t="s">
        <v>863</v>
      </c>
      <c r="BZ192" s="90">
        <v>6.0000000000000001E-3</v>
      </c>
      <c r="CA192" s="90">
        <v>3.84</v>
      </c>
      <c r="CB192" s="90">
        <v>1.54</v>
      </c>
      <c r="CC192" s="90">
        <v>0</v>
      </c>
      <c r="CD192" s="90"/>
      <c r="CE192" s="90"/>
      <c r="CF192" s="90" t="s">
        <v>1552</v>
      </c>
      <c r="CG192" s="90">
        <v>250</v>
      </c>
      <c r="CH192" s="90">
        <v>365</v>
      </c>
      <c r="CI192" s="68"/>
      <c r="CJ192" s="68"/>
      <c r="CK192" s="125">
        <v>2210</v>
      </c>
    </row>
    <row r="193" spans="1:89" ht="15" thickBot="1" x14ac:dyDescent="0.35">
      <c r="A193" t="s">
        <v>120</v>
      </c>
      <c r="C193" t="s">
        <v>3285</v>
      </c>
      <c r="E193" s="90">
        <v>4</v>
      </c>
      <c r="F193" s="114" t="s">
        <v>1315</v>
      </c>
      <c r="G193" t="s">
        <v>3154</v>
      </c>
      <c r="H193">
        <v>-1</v>
      </c>
      <c r="M193" t="b">
        <v>0</v>
      </c>
      <c r="N193" t="b">
        <v>0</v>
      </c>
      <c r="O193" t="b">
        <v>0</v>
      </c>
      <c r="P193" t="b">
        <v>1</v>
      </c>
      <c r="Q193" t="s">
        <v>3154</v>
      </c>
      <c r="R193">
        <v>-1</v>
      </c>
      <c r="AB193" s="120"/>
      <c r="BT193" s="90" t="s">
        <v>1407</v>
      </c>
      <c r="BU193" s="90">
        <v>1173</v>
      </c>
      <c r="BV193" s="90">
        <v>6</v>
      </c>
      <c r="BW193" s="68"/>
      <c r="BX193" s="90" t="s">
        <v>1268</v>
      </c>
      <c r="BY193" s="90" t="s">
        <v>863</v>
      </c>
      <c r="BZ193" s="90">
        <v>0.124</v>
      </c>
      <c r="CA193" s="90">
        <v>3.84</v>
      </c>
      <c r="CB193" s="90">
        <v>1.54</v>
      </c>
      <c r="CC193" s="90">
        <v>0</v>
      </c>
      <c r="CD193" s="90"/>
      <c r="CE193" s="90"/>
      <c r="CF193" s="90" t="s">
        <v>1552</v>
      </c>
      <c r="CG193" s="90">
        <v>250</v>
      </c>
      <c r="CH193" s="90">
        <v>365</v>
      </c>
      <c r="CI193" s="68"/>
      <c r="CJ193" s="68"/>
      <c r="CK193" s="125">
        <v>2660</v>
      </c>
    </row>
    <row r="194" spans="1:89" ht="15" thickBot="1" x14ac:dyDescent="0.35">
      <c r="A194" t="s">
        <v>120</v>
      </c>
      <c r="C194" t="s">
        <v>3285</v>
      </c>
      <c r="E194" s="90">
        <v>4</v>
      </c>
      <c r="F194" s="114" t="s">
        <v>1315</v>
      </c>
      <c r="G194" t="s">
        <v>3154</v>
      </c>
      <c r="H194">
        <v>-1</v>
      </c>
      <c r="M194" t="b">
        <v>0</v>
      </c>
      <c r="N194" t="b">
        <v>0</v>
      </c>
      <c r="O194" t="b">
        <v>0</v>
      </c>
      <c r="P194" t="b">
        <v>1</v>
      </c>
      <c r="Q194" t="s">
        <v>3154</v>
      </c>
      <c r="R194">
        <v>-1</v>
      </c>
      <c r="AB194" s="120"/>
      <c r="BT194" s="90" t="s">
        <v>1407</v>
      </c>
      <c r="BU194" s="90">
        <v>1173</v>
      </c>
      <c r="BV194" s="90">
        <v>6</v>
      </c>
      <c r="BW194" s="68"/>
      <c r="BX194" s="90" t="s">
        <v>1268</v>
      </c>
      <c r="BY194" s="90" t="s">
        <v>863</v>
      </c>
      <c r="BZ194" s="90">
        <v>0.251</v>
      </c>
      <c r="CA194" s="90">
        <v>3.84</v>
      </c>
      <c r="CB194" s="90">
        <v>1.54</v>
      </c>
      <c r="CC194" s="90">
        <v>0</v>
      </c>
      <c r="CD194" s="90"/>
      <c r="CE194" s="90"/>
      <c r="CF194" s="90" t="s">
        <v>1552</v>
      </c>
      <c r="CG194" s="90">
        <v>250</v>
      </c>
      <c r="CH194" s="90">
        <v>365</v>
      </c>
      <c r="CI194" s="68"/>
      <c r="CJ194" s="68"/>
      <c r="CK194" s="125">
        <v>2880</v>
      </c>
    </row>
    <row r="195" spans="1:89" ht="15" thickBot="1" x14ac:dyDescent="0.35">
      <c r="A195" t="s">
        <v>120</v>
      </c>
      <c r="C195" t="s">
        <v>3285</v>
      </c>
      <c r="E195" s="90">
        <v>4</v>
      </c>
      <c r="F195" s="114" t="s">
        <v>1315</v>
      </c>
      <c r="G195" t="s">
        <v>3154</v>
      </c>
      <c r="H195">
        <v>-1</v>
      </c>
      <c r="M195" t="b">
        <v>0</v>
      </c>
      <c r="N195" t="b">
        <v>0</v>
      </c>
      <c r="O195" t="b">
        <v>0</v>
      </c>
      <c r="P195" t="b">
        <v>1</v>
      </c>
      <c r="Q195" t="s">
        <v>3154</v>
      </c>
      <c r="R195">
        <v>-1</v>
      </c>
      <c r="AB195" s="120"/>
      <c r="BT195" s="90" t="s">
        <v>1305</v>
      </c>
      <c r="BU195" s="90">
        <v>1173</v>
      </c>
      <c r="BV195" s="90">
        <v>6</v>
      </c>
      <c r="BW195" s="68"/>
      <c r="BX195" s="90" t="s">
        <v>1268</v>
      </c>
      <c r="BY195" s="90" t="s">
        <v>863</v>
      </c>
      <c r="BZ195" s="90">
        <v>0.373</v>
      </c>
      <c r="CA195" s="90">
        <v>3.84</v>
      </c>
      <c r="CB195" s="90">
        <v>1.54</v>
      </c>
      <c r="CC195" s="90">
        <v>0</v>
      </c>
      <c r="CD195" s="90"/>
      <c r="CE195" s="90"/>
      <c r="CF195" s="90" t="s">
        <v>1552</v>
      </c>
      <c r="CG195" s="90">
        <v>250</v>
      </c>
      <c r="CH195" s="90">
        <v>365</v>
      </c>
      <c r="CI195" s="68"/>
      <c r="CJ195" s="68"/>
      <c r="CK195" s="125">
        <v>4040</v>
      </c>
    </row>
    <row r="196" spans="1:89" ht="15" thickBot="1" x14ac:dyDescent="0.35">
      <c r="A196" t="s">
        <v>120</v>
      </c>
      <c r="C196" t="s">
        <v>3285</v>
      </c>
      <c r="E196" s="90">
        <v>4</v>
      </c>
      <c r="F196" s="114" t="s">
        <v>1315</v>
      </c>
      <c r="G196" t="s">
        <v>3154</v>
      </c>
      <c r="H196">
        <v>-1</v>
      </c>
      <c r="M196" t="b">
        <v>0</v>
      </c>
      <c r="N196" t="b">
        <v>0</v>
      </c>
      <c r="O196" t="b">
        <v>0</v>
      </c>
      <c r="P196" t="b">
        <v>1</v>
      </c>
      <c r="Q196" t="s">
        <v>3154</v>
      </c>
      <c r="R196">
        <v>-1</v>
      </c>
      <c r="AB196" s="120"/>
      <c r="BT196" s="90" t="s">
        <v>1305</v>
      </c>
      <c r="BU196" s="90">
        <v>1173</v>
      </c>
      <c r="BV196" s="90">
        <v>6</v>
      </c>
      <c r="BW196" s="68"/>
      <c r="BX196" s="90" t="s">
        <v>1268</v>
      </c>
      <c r="BY196" s="90" t="s">
        <v>863</v>
      </c>
      <c r="BZ196" s="90">
        <v>0.501</v>
      </c>
      <c r="CA196" s="90">
        <v>3.84</v>
      </c>
      <c r="CB196" s="90">
        <v>1.54</v>
      </c>
      <c r="CC196" s="90">
        <v>0</v>
      </c>
      <c r="CD196" s="90"/>
      <c r="CE196" s="90"/>
      <c r="CF196" s="90" t="s">
        <v>1552</v>
      </c>
      <c r="CG196" s="90">
        <v>250</v>
      </c>
      <c r="CH196" s="90">
        <v>365</v>
      </c>
      <c r="CI196" s="68"/>
      <c r="CJ196" s="68"/>
      <c r="CK196" s="125">
        <v>3860</v>
      </c>
    </row>
    <row r="197" spans="1:89" ht="15" thickBot="1" x14ac:dyDescent="0.35">
      <c r="A197" s="114" t="s">
        <v>124</v>
      </c>
      <c r="C197" t="s">
        <v>3286</v>
      </c>
      <c r="E197" s="90">
        <v>3.9</v>
      </c>
      <c r="F197" s="114" t="s">
        <v>1315</v>
      </c>
      <c r="G197" t="s">
        <v>3154</v>
      </c>
      <c r="H197">
        <v>-1</v>
      </c>
      <c r="M197" t="b">
        <v>0</v>
      </c>
      <c r="N197" t="b">
        <v>0</v>
      </c>
      <c r="O197" t="b">
        <v>0</v>
      </c>
      <c r="P197" t="b">
        <v>1</v>
      </c>
      <c r="Q197" t="s">
        <v>3154</v>
      </c>
      <c r="R197">
        <v>-1</v>
      </c>
      <c r="AB197" s="120"/>
      <c r="BT197" s="90" t="s">
        <v>1305</v>
      </c>
      <c r="BU197" s="90">
        <v>1173</v>
      </c>
      <c r="BV197" s="90">
        <v>6</v>
      </c>
      <c r="BW197" s="68"/>
      <c r="BX197" s="90" t="s">
        <v>1268</v>
      </c>
      <c r="BY197" s="90" t="s">
        <v>863</v>
      </c>
      <c r="BZ197" s="90">
        <v>8.0000000000000002E-3</v>
      </c>
      <c r="CA197" s="90">
        <v>6.88</v>
      </c>
      <c r="CB197" s="90">
        <v>1.54</v>
      </c>
      <c r="CC197" s="90">
        <v>0</v>
      </c>
      <c r="CD197" s="90"/>
      <c r="CE197" s="90"/>
      <c r="CF197" s="90" t="s">
        <v>1552</v>
      </c>
      <c r="CG197" s="90">
        <v>250</v>
      </c>
      <c r="CH197" s="90">
        <v>365</v>
      </c>
      <c r="CI197" s="68"/>
      <c r="CJ197" s="68"/>
      <c r="CK197" s="125">
        <v>1590</v>
      </c>
    </row>
    <row r="198" spans="1:89" ht="15" thickBot="1" x14ac:dyDescent="0.35">
      <c r="A198" s="114" t="s">
        <v>124</v>
      </c>
      <c r="C198" t="s">
        <v>3286</v>
      </c>
      <c r="E198" s="90">
        <v>3.9</v>
      </c>
      <c r="F198" s="114" t="s">
        <v>1315</v>
      </c>
      <c r="G198" t="s">
        <v>3154</v>
      </c>
      <c r="H198">
        <v>-1</v>
      </c>
      <c r="M198" t="b">
        <v>0</v>
      </c>
      <c r="N198" t="b">
        <v>0</v>
      </c>
      <c r="O198" t="b">
        <v>0</v>
      </c>
      <c r="P198" t="b">
        <v>1</v>
      </c>
      <c r="Q198" t="s">
        <v>3154</v>
      </c>
      <c r="R198">
        <v>-1</v>
      </c>
      <c r="AB198" s="120"/>
      <c r="BT198" s="90" t="s">
        <v>1305</v>
      </c>
      <c r="BU198" s="90">
        <v>1173</v>
      </c>
      <c r="BV198" s="90">
        <v>6</v>
      </c>
      <c r="BW198" s="68"/>
      <c r="BX198" s="90" t="s">
        <v>1268</v>
      </c>
      <c r="BY198" s="90" t="s">
        <v>863</v>
      </c>
      <c r="BZ198" s="90">
        <v>0.123</v>
      </c>
      <c r="CA198" s="90">
        <v>6.88</v>
      </c>
      <c r="CB198" s="90">
        <v>1.54</v>
      </c>
      <c r="CC198" s="90">
        <v>0</v>
      </c>
      <c r="CD198" s="90"/>
      <c r="CE198" s="90"/>
      <c r="CF198" s="90" t="s">
        <v>1552</v>
      </c>
      <c r="CG198" s="90">
        <v>250</v>
      </c>
      <c r="CH198" s="90">
        <v>365</v>
      </c>
      <c r="CI198" s="68"/>
      <c r="CJ198" s="68"/>
      <c r="CK198" s="125">
        <v>4050</v>
      </c>
    </row>
    <row r="199" spans="1:89" ht="15" thickBot="1" x14ac:dyDescent="0.35">
      <c r="A199" s="114" t="s">
        <v>124</v>
      </c>
      <c r="C199" t="s">
        <v>3286</v>
      </c>
      <c r="E199" s="90">
        <v>3.9</v>
      </c>
      <c r="F199" s="114" t="s">
        <v>1315</v>
      </c>
      <c r="G199" t="s">
        <v>3154</v>
      </c>
      <c r="H199">
        <v>-1</v>
      </c>
      <c r="M199" t="b">
        <v>0</v>
      </c>
      <c r="N199" t="b">
        <v>0</v>
      </c>
      <c r="O199" t="b">
        <v>0</v>
      </c>
      <c r="P199" t="b">
        <v>1</v>
      </c>
      <c r="Q199" t="s">
        <v>3154</v>
      </c>
      <c r="R199">
        <v>-1</v>
      </c>
      <c r="AB199" s="120"/>
      <c r="BT199" s="90" t="s">
        <v>1305</v>
      </c>
      <c r="BU199" s="90">
        <v>1173</v>
      </c>
      <c r="BV199" s="90">
        <v>6</v>
      </c>
      <c r="BW199" s="68"/>
      <c r="BX199" s="90" t="s">
        <v>1268</v>
      </c>
      <c r="BY199" s="90" t="s">
        <v>863</v>
      </c>
      <c r="BZ199" s="90">
        <v>0.251</v>
      </c>
      <c r="CA199" s="90">
        <v>6.88</v>
      </c>
      <c r="CB199" s="90">
        <v>1.54</v>
      </c>
      <c r="CC199" s="90">
        <v>0</v>
      </c>
      <c r="CD199" s="90"/>
      <c r="CE199" s="90"/>
      <c r="CF199" s="90" t="s">
        <v>1552</v>
      </c>
      <c r="CG199" s="90">
        <v>250</v>
      </c>
      <c r="CH199" s="90">
        <v>365</v>
      </c>
      <c r="CI199" s="68"/>
      <c r="CJ199" s="68"/>
      <c r="CK199" s="125">
        <v>4910</v>
      </c>
    </row>
    <row r="200" spans="1:89" ht="15" thickBot="1" x14ac:dyDescent="0.35">
      <c r="A200" s="114" t="s">
        <v>124</v>
      </c>
      <c r="C200" t="s">
        <v>3286</v>
      </c>
      <c r="E200" s="90">
        <v>3.9</v>
      </c>
      <c r="F200" s="114" t="s">
        <v>1315</v>
      </c>
      <c r="G200" t="s">
        <v>3154</v>
      </c>
      <c r="H200">
        <v>-1</v>
      </c>
      <c r="M200" t="b">
        <v>0</v>
      </c>
      <c r="N200" t="b">
        <v>0</v>
      </c>
      <c r="O200" t="b">
        <v>0</v>
      </c>
      <c r="P200" t="b">
        <v>1</v>
      </c>
      <c r="Q200" t="s">
        <v>3154</v>
      </c>
      <c r="R200">
        <v>-1</v>
      </c>
      <c r="AB200" s="120"/>
      <c r="BT200" s="90" t="s">
        <v>1305</v>
      </c>
      <c r="BU200" s="90">
        <v>1173</v>
      </c>
      <c r="BV200" s="90">
        <v>6</v>
      </c>
      <c r="BW200" s="68"/>
      <c r="BX200" s="90" t="s">
        <v>1268</v>
      </c>
      <c r="BY200" s="90" t="s">
        <v>863</v>
      </c>
      <c r="BZ200" s="90">
        <v>0.376</v>
      </c>
      <c r="CA200" s="90">
        <v>6.88</v>
      </c>
      <c r="CB200" s="90">
        <v>1.54</v>
      </c>
      <c r="CC200" s="90">
        <v>0</v>
      </c>
      <c r="CD200" s="90"/>
      <c r="CE200" s="90"/>
      <c r="CF200" s="90" t="s">
        <v>1552</v>
      </c>
      <c r="CG200" s="90">
        <v>250</v>
      </c>
      <c r="CH200" s="90">
        <v>365</v>
      </c>
      <c r="CI200" s="68"/>
      <c r="CJ200" s="68"/>
      <c r="CK200" s="125">
        <v>4480</v>
      </c>
    </row>
    <row r="201" spans="1:89" ht="15" thickBot="1" x14ac:dyDescent="0.35">
      <c r="A201" s="114" t="s">
        <v>124</v>
      </c>
      <c r="C201" t="s">
        <v>3286</v>
      </c>
      <c r="E201" s="90">
        <v>3.9</v>
      </c>
      <c r="F201" s="114" t="s">
        <v>1315</v>
      </c>
      <c r="G201" t="s">
        <v>3154</v>
      </c>
      <c r="H201">
        <v>-1</v>
      </c>
      <c r="M201" t="b">
        <v>0</v>
      </c>
      <c r="N201" t="b">
        <v>0</v>
      </c>
      <c r="O201" t="b">
        <v>0</v>
      </c>
      <c r="P201" t="b">
        <v>1</v>
      </c>
      <c r="Q201" t="s">
        <v>3154</v>
      </c>
      <c r="R201">
        <v>-1</v>
      </c>
      <c r="AB201" s="120"/>
      <c r="BT201" s="90" t="s">
        <v>1305</v>
      </c>
      <c r="BU201" s="90">
        <v>1173</v>
      </c>
      <c r="BV201" s="90">
        <v>6</v>
      </c>
      <c r="BW201" s="68"/>
      <c r="BX201" s="90" t="s">
        <v>1268</v>
      </c>
      <c r="BY201" s="90" t="s">
        <v>863</v>
      </c>
      <c r="BZ201" s="90">
        <v>0.501</v>
      </c>
      <c r="CA201" s="90">
        <v>6.88</v>
      </c>
      <c r="CB201" s="90">
        <v>1.54</v>
      </c>
      <c r="CC201" s="90">
        <v>0</v>
      </c>
      <c r="CD201" s="90"/>
      <c r="CE201" s="90"/>
      <c r="CF201" s="90" t="s">
        <v>1552</v>
      </c>
      <c r="CG201" s="90">
        <v>250</v>
      </c>
      <c r="CH201" s="90">
        <v>365</v>
      </c>
      <c r="CI201" s="68"/>
      <c r="CJ201" s="68"/>
      <c r="CK201" s="125">
        <v>3540</v>
      </c>
    </row>
    <row r="202" spans="1:89" ht="15" thickBot="1" x14ac:dyDescent="0.35">
      <c r="A202" s="114" t="s">
        <v>123</v>
      </c>
      <c r="C202" t="s">
        <v>3287</v>
      </c>
      <c r="E202" s="90">
        <v>3.7</v>
      </c>
      <c r="F202" s="114" t="s">
        <v>1315</v>
      </c>
      <c r="G202" t="s">
        <v>3154</v>
      </c>
      <c r="H202">
        <v>-1</v>
      </c>
      <c r="M202" t="b">
        <v>0</v>
      </c>
      <c r="N202" t="b">
        <v>0</v>
      </c>
      <c r="O202" t="b">
        <v>0</v>
      </c>
      <c r="P202" t="b">
        <v>1</v>
      </c>
      <c r="Q202" t="s">
        <v>3154</v>
      </c>
      <c r="R202">
        <v>-1</v>
      </c>
      <c r="AB202" s="120"/>
      <c r="BT202" s="90" t="s">
        <v>1305</v>
      </c>
      <c r="BU202" s="90">
        <v>1173</v>
      </c>
      <c r="BV202" s="90">
        <v>6</v>
      </c>
      <c r="BW202" s="68"/>
      <c r="BX202" s="90" t="s">
        <v>1268</v>
      </c>
      <c r="BY202" s="90" t="s">
        <v>863</v>
      </c>
      <c r="BZ202" s="90">
        <v>4.3E-3</v>
      </c>
      <c r="CA202" s="90">
        <v>4.3499999999999996</v>
      </c>
      <c r="CB202" s="90">
        <v>1.54</v>
      </c>
      <c r="CC202" s="90">
        <v>0</v>
      </c>
      <c r="CD202" s="90"/>
      <c r="CE202" s="90"/>
      <c r="CF202" s="90" t="s">
        <v>1552</v>
      </c>
      <c r="CG202" s="90">
        <v>250</v>
      </c>
      <c r="CH202" s="90">
        <v>365</v>
      </c>
      <c r="CI202" s="68"/>
      <c r="CJ202" s="68"/>
      <c r="CK202" s="125">
        <v>1120</v>
      </c>
    </row>
    <row r="203" spans="1:89" ht="15" thickBot="1" x14ac:dyDescent="0.35">
      <c r="A203" s="114" t="s">
        <v>123</v>
      </c>
      <c r="C203" t="s">
        <v>3287</v>
      </c>
      <c r="E203" s="90">
        <v>3.7</v>
      </c>
      <c r="F203" s="114" t="s">
        <v>1315</v>
      </c>
      <c r="G203" t="s">
        <v>3154</v>
      </c>
      <c r="H203">
        <v>-1</v>
      </c>
      <c r="M203" t="b">
        <v>0</v>
      </c>
      <c r="N203" t="b">
        <v>0</v>
      </c>
      <c r="O203" t="b">
        <v>0</v>
      </c>
      <c r="P203" t="b">
        <v>1</v>
      </c>
      <c r="Q203" t="s">
        <v>3154</v>
      </c>
      <c r="R203">
        <v>-1</v>
      </c>
      <c r="AB203" s="120"/>
      <c r="BT203" s="90" t="s">
        <v>1305</v>
      </c>
      <c r="BU203" s="90">
        <v>1173</v>
      </c>
      <c r="BV203" s="90">
        <v>6</v>
      </c>
      <c r="BW203" s="68"/>
      <c r="BX203" s="90" t="s">
        <v>1268</v>
      </c>
      <c r="BY203" s="90" t="s">
        <v>863</v>
      </c>
      <c r="BZ203" s="90">
        <v>0.128</v>
      </c>
      <c r="CA203" s="90">
        <v>4.3499999999999996</v>
      </c>
      <c r="CB203" s="90">
        <v>1.54</v>
      </c>
      <c r="CC203" s="90">
        <v>0</v>
      </c>
      <c r="CD203" s="90"/>
      <c r="CE203" s="90"/>
      <c r="CF203" s="90" t="s">
        <v>1552</v>
      </c>
      <c r="CG203" s="90">
        <v>250</v>
      </c>
      <c r="CH203" s="90">
        <v>365</v>
      </c>
      <c r="CI203" s="68"/>
      <c r="CJ203" s="68"/>
      <c r="CK203" s="125">
        <v>1790</v>
      </c>
    </row>
    <row r="204" spans="1:89" ht="15" thickBot="1" x14ac:dyDescent="0.35">
      <c r="A204" s="114" t="s">
        <v>123</v>
      </c>
      <c r="C204" t="s">
        <v>3287</v>
      </c>
      <c r="E204" s="90">
        <v>3.7</v>
      </c>
      <c r="F204" s="114" t="s">
        <v>1315</v>
      </c>
      <c r="G204" t="s">
        <v>3154</v>
      </c>
      <c r="H204">
        <v>-1</v>
      </c>
      <c r="M204" t="b">
        <v>0</v>
      </c>
      <c r="N204" t="b">
        <v>0</v>
      </c>
      <c r="O204" t="b">
        <v>0</v>
      </c>
      <c r="P204" t="b">
        <v>1</v>
      </c>
      <c r="Q204" t="s">
        <v>3154</v>
      </c>
      <c r="R204">
        <v>-1</v>
      </c>
      <c r="AB204" s="120"/>
      <c r="BT204" s="90" t="s">
        <v>1305</v>
      </c>
      <c r="BU204" s="90">
        <v>1173</v>
      </c>
      <c r="BV204" s="90">
        <v>6</v>
      </c>
      <c r="BW204" s="68"/>
      <c r="BX204" s="90" t="s">
        <v>1268</v>
      </c>
      <c r="BY204" s="90" t="s">
        <v>863</v>
      </c>
      <c r="BZ204" s="90">
        <v>0.249</v>
      </c>
      <c r="CA204" s="90">
        <v>4.3499999999999996</v>
      </c>
      <c r="CB204" s="90">
        <v>1.54</v>
      </c>
      <c r="CC204" s="90">
        <v>0</v>
      </c>
      <c r="CD204" s="90"/>
      <c r="CE204" s="90"/>
      <c r="CF204" s="90" t="s">
        <v>1552</v>
      </c>
      <c r="CG204" s="90">
        <v>250</v>
      </c>
      <c r="CH204" s="90">
        <v>365</v>
      </c>
      <c r="CI204" s="68"/>
      <c r="CJ204" s="68"/>
      <c r="CK204" s="125">
        <v>2960</v>
      </c>
    </row>
    <row r="205" spans="1:89" ht="15" thickBot="1" x14ac:dyDescent="0.35">
      <c r="A205" s="114" t="s">
        <v>123</v>
      </c>
      <c r="C205" t="s">
        <v>3287</v>
      </c>
      <c r="E205" s="90">
        <v>3.7</v>
      </c>
      <c r="F205" s="114" t="s">
        <v>1315</v>
      </c>
      <c r="G205" t="s">
        <v>3154</v>
      </c>
      <c r="H205">
        <v>-1</v>
      </c>
      <c r="M205" t="b">
        <v>0</v>
      </c>
      <c r="N205" t="b">
        <v>0</v>
      </c>
      <c r="O205" t="b">
        <v>0</v>
      </c>
      <c r="P205" t="b">
        <v>1</v>
      </c>
      <c r="Q205" t="s">
        <v>3154</v>
      </c>
      <c r="R205">
        <v>-1</v>
      </c>
      <c r="AB205" s="120"/>
      <c r="BT205" s="90" t="s">
        <v>1305</v>
      </c>
      <c r="BU205" s="90">
        <v>1173</v>
      </c>
      <c r="BV205" s="90">
        <v>6</v>
      </c>
      <c r="BW205" s="68"/>
      <c r="BX205" s="90" t="s">
        <v>1268</v>
      </c>
      <c r="BY205" s="90" t="s">
        <v>863</v>
      </c>
      <c r="BZ205" s="90">
        <v>0.376</v>
      </c>
      <c r="CA205" s="90">
        <v>4.3499999999999996</v>
      </c>
      <c r="CB205" s="90">
        <v>1.54</v>
      </c>
      <c r="CC205" s="90">
        <v>0</v>
      </c>
      <c r="CD205" s="90"/>
      <c r="CE205" s="90"/>
      <c r="CF205" s="90" t="s">
        <v>1552</v>
      </c>
      <c r="CG205" s="90">
        <v>250</v>
      </c>
      <c r="CH205" s="90">
        <v>365</v>
      </c>
      <c r="CI205" s="68"/>
      <c r="CJ205" s="68"/>
      <c r="CK205" s="125">
        <v>2410</v>
      </c>
    </row>
    <row r="206" spans="1:89" ht="15" thickBot="1" x14ac:dyDescent="0.35">
      <c r="A206" s="114" t="s">
        <v>123</v>
      </c>
      <c r="C206" t="s">
        <v>3287</v>
      </c>
      <c r="E206" s="90">
        <v>3.7</v>
      </c>
      <c r="F206" s="114" t="s">
        <v>1315</v>
      </c>
      <c r="G206" t="s">
        <v>3154</v>
      </c>
      <c r="H206">
        <v>-1</v>
      </c>
      <c r="M206" t="b">
        <v>0</v>
      </c>
      <c r="N206" t="b">
        <v>0</v>
      </c>
      <c r="O206" t="b">
        <v>0</v>
      </c>
      <c r="P206" t="b">
        <v>1</v>
      </c>
      <c r="Q206" t="s">
        <v>3154</v>
      </c>
      <c r="R206">
        <v>-1</v>
      </c>
      <c r="AB206" s="120"/>
      <c r="BT206" s="90" t="s">
        <v>1305</v>
      </c>
      <c r="BU206" s="90">
        <v>1173</v>
      </c>
      <c r="BV206" s="90">
        <v>6</v>
      </c>
      <c r="BW206" s="68"/>
      <c r="BX206" s="90" t="s">
        <v>1268</v>
      </c>
      <c r="BY206" s="90" t="s">
        <v>863</v>
      </c>
      <c r="BZ206" s="90">
        <v>0.501</v>
      </c>
      <c r="CA206" s="90">
        <v>4.3499999999999996</v>
      </c>
      <c r="CB206" s="90">
        <v>1.54</v>
      </c>
      <c r="CC206" s="90">
        <v>0</v>
      </c>
      <c r="CD206" s="90"/>
      <c r="CE206" s="90"/>
      <c r="CF206" s="90" t="s">
        <v>1552</v>
      </c>
      <c r="CG206" s="90">
        <v>250</v>
      </c>
      <c r="CH206" s="90">
        <v>365</v>
      </c>
      <c r="CI206" s="68"/>
      <c r="CJ206" s="68"/>
      <c r="CK206" s="125">
        <v>1560</v>
      </c>
    </row>
    <row r="207" spans="1:89" ht="15" thickBot="1" x14ac:dyDescent="0.35">
      <c r="A207" s="114" t="s">
        <v>125</v>
      </c>
      <c r="C207" t="s">
        <v>3288</v>
      </c>
      <c r="E207" s="90">
        <v>4.3</v>
      </c>
      <c r="F207" s="114" t="s">
        <v>1315</v>
      </c>
      <c r="G207" t="s">
        <v>3154</v>
      </c>
      <c r="H207">
        <v>-1</v>
      </c>
      <c r="M207" t="b">
        <v>0</v>
      </c>
      <c r="N207" t="b">
        <v>0</v>
      </c>
      <c r="O207" t="b">
        <v>0</v>
      </c>
      <c r="P207" t="b">
        <v>1</v>
      </c>
      <c r="Q207" t="s">
        <v>3154</v>
      </c>
      <c r="R207">
        <v>-1</v>
      </c>
      <c r="AB207" s="120"/>
      <c r="BT207" s="90" t="s">
        <v>1305</v>
      </c>
      <c r="BU207" s="90">
        <v>1173</v>
      </c>
      <c r="BV207" s="90">
        <v>6</v>
      </c>
      <c r="BW207" s="68"/>
      <c r="BX207" s="90" t="s">
        <v>1268</v>
      </c>
      <c r="BY207" s="90" t="s">
        <v>863</v>
      </c>
      <c r="BZ207" s="90">
        <v>2E-3</v>
      </c>
      <c r="CA207" s="90">
        <v>3.52</v>
      </c>
      <c r="CB207" s="90">
        <v>1.54</v>
      </c>
      <c r="CC207" s="90">
        <v>0</v>
      </c>
      <c r="CD207" s="90"/>
      <c r="CE207" s="90"/>
      <c r="CF207" s="90" t="s">
        <v>1552</v>
      </c>
      <c r="CG207" s="90">
        <v>250</v>
      </c>
      <c r="CH207" s="90">
        <v>365</v>
      </c>
      <c r="CI207" s="68"/>
      <c r="CJ207" s="68"/>
      <c r="CK207" s="125">
        <v>1230</v>
      </c>
    </row>
    <row r="208" spans="1:89" ht="15" thickBot="1" x14ac:dyDescent="0.35">
      <c r="A208" s="114" t="s">
        <v>125</v>
      </c>
      <c r="C208" t="s">
        <v>3288</v>
      </c>
      <c r="E208" s="90">
        <v>4.3</v>
      </c>
      <c r="F208" s="114" t="s">
        <v>1315</v>
      </c>
      <c r="G208" t="s">
        <v>3154</v>
      </c>
      <c r="H208">
        <v>-1</v>
      </c>
      <c r="M208" t="b">
        <v>0</v>
      </c>
      <c r="N208" t="b">
        <v>0</v>
      </c>
      <c r="O208" t="b">
        <v>0</v>
      </c>
      <c r="P208" t="b">
        <v>1</v>
      </c>
      <c r="Q208" t="s">
        <v>3154</v>
      </c>
      <c r="R208">
        <v>-1</v>
      </c>
      <c r="AB208" s="120"/>
      <c r="BT208" s="90" t="s">
        <v>1305</v>
      </c>
      <c r="BU208" s="90">
        <v>1173</v>
      </c>
      <c r="BV208" s="90">
        <v>6</v>
      </c>
      <c r="BW208" s="68"/>
      <c r="BX208" s="90" t="s">
        <v>1268</v>
      </c>
      <c r="BY208" s="90" t="s">
        <v>863</v>
      </c>
      <c r="BZ208" s="90">
        <v>0.125</v>
      </c>
      <c r="CA208" s="90">
        <v>3.52</v>
      </c>
      <c r="CB208" s="90">
        <v>1.54</v>
      </c>
      <c r="CC208" s="90">
        <v>0</v>
      </c>
      <c r="CD208" s="90"/>
      <c r="CE208" s="90"/>
      <c r="CF208" s="90" t="s">
        <v>1552</v>
      </c>
      <c r="CG208" s="90">
        <v>250</v>
      </c>
      <c r="CH208" s="90">
        <v>365</v>
      </c>
      <c r="CI208" s="68"/>
      <c r="CJ208" s="68"/>
      <c r="CK208" s="125">
        <v>1360</v>
      </c>
    </row>
    <row r="209" spans="1:89" ht="15" thickBot="1" x14ac:dyDescent="0.35">
      <c r="A209" s="114" t="s">
        <v>125</v>
      </c>
      <c r="C209" t="s">
        <v>3288</v>
      </c>
      <c r="E209" s="90">
        <v>4.3</v>
      </c>
      <c r="F209" s="114" t="s">
        <v>1315</v>
      </c>
      <c r="G209" t="s">
        <v>3154</v>
      </c>
      <c r="H209">
        <v>-1</v>
      </c>
      <c r="M209" t="b">
        <v>0</v>
      </c>
      <c r="N209" t="b">
        <v>0</v>
      </c>
      <c r="O209" t="b">
        <v>0</v>
      </c>
      <c r="P209" t="b">
        <v>1</v>
      </c>
      <c r="Q209" t="s">
        <v>3154</v>
      </c>
      <c r="R209">
        <v>-1</v>
      </c>
      <c r="AB209" s="120"/>
      <c r="BT209" s="90" t="s">
        <v>1305</v>
      </c>
      <c r="BU209" s="90">
        <v>1173</v>
      </c>
      <c r="BV209" s="90">
        <v>6</v>
      </c>
      <c r="BW209" s="68"/>
      <c r="BX209" s="90" t="s">
        <v>1268</v>
      </c>
      <c r="BY209" s="90" t="s">
        <v>863</v>
      </c>
      <c r="BZ209" s="90">
        <v>0.252</v>
      </c>
      <c r="CA209" s="90">
        <v>3.52</v>
      </c>
      <c r="CB209" s="90">
        <v>1.54</v>
      </c>
      <c r="CC209" s="90">
        <v>0</v>
      </c>
      <c r="CD209" s="90"/>
      <c r="CE209" s="90"/>
      <c r="CF209" s="90" t="s">
        <v>1552</v>
      </c>
      <c r="CG209" s="90">
        <v>250</v>
      </c>
      <c r="CH209" s="90">
        <v>365</v>
      </c>
      <c r="CI209" s="68"/>
      <c r="CJ209" s="68"/>
      <c r="CK209" s="125">
        <v>2320</v>
      </c>
    </row>
    <row r="210" spans="1:89" ht="15" thickBot="1" x14ac:dyDescent="0.35">
      <c r="A210" s="114" t="s">
        <v>125</v>
      </c>
      <c r="C210" t="s">
        <v>3288</v>
      </c>
      <c r="E210" s="90">
        <v>4.3</v>
      </c>
      <c r="F210" s="114" t="s">
        <v>1315</v>
      </c>
      <c r="G210" t="s">
        <v>3154</v>
      </c>
      <c r="H210">
        <v>-1</v>
      </c>
      <c r="M210" t="b">
        <v>0</v>
      </c>
      <c r="N210" t="b">
        <v>0</v>
      </c>
      <c r="O210" t="b">
        <v>0</v>
      </c>
      <c r="P210" t="b">
        <v>1</v>
      </c>
      <c r="Q210" t="s">
        <v>3154</v>
      </c>
      <c r="R210">
        <v>-1</v>
      </c>
      <c r="AB210" s="120"/>
      <c r="BT210" s="90" t="s">
        <v>1305</v>
      </c>
      <c r="BU210" s="90">
        <v>1173</v>
      </c>
      <c r="BV210" s="90">
        <v>6</v>
      </c>
      <c r="BW210" s="68"/>
      <c r="BX210" s="90" t="s">
        <v>1268</v>
      </c>
      <c r="BY210" s="90" t="s">
        <v>863</v>
      </c>
      <c r="BZ210" s="90">
        <v>0.379</v>
      </c>
      <c r="CA210" s="90">
        <v>3.52</v>
      </c>
      <c r="CB210" s="90">
        <v>1.54</v>
      </c>
      <c r="CC210" s="90">
        <v>0</v>
      </c>
      <c r="CD210" s="90"/>
      <c r="CE210" s="90"/>
      <c r="CF210" s="90" t="s">
        <v>1552</v>
      </c>
      <c r="CG210" s="90">
        <v>250</v>
      </c>
      <c r="CH210" s="90">
        <v>365</v>
      </c>
      <c r="CI210" s="68"/>
      <c r="CJ210" s="68"/>
      <c r="CK210" s="125">
        <v>1420</v>
      </c>
    </row>
    <row r="211" spans="1:89" ht="15" thickBot="1" x14ac:dyDescent="0.35">
      <c r="A211" s="114" t="s">
        <v>125</v>
      </c>
      <c r="C211" t="s">
        <v>3288</v>
      </c>
      <c r="E211" s="90">
        <v>4.3</v>
      </c>
      <c r="F211" s="114" t="s">
        <v>1315</v>
      </c>
      <c r="G211" t="s">
        <v>3154</v>
      </c>
      <c r="H211">
        <v>-1</v>
      </c>
      <c r="M211" t="b">
        <v>0</v>
      </c>
      <c r="N211" t="b">
        <v>0</v>
      </c>
      <c r="O211" t="b">
        <v>0</v>
      </c>
      <c r="P211" t="b">
        <v>1</v>
      </c>
      <c r="Q211" t="s">
        <v>3154</v>
      </c>
      <c r="R211">
        <v>-1</v>
      </c>
      <c r="AB211" s="120"/>
      <c r="BT211" s="90" t="s">
        <v>1305</v>
      </c>
      <c r="BU211" s="90">
        <v>1173</v>
      </c>
      <c r="BV211" s="90">
        <v>6</v>
      </c>
      <c r="BW211" s="68"/>
      <c r="BX211" s="90" t="s">
        <v>1268</v>
      </c>
      <c r="BY211" s="90" t="s">
        <v>863</v>
      </c>
      <c r="BZ211" s="90">
        <v>0.5</v>
      </c>
      <c r="CA211" s="90">
        <v>3.52</v>
      </c>
      <c r="CB211" s="90">
        <v>1.54</v>
      </c>
      <c r="CC211" s="90">
        <v>0</v>
      </c>
      <c r="CD211" s="90"/>
      <c r="CE211" s="90"/>
      <c r="CF211" s="90" t="s">
        <v>1552</v>
      </c>
      <c r="CG211" s="90">
        <v>250</v>
      </c>
      <c r="CH211" s="90">
        <v>365</v>
      </c>
      <c r="CI211" s="68"/>
      <c r="CJ211" s="68"/>
      <c r="CK211" s="125">
        <v>770</v>
      </c>
    </row>
    <row r="212" spans="1:89" ht="15" thickBot="1" x14ac:dyDescent="0.35">
      <c r="A212" s="114" t="s">
        <v>2880</v>
      </c>
      <c r="C212" t="s">
        <v>3289</v>
      </c>
      <c r="E212" s="90">
        <v>4.08</v>
      </c>
      <c r="F212" s="114" t="s">
        <v>2878</v>
      </c>
      <c r="G212" t="s">
        <v>586</v>
      </c>
      <c r="H212" t="s">
        <v>660</v>
      </c>
      <c r="M212" t="b">
        <v>1</v>
      </c>
      <c r="N212" t="b">
        <v>1</v>
      </c>
      <c r="O212" t="b">
        <v>0</v>
      </c>
      <c r="P212" t="b">
        <v>0</v>
      </c>
      <c r="Q212" t="s">
        <v>586</v>
      </c>
      <c r="R212">
        <v>1521385</v>
      </c>
      <c r="AB212" s="90">
        <v>4.08</v>
      </c>
      <c r="BT212" s="90" t="s">
        <v>1305</v>
      </c>
      <c r="BU212" s="90">
        <v>1173</v>
      </c>
      <c r="BV212" s="90">
        <v>12</v>
      </c>
      <c r="BW212" s="68"/>
      <c r="BX212" s="90"/>
      <c r="BY212" s="90"/>
      <c r="BZ212" s="90"/>
      <c r="CA212" s="90">
        <v>4.4000000000000004</v>
      </c>
      <c r="CB212" s="90">
        <v>0.2</v>
      </c>
      <c r="CC212" s="90">
        <v>10</v>
      </c>
      <c r="CD212" s="90"/>
      <c r="CE212" s="90"/>
      <c r="CF212" s="90" t="s">
        <v>1552</v>
      </c>
      <c r="CG212" s="90">
        <v>150</v>
      </c>
      <c r="CH212" s="90">
        <v>365</v>
      </c>
      <c r="CI212" s="68"/>
      <c r="CJ212" s="68"/>
      <c r="CK212" s="125">
        <v>238.3</v>
      </c>
    </row>
    <row r="213" spans="1:89" ht="15" thickBot="1" x14ac:dyDescent="0.35">
      <c r="A213" s="114" t="s">
        <v>2881</v>
      </c>
      <c r="C213" t="s">
        <v>3280</v>
      </c>
      <c r="E213" s="90">
        <v>4.07</v>
      </c>
      <c r="F213" s="114" t="s">
        <v>2878</v>
      </c>
      <c r="G213" t="s">
        <v>586</v>
      </c>
      <c r="H213" t="s">
        <v>660</v>
      </c>
      <c r="M213" t="b">
        <v>1</v>
      </c>
      <c r="N213" t="b">
        <v>1</v>
      </c>
      <c r="O213" t="b">
        <v>0</v>
      </c>
      <c r="P213" t="b">
        <v>0</v>
      </c>
      <c r="Q213" t="s">
        <v>586</v>
      </c>
      <c r="R213">
        <v>1521385</v>
      </c>
      <c r="AB213" s="90">
        <v>4.07</v>
      </c>
      <c r="BT213" s="90" t="s">
        <v>1305</v>
      </c>
      <c r="BU213" s="90">
        <v>1173</v>
      </c>
      <c r="BV213" s="90">
        <v>12</v>
      </c>
      <c r="BW213" s="68"/>
      <c r="BX213" s="90"/>
      <c r="BY213" s="90"/>
      <c r="BZ213" s="90"/>
      <c r="CA213" s="90">
        <v>2.4</v>
      </c>
      <c r="CB213" s="90">
        <v>0.2</v>
      </c>
      <c r="CC213" s="90">
        <v>10</v>
      </c>
      <c r="CD213" s="90"/>
      <c r="CE213" s="90"/>
      <c r="CF213" s="90" t="s">
        <v>1552</v>
      </c>
      <c r="CG213" s="90">
        <v>150</v>
      </c>
      <c r="CH213" s="90">
        <v>365</v>
      </c>
      <c r="CI213" s="68"/>
      <c r="CJ213" s="68"/>
      <c r="CK213" s="125">
        <v>161.5</v>
      </c>
    </row>
    <row r="214" spans="1:89" ht="15" thickBot="1" x14ac:dyDescent="0.35">
      <c r="A214" s="114" t="s">
        <v>2882</v>
      </c>
      <c r="C214" t="s">
        <v>3290</v>
      </c>
      <c r="E214" s="90">
        <v>4.09</v>
      </c>
      <c r="F214" s="114" t="s">
        <v>2878</v>
      </c>
      <c r="G214" t="s">
        <v>586</v>
      </c>
      <c r="H214" t="s">
        <v>660</v>
      </c>
      <c r="M214" t="b">
        <v>1</v>
      </c>
      <c r="N214" t="b">
        <v>1</v>
      </c>
      <c r="O214" t="b">
        <v>0</v>
      </c>
      <c r="P214" t="b">
        <v>0</v>
      </c>
      <c r="Q214" t="s">
        <v>586</v>
      </c>
      <c r="R214">
        <v>1521385</v>
      </c>
      <c r="AB214" s="90">
        <v>4.09</v>
      </c>
      <c r="BT214" s="90" t="s">
        <v>1305</v>
      </c>
      <c r="BU214" s="90">
        <v>1173</v>
      </c>
      <c r="BV214" s="90">
        <v>12</v>
      </c>
      <c r="BW214" s="68"/>
      <c r="BX214" s="90"/>
      <c r="BY214" s="90"/>
      <c r="BZ214" s="90"/>
      <c r="CA214" s="90">
        <v>2.4</v>
      </c>
      <c r="CB214" s="90">
        <v>0.2</v>
      </c>
      <c r="CC214" s="90">
        <v>10</v>
      </c>
      <c r="CD214" s="90"/>
      <c r="CE214" s="90"/>
      <c r="CF214" s="90" t="s">
        <v>1552</v>
      </c>
      <c r="CG214" s="90">
        <v>150</v>
      </c>
      <c r="CH214" s="90">
        <v>365</v>
      </c>
      <c r="CI214" s="68"/>
      <c r="CJ214" s="68"/>
      <c r="CK214" s="125">
        <v>166.5</v>
      </c>
    </row>
    <row r="215" spans="1:89" ht="15" thickBot="1" x14ac:dyDescent="0.35">
      <c r="A215" s="114" t="s">
        <v>28</v>
      </c>
      <c r="C215" t="s">
        <v>805</v>
      </c>
      <c r="E215" s="90">
        <v>4.05</v>
      </c>
      <c r="F215" s="114" t="s">
        <v>2878</v>
      </c>
      <c r="G215" t="s">
        <v>586</v>
      </c>
      <c r="H215" t="s">
        <v>660</v>
      </c>
      <c r="M215" t="b">
        <v>1</v>
      </c>
      <c r="N215" t="b">
        <v>1</v>
      </c>
      <c r="O215" t="b">
        <v>0</v>
      </c>
      <c r="P215" t="b">
        <v>0</v>
      </c>
      <c r="Q215" t="s">
        <v>586</v>
      </c>
      <c r="R215">
        <v>1521385</v>
      </c>
      <c r="AB215" s="90">
        <v>4.05</v>
      </c>
      <c r="BT215" s="90" t="s">
        <v>1264</v>
      </c>
      <c r="BU215" s="90">
        <v>1173</v>
      </c>
      <c r="BV215" s="90">
        <v>12</v>
      </c>
      <c r="BW215" s="68"/>
      <c r="BX215" s="90"/>
      <c r="BY215" s="90"/>
      <c r="BZ215" s="90"/>
      <c r="CA215" s="90">
        <v>1.9</v>
      </c>
      <c r="CB215" s="90">
        <v>0.2</v>
      </c>
      <c r="CC215" s="90">
        <v>10</v>
      </c>
      <c r="CD215" s="90"/>
      <c r="CE215" s="90"/>
      <c r="CF215" s="90" t="s">
        <v>1552</v>
      </c>
      <c r="CG215" s="90">
        <v>150</v>
      </c>
      <c r="CH215" s="90">
        <v>365</v>
      </c>
      <c r="CI215" s="68"/>
      <c r="CJ215" s="68"/>
      <c r="CK215" s="125">
        <v>59.67</v>
      </c>
    </row>
    <row r="216" spans="1:89" ht="15" thickBot="1" x14ac:dyDescent="0.35">
      <c r="A216" s="114" t="s">
        <v>2883</v>
      </c>
      <c r="C216" t="s">
        <v>3291</v>
      </c>
      <c r="E216" s="90">
        <v>4.04</v>
      </c>
      <c r="F216" s="114" t="s">
        <v>2878</v>
      </c>
      <c r="G216" t="s">
        <v>586</v>
      </c>
      <c r="H216" t="s">
        <v>660</v>
      </c>
      <c r="M216" t="b">
        <v>1</v>
      </c>
      <c r="N216" t="b">
        <v>1</v>
      </c>
      <c r="O216" t="b">
        <v>0</v>
      </c>
      <c r="P216" t="b">
        <v>0</v>
      </c>
      <c r="Q216" t="s">
        <v>586</v>
      </c>
      <c r="R216">
        <v>1521385</v>
      </c>
      <c r="AB216" s="90">
        <v>4.04</v>
      </c>
      <c r="BT216" s="90" t="s">
        <v>1264</v>
      </c>
      <c r="BU216" s="90">
        <v>1173</v>
      </c>
      <c r="BV216" s="90">
        <v>12</v>
      </c>
      <c r="BW216" s="68"/>
      <c r="BX216" s="90"/>
      <c r="BY216" s="90"/>
      <c r="BZ216" s="90"/>
      <c r="CA216" s="90">
        <v>4.7</v>
      </c>
      <c r="CB216" s="90">
        <v>0.2</v>
      </c>
      <c r="CC216" s="90">
        <v>10</v>
      </c>
      <c r="CD216" s="90"/>
      <c r="CE216" s="90"/>
      <c r="CF216" s="90" t="s">
        <v>1552</v>
      </c>
      <c r="CG216" s="90">
        <v>150</v>
      </c>
      <c r="CH216" s="90">
        <v>365</v>
      </c>
      <c r="CI216" s="68"/>
      <c r="CJ216" s="68"/>
      <c r="CK216" s="125">
        <v>25.83</v>
      </c>
    </row>
    <row r="217" spans="1:89" ht="15" thickBot="1" x14ac:dyDescent="0.35">
      <c r="A217" s="114" t="s">
        <v>2880</v>
      </c>
      <c r="C217" t="s">
        <v>3289</v>
      </c>
      <c r="E217" s="90">
        <v>4.08</v>
      </c>
      <c r="F217" s="114" t="s">
        <v>2878</v>
      </c>
      <c r="G217" t="s">
        <v>586</v>
      </c>
      <c r="H217" t="s">
        <v>660</v>
      </c>
      <c r="M217" t="b">
        <v>1</v>
      </c>
      <c r="N217" t="b">
        <v>1</v>
      </c>
      <c r="O217" t="b">
        <v>0</v>
      </c>
      <c r="P217" t="b">
        <v>0</v>
      </c>
      <c r="Q217" t="s">
        <v>586</v>
      </c>
      <c r="R217">
        <v>1521385</v>
      </c>
      <c r="AB217" s="90">
        <v>4.08</v>
      </c>
      <c r="BT217" s="90" t="s">
        <v>1264</v>
      </c>
      <c r="BU217" s="90">
        <v>1173</v>
      </c>
      <c r="BV217" s="90">
        <v>12</v>
      </c>
      <c r="BW217" s="68"/>
      <c r="BX217" s="90" t="s">
        <v>1268</v>
      </c>
      <c r="BY217" s="90" t="s">
        <v>863</v>
      </c>
      <c r="BZ217" s="90">
        <v>0.5</v>
      </c>
      <c r="CA217" s="90">
        <v>4.4000000000000004</v>
      </c>
      <c r="CB217" s="90">
        <v>0.2</v>
      </c>
      <c r="CC217" s="90">
        <v>10</v>
      </c>
      <c r="CD217" s="90"/>
      <c r="CE217" s="90"/>
      <c r="CF217" s="90" t="s">
        <v>1552</v>
      </c>
      <c r="CG217" s="90">
        <v>150</v>
      </c>
      <c r="CH217" s="90">
        <v>365</v>
      </c>
      <c r="CI217" s="68"/>
      <c r="CJ217" s="68"/>
      <c r="CK217" s="125">
        <v>286.67</v>
      </c>
    </row>
    <row r="218" spans="1:89" ht="15" thickBot="1" x14ac:dyDescent="0.35">
      <c r="A218" s="114" t="s">
        <v>2881</v>
      </c>
      <c r="C218" t="s">
        <v>3280</v>
      </c>
      <c r="E218" s="90">
        <v>4.07</v>
      </c>
      <c r="F218" s="114" t="s">
        <v>2878</v>
      </c>
      <c r="G218" t="s">
        <v>586</v>
      </c>
      <c r="H218" t="s">
        <v>660</v>
      </c>
      <c r="M218" t="b">
        <v>1</v>
      </c>
      <c r="N218" t="b">
        <v>1</v>
      </c>
      <c r="O218" t="b">
        <v>0</v>
      </c>
      <c r="P218" t="b">
        <v>0</v>
      </c>
      <c r="Q218" t="s">
        <v>586</v>
      </c>
      <c r="R218">
        <v>1521385</v>
      </c>
      <c r="AB218" s="90">
        <v>4.07</v>
      </c>
      <c r="BT218" s="90" t="s">
        <v>1264</v>
      </c>
      <c r="BU218" s="90">
        <v>1173</v>
      </c>
      <c r="BV218" s="90">
        <v>12</v>
      </c>
      <c r="BW218" s="68"/>
      <c r="BX218" s="90" t="s">
        <v>1268</v>
      </c>
      <c r="BY218" s="90" t="s">
        <v>863</v>
      </c>
      <c r="BZ218" s="90">
        <v>0.4</v>
      </c>
      <c r="CA218" s="90">
        <v>2.4</v>
      </c>
      <c r="CB218" s="90">
        <v>0.2</v>
      </c>
      <c r="CC218" s="90">
        <v>10</v>
      </c>
      <c r="CD218" s="90"/>
      <c r="CE218" s="90"/>
      <c r="CF218" s="90" t="s">
        <v>1552</v>
      </c>
      <c r="CG218" s="90">
        <v>150</v>
      </c>
      <c r="CH218" s="90">
        <v>365</v>
      </c>
      <c r="CI218" s="68"/>
      <c r="CJ218" s="68"/>
      <c r="CK218" s="125">
        <v>115.67</v>
      </c>
    </row>
    <row r="219" spans="1:89" ht="15" thickBot="1" x14ac:dyDescent="0.35">
      <c r="A219" s="114" t="s">
        <v>2882</v>
      </c>
      <c r="C219" t="s">
        <v>3290</v>
      </c>
      <c r="E219" s="90">
        <v>4.09</v>
      </c>
      <c r="F219" s="114" t="s">
        <v>2878</v>
      </c>
      <c r="G219" t="s">
        <v>586</v>
      </c>
      <c r="H219" t="s">
        <v>660</v>
      </c>
      <c r="M219" t="b">
        <v>1</v>
      </c>
      <c r="N219" t="b">
        <v>1</v>
      </c>
      <c r="O219" t="b">
        <v>0</v>
      </c>
      <c r="P219" t="b">
        <v>0</v>
      </c>
      <c r="Q219" t="s">
        <v>586</v>
      </c>
      <c r="R219">
        <v>1521385</v>
      </c>
      <c r="AB219" s="90">
        <v>4.09</v>
      </c>
      <c r="BT219" s="90" t="s">
        <v>1264</v>
      </c>
      <c r="BU219" s="90">
        <v>1173</v>
      </c>
      <c r="BV219" s="90">
        <v>12</v>
      </c>
      <c r="BW219" s="68"/>
      <c r="BX219" s="90" t="s">
        <v>1268</v>
      </c>
      <c r="BY219" s="90" t="s">
        <v>863</v>
      </c>
      <c r="BZ219" s="90">
        <v>0.5</v>
      </c>
      <c r="CA219" s="90">
        <v>2.4</v>
      </c>
      <c r="CB219" s="90">
        <v>0.2</v>
      </c>
      <c r="CC219" s="90">
        <v>10</v>
      </c>
      <c r="CD219" s="90"/>
      <c r="CE219" s="90"/>
      <c r="CF219" s="90" t="s">
        <v>1552</v>
      </c>
      <c r="CG219" s="90">
        <v>150</v>
      </c>
      <c r="CH219" s="90">
        <v>365</v>
      </c>
      <c r="CI219" s="68"/>
      <c r="CJ219" s="68"/>
      <c r="CK219" s="125">
        <v>256.67</v>
      </c>
    </row>
    <row r="220" spans="1:89" ht="15" thickBot="1" x14ac:dyDescent="0.35">
      <c r="A220" s="114" t="s">
        <v>28</v>
      </c>
      <c r="C220" t="s">
        <v>805</v>
      </c>
      <c r="E220" s="90">
        <v>4.05</v>
      </c>
      <c r="F220" s="114" t="s">
        <v>2878</v>
      </c>
      <c r="G220" t="s">
        <v>586</v>
      </c>
      <c r="H220" t="s">
        <v>660</v>
      </c>
      <c r="M220" t="b">
        <v>1</v>
      </c>
      <c r="N220" t="b">
        <v>1</v>
      </c>
      <c r="O220" t="b">
        <v>0</v>
      </c>
      <c r="P220" t="b">
        <v>0</v>
      </c>
      <c r="Q220" t="s">
        <v>586</v>
      </c>
      <c r="R220">
        <v>1521385</v>
      </c>
      <c r="AB220" s="90">
        <v>4.05</v>
      </c>
      <c r="BT220" s="90" t="s">
        <v>1264</v>
      </c>
      <c r="BU220" s="90">
        <v>1173</v>
      </c>
      <c r="BV220" s="90">
        <v>12</v>
      </c>
      <c r="BW220" s="68"/>
      <c r="BX220" s="90" t="s">
        <v>1268</v>
      </c>
      <c r="BY220" s="90" t="s">
        <v>863</v>
      </c>
      <c r="BZ220" s="90">
        <v>0.5</v>
      </c>
      <c r="CA220" s="90">
        <v>1.9</v>
      </c>
      <c r="CB220" s="90">
        <v>0.2</v>
      </c>
      <c r="CC220" s="90">
        <v>10</v>
      </c>
      <c r="CD220" s="90"/>
      <c r="CE220" s="90"/>
      <c r="CF220" s="90" t="s">
        <v>1552</v>
      </c>
      <c r="CG220" s="90">
        <v>150</v>
      </c>
      <c r="CH220" s="90">
        <v>365</v>
      </c>
      <c r="CI220" s="68"/>
      <c r="CJ220" s="68"/>
      <c r="CK220" s="125">
        <v>78.67</v>
      </c>
    </row>
    <row r="221" spans="1:89" ht="15" thickBot="1" x14ac:dyDescent="0.35">
      <c r="A221" s="114" t="s">
        <v>2883</v>
      </c>
      <c r="C221" t="s">
        <v>3291</v>
      </c>
      <c r="E221" s="90">
        <v>4.04</v>
      </c>
      <c r="F221" s="114" t="s">
        <v>2878</v>
      </c>
      <c r="G221" t="s">
        <v>586</v>
      </c>
      <c r="H221" t="s">
        <v>660</v>
      </c>
      <c r="M221" t="b">
        <v>1</v>
      </c>
      <c r="N221" t="b">
        <v>1</v>
      </c>
      <c r="O221" t="b">
        <v>0</v>
      </c>
      <c r="P221" t="b">
        <v>0</v>
      </c>
      <c r="Q221" t="s">
        <v>586</v>
      </c>
      <c r="R221">
        <v>1521385</v>
      </c>
      <c r="AB221" s="90">
        <v>4.04</v>
      </c>
      <c r="BT221" s="90" t="s">
        <v>1264</v>
      </c>
      <c r="BU221" s="90">
        <v>1173</v>
      </c>
      <c r="BV221" s="90">
        <v>12</v>
      </c>
      <c r="BW221" s="68"/>
      <c r="BX221" s="90" t="s">
        <v>1268</v>
      </c>
      <c r="BY221" s="90" t="s">
        <v>863</v>
      </c>
      <c r="BZ221" s="90">
        <v>0.3</v>
      </c>
      <c r="CA221" s="90">
        <v>4.7</v>
      </c>
      <c r="CB221" s="90">
        <v>0.2</v>
      </c>
      <c r="CC221" s="90">
        <v>10</v>
      </c>
      <c r="CD221" s="90"/>
      <c r="CE221" s="90"/>
      <c r="CF221" s="90" t="s">
        <v>1552</v>
      </c>
      <c r="CG221" s="90">
        <v>150</v>
      </c>
      <c r="CH221" s="90">
        <v>365</v>
      </c>
      <c r="CI221" s="68"/>
      <c r="CJ221" s="68"/>
      <c r="CK221" s="125">
        <v>24.83</v>
      </c>
    </row>
    <row r="222" spans="1:89" ht="15" thickBot="1" x14ac:dyDescent="0.35">
      <c r="A222" s="114" t="s">
        <v>28</v>
      </c>
      <c r="C222" t="s">
        <v>805</v>
      </c>
      <c r="E222" s="90">
        <v>3.94</v>
      </c>
      <c r="F222" s="114" t="s">
        <v>2884</v>
      </c>
      <c r="G222" t="s">
        <v>586</v>
      </c>
      <c r="H222" t="s">
        <v>660</v>
      </c>
      <c r="M222" t="b">
        <v>1</v>
      </c>
      <c r="N222" t="b">
        <v>1</v>
      </c>
      <c r="O222" t="b">
        <v>0</v>
      </c>
      <c r="P222" t="b">
        <v>0</v>
      </c>
      <c r="Q222" t="s">
        <v>586</v>
      </c>
      <c r="R222">
        <v>1521385</v>
      </c>
      <c r="AB222" s="124"/>
      <c r="BT222" s="90" t="s">
        <v>1264</v>
      </c>
      <c r="BU222" s="90">
        <v>673</v>
      </c>
      <c r="BV222" s="90">
        <v>2</v>
      </c>
      <c r="BW222" s="68"/>
      <c r="BX222" s="90"/>
      <c r="BY222" s="90"/>
      <c r="BZ222" s="90"/>
      <c r="CA222" s="90">
        <v>118</v>
      </c>
      <c r="CB222" s="90">
        <v>1</v>
      </c>
      <c r="CC222" s="90">
        <v>0</v>
      </c>
      <c r="CD222" s="90"/>
      <c r="CE222" s="90"/>
      <c r="CF222" s="90" t="s">
        <v>1552</v>
      </c>
      <c r="CG222" s="90">
        <v>400</v>
      </c>
      <c r="CH222" s="90">
        <v>200</v>
      </c>
      <c r="CI222" s="68"/>
      <c r="CJ222" s="68"/>
      <c r="CK222" s="125">
        <v>680.67</v>
      </c>
    </row>
    <row r="223" spans="1:89" ht="15" thickBot="1" x14ac:dyDescent="0.35">
      <c r="A223" s="114" t="s">
        <v>28</v>
      </c>
      <c r="C223" t="s">
        <v>805</v>
      </c>
      <c r="E223" s="90">
        <v>3.98</v>
      </c>
      <c r="F223" s="114" t="s">
        <v>2884</v>
      </c>
      <c r="G223" t="s">
        <v>586</v>
      </c>
      <c r="H223" t="s">
        <v>660</v>
      </c>
      <c r="M223" t="b">
        <v>1</v>
      </c>
      <c r="N223" t="b">
        <v>1</v>
      </c>
      <c r="O223" t="b">
        <v>0</v>
      </c>
      <c r="P223" t="b">
        <v>0</v>
      </c>
      <c r="Q223" t="s">
        <v>586</v>
      </c>
      <c r="R223">
        <v>1521385</v>
      </c>
      <c r="AB223" s="120"/>
      <c r="BT223" s="90" t="s">
        <v>1264</v>
      </c>
      <c r="BU223" s="90">
        <v>773</v>
      </c>
      <c r="BV223" s="90">
        <v>2</v>
      </c>
      <c r="BW223" s="68"/>
      <c r="BX223" s="90"/>
      <c r="BY223" s="90"/>
      <c r="BZ223" s="90"/>
      <c r="CA223" s="90">
        <v>75</v>
      </c>
      <c r="CB223" s="90">
        <v>1</v>
      </c>
      <c r="CC223" s="90">
        <v>0</v>
      </c>
      <c r="CD223" s="90"/>
      <c r="CE223" s="90"/>
      <c r="CF223" s="90" t="s">
        <v>1552</v>
      </c>
      <c r="CG223" s="90">
        <v>400</v>
      </c>
      <c r="CH223" s="90">
        <v>200</v>
      </c>
      <c r="CI223" s="68"/>
      <c r="CJ223" s="68"/>
      <c r="CK223" s="125">
        <v>422</v>
      </c>
    </row>
    <row r="224" spans="1:89" ht="15" thickBot="1" x14ac:dyDescent="0.35">
      <c r="A224" s="114" t="s">
        <v>28</v>
      </c>
      <c r="C224" t="s">
        <v>805</v>
      </c>
      <c r="E224" s="90">
        <v>4.01</v>
      </c>
      <c r="F224" s="114" t="s">
        <v>2884</v>
      </c>
      <c r="G224" t="s">
        <v>586</v>
      </c>
      <c r="H224" t="s">
        <v>660</v>
      </c>
      <c r="M224" t="b">
        <v>1</v>
      </c>
      <c r="N224" t="b">
        <v>1</v>
      </c>
      <c r="O224" t="b">
        <v>0</v>
      </c>
      <c r="P224" t="b">
        <v>0</v>
      </c>
      <c r="Q224" t="s">
        <v>586</v>
      </c>
      <c r="R224">
        <v>1521385</v>
      </c>
      <c r="AB224" s="120"/>
      <c r="BT224" s="90" t="s">
        <v>1264</v>
      </c>
      <c r="BU224" s="90">
        <v>873</v>
      </c>
      <c r="BV224" s="90">
        <v>2</v>
      </c>
      <c r="BW224" s="68"/>
      <c r="BX224" s="90"/>
      <c r="BY224" s="90"/>
      <c r="BZ224" s="90"/>
      <c r="CA224" s="90">
        <v>41</v>
      </c>
      <c r="CB224" s="90">
        <v>1</v>
      </c>
      <c r="CC224" s="90">
        <v>0</v>
      </c>
      <c r="CD224" s="90"/>
      <c r="CE224" s="90"/>
      <c r="CF224" s="90" t="s">
        <v>1552</v>
      </c>
      <c r="CG224" s="90">
        <v>400</v>
      </c>
      <c r="CH224" s="90">
        <v>200</v>
      </c>
      <c r="CI224" s="68"/>
      <c r="CJ224" s="68"/>
      <c r="CK224" s="125">
        <v>1056</v>
      </c>
    </row>
    <row r="225" spans="1:89" ht="15" thickBot="1" x14ac:dyDescent="0.35">
      <c r="A225" s="114" t="s">
        <v>28</v>
      </c>
      <c r="C225" t="s">
        <v>805</v>
      </c>
      <c r="E225" s="90">
        <v>4</v>
      </c>
      <c r="F225" s="114" t="s">
        <v>2884</v>
      </c>
      <c r="G225" t="s">
        <v>586</v>
      </c>
      <c r="H225" t="s">
        <v>660</v>
      </c>
      <c r="M225" t="b">
        <v>1</v>
      </c>
      <c r="N225" t="b">
        <v>1</v>
      </c>
      <c r="O225" t="b">
        <v>0</v>
      </c>
      <c r="P225" t="b">
        <v>0</v>
      </c>
      <c r="Q225" t="s">
        <v>586</v>
      </c>
      <c r="R225">
        <v>1521385</v>
      </c>
      <c r="AB225" s="120"/>
      <c r="BT225" s="90" t="s">
        <v>1407</v>
      </c>
      <c r="BU225" s="90">
        <v>973</v>
      </c>
      <c r="BV225" s="90">
        <v>2</v>
      </c>
      <c r="BW225" s="68"/>
      <c r="BX225" s="90"/>
      <c r="BY225" s="90"/>
      <c r="BZ225" s="90"/>
      <c r="CA225" s="90">
        <v>34</v>
      </c>
      <c r="CB225" s="90">
        <v>1</v>
      </c>
      <c r="CC225" s="90">
        <v>0</v>
      </c>
      <c r="CD225" s="90"/>
      <c r="CE225" s="90"/>
      <c r="CF225" s="90" t="s">
        <v>1552</v>
      </c>
      <c r="CG225" s="90">
        <v>400</v>
      </c>
      <c r="CH225" s="90">
        <v>200</v>
      </c>
      <c r="CI225" s="68"/>
      <c r="CJ225" s="68"/>
      <c r="CK225" s="125">
        <v>399.83</v>
      </c>
    </row>
    <row r="226" spans="1:89" ht="15" thickBot="1" x14ac:dyDescent="0.35">
      <c r="A226" s="114" t="s">
        <v>28</v>
      </c>
      <c r="C226" t="s">
        <v>805</v>
      </c>
      <c r="E226" s="90">
        <v>4.01</v>
      </c>
      <c r="F226" s="114" t="s">
        <v>2884</v>
      </c>
      <c r="G226" t="s">
        <v>586</v>
      </c>
      <c r="H226" t="s">
        <v>660</v>
      </c>
      <c r="M226" t="b">
        <v>1</v>
      </c>
      <c r="N226" t="b">
        <v>1</v>
      </c>
      <c r="O226" t="b">
        <v>0</v>
      </c>
      <c r="P226" t="b">
        <v>0</v>
      </c>
      <c r="Q226" t="s">
        <v>586</v>
      </c>
      <c r="R226">
        <v>1521385</v>
      </c>
      <c r="AB226" s="120"/>
      <c r="BT226" s="90" t="s">
        <v>1407</v>
      </c>
      <c r="BU226" s="90">
        <v>873</v>
      </c>
      <c r="BV226" s="90">
        <v>2</v>
      </c>
      <c r="BW226" s="68"/>
      <c r="BX226" s="90" t="s">
        <v>1533</v>
      </c>
      <c r="BY226" s="90" t="s">
        <v>1313</v>
      </c>
      <c r="BZ226" s="90">
        <v>0.5</v>
      </c>
      <c r="CA226" s="90">
        <v>41</v>
      </c>
      <c r="CB226" s="90">
        <v>1</v>
      </c>
      <c r="CC226" s="90">
        <v>0</v>
      </c>
      <c r="CD226" s="90"/>
      <c r="CE226" s="90"/>
      <c r="CF226" s="90" t="s">
        <v>1552</v>
      </c>
      <c r="CG226" s="90">
        <v>400</v>
      </c>
      <c r="CH226" s="90">
        <v>200</v>
      </c>
      <c r="CI226" s="68"/>
      <c r="CJ226" s="68"/>
      <c r="CK226" s="125">
        <v>2333.33</v>
      </c>
    </row>
    <row r="227" spans="1:89" ht="15" thickBot="1" x14ac:dyDescent="0.35">
      <c r="A227" s="114" t="s">
        <v>28</v>
      </c>
      <c r="C227" t="s">
        <v>805</v>
      </c>
      <c r="E227" s="90">
        <v>4.01</v>
      </c>
      <c r="F227" s="114" t="s">
        <v>2884</v>
      </c>
      <c r="G227" t="s">
        <v>586</v>
      </c>
      <c r="H227" t="s">
        <v>660</v>
      </c>
      <c r="M227" t="b">
        <v>1</v>
      </c>
      <c r="N227" t="b">
        <v>1</v>
      </c>
      <c r="O227" t="b">
        <v>0</v>
      </c>
      <c r="P227" t="b">
        <v>0</v>
      </c>
      <c r="Q227" t="s">
        <v>586</v>
      </c>
      <c r="R227">
        <v>1521385</v>
      </c>
      <c r="AB227" s="120"/>
      <c r="BT227" s="90" t="s">
        <v>1407</v>
      </c>
      <c r="BU227" s="90">
        <v>873</v>
      </c>
      <c r="BV227" s="90">
        <v>2</v>
      </c>
      <c r="BW227" s="68"/>
      <c r="BX227" s="90" t="s">
        <v>1533</v>
      </c>
      <c r="BY227" s="90" t="s">
        <v>1313</v>
      </c>
      <c r="BZ227" s="90">
        <v>1</v>
      </c>
      <c r="CA227" s="90">
        <v>41</v>
      </c>
      <c r="CB227" s="90">
        <v>1</v>
      </c>
      <c r="CC227" s="90">
        <v>0</v>
      </c>
      <c r="CD227" s="90"/>
      <c r="CE227" s="90"/>
      <c r="CF227" s="90" t="s">
        <v>1552</v>
      </c>
      <c r="CG227" s="90">
        <v>400</v>
      </c>
      <c r="CH227" s="90">
        <v>200</v>
      </c>
      <c r="CI227" s="68"/>
      <c r="CJ227" s="68"/>
      <c r="CK227" s="125">
        <v>25833.33</v>
      </c>
    </row>
    <row r="228" spans="1:89" ht="15" thickBot="1" x14ac:dyDescent="0.35">
      <c r="A228" s="114" t="s">
        <v>28</v>
      </c>
      <c r="C228" t="s">
        <v>805</v>
      </c>
      <c r="E228" s="90">
        <v>4.01</v>
      </c>
      <c r="F228" s="114" t="s">
        <v>2884</v>
      </c>
      <c r="G228" t="s">
        <v>586</v>
      </c>
      <c r="H228" t="s">
        <v>660</v>
      </c>
      <c r="M228" t="b">
        <v>1</v>
      </c>
      <c r="N228" t="b">
        <v>1</v>
      </c>
      <c r="O228" t="b">
        <v>0</v>
      </c>
      <c r="P228" t="b">
        <v>0</v>
      </c>
      <c r="Q228" t="s">
        <v>586</v>
      </c>
      <c r="R228">
        <v>1521385</v>
      </c>
      <c r="AB228" s="120"/>
      <c r="BT228" s="90" t="s">
        <v>1407</v>
      </c>
      <c r="BU228" s="90">
        <v>873</v>
      </c>
      <c r="BV228" s="90">
        <v>2</v>
      </c>
      <c r="BW228" s="68"/>
      <c r="BX228" s="90" t="s">
        <v>1533</v>
      </c>
      <c r="BY228" s="90" t="s">
        <v>1313</v>
      </c>
      <c r="BZ228" s="90">
        <v>1.5</v>
      </c>
      <c r="CA228" s="90">
        <v>41</v>
      </c>
      <c r="CB228" s="90">
        <v>1</v>
      </c>
      <c r="CC228" s="90">
        <v>0</v>
      </c>
      <c r="CD228" s="90"/>
      <c r="CE228" s="90"/>
      <c r="CF228" s="90" t="s">
        <v>1552</v>
      </c>
      <c r="CG228" s="90">
        <v>400</v>
      </c>
      <c r="CH228" s="90">
        <v>200</v>
      </c>
      <c r="CI228" s="68"/>
      <c r="CJ228" s="68"/>
      <c r="CK228" s="125">
        <v>12716.67</v>
      </c>
    </row>
    <row r="229" spans="1:89" ht="15" thickBot="1" x14ac:dyDescent="0.35">
      <c r="A229" s="114" t="s">
        <v>2881</v>
      </c>
      <c r="C229" t="s">
        <v>3280</v>
      </c>
      <c r="E229" s="90">
        <v>3.97</v>
      </c>
      <c r="F229" s="114" t="s">
        <v>2885</v>
      </c>
      <c r="G229" t="s">
        <v>586</v>
      </c>
      <c r="H229" t="s">
        <v>660</v>
      </c>
      <c r="M229" t="b">
        <v>1</v>
      </c>
      <c r="N229" t="b">
        <v>1</v>
      </c>
      <c r="O229" t="b">
        <v>0</v>
      </c>
      <c r="P229" t="b">
        <v>0</v>
      </c>
      <c r="Q229" t="s">
        <v>586</v>
      </c>
      <c r="R229">
        <v>1521385</v>
      </c>
      <c r="AB229" s="120"/>
      <c r="BT229" s="90" t="s">
        <v>1407</v>
      </c>
      <c r="BU229" s="90">
        <v>1423</v>
      </c>
      <c r="BV229" s="90">
        <v>5</v>
      </c>
      <c r="BW229" s="68"/>
      <c r="BX229" s="90"/>
      <c r="BY229" s="90"/>
      <c r="BZ229" s="90"/>
      <c r="CA229" s="90">
        <v>4.9000000000000004</v>
      </c>
      <c r="CB229" s="90">
        <v>1</v>
      </c>
      <c r="CC229" s="90">
        <v>0</v>
      </c>
      <c r="CD229" s="90"/>
      <c r="CE229" s="90"/>
      <c r="CF229" s="90" t="s">
        <v>1534</v>
      </c>
      <c r="CG229" s="90">
        <v>300</v>
      </c>
      <c r="CH229" s="90">
        <v>400</v>
      </c>
      <c r="CI229" s="68"/>
      <c r="CJ229" s="68"/>
      <c r="CK229" s="125">
        <v>3433</v>
      </c>
    </row>
    <row r="230" spans="1:89" ht="15" thickBot="1" x14ac:dyDescent="0.35">
      <c r="A230" s="114" t="s">
        <v>2881</v>
      </c>
      <c r="C230" t="s">
        <v>3280</v>
      </c>
      <c r="E230" s="90">
        <v>3.97</v>
      </c>
      <c r="F230" s="114" t="s">
        <v>2885</v>
      </c>
      <c r="G230" t="s">
        <v>586</v>
      </c>
      <c r="H230" t="s">
        <v>660</v>
      </c>
      <c r="M230" t="b">
        <v>1</v>
      </c>
      <c r="N230" t="b">
        <v>1</v>
      </c>
      <c r="O230" t="b">
        <v>0</v>
      </c>
      <c r="P230" t="b">
        <v>0</v>
      </c>
      <c r="Q230" t="s">
        <v>586</v>
      </c>
      <c r="R230">
        <v>1521385</v>
      </c>
      <c r="AB230" s="120"/>
      <c r="BT230" s="90" t="s">
        <v>1407</v>
      </c>
      <c r="BU230" s="90">
        <v>1423</v>
      </c>
      <c r="BV230" s="90">
        <v>5</v>
      </c>
      <c r="BW230" s="68"/>
      <c r="BX230" s="90"/>
      <c r="BY230" s="90"/>
      <c r="BZ230" s="90"/>
      <c r="CA230" s="90">
        <v>4.9000000000000004</v>
      </c>
      <c r="CB230" s="90">
        <v>1</v>
      </c>
      <c r="CC230" s="90">
        <v>20</v>
      </c>
      <c r="CD230" s="90"/>
      <c r="CE230" s="90"/>
      <c r="CF230" s="90" t="s">
        <v>1534</v>
      </c>
      <c r="CG230" s="90">
        <v>300</v>
      </c>
      <c r="CH230" s="90">
        <v>400</v>
      </c>
      <c r="CI230" s="68"/>
      <c r="CJ230" s="68"/>
      <c r="CK230" s="125">
        <v>9933</v>
      </c>
    </row>
    <row r="231" spans="1:89" ht="15" thickBot="1" x14ac:dyDescent="0.35">
      <c r="A231" s="114" t="s">
        <v>2887</v>
      </c>
      <c r="C231" t="s">
        <v>3292</v>
      </c>
      <c r="E231" s="90">
        <v>2.62</v>
      </c>
      <c r="F231" s="114" t="s">
        <v>2886</v>
      </c>
      <c r="G231" t="s">
        <v>3181</v>
      </c>
      <c r="H231" t="s">
        <v>3182</v>
      </c>
      <c r="M231" t="b">
        <v>1</v>
      </c>
      <c r="N231" t="b">
        <v>1</v>
      </c>
      <c r="O231" t="b">
        <v>0</v>
      </c>
      <c r="P231" t="b">
        <v>0</v>
      </c>
      <c r="Q231" t="s">
        <v>3181</v>
      </c>
      <c r="R231">
        <v>4329321</v>
      </c>
      <c r="AB231" s="120"/>
      <c r="BT231" s="90" t="s">
        <v>1336</v>
      </c>
      <c r="BU231" s="90">
        <v>1373</v>
      </c>
      <c r="BV231" s="90">
        <v>12</v>
      </c>
      <c r="BW231" s="68"/>
      <c r="BX231" s="90" t="s">
        <v>1533</v>
      </c>
      <c r="BY231" s="90" t="s">
        <v>56</v>
      </c>
      <c r="BZ231" s="90">
        <v>0</v>
      </c>
      <c r="CA231" s="90">
        <v>1.2</v>
      </c>
      <c r="CB231" s="90">
        <v>1.42</v>
      </c>
      <c r="CC231" s="90">
        <v>0</v>
      </c>
      <c r="CD231" s="90"/>
      <c r="CE231" s="90"/>
      <c r="CF231" s="90" t="s">
        <v>1613</v>
      </c>
      <c r="CG231" s="90">
        <v>500</v>
      </c>
      <c r="CH231" s="90">
        <v>420</v>
      </c>
      <c r="CI231" s="68"/>
      <c r="CJ231" s="68"/>
      <c r="CK231" s="125">
        <v>0.2</v>
      </c>
    </row>
    <row r="232" spans="1:89" ht="15" thickBot="1" x14ac:dyDescent="0.35">
      <c r="A232" s="114" t="s">
        <v>2887</v>
      </c>
      <c r="C232" t="s">
        <v>3292</v>
      </c>
      <c r="E232" s="90">
        <v>2.62</v>
      </c>
      <c r="F232" s="114" t="s">
        <v>2886</v>
      </c>
      <c r="G232" t="s">
        <v>3181</v>
      </c>
      <c r="H232" t="s">
        <v>3182</v>
      </c>
      <c r="M232" t="b">
        <v>1</v>
      </c>
      <c r="N232" t="b">
        <v>1</v>
      </c>
      <c r="O232" t="b">
        <v>0</v>
      </c>
      <c r="P232" t="b">
        <v>0</v>
      </c>
      <c r="Q232" t="s">
        <v>3181</v>
      </c>
      <c r="R232">
        <v>4329321</v>
      </c>
      <c r="AB232" s="120"/>
      <c r="BT232" s="90" t="s">
        <v>1336</v>
      </c>
      <c r="BU232" s="90">
        <v>1373</v>
      </c>
      <c r="BV232" s="90">
        <v>12</v>
      </c>
      <c r="BW232" s="68"/>
      <c r="BX232" s="90" t="s">
        <v>1533</v>
      </c>
      <c r="BY232" s="90" t="s">
        <v>56</v>
      </c>
      <c r="BZ232" s="90">
        <v>2</v>
      </c>
      <c r="CA232" s="90">
        <v>1.18</v>
      </c>
      <c r="CB232" s="90">
        <v>1.42</v>
      </c>
      <c r="CC232" s="90">
        <v>0</v>
      </c>
      <c r="CD232" s="90"/>
      <c r="CE232" s="90"/>
      <c r="CF232" s="90" t="s">
        <v>1613</v>
      </c>
      <c r="CG232" s="90">
        <v>500</v>
      </c>
      <c r="CH232" s="90">
        <v>420</v>
      </c>
      <c r="CI232" s="68"/>
      <c r="CJ232" s="68"/>
      <c r="CK232" s="125">
        <v>1.88</v>
      </c>
    </row>
    <row r="233" spans="1:89" ht="15" thickBot="1" x14ac:dyDescent="0.35">
      <c r="A233" s="114" t="s">
        <v>2887</v>
      </c>
      <c r="C233" t="s">
        <v>3292</v>
      </c>
      <c r="E233" s="90">
        <v>2.62</v>
      </c>
      <c r="F233" s="114" t="s">
        <v>2886</v>
      </c>
      <c r="G233" t="s">
        <v>3181</v>
      </c>
      <c r="H233" t="s">
        <v>3182</v>
      </c>
      <c r="M233" t="b">
        <v>1</v>
      </c>
      <c r="N233" t="b">
        <v>1</v>
      </c>
      <c r="O233" t="b">
        <v>0</v>
      </c>
      <c r="P233" t="b">
        <v>0</v>
      </c>
      <c r="Q233" t="s">
        <v>3181</v>
      </c>
      <c r="R233">
        <v>4329321</v>
      </c>
      <c r="AB233" s="120"/>
      <c r="BT233" s="90" t="s">
        <v>1336</v>
      </c>
      <c r="BU233" s="90">
        <v>1373</v>
      </c>
      <c r="BV233" s="90">
        <v>12</v>
      </c>
      <c r="BW233" s="68"/>
      <c r="BX233" s="90" t="s">
        <v>1533</v>
      </c>
      <c r="BY233" s="90" t="s">
        <v>56</v>
      </c>
      <c r="BZ233" s="90">
        <v>3</v>
      </c>
      <c r="CA233" s="90">
        <v>1.43</v>
      </c>
      <c r="CB233" s="90">
        <v>1.42</v>
      </c>
      <c r="CC233" s="90">
        <v>0</v>
      </c>
      <c r="CD233" s="90"/>
      <c r="CE233" s="90"/>
      <c r="CF233" s="90" t="s">
        <v>1613</v>
      </c>
      <c r="CG233" s="90">
        <v>500</v>
      </c>
      <c r="CH233" s="90">
        <v>420</v>
      </c>
      <c r="CI233" s="68"/>
      <c r="CJ233" s="68"/>
      <c r="CK233" s="125">
        <v>2.1</v>
      </c>
    </row>
    <row r="234" spans="1:89" ht="15" thickBot="1" x14ac:dyDescent="0.35">
      <c r="A234" s="114" t="s">
        <v>2887</v>
      </c>
      <c r="C234" t="s">
        <v>3292</v>
      </c>
      <c r="E234" s="90">
        <v>2.62</v>
      </c>
      <c r="F234" s="114" t="s">
        <v>2886</v>
      </c>
      <c r="G234" t="s">
        <v>3181</v>
      </c>
      <c r="H234" t="s">
        <v>3182</v>
      </c>
      <c r="M234" t="b">
        <v>1</v>
      </c>
      <c r="N234" t="b">
        <v>1</v>
      </c>
      <c r="O234" t="b">
        <v>0</v>
      </c>
      <c r="P234" t="b">
        <v>0</v>
      </c>
      <c r="Q234" t="s">
        <v>3181</v>
      </c>
      <c r="R234">
        <v>4329321</v>
      </c>
      <c r="AB234" s="120"/>
      <c r="BT234" s="90" t="s">
        <v>1336</v>
      </c>
      <c r="BU234" s="90">
        <v>1373</v>
      </c>
      <c r="BV234" s="90">
        <v>12</v>
      </c>
      <c r="BW234" s="68"/>
      <c r="BX234" s="90" t="s">
        <v>1533</v>
      </c>
      <c r="BY234" s="90" t="s">
        <v>56</v>
      </c>
      <c r="BZ234" s="90">
        <v>5</v>
      </c>
      <c r="CA234" s="90">
        <v>1.52</v>
      </c>
      <c r="CB234" s="90">
        <v>1.42</v>
      </c>
      <c r="CC234" s="90">
        <v>0</v>
      </c>
      <c r="CD234" s="90"/>
      <c r="CE234" s="90"/>
      <c r="CF234" s="90" t="s">
        <v>1613</v>
      </c>
      <c r="CG234" s="90">
        <v>500</v>
      </c>
      <c r="CH234" s="90">
        <v>420</v>
      </c>
      <c r="CI234" s="68"/>
      <c r="CJ234" s="68"/>
      <c r="CK234" s="125">
        <v>1.61</v>
      </c>
    </row>
    <row r="235" spans="1:89" ht="15" thickBot="1" x14ac:dyDescent="0.35">
      <c r="A235" s="114" t="s">
        <v>2887</v>
      </c>
      <c r="C235" t="s">
        <v>3292</v>
      </c>
      <c r="E235" s="90">
        <v>2.62</v>
      </c>
      <c r="F235" s="114" t="s">
        <v>2886</v>
      </c>
      <c r="G235" t="s">
        <v>3181</v>
      </c>
      <c r="H235" t="s">
        <v>3182</v>
      </c>
      <c r="M235" t="b">
        <v>1</v>
      </c>
      <c r="N235" t="b">
        <v>1</v>
      </c>
      <c r="O235" t="b">
        <v>0</v>
      </c>
      <c r="P235" t="b">
        <v>0</v>
      </c>
      <c r="Q235" t="s">
        <v>3181</v>
      </c>
      <c r="R235">
        <v>4329321</v>
      </c>
      <c r="AB235" s="120"/>
      <c r="BT235" s="90" t="s">
        <v>1336</v>
      </c>
      <c r="BU235" s="90">
        <v>1373</v>
      </c>
      <c r="BV235" s="90">
        <v>12</v>
      </c>
      <c r="BW235" s="68"/>
      <c r="BX235" s="90" t="s">
        <v>1533</v>
      </c>
      <c r="BY235" s="90" t="s">
        <v>56</v>
      </c>
      <c r="BZ235" s="90">
        <v>10</v>
      </c>
      <c r="CA235" s="90">
        <v>1.57</v>
      </c>
      <c r="CB235" s="90">
        <v>1.42</v>
      </c>
      <c r="CC235" s="90">
        <v>0</v>
      </c>
      <c r="CD235" s="90"/>
      <c r="CE235" s="90"/>
      <c r="CF235" s="90" t="s">
        <v>1613</v>
      </c>
      <c r="CG235" s="90">
        <v>500</v>
      </c>
      <c r="CH235" s="90">
        <v>420</v>
      </c>
      <c r="CI235" s="68"/>
      <c r="CJ235" s="68"/>
      <c r="CK235" s="125">
        <v>1.19</v>
      </c>
    </row>
    <row r="236" spans="1:89" ht="15" thickBot="1" x14ac:dyDescent="0.35">
      <c r="A236" s="114" t="s">
        <v>2887</v>
      </c>
      <c r="C236" t="s">
        <v>3292</v>
      </c>
      <c r="E236" s="90">
        <v>2.73</v>
      </c>
      <c r="F236" s="114" t="s">
        <v>2886</v>
      </c>
      <c r="G236" t="s">
        <v>3181</v>
      </c>
      <c r="H236" t="s">
        <v>3182</v>
      </c>
      <c r="M236" t="b">
        <v>1</v>
      </c>
      <c r="N236" t="b">
        <v>1</v>
      </c>
      <c r="O236" t="b">
        <v>0</v>
      </c>
      <c r="P236" t="b">
        <v>0</v>
      </c>
      <c r="Q236" t="s">
        <v>3181</v>
      </c>
      <c r="R236">
        <v>4329321</v>
      </c>
      <c r="AB236" s="120"/>
      <c r="BT236" s="90" t="s">
        <v>1264</v>
      </c>
      <c r="BU236" s="90">
        <v>1373</v>
      </c>
      <c r="BV236" s="90">
        <v>12</v>
      </c>
      <c r="BW236" s="68"/>
      <c r="BX236" s="90" t="s">
        <v>1533</v>
      </c>
      <c r="BY236" s="90" t="s">
        <v>56</v>
      </c>
      <c r="BZ236" s="90">
        <v>3</v>
      </c>
      <c r="CA236" s="90">
        <v>0.7</v>
      </c>
      <c r="CB236" s="90">
        <v>1.42</v>
      </c>
      <c r="CC236" s="90">
        <v>0</v>
      </c>
      <c r="CD236" s="90"/>
      <c r="CE236" s="90"/>
      <c r="CF236" s="90" t="s">
        <v>1613</v>
      </c>
      <c r="CG236" s="90">
        <v>500</v>
      </c>
      <c r="CH236" s="90">
        <v>420</v>
      </c>
      <c r="CI236" s="68"/>
      <c r="CJ236" s="68"/>
      <c r="CK236" s="125">
        <v>1.2</v>
      </c>
    </row>
    <row r="237" spans="1:89" ht="15" thickBot="1" x14ac:dyDescent="0.35">
      <c r="A237" s="114" t="s">
        <v>2881</v>
      </c>
      <c r="C237" t="s">
        <v>3280</v>
      </c>
      <c r="E237" s="90">
        <v>4.01</v>
      </c>
      <c r="F237" s="114" t="s">
        <v>2888</v>
      </c>
      <c r="G237" t="s">
        <v>586</v>
      </c>
      <c r="H237" t="s">
        <v>660</v>
      </c>
      <c r="M237" t="b">
        <v>1</v>
      </c>
      <c r="N237" t="b">
        <v>1</v>
      </c>
      <c r="O237" t="b">
        <v>0</v>
      </c>
      <c r="P237" t="b">
        <v>0</v>
      </c>
      <c r="Q237" t="s">
        <v>586</v>
      </c>
      <c r="R237">
        <v>1521385</v>
      </c>
      <c r="AB237" s="120"/>
      <c r="BT237" s="90" t="s">
        <v>1264</v>
      </c>
      <c r="BU237" s="90">
        <v>1420</v>
      </c>
      <c r="BV237" s="90">
        <v>10</v>
      </c>
      <c r="BW237" s="68"/>
      <c r="BX237" s="90" t="s">
        <v>1533</v>
      </c>
      <c r="BY237" s="90" t="s">
        <v>56</v>
      </c>
      <c r="BZ237" s="90">
        <v>0.2</v>
      </c>
      <c r="CA237" s="90">
        <v>3.5</v>
      </c>
      <c r="CB237" s="90">
        <v>2.56</v>
      </c>
      <c r="CC237" s="90">
        <v>0</v>
      </c>
      <c r="CD237" s="90"/>
      <c r="CE237" s="90"/>
      <c r="CF237" s="90" t="s">
        <v>1552</v>
      </c>
      <c r="CG237" s="90">
        <v>400</v>
      </c>
      <c r="CH237" s="90">
        <v>365</v>
      </c>
      <c r="CI237" s="68"/>
      <c r="CJ237" s="68"/>
      <c r="CK237" s="125">
        <v>3565</v>
      </c>
    </row>
    <row r="238" spans="1:89" ht="15" thickBot="1" x14ac:dyDescent="0.35">
      <c r="A238" s="114" t="s">
        <v>2889</v>
      </c>
      <c r="C238" t="s">
        <v>3293</v>
      </c>
      <c r="E238" s="90">
        <v>4.5999999999999996</v>
      </c>
      <c r="F238" s="114" t="s">
        <v>2890</v>
      </c>
      <c r="G238" t="s">
        <v>3154</v>
      </c>
      <c r="H238">
        <v>-1</v>
      </c>
      <c r="I238" t="s">
        <v>3423</v>
      </c>
      <c r="L238" s="73" t="s">
        <v>3424</v>
      </c>
      <c r="M238" t="b">
        <v>0</v>
      </c>
      <c r="N238" t="b">
        <v>0</v>
      </c>
      <c r="O238" t="b">
        <v>1</v>
      </c>
      <c r="P238" t="b">
        <v>0</v>
      </c>
      <c r="Q238" t="s">
        <v>3154</v>
      </c>
      <c r="R238">
        <v>-1</v>
      </c>
      <c r="S238" t="s">
        <v>3600</v>
      </c>
      <c r="AB238" s="120"/>
      <c r="BT238" s="90" t="s">
        <v>1336</v>
      </c>
      <c r="BU238" s="90">
        <v>1473</v>
      </c>
      <c r="BV238" s="90">
        <v>24</v>
      </c>
      <c r="BW238" s="68"/>
      <c r="BX238" s="90" t="s">
        <v>1533</v>
      </c>
      <c r="BY238" s="90" t="s">
        <v>56</v>
      </c>
      <c r="BZ238" s="90">
        <v>0.2</v>
      </c>
      <c r="CA238" s="90">
        <v>2.14</v>
      </c>
      <c r="CB238" s="90">
        <v>0.23799999999999999</v>
      </c>
      <c r="CC238" s="90">
        <v>5</v>
      </c>
      <c r="CD238" s="90"/>
      <c r="CE238" s="90"/>
      <c r="CF238" s="90" t="s">
        <v>1552</v>
      </c>
      <c r="CG238" s="90">
        <v>350</v>
      </c>
      <c r="CH238" s="90">
        <v>365</v>
      </c>
      <c r="CI238" s="68"/>
      <c r="CJ238" s="68"/>
      <c r="CK238" s="125">
        <v>109</v>
      </c>
    </row>
    <row r="239" spans="1:89" ht="15" thickBot="1" x14ac:dyDescent="0.35">
      <c r="A239" s="114" t="s">
        <v>2889</v>
      </c>
      <c r="C239" t="s">
        <v>3293</v>
      </c>
      <c r="E239" s="90">
        <v>4.5999999999999996</v>
      </c>
      <c r="F239" s="114" t="s">
        <v>2890</v>
      </c>
      <c r="G239" t="s">
        <v>3154</v>
      </c>
      <c r="H239">
        <v>-1</v>
      </c>
      <c r="I239" t="s">
        <v>3423</v>
      </c>
      <c r="L239" s="73" t="s">
        <v>3424</v>
      </c>
      <c r="M239" t="b">
        <v>0</v>
      </c>
      <c r="N239" t="b">
        <v>0</v>
      </c>
      <c r="O239" t="b">
        <v>1</v>
      </c>
      <c r="P239" t="b">
        <v>0</v>
      </c>
      <c r="Q239" t="s">
        <v>3154</v>
      </c>
      <c r="R239">
        <v>-1</v>
      </c>
      <c r="S239" t="s">
        <v>3601</v>
      </c>
      <c r="AB239" s="120"/>
      <c r="BT239" s="90" t="s">
        <v>1264</v>
      </c>
      <c r="BU239" s="90">
        <v>1473</v>
      </c>
      <c r="BV239" s="90">
        <v>24</v>
      </c>
      <c r="BW239" s="68"/>
      <c r="BX239" s="90" t="s">
        <v>1533</v>
      </c>
      <c r="BY239" s="90" t="s">
        <v>56</v>
      </c>
      <c r="BZ239" s="90">
        <v>0.2</v>
      </c>
      <c r="CA239" s="90">
        <v>2.14</v>
      </c>
      <c r="CB239" s="90">
        <v>0.25</v>
      </c>
      <c r="CC239" s="90">
        <v>0</v>
      </c>
      <c r="CD239" s="90"/>
      <c r="CE239" s="90"/>
      <c r="CF239" s="90" t="s">
        <v>1552</v>
      </c>
      <c r="CG239" s="90">
        <v>350</v>
      </c>
      <c r="CH239" s="90">
        <v>365</v>
      </c>
      <c r="CI239" s="68"/>
      <c r="CJ239" s="68"/>
      <c r="CK239" s="125">
        <v>94.4</v>
      </c>
    </row>
    <row r="240" spans="1:89" ht="15" thickBot="1" x14ac:dyDescent="0.35">
      <c r="A240" s="114" t="s">
        <v>2889</v>
      </c>
      <c r="C240" t="s">
        <v>3293</v>
      </c>
      <c r="E240" s="90">
        <v>4.5999999999999996</v>
      </c>
      <c r="F240" s="114" t="s">
        <v>2890</v>
      </c>
      <c r="G240" t="s">
        <v>3154</v>
      </c>
      <c r="H240">
        <v>-1</v>
      </c>
      <c r="I240" t="s">
        <v>3423</v>
      </c>
      <c r="L240" s="73" t="s">
        <v>3424</v>
      </c>
      <c r="M240" t="b">
        <v>0</v>
      </c>
      <c r="N240" t="b">
        <v>0</v>
      </c>
      <c r="O240" t="b">
        <v>1</v>
      </c>
      <c r="P240" t="b">
        <v>0</v>
      </c>
      <c r="Q240" t="s">
        <v>3154</v>
      </c>
      <c r="R240">
        <v>-1</v>
      </c>
      <c r="S240" t="s">
        <v>3602</v>
      </c>
      <c r="AB240" s="120"/>
      <c r="BT240" s="90" t="s">
        <v>1264</v>
      </c>
      <c r="BU240" s="90">
        <v>1473</v>
      </c>
      <c r="BV240" s="90">
        <v>24</v>
      </c>
      <c r="BW240" s="68"/>
      <c r="BX240" s="90"/>
      <c r="BY240" s="90"/>
      <c r="BZ240" s="90"/>
      <c r="CA240" s="90">
        <v>2.14</v>
      </c>
      <c r="CB240" s="90">
        <v>0.25</v>
      </c>
      <c r="CC240" s="90">
        <v>0</v>
      </c>
      <c r="CD240" s="90"/>
      <c r="CE240" s="90"/>
      <c r="CF240" s="90" t="s">
        <v>1552</v>
      </c>
      <c r="CG240" s="90">
        <v>350</v>
      </c>
      <c r="CH240" s="90">
        <v>365</v>
      </c>
      <c r="CI240" s="68"/>
      <c r="CJ240" s="68"/>
      <c r="CK240" s="125">
        <v>39</v>
      </c>
    </row>
    <row r="241" spans="1:89" ht="15" thickBot="1" x14ac:dyDescent="0.35">
      <c r="A241" s="114" t="s">
        <v>2889</v>
      </c>
      <c r="C241" t="s">
        <v>3293</v>
      </c>
      <c r="E241" s="90">
        <v>4.5999999999999996</v>
      </c>
      <c r="F241" s="114" t="s">
        <v>2890</v>
      </c>
      <c r="G241" t="s">
        <v>3154</v>
      </c>
      <c r="H241">
        <v>-1</v>
      </c>
      <c r="I241" t="s">
        <v>3423</v>
      </c>
      <c r="L241" s="73" t="s">
        <v>3424</v>
      </c>
      <c r="M241" t="b">
        <v>0</v>
      </c>
      <c r="N241" t="b">
        <v>0</v>
      </c>
      <c r="O241" t="b">
        <v>1</v>
      </c>
      <c r="P241" t="b">
        <v>0</v>
      </c>
      <c r="Q241" t="s">
        <v>3154</v>
      </c>
      <c r="R241">
        <v>-1</v>
      </c>
      <c r="S241" t="s">
        <v>3603</v>
      </c>
      <c r="AB241" s="120"/>
      <c r="BT241" s="90" t="s">
        <v>1264</v>
      </c>
      <c r="BU241" s="90">
        <v>1473</v>
      </c>
      <c r="BV241" s="90">
        <v>24</v>
      </c>
      <c r="BW241" s="68"/>
      <c r="BX241" s="90" t="s">
        <v>1533</v>
      </c>
      <c r="BY241" s="90" t="s">
        <v>56</v>
      </c>
      <c r="BZ241" s="90">
        <v>0.1</v>
      </c>
      <c r="CA241" s="90">
        <v>2.14</v>
      </c>
      <c r="CB241" s="90">
        <v>0.25</v>
      </c>
      <c r="CC241" s="90">
        <v>0</v>
      </c>
      <c r="CD241" s="90"/>
      <c r="CE241" s="90"/>
      <c r="CF241" s="90" t="s">
        <v>1552</v>
      </c>
      <c r="CG241" s="90">
        <v>350</v>
      </c>
      <c r="CH241" s="90">
        <v>365</v>
      </c>
      <c r="CI241" s="68"/>
      <c r="CJ241" s="68"/>
      <c r="CK241" s="125">
        <v>55</v>
      </c>
    </row>
    <row r="242" spans="1:89" ht="15" thickBot="1" x14ac:dyDescent="0.35">
      <c r="A242" s="114" t="s">
        <v>2889</v>
      </c>
      <c r="C242" t="s">
        <v>3293</v>
      </c>
      <c r="E242" s="90">
        <v>4.5999999999999996</v>
      </c>
      <c r="F242" s="114" t="s">
        <v>2890</v>
      </c>
      <c r="G242" t="s">
        <v>3154</v>
      </c>
      <c r="H242">
        <v>-1</v>
      </c>
      <c r="I242" t="s">
        <v>3423</v>
      </c>
      <c r="L242" s="73" t="s">
        <v>3424</v>
      </c>
      <c r="M242" t="b">
        <v>0</v>
      </c>
      <c r="N242" t="b">
        <v>0</v>
      </c>
      <c r="O242" t="b">
        <v>1</v>
      </c>
      <c r="P242" t="b">
        <v>0</v>
      </c>
      <c r="Q242" t="s">
        <v>3154</v>
      </c>
      <c r="R242">
        <v>-1</v>
      </c>
      <c r="S242" t="s">
        <v>3604</v>
      </c>
      <c r="AB242" s="120"/>
      <c r="BT242" s="90" t="s">
        <v>1264</v>
      </c>
      <c r="BU242" s="90">
        <v>1473</v>
      </c>
      <c r="BV242" s="90">
        <v>24</v>
      </c>
      <c r="BW242" s="68"/>
      <c r="BX242" s="90" t="s">
        <v>1533</v>
      </c>
      <c r="BY242" s="90" t="s">
        <v>56</v>
      </c>
      <c r="BZ242" s="90">
        <v>0.3</v>
      </c>
      <c r="CA242" s="90">
        <v>2.14</v>
      </c>
      <c r="CB242" s="90">
        <v>0.25</v>
      </c>
      <c r="CC242" s="90">
        <v>0</v>
      </c>
      <c r="CD242" s="90"/>
      <c r="CE242" s="90"/>
      <c r="CF242" s="90" t="s">
        <v>1552</v>
      </c>
      <c r="CG242" s="90">
        <v>350</v>
      </c>
      <c r="CH242" s="90">
        <v>365</v>
      </c>
      <c r="CI242" s="68"/>
      <c r="CJ242" s="68"/>
      <c r="CK242" s="125">
        <v>87</v>
      </c>
    </row>
    <row r="243" spans="1:89" ht="15" thickBot="1" x14ac:dyDescent="0.35">
      <c r="A243" s="114" t="s">
        <v>2889</v>
      </c>
      <c r="C243" t="s">
        <v>3293</v>
      </c>
      <c r="E243" s="90">
        <v>4.5999999999999996</v>
      </c>
      <c r="F243" s="114" t="s">
        <v>2890</v>
      </c>
      <c r="G243" t="s">
        <v>3154</v>
      </c>
      <c r="H243">
        <v>-1</v>
      </c>
      <c r="I243" t="s">
        <v>3423</v>
      </c>
      <c r="L243" s="73" t="s">
        <v>3424</v>
      </c>
      <c r="M243" t="b">
        <v>0</v>
      </c>
      <c r="N243" t="b">
        <v>0</v>
      </c>
      <c r="O243" t="b">
        <v>1</v>
      </c>
      <c r="P243" t="b">
        <v>0</v>
      </c>
      <c r="Q243" t="s">
        <v>3154</v>
      </c>
      <c r="R243">
        <v>-1</v>
      </c>
      <c r="S243" t="s">
        <v>3605</v>
      </c>
      <c r="AB243" s="120"/>
      <c r="BT243" s="90" t="s">
        <v>1264</v>
      </c>
      <c r="BU243" s="90">
        <v>1473</v>
      </c>
      <c r="BV243" s="90">
        <v>24</v>
      </c>
      <c r="BW243" s="68"/>
      <c r="BX243" s="90" t="s">
        <v>1533</v>
      </c>
      <c r="BY243" s="90" t="s">
        <v>56</v>
      </c>
      <c r="BZ243" s="90">
        <v>0.4</v>
      </c>
      <c r="CA243" s="90">
        <v>2.14</v>
      </c>
      <c r="CB243" s="90">
        <v>0.25</v>
      </c>
      <c r="CC243" s="90">
        <v>0</v>
      </c>
      <c r="CD243" s="90"/>
      <c r="CE243" s="90"/>
      <c r="CF243" s="90" t="s">
        <v>1552</v>
      </c>
      <c r="CG243" s="90">
        <v>350</v>
      </c>
      <c r="CH243" s="90">
        <v>365</v>
      </c>
      <c r="CI243" s="68"/>
      <c r="CJ243" s="68"/>
      <c r="CK243" s="125">
        <v>72</v>
      </c>
    </row>
    <row r="244" spans="1:89" ht="15" thickBot="1" x14ac:dyDescent="0.35">
      <c r="A244" s="114" t="s">
        <v>2889</v>
      </c>
      <c r="C244" t="s">
        <v>3293</v>
      </c>
      <c r="E244" s="90">
        <v>4.5999999999999996</v>
      </c>
      <c r="F244" s="114" t="s">
        <v>2890</v>
      </c>
      <c r="G244" t="s">
        <v>3154</v>
      </c>
      <c r="H244">
        <v>-1</v>
      </c>
      <c r="I244" t="s">
        <v>3423</v>
      </c>
      <c r="L244" s="73" t="s">
        <v>3424</v>
      </c>
      <c r="M244" t="b">
        <v>0</v>
      </c>
      <c r="N244" t="b">
        <v>0</v>
      </c>
      <c r="O244" t="b">
        <v>1</v>
      </c>
      <c r="P244" t="b">
        <v>0</v>
      </c>
      <c r="Q244" t="s">
        <v>3154</v>
      </c>
      <c r="R244">
        <v>-1</v>
      </c>
      <c r="S244" t="s">
        <v>3606</v>
      </c>
      <c r="AB244" s="120"/>
      <c r="BT244" s="90" t="s">
        <v>1264</v>
      </c>
      <c r="BU244" s="90">
        <v>1473</v>
      </c>
      <c r="BV244" s="90">
        <v>24</v>
      </c>
      <c r="BW244" s="68"/>
      <c r="BX244" s="90" t="s">
        <v>1533</v>
      </c>
      <c r="BY244" s="90" t="s">
        <v>56</v>
      </c>
      <c r="BZ244" s="90">
        <v>0.5</v>
      </c>
      <c r="CA244" s="90">
        <v>2.14</v>
      </c>
      <c r="CB244" s="90">
        <v>0.25</v>
      </c>
      <c r="CC244" s="90">
        <v>0</v>
      </c>
      <c r="CD244" s="90"/>
      <c r="CE244" s="90"/>
      <c r="CF244" s="90" t="s">
        <v>1552</v>
      </c>
      <c r="CG244" s="90">
        <v>350</v>
      </c>
      <c r="CH244" s="90">
        <v>365</v>
      </c>
      <c r="CI244" s="68"/>
      <c r="CJ244" s="68"/>
      <c r="CK244" s="125">
        <v>61</v>
      </c>
    </row>
    <row r="245" spans="1:89" ht="15" thickBot="1" x14ac:dyDescent="0.35">
      <c r="A245" s="114" t="s">
        <v>2892</v>
      </c>
      <c r="C245" t="s">
        <v>3294</v>
      </c>
      <c r="E245" s="90">
        <v>2.89</v>
      </c>
      <c r="F245" s="114" t="s">
        <v>2891</v>
      </c>
      <c r="G245" t="s">
        <v>3154</v>
      </c>
      <c r="H245">
        <v>-1</v>
      </c>
      <c r="I245" t="s">
        <v>3423</v>
      </c>
      <c r="L245" s="73" t="s">
        <v>3425</v>
      </c>
      <c r="M245" t="b">
        <v>0</v>
      </c>
      <c r="N245" t="b">
        <v>0</v>
      </c>
      <c r="O245" t="b">
        <v>1</v>
      </c>
      <c r="P245" t="b">
        <v>0</v>
      </c>
      <c r="Q245" t="s">
        <v>3154</v>
      </c>
      <c r="R245">
        <v>-1</v>
      </c>
      <c r="S245" t="s">
        <v>3607</v>
      </c>
      <c r="AB245" s="120"/>
      <c r="BT245" s="90" t="s">
        <v>1264</v>
      </c>
      <c r="BU245" s="90">
        <v>1223</v>
      </c>
      <c r="BV245" s="90">
        <v>24</v>
      </c>
      <c r="BW245" s="68"/>
      <c r="BX245" s="90" t="s">
        <v>1533</v>
      </c>
      <c r="BY245" s="90" t="s">
        <v>56</v>
      </c>
      <c r="BZ245" s="90">
        <v>2.1999999999999999E-2</v>
      </c>
      <c r="CA245" s="90"/>
      <c r="CB245" s="90">
        <v>0.23799999999999999</v>
      </c>
      <c r="CC245" s="90">
        <v>5</v>
      </c>
      <c r="CD245" s="90"/>
      <c r="CE245" s="90"/>
      <c r="CF245" s="90" t="s">
        <v>1552</v>
      </c>
      <c r="CG245" s="90">
        <v>350</v>
      </c>
      <c r="CH245" s="90">
        <v>365</v>
      </c>
      <c r="CI245" s="68"/>
      <c r="CJ245" s="68"/>
      <c r="CK245" s="125">
        <v>106</v>
      </c>
    </row>
    <row r="246" spans="1:89" ht="15" thickBot="1" x14ac:dyDescent="0.35">
      <c r="A246" s="114" t="s">
        <v>2892</v>
      </c>
      <c r="C246" t="s">
        <v>3294</v>
      </c>
      <c r="E246" s="90">
        <v>2.89</v>
      </c>
      <c r="F246" s="114" t="s">
        <v>2891</v>
      </c>
      <c r="G246" t="s">
        <v>3154</v>
      </c>
      <c r="H246">
        <v>-1</v>
      </c>
      <c r="I246" t="s">
        <v>3423</v>
      </c>
      <c r="L246" s="73" t="s">
        <v>3425</v>
      </c>
      <c r="M246" t="b">
        <v>0</v>
      </c>
      <c r="N246" t="b">
        <v>0</v>
      </c>
      <c r="O246" t="b">
        <v>1</v>
      </c>
      <c r="P246" t="b">
        <v>0</v>
      </c>
      <c r="Q246" t="s">
        <v>3154</v>
      </c>
      <c r="R246">
        <v>-1</v>
      </c>
      <c r="S246" t="s">
        <v>3608</v>
      </c>
      <c r="AB246" s="120"/>
      <c r="BT246" s="90" t="s">
        <v>1264</v>
      </c>
      <c r="BU246" s="90">
        <v>1223</v>
      </c>
      <c r="BV246" s="90">
        <v>24</v>
      </c>
      <c r="BW246" s="68"/>
      <c r="BX246" s="90" t="s">
        <v>1533</v>
      </c>
      <c r="BY246" s="90" t="s">
        <v>56</v>
      </c>
      <c r="BZ246" s="90">
        <v>0.98699999999999999</v>
      </c>
      <c r="CA246" s="90"/>
      <c r="CB246" s="90">
        <v>0.23799999999999999</v>
      </c>
      <c r="CC246" s="90">
        <v>5</v>
      </c>
      <c r="CD246" s="90"/>
      <c r="CE246" s="90"/>
      <c r="CF246" s="90" t="s">
        <v>1552</v>
      </c>
      <c r="CG246" s="90">
        <v>350</v>
      </c>
      <c r="CH246" s="90">
        <v>365</v>
      </c>
      <c r="CI246" s="68"/>
      <c r="CJ246" s="68"/>
      <c r="CK246" s="125">
        <v>124</v>
      </c>
    </row>
    <row r="247" spans="1:89" ht="15" thickBot="1" x14ac:dyDescent="0.35">
      <c r="A247" s="114" t="s">
        <v>2892</v>
      </c>
      <c r="C247" t="s">
        <v>3294</v>
      </c>
      <c r="E247" s="90">
        <v>2.89</v>
      </c>
      <c r="F247" s="114" t="s">
        <v>2891</v>
      </c>
      <c r="G247" t="s">
        <v>3154</v>
      </c>
      <c r="H247">
        <v>-1</v>
      </c>
      <c r="I247" t="s">
        <v>3423</v>
      </c>
      <c r="L247" s="73" t="s">
        <v>3425</v>
      </c>
      <c r="M247" t="b">
        <v>0</v>
      </c>
      <c r="N247" t="b">
        <v>0</v>
      </c>
      <c r="O247" t="b">
        <v>1</v>
      </c>
      <c r="P247" t="b">
        <v>0</v>
      </c>
      <c r="Q247" t="s">
        <v>3154</v>
      </c>
      <c r="R247">
        <v>-1</v>
      </c>
      <c r="S247" t="s">
        <v>3609</v>
      </c>
      <c r="AB247" s="120"/>
      <c r="BT247" s="90" t="s">
        <v>1264</v>
      </c>
      <c r="BU247" s="90">
        <v>1223</v>
      </c>
      <c r="BV247" s="90">
        <v>24</v>
      </c>
      <c r="BW247" s="68"/>
      <c r="BX247" s="90" t="s">
        <v>1533</v>
      </c>
      <c r="BY247" s="90" t="s">
        <v>56</v>
      </c>
      <c r="BZ247" s="90">
        <v>1.5</v>
      </c>
      <c r="CA247" s="90"/>
      <c r="CB247" s="90">
        <v>0.23799999999999999</v>
      </c>
      <c r="CC247" s="90">
        <v>5</v>
      </c>
      <c r="CD247" s="90"/>
      <c r="CE247" s="90"/>
      <c r="CF247" s="90" t="s">
        <v>1552</v>
      </c>
      <c r="CG247" s="90">
        <v>350</v>
      </c>
      <c r="CH247" s="90">
        <v>365</v>
      </c>
      <c r="CI247" s="68"/>
      <c r="CJ247" s="68"/>
      <c r="CK247" s="125">
        <v>135</v>
      </c>
    </row>
    <row r="248" spans="1:89" ht="15" thickBot="1" x14ac:dyDescent="0.35">
      <c r="A248" s="114" t="s">
        <v>2892</v>
      </c>
      <c r="C248" t="s">
        <v>3294</v>
      </c>
      <c r="E248" s="90">
        <v>2.89</v>
      </c>
      <c r="F248" s="114" t="s">
        <v>2891</v>
      </c>
      <c r="G248" t="s">
        <v>3154</v>
      </c>
      <c r="H248">
        <v>-1</v>
      </c>
      <c r="I248" t="s">
        <v>3423</v>
      </c>
      <c r="L248" s="73" t="s">
        <v>3425</v>
      </c>
      <c r="M248" t="b">
        <v>0</v>
      </c>
      <c r="N248" t="b">
        <v>0</v>
      </c>
      <c r="O248" t="b">
        <v>1</v>
      </c>
      <c r="P248" t="b">
        <v>0</v>
      </c>
      <c r="Q248" t="s">
        <v>3154</v>
      </c>
      <c r="R248">
        <v>-1</v>
      </c>
      <c r="S248" t="s">
        <v>3610</v>
      </c>
      <c r="AB248" s="120"/>
      <c r="BT248" s="90" t="s">
        <v>1264</v>
      </c>
      <c r="BU248" s="90">
        <v>1223</v>
      </c>
      <c r="BV248" s="90">
        <v>24</v>
      </c>
      <c r="BW248" s="68"/>
      <c r="BX248" s="90" t="s">
        <v>1533</v>
      </c>
      <c r="BY248" s="90" t="s">
        <v>56</v>
      </c>
      <c r="BZ248" s="90">
        <v>2.0299999999999998</v>
      </c>
      <c r="CA248" s="90"/>
      <c r="CB248" s="90">
        <v>0.23799999999999999</v>
      </c>
      <c r="CC248" s="90">
        <v>5</v>
      </c>
      <c r="CD248" s="90"/>
      <c r="CE248" s="90"/>
      <c r="CF248" s="90" t="s">
        <v>1552</v>
      </c>
      <c r="CG248" s="90">
        <v>350</v>
      </c>
      <c r="CH248" s="90">
        <v>365</v>
      </c>
      <c r="CI248" s="68"/>
      <c r="CJ248" s="68"/>
      <c r="CK248" s="125">
        <v>141</v>
      </c>
    </row>
    <row r="249" spans="1:89" ht="15" thickBot="1" x14ac:dyDescent="0.35">
      <c r="A249" s="114" t="s">
        <v>2892</v>
      </c>
      <c r="C249" t="s">
        <v>3294</v>
      </c>
      <c r="E249" s="90">
        <v>2.89</v>
      </c>
      <c r="F249" s="114" t="s">
        <v>2891</v>
      </c>
      <c r="G249" t="s">
        <v>3154</v>
      </c>
      <c r="H249">
        <v>-1</v>
      </c>
      <c r="I249" t="s">
        <v>3423</v>
      </c>
      <c r="L249" s="73" t="s">
        <v>3425</v>
      </c>
      <c r="M249" t="b">
        <v>0</v>
      </c>
      <c r="N249" t="b">
        <v>0</v>
      </c>
      <c r="O249" t="b">
        <v>1</v>
      </c>
      <c r="P249" t="b">
        <v>0</v>
      </c>
      <c r="Q249" t="s">
        <v>3154</v>
      </c>
      <c r="R249">
        <v>-1</v>
      </c>
      <c r="S249" t="s">
        <v>3611</v>
      </c>
      <c r="AB249" s="120"/>
      <c r="BT249" s="90" t="s">
        <v>1264</v>
      </c>
      <c r="BU249" s="90">
        <v>1223</v>
      </c>
      <c r="BV249" s="90">
        <v>24</v>
      </c>
      <c r="BW249" s="68"/>
      <c r="BX249" s="90" t="s">
        <v>1533</v>
      </c>
      <c r="BY249" s="90" t="s">
        <v>56</v>
      </c>
      <c r="BZ249" s="90">
        <v>2.96</v>
      </c>
      <c r="CA249" s="90"/>
      <c r="CB249" s="90">
        <v>0.23799999999999999</v>
      </c>
      <c r="CC249" s="90">
        <v>5</v>
      </c>
      <c r="CD249" s="90"/>
      <c r="CE249" s="90"/>
      <c r="CF249" s="90" t="s">
        <v>1552</v>
      </c>
      <c r="CG249" s="90">
        <v>350</v>
      </c>
      <c r="CH249" s="90">
        <v>365</v>
      </c>
      <c r="CI249" s="68"/>
      <c r="CJ249" s="68"/>
      <c r="CK249" s="125">
        <v>134</v>
      </c>
    </row>
    <row r="250" spans="1:89" ht="15" thickBot="1" x14ac:dyDescent="0.35">
      <c r="A250" s="114" t="s">
        <v>2892</v>
      </c>
      <c r="C250" t="s">
        <v>3294</v>
      </c>
      <c r="E250" s="90">
        <v>2.89</v>
      </c>
      <c r="F250" s="114" t="s">
        <v>2891</v>
      </c>
      <c r="G250" t="s">
        <v>3154</v>
      </c>
      <c r="H250">
        <v>-1</v>
      </c>
      <c r="I250" t="s">
        <v>3423</v>
      </c>
      <c r="L250" s="73" t="s">
        <v>3425</v>
      </c>
      <c r="M250" t="b">
        <v>0</v>
      </c>
      <c r="N250" t="b">
        <v>0</v>
      </c>
      <c r="O250" t="b">
        <v>1</v>
      </c>
      <c r="P250" t="b">
        <v>0</v>
      </c>
      <c r="Q250" t="s">
        <v>3154</v>
      </c>
      <c r="R250">
        <v>-1</v>
      </c>
      <c r="S250" t="s">
        <v>3612</v>
      </c>
      <c r="AB250" s="120"/>
      <c r="BT250" s="90" t="s">
        <v>1264</v>
      </c>
      <c r="BU250" s="90">
        <v>1223</v>
      </c>
      <c r="BV250" s="90">
        <v>24</v>
      </c>
      <c r="BW250" s="68"/>
      <c r="BX250" s="90" t="s">
        <v>1533</v>
      </c>
      <c r="BY250" s="90" t="s">
        <v>56</v>
      </c>
      <c r="BZ250" s="90">
        <v>5.0199999999999996</v>
      </c>
      <c r="CA250" s="90"/>
      <c r="CB250" s="90">
        <v>0.23799999999999999</v>
      </c>
      <c r="CC250" s="90">
        <v>5</v>
      </c>
      <c r="CD250" s="90"/>
      <c r="CE250" s="90"/>
      <c r="CF250" s="90" t="s">
        <v>1552</v>
      </c>
      <c r="CG250" s="90">
        <v>350</v>
      </c>
      <c r="CH250" s="90">
        <v>365</v>
      </c>
      <c r="CI250" s="68"/>
      <c r="CJ250" s="68"/>
      <c r="CK250" s="125">
        <v>125</v>
      </c>
    </row>
    <row r="251" spans="1:89" ht="15" thickBot="1" x14ac:dyDescent="0.35">
      <c r="A251" s="114" t="s">
        <v>185</v>
      </c>
      <c r="C251" t="s">
        <v>729</v>
      </c>
      <c r="E251" s="90">
        <v>4.5999999999999996</v>
      </c>
      <c r="F251" s="114" t="s">
        <v>2893</v>
      </c>
      <c r="G251" t="s">
        <v>556</v>
      </c>
      <c r="H251" t="s">
        <v>633</v>
      </c>
      <c r="M251" t="b">
        <v>1</v>
      </c>
      <c r="N251" t="b">
        <v>1</v>
      </c>
      <c r="O251" t="b">
        <v>0</v>
      </c>
      <c r="P251" t="b">
        <v>0</v>
      </c>
      <c r="Q251" t="s">
        <v>556</v>
      </c>
      <c r="R251">
        <v>2106523</v>
      </c>
      <c r="AB251" s="120"/>
      <c r="BT251" s="90" t="s">
        <v>1264</v>
      </c>
      <c r="BU251" s="90"/>
      <c r="BV251" s="90"/>
      <c r="BW251" s="68"/>
      <c r="BX251" s="90"/>
      <c r="BY251" s="90"/>
      <c r="BZ251" s="90"/>
      <c r="CA251" s="90"/>
      <c r="CB251" s="90">
        <v>1.25</v>
      </c>
      <c r="CC251" s="90">
        <v>0</v>
      </c>
      <c r="CD251" s="90"/>
      <c r="CE251" s="90"/>
      <c r="CF251" s="90" t="s">
        <v>1552</v>
      </c>
      <c r="CG251" s="90">
        <v>350</v>
      </c>
      <c r="CH251" s="90">
        <v>365</v>
      </c>
      <c r="CI251" s="68"/>
      <c r="CJ251" s="68"/>
      <c r="CK251" s="125">
        <v>1287.5</v>
      </c>
    </row>
    <row r="252" spans="1:89" ht="15" thickBot="1" x14ac:dyDescent="0.35">
      <c r="A252" s="114" t="s">
        <v>185</v>
      </c>
      <c r="C252" t="s">
        <v>729</v>
      </c>
      <c r="E252" s="90">
        <v>4.5999999999999996</v>
      </c>
      <c r="F252" s="114" t="s">
        <v>2893</v>
      </c>
      <c r="G252" t="s">
        <v>556</v>
      </c>
      <c r="H252" t="s">
        <v>633</v>
      </c>
      <c r="M252" t="b">
        <v>1</v>
      </c>
      <c r="N252" t="b">
        <v>1</v>
      </c>
      <c r="O252" t="b">
        <v>0</v>
      </c>
      <c r="P252" t="b">
        <v>0</v>
      </c>
      <c r="Q252" t="s">
        <v>556</v>
      </c>
      <c r="R252">
        <v>2106523</v>
      </c>
      <c r="AB252" s="120"/>
      <c r="BT252" s="90" t="s">
        <v>1264</v>
      </c>
      <c r="BU252" s="90">
        <v>643</v>
      </c>
      <c r="BV252" s="90">
        <v>1</v>
      </c>
      <c r="BW252" s="68"/>
      <c r="BX252" s="90" t="s">
        <v>1533</v>
      </c>
      <c r="BY252" s="90" t="s">
        <v>56</v>
      </c>
      <c r="BZ252" s="90">
        <v>0.15</v>
      </c>
      <c r="CA252" s="90"/>
      <c r="CB252" s="90">
        <v>1.25</v>
      </c>
      <c r="CC252" s="90">
        <v>0</v>
      </c>
      <c r="CD252" s="90"/>
      <c r="CE252" s="90"/>
      <c r="CF252" s="90" t="s">
        <v>1552</v>
      </c>
      <c r="CG252" s="90">
        <v>350</v>
      </c>
      <c r="CH252" s="90">
        <v>365</v>
      </c>
      <c r="CI252" s="68"/>
      <c r="CJ252" s="68"/>
      <c r="CK252" s="125">
        <v>2345</v>
      </c>
    </row>
    <row r="253" spans="1:89" ht="15" thickBot="1" x14ac:dyDescent="0.35">
      <c r="A253" s="114" t="s">
        <v>2895</v>
      </c>
      <c r="C253" t="s">
        <v>3295</v>
      </c>
      <c r="E253" s="90">
        <v>3.3</v>
      </c>
      <c r="F253" s="114" t="s">
        <v>2894</v>
      </c>
      <c r="G253" t="s">
        <v>3183</v>
      </c>
      <c r="H253" t="s">
        <v>3184</v>
      </c>
      <c r="M253" t="b">
        <v>1</v>
      </c>
      <c r="N253" t="b">
        <v>1</v>
      </c>
      <c r="O253" t="b">
        <v>0</v>
      </c>
      <c r="P253" t="b">
        <v>0</v>
      </c>
      <c r="Q253" t="s">
        <v>3183</v>
      </c>
      <c r="R253">
        <v>1532721</v>
      </c>
      <c r="AB253" s="90"/>
      <c r="BT253" s="90" t="s">
        <v>1598</v>
      </c>
      <c r="BU253" s="90">
        <v>1373</v>
      </c>
      <c r="BV253" s="90">
        <v>48</v>
      </c>
      <c r="BW253" s="68"/>
      <c r="BX253" s="90"/>
      <c r="BY253" s="90"/>
      <c r="BZ253" s="90"/>
      <c r="CA253" s="90">
        <v>1.1499999999999999</v>
      </c>
      <c r="CB253" s="90">
        <v>0.23799999999999999</v>
      </c>
      <c r="CC253" s="90">
        <v>5</v>
      </c>
      <c r="CD253" s="90" t="s">
        <v>1592</v>
      </c>
      <c r="CE253" s="90"/>
      <c r="CF253" s="90" t="s">
        <v>1552</v>
      </c>
      <c r="CG253" s="90">
        <v>350</v>
      </c>
      <c r="CH253" s="90">
        <v>400</v>
      </c>
      <c r="CI253" s="68"/>
      <c r="CJ253" s="68"/>
      <c r="CK253" s="125">
        <v>528</v>
      </c>
    </row>
    <row r="254" spans="1:89" ht="15" thickBot="1" x14ac:dyDescent="0.35">
      <c r="A254" s="114" t="s">
        <v>2896</v>
      </c>
      <c r="C254" t="s">
        <v>3296</v>
      </c>
      <c r="E254" s="90">
        <v>3.1</v>
      </c>
      <c r="F254" s="114" t="s">
        <v>2894</v>
      </c>
      <c r="G254" t="s">
        <v>3183</v>
      </c>
      <c r="H254" t="s">
        <v>3184</v>
      </c>
      <c r="J254" s="73" t="s">
        <v>3426</v>
      </c>
      <c r="K254" s="73" t="s">
        <v>3426</v>
      </c>
      <c r="M254" t="b">
        <v>1</v>
      </c>
      <c r="N254" t="b">
        <v>1</v>
      </c>
      <c r="O254" t="b">
        <v>0</v>
      </c>
      <c r="P254" t="b">
        <v>0</v>
      </c>
      <c r="Q254" t="s">
        <v>3613</v>
      </c>
      <c r="R254" t="s">
        <v>3614</v>
      </c>
      <c r="AB254" s="90"/>
      <c r="BT254" s="90" t="s">
        <v>1598</v>
      </c>
      <c r="BU254" s="90">
        <v>1373</v>
      </c>
      <c r="BV254" s="90">
        <v>48</v>
      </c>
      <c r="BW254" s="68"/>
      <c r="BX254" s="90"/>
      <c r="BY254" s="90"/>
      <c r="BZ254" s="90"/>
      <c r="CA254" s="90">
        <v>1.22</v>
      </c>
      <c r="CB254" s="90">
        <v>0.23799999999999999</v>
      </c>
      <c r="CC254" s="90">
        <v>5</v>
      </c>
      <c r="CD254" s="90" t="s">
        <v>1592</v>
      </c>
      <c r="CE254" s="90"/>
      <c r="CF254" s="90" t="s">
        <v>1552</v>
      </c>
      <c r="CG254" s="90">
        <v>350</v>
      </c>
      <c r="CH254" s="90">
        <v>400</v>
      </c>
      <c r="CI254" s="68"/>
      <c r="CJ254" s="68"/>
      <c r="CK254" s="125">
        <v>746</v>
      </c>
    </row>
    <row r="255" spans="1:89" ht="15" thickBot="1" x14ac:dyDescent="0.35">
      <c r="A255" s="114" t="s">
        <v>2897</v>
      </c>
      <c r="C255" t="s">
        <v>3296</v>
      </c>
      <c r="E255" s="90">
        <v>2.9</v>
      </c>
      <c r="F255" s="114" t="s">
        <v>2894</v>
      </c>
      <c r="G255" t="s">
        <v>3183</v>
      </c>
      <c r="H255" t="s">
        <v>3184</v>
      </c>
      <c r="J255" s="73" t="s">
        <v>3427</v>
      </c>
      <c r="K255" s="73" t="s">
        <v>3427</v>
      </c>
      <c r="M255" t="b">
        <v>1</v>
      </c>
      <c r="N255" t="b">
        <v>1</v>
      </c>
      <c r="O255" t="b">
        <v>0</v>
      </c>
      <c r="P255" t="b">
        <v>0</v>
      </c>
      <c r="Q255" t="s">
        <v>3615</v>
      </c>
      <c r="R255" t="s">
        <v>3616</v>
      </c>
      <c r="AB255" s="90"/>
      <c r="BT255" s="90" t="s">
        <v>1598</v>
      </c>
      <c r="BU255" s="90">
        <v>1373</v>
      </c>
      <c r="BV255" s="90">
        <v>48</v>
      </c>
      <c r="BW255" s="68"/>
      <c r="BX255" s="90"/>
      <c r="BY255" s="90"/>
      <c r="BZ255" s="90"/>
      <c r="CA255" s="90">
        <v>1.43</v>
      </c>
      <c r="CB255" s="90">
        <v>0.23799999999999999</v>
      </c>
      <c r="CC255" s="90">
        <v>5</v>
      </c>
      <c r="CD255" s="90" t="s">
        <v>1592</v>
      </c>
      <c r="CE255" s="90"/>
      <c r="CF255" s="90" t="s">
        <v>1552</v>
      </c>
      <c r="CG255" s="90">
        <v>350</v>
      </c>
      <c r="CH255" s="90">
        <v>400</v>
      </c>
      <c r="CI255" s="68"/>
      <c r="CJ255" s="68"/>
      <c r="CK255" s="125">
        <v>884</v>
      </c>
    </row>
    <row r="256" spans="1:89" ht="15" thickBot="1" x14ac:dyDescent="0.35">
      <c r="A256" s="114" t="s">
        <v>2898</v>
      </c>
      <c r="C256" t="s">
        <v>3296</v>
      </c>
      <c r="E256" s="90">
        <v>2.8</v>
      </c>
      <c r="F256" s="114" t="s">
        <v>2894</v>
      </c>
      <c r="G256" t="s">
        <v>3183</v>
      </c>
      <c r="H256" t="s">
        <v>3184</v>
      </c>
      <c r="J256" s="73" t="s">
        <v>3428</v>
      </c>
      <c r="K256" s="73" t="s">
        <v>3428</v>
      </c>
      <c r="M256" t="b">
        <v>1</v>
      </c>
      <c r="N256" t="b">
        <v>1</v>
      </c>
      <c r="O256" t="b">
        <v>0</v>
      </c>
      <c r="P256" t="b">
        <v>0</v>
      </c>
      <c r="Q256" t="s">
        <v>3617</v>
      </c>
      <c r="R256" t="s">
        <v>3618</v>
      </c>
      <c r="AB256" s="90"/>
      <c r="BT256" s="90" t="s">
        <v>1264</v>
      </c>
      <c r="BU256" s="90">
        <v>1373</v>
      </c>
      <c r="BV256" s="90">
        <v>48</v>
      </c>
      <c r="BW256" s="68"/>
      <c r="BX256" s="90"/>
      <c r="BY256" s="90"/>
      <c r="BZ256" s="90"/>
      <c r="CA256" s="90">
        <v>1.47</v>
      </c>
      <c r="CB256" s="90">
        <v>0.23799999999999999</v>
      </c>
      <c r="CC256" s="90">
        <v>5</v>
      </c>
      <c r="CD256" s="90" t="s">
        <v>1592</v>
      </c>
      <c r="CE256" s="90"/>
      <c r="CF256" s="90" t="s">
        <v>1552</v>
      </c>
      <c r="CG256" s="90">
        <v>350</v>
      </c>
      <c r="CH256" s="90">
        <v>400</v>
      </c>
      <c r="CI256" s="68"/>
      <c r="CJ256" s="68"/>
      <c r="CK256" s="125">
        <v>649</v>
      </c>
    </row>
    <row r="257" spans="1:89" ht="15" thickBot="1" x14ac:dyDescent="0.35">
      <c r="A257" s="114" t="s">
        <v>2899</v>
      </c>
      <c r="C257" t="s">
        <v>3296</v>
      </c>
      <c r="E257" s="90">
        <v>2.7</v>
      </c>
      <c r="F257" s="114" t="s">
        <v>2894</v>
      </c>
      <c r="G257" t="s">
        <v>3183</v>
      </c>
      <c r="H257" t="s">
        <v>3184</v>
      </c>
      <c r="J257" s="73" t="s">
        <v>3429</v>
      </c>
      <c r="K257" s="73" t="s">
        <v>3429</v>
      </c>
      <c r="M257" t="b">
        <v>1</v>
      </c>
      <c r="N257" t="b">
        <v>1</v>
      </c>
      <c r="O257" t="b">
        <v>0</v>
      </c>
      <c r="P257" t="b">
        <v>0</v>
      </c>
      <c r="Q257" t="s">
        <v>3619</v>
      </c>
      <c r="R257" t="s">
        <v>3620</v>
      </c>
      <c r="AB257" s="90"/>
      <c r="BT257" s="90" t="s">
        <v>1264</v>
      </c>
      <c r="BU257" s="90">
        <v>1373</v>
      </c>
      <c r="BV257" s="90">
        <v>48</v>
      </c>
      <c r="BW257" s="68"/>
      <c r="BX257" s="90"/>
      <c r="BY257" s="90"/>
      <c r="BZ257" s="90"/>
      <c r="CA257" s="90">
        <v>0.94</v>
      </c>
      <c r="CB257" s="90">
        <v>0.23799999999999999</v>
      </c>
      <c r="CC257" s="90">
        <v>5</v>
      </c>
      <c r="CD257" s="90" t="s">
        <v>1592</v>
      </c>
      <c r="CE257" s="90"/>
      <c r="CF257" s="90" t="s">
        <v>1552</v>
      </c>
      <c r="CG257" s="90">
        <v>350</v>
      </c>
      <c r="CH257" s="90">
        <v>400</v>
      </c>
      <c r="CI257" s="68"/>
      <c r="CJ257" s="68"/>
      <c r="CK257" s="125">
        <v>387</v>
      </c>
    </row>
    <row r="258" spans="1:89" ht="15" thickBot="1" x14ac:dyDescent="0.35">
      <c r="A258" s="114" t="s">
        <v>2895</v>
      </c>
      <c r="C258" t="s">
        <v>3295</v>
      </c>
      <c r="E258" s="90">
        <v>3.3</v>
      </c>
      <c r="F258" s="114" t="s">
        <v>2894</v>
      </c>
      <c r="G258" t="s">
        <v>3183</v>
      </c>
      <c r="H258" t="s">
        <v>3184</v>
      </c>
      <c r="M258" t="b">
        <v>1</v>
      </c>
      <c r="N258" t="b">
        <v>1</v>
      </c>
      <c r="O258" t="b">
        <v>0</v>
      </c>
      <c r="P258" t="b">
        <v>0</v>
      </c>
      <c r="Q258" t="s">
        <v>3183</v>
      </c>
      <c r="R258">
        <v>1532721</v>
      </c>
      <c r="AB258" s="90"/>
      <c r="BT258" s="90" t="s">
        <v>1264</v>
      </c>
      <c r="BU258" s="90">
        <v>1373</v>
      </c>
      <c r="BV258" s="90">
        <v>48</v>
      </c>
      <c r="BW258" s="68"/>
      <c r="BX258" s="90" t="s">
        <v>1533</v>
      </c>
      <c r="BY258" s="90" t="s">
        <v>1313</v>
      </c>
      <c r="BZ258" s="90">
        <v>0.1</v>
      </c>
      <c r="CA258" s="90">
        <v>1.1499999999999999</v>
      </c>
      <c r="CB258" s="90">
        <v>0.23799999999999999</v>
      </c>
      <c r="CC258" s="90">
        <v>5</v>
      </c>
      <c r="CD258" s="90" t="s">
        <v>1592</v>
      </c>
      <c r="CE258" s="90"/>
      <c r="CF258" s="90" t="s">
        <v>1552</v>
      </c>
      <c r="CG258" s="90">
        <v>350</v>
      </c>
      <c r="CH258" s="90">
        <v>400</v>
      </c>
      <c r="CI258" s="68"/>
      <c r="CJ258" s="68"/>
      <c r="CK258" s="125">
        <v>490</v>
      </c>
    </row>
    <row r="259" spans="1:89" ht="15" thickBot="1" x14ac:dyDescent="0.35">
      <c r="A259" s="114" t="s">
        <v>2895</v>
      </c>
      <c r="C259" t="s">
        <v>3295</v>
      </c>
      <c r="E259" s="90">
        <v>3.3</v>
      </c>
      <c r="F259" s="114" t="s">
        <v>2894</v>
      </c>
      <c r="G259" t="s">
        <v>3183</v>
      </c>
      <c r="H259" t="s">
        <v>3184</v>
      </c>
      <c r="M259" t="b">
        <v>1</v>
      </c>
      <c r="N259" t="b">
        <v>1</v>
      </c>
      <c r="O259" t="b">
        <v>0</v>
      </c>
      <c r="P259" t="b">
        <v>0</v>
      </c>
      <c r="Q259" t="s">
        <v>3183</v>
      </c>
      <c r="R259">
        <v>1532721</v>
      </c>
      <c r="AB259" s="90"/>
      <c r="BT259" s="90" t="s">
        <v>1264</v>
      </c>
      <c r="BU259" s="90">
        <v>1373</v>
      </c>
      <c r="BV259" s="90">
        <v>48</v>
      </c>
      <c r="BW259" s="68"/>
      <c r="BX259" s="90" t="s">
        <v>1533</v>
      </c>
      <c r="BY259" s="90" t="s">
        <v>1313</v>
      </c>
      <c r="BZ259" s="90">
        <v>0.2</v>
      </c>
      <c r="CA259" s="90">
        <v>1.1499999999999999</v>
      </c>
      <c r="CB259" s="90">
        <v>0.23799999999999999</v>
      </c>
      <c r="CC259" s="90">
        <v>5</v>
      </c>
      <c r="CD259" s="90" t="s">
        <v>1592</v>
      </c>
      <c r="CE259" s="90"/>
      <c r="CF259" s="90" t="s">
        <v>1552</v>
      </c>
      <c r="CG259" s="90">
        <v>350</v>
      </c>
      <c r="CH259" s="90">
        <v>400</v>
      </c>
      <c r="CI259" s="68"/>
      <c r="CJ259" s="68"/>
      <c r="CK259" s="125">
        <v>560</v>
      </c>
    </row>
    <row r="260" spans="1:89" ht="15" thickBot="1" x14ac:dyDescent="0.35">
      <c r="A260" s="114" t="s">
        <v>2895</v>
      </c>
      <c r="C260" t="s">
        <v>3295</v>
      </c>
      <c r="E260" s="90">
        <v>3.3</v>
      </c>
      <c r="F260" s="114" t="s">
        <v>2894</v>
      </c>
      <c r="G260" t="s">
        <v>3183</v>
      </c>
      <c r="H260" t="s">
        <v>3184</v>
      </c>
      <c r="M260" t="b">
        <v>1</v>
      </c>
      <c r="N260" t="b">
        <v>1</v>
      </c>
      <c r="O260" t="b">
        <v>0</v>
      </c>
      <c r="P260" t="b">
        <v>0</v>
      </c>
      <c r="Q260" t="s">
        <v>3183</v>
      </c>
      <c r="R260">
        <v>1532721</v>
      </c>
      <c r="AB260" s="90"/>
      <c r="BT260" s="90" t="s">
        <v>1264</v>
      </c>
      <c r="BU260" s="90">
        <v>1373</v>
      </c>
      <c r="BV260" s="90">
        <v>48</v>
      </c>
      <c r="BW260" s="68"/>
      <c r="BX260" s="90" t="s">
        <v>1533</v>
      </c>
      <c r="BY260" s="90" t="s">
        <v>1313</v>
      </c>
      <c r="BZ260" s="90">
        <v>0.3</v>
      </c>
      <c r="CA260" s="90">
        <v>1.1499999999999999</v>
      </c>
      <c r="CB260" s="90">
        <v>0.23799999999999999</v>
      </c>
      <c r="CC260" s="90">
        <v>5</v>
      </c>
      <c r="CD260" s="90" t="s">
        <v>1592</v>
      </c>
      <c r="CE260" s="90"/>
      <c r="CF260" s="90" t="s">
        <v>1552</v>
      </c>
      <c r="CG260" s="90">
        <v>350</v>
      </c>
      <c r="CH260" s="90">
        <v>400</v>
      </c>
      <c r="CI260" s="68"/>
      <c r="CJ260" s="68"/>
      <c r="CK260" s="125">
        <v>929</v>
      </c>
    </row>
    <row r="261" spans="1:89" ht="15" thickBot="1" x14ac:dyDescent="0.35">
      <c r="A261" s="114" t="s">
        <v>2895</v>
      </c>
      <c r="C261" t="s">
        <v>3295</v>
      </c>
      <c r="E261" s="90">
        <v>3.3</v>
      </c>
      <c r="F261" s="114" t="s">
        <v>2894</v>
      </c>
      <c r="G261" t="s">
        <v>3183</v>
      </c>
      <c r="H261" t="s">
        <v>3184</v>
      </c>
      <c r="M261" t="b">
        <v>1</v>
      </c>
      <c r="N261" t="b">
        <v>1</v>
      </c>
      <c r="O261" t="b">
        <v>0</v>
      </c>
      <c r="P261" t="b">
        <v>0</v>
      </c>
      <c r="Q261" t="s">
        <v>3183</v>
      </c>
      <c r="R261">
        <v>1532721</v>
      </c>
      <c r="AB261" s="90"/>
      <c r="BT261" s="90" t="s">
        <v>1264</v>
      </c>
      <c r="BU261" s="90">
        <v>1373</v>
      </c>
      <c r="BV261" s="90">
        <v>48</v>
      </c>
      <c r="BW261" s="68"/>
      <c r="BX261" s="90" t="s">
        <v>1533</v>
      </c>
      <c r="BY261" s="90" t="s">
        <v>1313</v>
      </c>
      <c r="BZ261" s="90">
        <v>0.4</v>
      </c>
      <c r="CA261" s="90">
        <v>1.1499999999999999</v>
      </c>
      <c r="CB261" s="90">
        <v>0.23799999999999999</v>
      </c>
      <c r="CC261" s="90">
        <v>5</v>
      </c>
      <c r="CD261" s="90" t="s">
        <v>1592</v>
      </c>
      <c r="CE261" s="90"/>
      <c r="CF261" s="90" t="s">
        <v>1552</v>
      </c>
      <c r="CG261" s="90">
        <v>350</v>
      </c>
      <c r="CH261" s="90">
        <v>400</v>
      </c>
      <c r="CI261" s="68"/>
      <c r="CJ261" s="68"/>
      <c r="CK261" s="125">
        <v>785</v>
      </c>
    </row>
    <row r="262" spans="1:89" ht="15" thickBot="1" x14ac:dyDescent="0.35">
      <c r="A262" s="114" t="s">
        <v>2895</v>
      </c>
      <c r="C262" t="s">
        <v>3295</v>
      </c>
      <c r="E262" s="90">
        <v>3.3</v>
      </c>
      <c r="F262" s="114" t="s">
        <v>2894</v>
      </c>
      <c r="G262" t="s">
        <v>3183</v>
      </c>
      <c r="H262" t="s">
        <v>3184</v>
      </c>
      <c r="M262" t="b">
        <v>1</v>
      </c>
      <c r="N262" t="b">
        <v>1</v>
      </c>
      <c r="O262" t="b">
        <v>0</v>
      </c>
      <c r="P262" t="b">
        <v>0</v>
      </c>
      <c r="Q262" t="s">
        <v>3183</v>
      </c>
      <c r="R262">
        <v>1532721</v>
      </c>
      <c r="AB262" s="90"/>
      <c r="BT262" s="90" t="s">
        <v>1264</v>
      </c>
      <c r="BU262" s="90">
        <v>1373</v>
      </c>
      <c r="BV262" s="90">
        <v>48</v>
      </c>
      <c r="BW262" s="68"/>
      <c r="BX262" s="90" t="s">
        <v>1533</v>
      </c>
      <c r="BY262" s="90" t="s">
        <v>1313</v>
      </c>
      <c r="BZ262" s="90">
        <v>0.5</v>
      </c>
      <c r="CA262" s="90">
        <v>1.1499999999999999</v>
      </c>
      <c r="CB262" s="90">
        <v>0.23799999999999999</v>
      </c>
      <c r="CC262" s="90">
        <v>5</v>
      </c>
      <c r="CD262" s="90" t="s">
        <v>1592</v>
      </c>
      <c r="CE262" s="90"/>
      <c r="CF262" s="90" t="s">
        <v>1552</v>
      </c>
      <c r="CG262" s="90">
        <v>350</v>
      </c>
      <c r="CH262" s="90">
        <v>400</v>
      </c>
      <c r="CI262" s="68"/>
      <c r="CJ262" s="68"/>
      <c r="CK262" s="125">
        <v>663</v>
      </c>
    </row>
    <row r="263" spans="1:89" ht="15" thickBot="1" x14ac:dyDescent="0.35">
      <c r="A263" s="114" t="s">
        <v>1376</v>
      </c>
      <c r="C263" t="s">
        <v>3249</v>
      </c>
      <c r="E263" s="90">
        <v>3.16</v>
      </c>
      <c r="F263" s="114" t="s">
        <v>2900</v>
      </c>
      <c r="G263" t="s">
        <v>3155</v>
      </c>
      <c r="H263" t="s">
        <v>3156</v>
      </c>
      <c r="M263" t="b">
        <v>1</v>
      </c>
      <c r="N263" t="b">
        <v>1</v>
      </c>
      <c r="O263" t="b">
        <v>0</v>
      </c>
      <c r="P263" t="b">
        <v>0</v>
      </c>
      <c r="Q263" t="s">
        <v>3155</v>
      </c>
      <c r="R263">
        <v>1512124</v>
      </c>
      <c r="AB263" s="120"/>
      <c r="BT263" s="90" t="s">
        <v>1264</v>
      </c>
      <c r="BU263" s="90">
        <v>973</v>
      </c>
      <c r="BV263" s="90">
        <v>4</v>
      </c>
      <c r="BW263" s="68"/>
      <c r="BX263" s="90" t="s">
        <v>1533</v>
      </c>
      <c r="BY263" s="90" t="s">
        <v>863</v>
      </c>
      <c r="BZ263" s="90">
        <v>0.5</v>
      </c>
      <c r="CA263" s="90">
        <v>10</v>
      </c>
      <c r="CB263" s="90">
        <v>1</v>
      </c>
      <c r="CC263" s="90">
        <v>0</v>
      </c>
      <c r="CD263" s="90"/>
      <c r="CE263" s="90"/>
      <c r="CF263" s="90" t="s">
        <v>1552</v>
      </c>
      <c r="CG263" s="90">
        <v>176</v>
      </c>
      <c r="CH263" s="90">
        <v>254</v>
      </c>
      <c r="CI263" s="68"/>
      <c r="CJ263" s="68"/>
      <c r="CK263" s="125">
        <v>80</v>
      </c>
    </row>
    <row r="264" spans="1:89" ht="15" thickBot="1" x14ac:dyDescent="0.35">
      <c r="A264" s="114" t="s">
        <v>1376</v>
      </c>
      <c r="C264" t="s">
        <v>3249</v>
      </c>
      <c r="E264" s="90">
        <v>3.16</v>
      </c>
      <c r="F264" s="114" t="s">
        <v>2900</v>
      </c>
      <c r="G264" t="s">
        <v>3155</v>
      </c>
      <c r="H264" t="s">
        <v>3156</v>
      </c>
      <c r="M264" t="b">
        <v>1</v>
      </c>
      <c r="N264" t="b">
        <v>1</v>
      </c>
      <c r="O264" t="b">
        <v>0</v>
      </c>
      <c r="P264" t="b">
        <v>0</v>
      </c>
      <c r="Q264" t="s">
        <v>3155</v>
      </c>
      <c r="R264">
        <v>1512124</v>
      </c>
      <c r="AB264" s="120"/>
      <c r="BT264" s="90" t="s">
        <v>1264</v>
      </c>
      <c r="BU264" s="90">
        <v>973</v>
      </c>
      <c r="BV264" s="90">
        <v>4</v>
      </c>
      <c r="BW264" s="68"/>
      <c r="BX264" s="90" t="s">
        <v>1533</v>
      </c>
      <c r="BY264" s="90" t="s">
        <v>863</v>
      </c>
      <c r="BZ264" s="90">
        <v>0.5</v>
      </c>
      <c r="CA264" s="90">
        <v>10</v>
      </c>
      <c r="CB264" s="90">
        <v>1</v>
      </c>
      <c r="CC264" s="90">
        <v>20</v>
      </c>
      <c r="CD264" s="90"/>
      <c r="CE264" s="90"/>
      <c r="CF264" s="90" t="s">
        <v>1552</v>
      </c>
      <c r="CG264" s="90">
        <v>176</v>
      </c>
      <c r="CH264" s="90">
        <v>254</v>
      </c>
      <c r="CI264" s="68"/>
      <c r="CJ264" s="68"/>
      <c r="CK264" s="125">
        <v>212</v>
      </c>
    </row>
    <row r="265" spans="1:89" ht="15" thickBot="1" x14ac:dyDescent="0.35">
      <c r="A265" s="114" t="s">
        <v>1376</v>
      </c>
      <c r="C265" t="s">
        <v>3249</v>
      </c>
      <c r="E265" s="90">
        <v>3.16</v>
      </c>
      <c r="F265" s="114" t="s">
        <v>2900</v>
      </c>
      <c r="G265" t="s">
        <v>3155</v>
      </c>
      <c r="H265" t="s">
        <v>3156</v>
      </c>
      <c r="M265" t="b">
        <v>1</v>
      </c>
      <c r="N265" t="b">
        <v>1</v>
      </c>
      <c r="O265" t="b">
        <v>0</v>
      </c>
      <c r="P265" t="b">
        <v>0</v>
      </c>
      <c r="Q265" t="s">
        <v>3155</v>
      </c>
      <c r="R265">
        <v>1512124</v>
      </c>
      <c r="AB265" s="120"/>
      <c r="BT265" s="90" t="s">
        <v>1264</v>
      </c>
      <c r="BU265" s="90">
        <v>973</v>
      </c>
      <c r="BV265" s="90">
        <v>4</v>
      </c>
      <c r="BW265" s="68"/>
      <c r="BX265" s="90" t="s">
        <v>1533</v>
      </c>
      <c r="BY265" s="90" t="s">
        <v>863</v>
      </c>
      <c r="BZ265" s="90">
        <v>0.5</v>
      </c>
      <c r="CA265" s="90">
        <v>10</v>
      </c>
      <c r="CB265" s="90">
        <v>1</v>
      </c>
      <c r="CC265" s="90">
        <v>40</v>
      </c>
      <c r="CD265" s="90"/>
      <c r="CE265" s="90"/>
      <c r="CF265" s="90" t="s">
        <v>1552</v>
      </c>
      <c r="CG265" s="90">
        <v>176</v>
      </c>
      <c r="CH265" s="90">
        <v>254</v>
      </c>
      <c r="CI265" s="68"/>
      <c r="CJ265" s="68"/>
      <c r="CK265" s="125">
        <v>226</v>
      </c>
    </row>
    <row r="266" spans="1:89" ht="15" thickBot="1" x14ac:dyDescent="0.35">
      <c r="A266" s="114" t="s">
        <v>1376</v>
      </c>
      <c r="C266" t="s">
        <v>3249</v>
      </c>
      <c r="E266" s="90">
        <v>3.16</v>
      </c>
      <c r="F266" s="114" t="s">
        <v>2900</v>
      </c>
      <c r="G266" t="s">
        <v>3155</v>
      </c>
      <c r="H266" t="s">
        <v>3156</v>
      </c>
      <c r="M266" t="b">
        <v>1</v>
      </c>
      <c r="N266" t="b">
        <v>1</v>
      </c>
      <c r="O266" t="b">
        <v>0</v>
      </c>
      <c r="P266" t="b">
        <v>0</v>
      </c>
      <c r="Q266" t="s">
        <v>3155</v>
      </c>
      <c r="R266">
        <v>1512124</v>
      </c>
      <c r="AB266" s="120"/>
      <c r="BT266" s="90" t="s">
        <v>1336</v>
      </c>
      <c r="BU266" s="90">
        <v>973</v>
      </c>
      <c r="BV266" s="90">
        <v>4</v>
      </c>
      <c r="BW266" s="68"/>
      <c r="BX266" s="90" t="s">
        <v>1533</v>
      </c>
      <c r="BY266" s="90" t="s">
        <v>863</v>
      </c>
      <c r="BZ266" s="90">
        <v>0.5</v>
      </c>
      <c r="CA266" s="90">
        <v>10</v>
      </c>
      <c r="CB266" s="90">
        <v>1</v>
      </c>
      <c r="CC266" s="90">
        <v>60</v>
      </c>
      <c r="CD266" s="90"/>
      <c r="CE266" s="90"/>
      <c r="CF266" s="90" t="s">
        <v>1552</v>
      </c>
      <c r="CG266" s="90">
        <v>176</v>
      </c>
      <c r="CH266" s="90">
        <v>254</v>
      </c>
      <c r="CI266" s="68"/>
      <c r="CJ266" s="68"/>
      <c r="CK266" s="125">
        <v>237</v>
      </c>
    </row>
    <row r="267" spans="1:89" ht="15" thickBot="1" x14ac:dyDescent="0.35">
      <c r="A267" s="114" t="s">
        <v>1376</v>
      </c>
      <c r="C267" t="s">
        <v>3249</v>
      </c>
      <c r="E267" s="90">
        <v>3.16</v>
      </c>
      <c r="F267" s="114" t="s">
        <v>2900</v>
      </c>
      <c r="G267" t="s">
        <v>3155</v>
      </c>
      <c r="H267" t="s">
        <v>3156</v>
      </c>
      <c r="M267" t="b">
        <v>1</v>
      </c>
      <c r="N267" t="b">
        <v>1</v>
      </c>
      <c r="O267" t="b">
        <v>0</v>
      </c>
      <c r="P267" t="b">
        <v>0</v>
      </c>
      <c r="Q267" t="s">
        <v>3155</v>
      </c>
      <c r="R267">
        <v>1512124</v>
      </c>
      <c r="AB267" s="120"/>
      <c r="BT267" s="90" t="s">
        <v>1336</v>
      </c>
      <c r="BU267" s="90">
        <v>973</v>
      </c>
      <c r="BV267" s="90">
        <v>4</v>
      </c>
      <c r="BW267" s="68"/>
      <c r="BX267" s="90" t="s">
        <v>1533</v>
      </c>
      <c r="BY267" s="90" t="s">
        <v>863</v>
      </c>
      <c r="BZ267" s="90">
        <v>0.5</v>
      </c>
      <c r="CA267" s="90">
        <v>10</v>
      </c>
      <c r="CB267" s="90">
        <v>1</v>
      </c>
      <c r="CC267" s="90">
        <v>80</v>
      </c>
      <c r="CD267" s="90"/>
      <c r="CE267" s="90"/>
      <c r="CF267" s="90" t="s">
        <v>1552</v>
      </c>
      <c r="CG267" s="90">
        <v>176</v>
      </c>
      <c r="CH267" s="90">
        <v>254</v>
      </c>
      <c r="CI267" s="68"/>
      <c r="CJ267" s="68"/>
      <c r="CK267" s="125">
        <v>243</v>
      </c>
    </row>
    <row r="268" spans="1:89" ht="15" thickBot="1" x14ac:dyDescent="0.35">
      <c r="A268" s="114" t="s">
        <v>1376</v>
      </c>
      <c r="C268" t="s">
        <v>3249</v>
      </c>
      <c r="E268" s="90">
        <v>3.16</v>
      </c>
      <c r="F268" s="114" t="s">
        <v>2900</v>
      </c>
      <c r="G268" t="s">
        <v>3155</v>
      </c>
      <c r="H268" t="s">
        <v>3156</v>
      </c>
      <c r="M268" t="b">
        <v>1</v>
      </c>
      <c r="N268" t="b">
        <v>1</v>
      </c>
      <c r="O268" t="b">
        <v>0</v>
      </c>
      <c r="P268" t="b">
        <v>0</v>
      </c>
      <c r="Q268" t="s">
        <v>3155</v>
      </c>
      <c r="R268">
        <v>1512124</v>
      </c>
      <c r="AB268" s="120"/>
      <c r="BT268" s="90" t="s">
        <v>1336</v>
      </c>
      <c r="BU268" s="90">
        <v>973</v>
      </c>
      <c r="BV268" s="90">
        <v>4</v>
      </c>
      <c r="BW268" s="68"/>
      <c r="BX268" s="90" t="s">
        <v>1533</v>
      </c>
      <c r="BY268" s="90" t="s">
        <v>863</v>
      </c>
      <c r="BZ268" s="90">
        <v>0.5</v>
      </c>
      <c r="CA268" s="90">
        <v>10</v>
      </c>
      <c r="CB268" s="90">
        <v>1</v>
      </c>
      <c r="CC268" s="90">
        <v>100</v>
      </c>
      <c r="CD268" s="90"/>
      <c r="CE268" s="90"/>
      <c r="CF268" s="90" t="s">
        <v>1552</v>
      </c>
      <c r="CG268" s="90">
        <v>176</v>
      </c>
      <c r="CH268" s="90">
        <v>254</v>
      </c>
      <c r="CI268" s="68"/>
      <c r="CJ268" s="68"/>
      <c r="CK268" s="125">
        <v>246</v>
      </c>
    </row>
    <row r="269" spans="1:89" ht="15" thickBot="1" x14ac:dyDescent="0.35">
      <c r="A269" s="114" t="s">
        <v>1376</v>
      </c>
      <c r="C269" t="s">
        <v>3249</v>
      </c>
      <c r="E269" s="90">
        <v>3.16</v>
      </c>
      <c r="F269" s="114" t="s">
        <v>2900</v>
      </c>
      <c r="G269" t="s">
        <v>3155</v>
      </c>
      <c r="H269" t="s">
        <v>3156</v>
      </c>
      <c r="M269" t="b">
        <v>1</v>
      </c>
      <c r="N269" t="b">
        <v>1</v>
      </c>
      <c r="O269" t="b">
        <v>0</v>
      </c>
      <c r="P269" t="b">
        <v>0</v>
      </c>
      <c r="Q269" t="s">
        <v>3155</v>
      </c>
      <c r="R269">
        <v>1512124</v>
      </c>
      <c r="AB269" s="120"/>
      <c r="BT269" s="90" t="s">
        <v>1336</v>
      </c>
      <c r="BU269" s="90">
        <v>973</v>
      </c>
      <c r="BV269" s="90">
        <v>4</v>
      </c>
      <c r="BW269" s="68"/>
      <c r="BX269" s="90" t="s">
        <v>1533</v>
      </c>
      <c r="BY269" s="90" t="s">
        <v>863</v>
      </c>
      <c r="BZ269" s="90">
        <v>0.5</v>
      </c>
      <c r="CA269" s="90">
        <v>10</v>
      </c>
      <c r="CB269" s="90">
        <v>1</v>
      </c>
      <c r="CC269" s="90">
        <v>50</v>
      </c>
      <c r="CD269" s="90"/>
      <c r="CE269" s="90"/>
      <c r="CF269" s="90" t="s">
        <v>1552</v>
      </c>
      <c r="CG269" s="90">
        <v>176</v>
      </c>
      <c r="CH269" s="90">
        <v>254</v>
      </c>
      <c r="CI269" s="68"/>
      <c r="CJ269" s="68"/>
      <c r="CK269" s="125">
        <v>453.87</v>
      </c>
    </row>
    <row r="270" spans="1:89" ht="15" thickBot="1" x14ac:dyDescent="0.35">
      <c r="A270" s="114" t="s">
        <v>2902</v>
      </c>
      <c r="C270" t="s">
        <v>3297</v>
      </c>
      <c r="E270" s="90">
        <v>3.4</v>
      </c>
      <c r="F270" s="114" t="s">
        <v>2901</v>
      </c>
      <c r="G270" t="s">
        <v>3185</v>
      </c>
      <c r="H270" t="s">
        <v>3186</v>
      </c>
      <c r="M270" t="b">
        <v>1</v>
      </c>
      <c r="N270" t="b">
        <v>1</v>
      </c>
      <c r="O270" t="b">
        <v>0</v>
      </c>
      <c r="P270" t="b">
        <v>0</v>
      </c>
      <c r="Q270" t="s">
        <v>3185</v>
      </c>
      <c r="R270">
        <v>1011064</v>
      </c>
      <c r="AB270" s="120"/>
      <c r="BT270" s="90" t="s">
        <v>1336</v>
      </c>
      <c r="BU270" s="90">
        <v>1173</v>
      </c>
      <c r="BV270" s="90">
        <v>10</v>
      </c>
      <c r="BW270" s="68"/>
      <c r="BX270" s="90" t="s">
        <v>1268</v>
      </c>
      <c r="BY270" s="90" t="s">
        <v>863</v>
      </c>
      <c r="BZ270" s="90">
        <v>0.5</v>
      </c>
      <c r="CA270" s="90">
        <v>1.7</v>
      </c>
      <c r="CB270" s="90">
        <v>0.27</v>
      </c>
      <c r="CC270" s="90">
        <v>13.5</v>
      </c>
      <c r="CD270" s="90"/>
      <c r="CE270" s="90"/>
      <c r="CF270" s="90" t="s">
        <v>1552</v>
      </c>
      <c r="CG270" s="90">
        <v>400</v>
      </c>
      <c r="CH270" s="90">
        <v>365</v>
      </c>
      <c r="CI270" s="68"/>
      <c r="CJ270" s="68"/>
      <c r="CK270" s="125">
        <v>9133.33</v>
      </c>
    </row>
    <row r="271" spans="1:89" ht="15" thickBot="1" x14ac:dyDescent="0.35">
      <c r="A271" s="114" t="s">
        <v>2902</v>
      </c>
      <c r="C271" t="s">
        <v>3297</v>
      </c>
      <c r="E271" s="90">
        <v>3.4</v>
      </c>
      <c r="F271" s="114" t="s">
        <v>2901</v>
      </c>
      <c r="G271" t="s">
        <v>3185</v>
      </c>
      <c r="H271" t="s">
        <v>3186</v>
      </c>
      <c r="M271" t="b">
        <v>1</v>
      </c>
      <c r="N271" t="b">
        <v>1</v>
      </c>
      <c r="O271" t="b">
        <v>0</v>
      </c>
      <c r="P271" t="b">
        <v>0</v>
      </c>
      <c r="Q271" t="s">
        <v>3185</v>
      </c>
      <c r="R271">
        <v>1011064</v>
      </c>
      <c r="AB271" s="120"/>
      <c r="BT271" s="90" t="s">
        <v>1336</v>
      </c>
      <c r="BU271" s="90"/>
      <c r="BV271" s="90"/>
      <c r="BW271" s="68"/>
      <c r="BX271" s="90" t="s">
        <v>1268</v>
      </c>
      <c r="BY271" s="90" t="s">
        <v>863</v>
      </c>
      <c r="BZ271" s="90">
        <v>0.5</v>
      </c>
      <c r="CA271" s="90">
        <v>2</v>
      </c>
      <c r="CB271" s="90">
        <v>0.27</v>
      </c>
      <c r="CC271" s="90">
        <v>13.5</v>
      </c>
      <c r="CD271" s="90"/>
      <c r="CE271" s="90"/>
      <c r="CF271" s="90" t="s">
        <v>1552</v>
      </c>
      <c r="CG271" s="90">
        <v>400</v>
      </c>
      <c r="CH271" s="90">
        <v>365</v>
      </c>
      <c r="CI271" s="68"/>
      <c r="CJ271" s="68"/>
      <c r="CK271" s="125">
        <v>9150</v>
      </c>
    </row>
    <row r="272" spans="1:89" ht="15" thickBot="1" x14ac:dyDescent="0.35">
      <c r="A272" s="114" t="s">
        <v>2902</v>
      </c>
      <c r="C272" t="s">
        <v>3297</v>
      </c>
      <c r="E272" s="90">
        <v>3.3</v>
      </c>
      <c r="F272" s="114" t="s">
        <v>2901</v>
      </c>
      <c r="G272" t="s">
        <v>3185</v>
      </c>
      <c r="H272" t="s">
        <v>3186</v>
      </c>
      <c r="M272" t="b">
        <v>1</v>
      </c>
      <c r="N272" t="b">
        <v>1</v>
      </c>
      <c r="O272" t="b">
        <v>0</v>
      </c>
      <c r="P272" t="b">
        <v>0</v>
      </c>
      <c r="Q272" t="s">
        <v>3185</v>
      </c>
      <c r="R272">
        <v>1011064</v>
      </c>
      <c r="AB272" s="120"/>
      <c r="BT272" s="90" t="s">
        <v>1336</v>
      </c>
      <c r="BU272" s="90">
        <v>873</v>
      </c>
      <c r="BV272" s="90">
        <v>1</v>
      </c>
      <c r="BW272" s="68"/>
      <c r="BX272" s="90" t="s">
        <v>1268</v>
      </c>
      <c r="BY272" s="90" t="s">
        <v>863</v>
      </c>
      <c r="BZ272" s="90">
        <v>0.5</v>
      </c>
      <c r="CA272" s="90">
        <v>37.799999999999997</v>
      </c>
      <c r="CB272" s="90">
        <v>0.27</v>
      </c>
      <c r="CC272" s="90">
        <v>13.5</v>
      </c>
      <c r="CD272" s="90"/>
      <c r="CE272" s="90"/>
      <c r="CF272" s="90" t="s">
        <v>1552</v>
      </c>
      <c r="CG272" s="90">
        <v>400</v>
      </c>
      <c r="CH272" s="90">
        <v>365</v>
      </c>
      <c r="CI272" s="68"/>
      <c r="CJ272" s="68"/>
      <c r="CK272" s="125">
        <v>10466</v>
      </c>
    </row>
    <row r="273" spans="1:89" ht="15" thickBot="1" x14ac:dyDescent="0.35">
      <c r="A273" s="114" t="s">
        <v>2902</v>
      </c>
      <c r="C273" t="s">
        <v>3297</v>
      </c>
      <c r="E273" s="90">
        <v>3.35</v>
      </c>
      <c r="F273" s="114" t="s">
        <v>2901</v>
      </c>
      <c r="G273" t="s">
        <v>3185</v>
      </c>
      <c r="H273" t="s">
        <v>3186</v>
      </c>
      <c r="M273" t="b">
        <v>1</v>
      </c>
      <c r="N273" t="b">
        <v>1</v>
      </c>
      <c r="O273" t="b">
        <v>0</v>
      </c>
      <c r="P273" t="b">
        <v>0</v>
      </c>
      <c r="Q273" t="s">
        <v>3185</v>
      </c>
      <c r="R273">
        <v>1011064</v>
      </c>
      <c r="AB273" s="120"/>
      <c r="BT273" s="90" t="s">
        <v>1264</v>
      </c>
      <c r="BU273" s="90">
        <v>1173</v>
      </c>
      <c r="BV273" s="90">
        <v>5</v>
      </c>
      <c r="BW273" s="68"/>
      <c r="BX273" s="90" t="s">
        <v>1268</v>
      </c>
      <c r="BY273" s="90" t="s">
        <v>863</v>
      </c>
      <c r="BZ273" s="90">
        <v>0.5</v>
      </c>
      <c r="CA273" s="90">
        <v>4.4000000000000004</v>
      </c>
      <c r="CB273" s="90">
        <v>0.27</v>
      </c>
      <c r="CC273" s="90">
        <v>13.5</v>
      </c>
      <c r="CD273" s="90"/>
      <c r="CE273" s="90"/>
      <c r="CF273" s="90" t="s">
        <v>1552</v>
      </c>
      <c r="CG273" s="90">
        <v>400</v>
      </c>
      <c r="CH273" s="90">
        <v>365</v>
      </c>
      <c r="CI273" s="68"/>
      <c r="CJ273" s="68"/>
      <c r="CK273" s="125">
        <v>10116</v>
      </c>
    </row>
    <row r="274" spans="1:89" ht="15" thickBot="1" x14ac:dyDescent="0.35">
      <c r="A274" s="114" t="s">
        <v>2902</v>
      </c>
      <c r="C274" t="s">
        <v>3297</v>
      </c>
      <c r="E274" s="90">
        <v>3.4</v>
      </c>
      <c r="F274" s="114" t="s">
        <v>2901</v>
      </c>
      <c r="G274" t="s">
        <v>3185</v>
      </c>
      <c r="H274" t="s">
        <v>3186</v>
      </c>
      <c r="M274" t="b">
        <v>1</v>
      </c>
      <c r="N274" t="b">
        <v>1</v>
      </c>
      <c r="O274" t="b">
        <v>0</v>
      </c>
      <c r="P274" t="b">
        <v>0</v>
      </c>
      <c r="Q274" t="s">
        <v>3185</v>
      </c>
      <c r="R274">
        <v>1011064</v>
      </c>
      <c r="AB274" s="120"/>
      <c r="BT274" s="90" t="s">
        <v>1407</v>
      </c>
      <c r="BU274" s="90">
        <v>1173</v>
      </c>
      <c r="BV274" s="90">
        <v>10</v>
      </c>
      <c r="BW274" s="68"/>
      <c r="BX274" s="90" t="s">
        <v>1268</v>
      </c>
      <c r="BY274" s="90" t="s">
        <v>1313</v>
      </c>
      <c r="BZ274" s="90">
        <v>1.25</v>
      </c>
      <c r="CA274" s="90">
        <v>1.7</v>
      </c>
      <c r="CB274" s="90">
        <v>0.27</v>
      </c>
      <c r="CC274" s="90">
        <v>0</v>
      </c>
      <c r="CD274" s="90"/>
      <c r="CE274" s="90"/>
      <c r="CF274" s="90" t="s">
        <v>1552</v>
      </c>
      <c r="CG274" s="90">
        <v>400</v>
      </c>
      <c r="CH274" s="90">
        <v>365</v>
      </c>
      <c r="CI274" s="68"/>
      <c r="CJ274" s="68"/>
      <c r="CK274" s="125">
        <v>102</v>
      </c>
    </row>
    <row r="275" spans="1:89" ht="15" thickBot="1" x14ac:dyDescent="0.35">
      <c r="A275" s="114" t="s">
        <v>2902</v>
      </c>
      <c r="C275" t="s">
        <v>3297</v>
      </c>
      <c r="E275" s="90">
        <v>3.4</v>
      </c>
      <c r="F275" s="114" t="s">
        <v>2901</v>
      </c>
      <c r="G275" t="s">
        <v>3185</v>
      </c>
      <c r="H275" t="s">
        <v>3186</v>
      </c>
      <c r="M275" t="b">
        <v>1</v>
      </c>
      <c r="N275" t="b">
        <v>1</v>
      </c>
      <c r="O275" t="b">
        <v>0</v>
      </c>
      <c r="P275" t="b">
        <v>0</v>
      </c>
      <c r="Q275" t="s">
        <v>3185</v>
      </c>
      <c r="R275">
        <v>1011064</v>
      </c>
      <c r="AB275" s="120"/>
      <c r="BT275" s="90" t="s">
        <v>1305</v>
      </c>
      <c r="BU275" s="90"/>
      <c r="BV275" s="90"/>
      <c r="BW275" s="68"/>
      <c r="BX275" s="90" t="s">
        <v>1268</v>
      </c>
      <c r="BY275" s="90" t="s">
        <v>1313</v>
      </c>
      <c r="BZ275" s="90">
        <v>1.25</v>
      </c>
      <c r="CA275" s="90">
        <v>2</v>
      </c>
      <c r="CB275" s="90">
        <v>0.27</v>
      </c>
      <c r="CC275" s="90">
        <v>0</v>
      </c>
      <c r="CD275" s="90"/>
      <c r="CE275" s="90"/>
      <c r="CF275" s="90" t="s">
        <v>1552</v>
      </c>
      <c r="CG275" s="90">
        <v>400</v>
      </c>
      <c r="CH275" s="90">
        <v>365</v>
      </c>
      <c r="CI275" s="68"/>
      <c r="CJ275" s="68"/>
      <c r="CK275" s="125">
        <v>82.83</v>
      </c>
    </row>
    <row r="276" spans="1:89" ht="15" thickBot="1" x14ac:dyDescent="0.35">
      <c r="A276" s="114" t="s">
        <v>2902</v>
      </c>
      <c r="C276" t="s">
        <v>3297</v>
      </c>
      <c r="E276" s="90">
        <v>3.3</v>
      </c>
      <c r="F276" s="114" t="s">
        <v>2901</v>
      </c>
      <c r="G276" t="s">
        <v>3185</v>
      </c>
      <c r="H276" t="s">
        <v>3186</v>
      </c>
      <c r="M276" t="b">
        <v>1</v>
      </c>
      <c r="N276" t="b">
        <v>1</v>
      </c>
      <c r="O276" t="b">
        <v>0</v>
      </c>
      <c r="P276" t="b">
        <v>0</v>
      </c>
      <c r="Q276" t="s">
        <v>3185</v>
      </c>
      <c r="R276">
        <v>1011064</v>
      </c>
      <c r="AB276" s="120"/>
      <c r="BT276" s="90" t="s">
        <v>1305</v>
      </c>
      <c r="BU276" s="90">
        <v>873</v>
      </c>
      <c r="BV276" s="90">
        <v>1</v>
      </c>
      <c r="BW276" s="68"/>
      <c r="BX276" s="90" t="s">
        <v>1268</v>
      </c>
      <c r="BY276" s="90" t="s">
        <v>1313</v>
      </c>
      <c r="BZ276" s="90">
        <v>1.25</v>
      </c>
      <c r="CA276" s="90">
        <v>37.799999999999997</v>
      </c>
      <c r="CB276" s="90">
        <v>0.27</v>
      </c>
      <c r="CC276" s="90">
        <v>0</v>
      </c>
      <c r="CD276" s="90"/>
      <c r="CE276" s="90"/>
      <c r="CF276" s="90" t="s">
        <v>1552</v>
      </c>
      <c r="CG276" s="90">
        <v>400</v>
      </c>
      <c r="CH276" s="90">
        <v>365</v>
      </c>
      <c r="CI276" s="68"/>
      <c r="CJ276" s="68"/>
      <c r="CK276" s="125">
        <v>335</v>
      </c>
    </row>
    <row r="277" spans="1:89" ht="15" thickBot="1" x14ac:dyDescent="0.35">
      <c r="A277" s="114" t="s">
        <v>2902</v>
      </c>
      <c r="C277" t="s">
        <v>3297</v>
      </c>
      <c r="E277" s="90">
        <v>3.35</v>
      </c>
      <c r="F277" s="114" t="s">
        <v>2901</v>
      </c>
      <c r="G277" t="s">
        <v>3185</v>
      </c>
      <c r="H277" t="s">
        <v>3186</v>
      </c>
      <c r="M277" t="b">
        <v>1</v>
      </c>
      <c r="N277" t="b">
        <v>1</v>
      </c>
      <c r="O277" t="b">
        <v>0</v>
      </c>
      <c r="P277" t="b">
        <v>0</v>
      </c>
      <c r="Q277" t="s">
        <v>3185</v>
      </c>
      <c r="R277">
        <v>1011064</v>
      </c>
      <c r="AB277" s="120"/>
      <c r="BT277" s="90" t="s">
        <v>1264</v>
      </c>
      <c r="BU277" s="90">
        <v>1173</v>
      </c>
      <c r="BV277" s="90">
        <v>5</v>
      </c>
      <c r="BW277" s="68"/>
      <c r="BX277" s="90" t="s">
        <v>1268</v>
      </c>
      <c r="BY277" s="90" t="s">
        <v>1313</v>
      </c>
      <c r="BZ277" s="90">
        <v>1.25</v>
      </c>
      <c r="CA277" s="90">
        <v>4.4000000000000004</v>
      </c>
      <c r="CB277" s="90">
        <v>0.27</v>
      </c>
      <c r="CC277" s="90">
        <v>0</v>
      </c>
      <c r="CD277" s="90"/>
      <c r="CE277" s="90"/>
      <c r="CF277" s="90" t="s">
        <v>1552</v>
      </c>
      <c r="CG277" s="90">
        <v>400</v>
      </c>
      <c r="CH277" s="90">
        <v>365</v>
      </c>
      <c r="CI277" s="68"/>
      <c r="CJ277" s="68"/>
      <c r="CK277" s="125">
        <v>78</v>
      </c>
    </row>
    <row r="278" spans="1:89" ht="15" thickBot="1" x14ac:dyDescent="0.35">
      <c r="A278" s="114" t="s">
        <v>1376</v>
      </c>
      <c r="C278" t="s">
        <v>3249</v>
      </c>
      <c r="E278" s="90">
        <v>3.1</v>
      </c>
      <c r="F278" s="114" t="s">
        <v>2903</v>
      </c>
      <c r="G278" t="s">
        <v>3155</v>
      </c>
      <c r="H278" t="s">
        <v>3156</v>
      </c>
      <c r="M278" t="b">
        <v>1</v>
      </c>
      <c r="N278" t="b">
        <v>1</v>
      </c>
      <c r="O278" t="b">
        <v>0</v>
      </c>
      <c r="P278" t="b">
        <v>0</v>
      </c>
      <c r="Q278" t="s">
        <v>3155</v>
      </c>
      <c r="R278">
        <v>1512124</v>
      </c>
      <c r="AB278" s="120"/>
      <c r="BT278" s="90" t="s">
        <v>1264</v>
      </c>
      <c r="BU278" s="90">
        <v>773</v>
      </c>
      <c r="BV278" s="90">
        <v>5</v>
      </c>
      <c r="BW278" s="68"/>
      <c r="BX278" s="90" t="s">
        <v>1268</v>
      </c>
      <c r="BY278" s="90" t="s">
        <v>863</v>
      </c>
      <c r="BZ278" s="90">
        <v>0.32</v>
      </c>
      <c r="CA278" s="90"/>
      <c r="CB278" s="90">
        <v>1</v>
      </c>
      <c r="CC278" s="90">
        <v>41.67</v>
      </c>
      <c r="CD278" s="90"/>
      <c r="CE278" s="90"/>
      <c r="CF278" s="90" t="s">
        <v>1552</v>
      </c>
      <c r="CG278" s="90">
        <v>500</v>
      </c>
      <c r="CH278" s="90">
        <v>365</v>
      </c>
      <c r="CI278" s="68"/>
      <c r="CJ278" s="68"/>
      <c r="CK278" s="125">
        <v>1948</v>
      </c>
    </row>
    <row r="279" spans="1:89" ht="15" thickBot="1" x14ac:dyDescent="0.35">
      <c r="A279" s="114" t="s">
        <v>1376</v>
      </c>
      <c r="C279" t="s">
        <v>3249</v>
      </c>
      <c r="E279" s="90">
        <v>3.1</v>
      </c>
      <c r="F279" s="114" t="s">
        <v>2903</v>
      </c>
      <c r="G279" t="s">
        <v>3155</v>
      </c>
      <c r="H279" t="s">
        <v>3156</v>
      </c>
      <c r="M279" t="b">
        <v>1</v>
      </c>
      <c r="N279" t="b">
        <v>1</v>
      </c>
      <c r="O279" t="b">
        <v>0</v>
      </c>
      <c r="P279" t="b">
        <v>0</v>
      </c>
      <c r="Q279" t="s">
        <v>3155</v>
      </c>
      <c r="R279">
        <v>1512124</v>
      </c>
      <c r="AB279" s="120"/>
      <c r="BT279" s="90" t="s">
        <v>1264</v>
      </c>
      <c r="BU279" s="90">
        <v>873</v>
      </c>
      <c r="BV279" s="90">
        <v>5</v>
      </c>
      <c r="BW279" s="68"/>
      <c r="BX279" s="90" t="s">
        <v>1268</v>
      </c>
      <c r="BY279" s="90" t="s">
        <v>863</v>
      </c>
      <c r="BZ279" s="90">
        <v>0.32</v>
      </c>
      <c r="CA279" s="90"/>
      <c r="CB279" s="90">
        <v>1</v>
      </c>
      <c r="CC279" s="90">
        <v>41.67</v>
      </c>
      <c r="CD279" s="90"/>
      <c r="CE279" s="90"/>
      <c r="CF279" s="90" t="s">
        <v>1552</v>
      </c>
      <c r="CG279" s="90">
        <v>500</v>
      </c>
      <c r="CH279" s="90">
        <v>365</v>
      </c>
      <c r="CI279" s="68"/>
      <c r="CJ279" s="68"/>
      <c r="CK279" s="125">
        <v>3020</v>
      </c>
    </row>
    <row r="280" spans="1:89" ht="15" thickBot="1" x14ac:dyDescent="0.35">
      <c r="A280" s="114" t="s">
        <v>1376</v>
      </c>
      <c r="C280" t="s">
        <v>3249</v>
      </c>
      <c r="E280" s="90">
        <v>3.1</v>
      </c>
      <c r="F280" s="114" t="s">
        <v>2903</v>
      </c>
      <c r="G280" t="s">
        <v>3155</v>
      </c>
      <c r="H280" t="s">
        <v>3156</v>
      </c>
      <c r="M280" t="b">
        <v>1</v>
      </c>
      <c r="N280" t="b">
        <v>1</v>
      </c>
      <c r="O280" t="b">
        <v>0</v>
      </c>
      <c r="P280" t="b">
        <v>0</v>
      </c>
      <c r="Q280" t="s">
        <v>3155</v>
      </c>
      <c r="R280">
        <v>1512124</v>
      </c>
      <c r="AB280" s="120"/>
      <c r="BT280" s="90" t="s">
        <v>1264</v>
      </c>
      <c r="BU280" s="90">
        <v>973</v>
      </c>
      <c r="BV280" s="90">
        <v>5</v>
      </c>
      <c r="BW280" s="68"/>
      <c r="BX280" s="90" t="s">
        <v>1268</v>
      </c>
      <c r="BY280" s="90" t="s">
        <v>863</v>
      </c>
      <c r="BZ280" s="90">
        <v>0.32</v>
      </c>
      <c r="CA280" s="90"/>
      <c r="CB280" s="90">
        <v>1</v>
      </c>
      <c r="CC280" s="90">
        <v>41.67</v>
      </c>
      <c r="CD280" s="90"/>
      <c r="CE280" s="90"/>
      <c r="CF280" s="90" t="s">
        <v>1552</v>
      </c>
      <c r="CG280" s="90">
        <v>500</v>
      </c>
      <c r="CH280" s="90">
        <v>365</v>
      </c>
      <c r="CI280" s="68"/>
      <c r="CJ280" s="68"/>
      <c r="CK280" s="125">
        <v>2540</v>
      </c>
    </row>
    <row r="281" spans="1:89" ht="15" thickBot="1" x14ac:dyDescent="0.35">
      <c r="A281" s="114" t="s">
        <v>1376</v>
      </c>
      <c r="C281" t="s">
        <v>3249</v>
      </c>
      <c r="E281" s="90">
        <v>3.1</v>
      </c>
      <c r="F281" s="114" t="s">
        <v>2903</v>
      </c>
      <c r="G281" t="s">
        <v>3155</v>
      </c>
      <c r="H281" t="s">
        <v>3156</v>
      </c>
      <c r="M281" t="b">
        <v>1</v>
      </c>
      <c r="N281" t="b">
        <v>1</v>
      </c>
      <c r="O281" t="b">
        <v>0</v>
      </c>
      <c r="P281" t="b">
        <v>0</v>
      </c>
      <c r="Q281" t="s">
        <v>3155</v>
      </c>
      <c r="R281">
        <v>1512124</v>
      </c>
      <c r="AB281" s="120"/>
      <c r="BT281" s="90" t="s">
        <v>1305</v>
      </c>
      <c r="BU281" s="90">
        <v>1073</v>
      </c>
      <c r="BV281" s="90">
        <v>5</v>
      </c>
      <c r="BW281" s="68"/>
      <c r="BX281" s="90" t="s">
        <v>1268</v>
      </c>
      <c r="BY281" s="90" t="s">
        <v>863</v>
      </c>
      <c r="BZ281" s="90">
        <v>0.32</v>
      </c>
      <c r="CA281" s="90"/>
      <c r="CB281" s="90">
        <v>1</v>
      </c>
      <c r="CC281" s="90">
        <v>41.67</v>
      </c>
      <c r="CD281" s="90"/>
      <c r="CE281" s="90"/>
      <c r="CF281" s="90" t="s">
        <v>1552</v>
      </c>
      <c r="CG281" s="90">
        <v>500</v>
      </c>
      <c r="CH281" s="90">
        <v>365</v>
      </c>
      <c r="CI281" s="68"/>
      <c r="CJ281" s="68"/>
      <c r="CK281" s="125">
        <v>1686</v>
      </c>
    </row>
    <row r="282" spans="1:89" ht="15" thickBot="1" x14ac:dyDescent="0.35">
      <c r="A282" s="114" t="s">
        <v>1376</v>
      </c>
      <c r="C282" t="s">
        <v>3249</v>
      </c>
      <c r="E282" s="90">
        <v>3.1</v>
      </c>
      <c r="F282" s="114" t="s">
        <v>2903</v>
      </c>
      <c r="G282" t="s">
        <v>3155</v>
      </c>
      <c r="H282" t="s">
        <v>3156</v>
      </c>
      <c r="M282" t="b">
        <v>1</v>
      </c>
      <c r="N282" t="b">
        <v>1</v>
      </c>
      <c r="O282" t="b">
        <v>0</v>
      </c>
      <c r="P282" t="b">
        <v>0</v>
      </c>
      <c r="Q282" t="s">
        <v>3155</v>
      </c>
      <c r="R282">
        <v>1512124</v>
      </c>
      <c r="AB282" s="120"/>
      <c r="BT282" s="90" t="s">
        <v>1305</v>
      </c>
      <c r="BU282" s="90">
        <v>1273</v>
      </c>
      <c r="BV282" s="90">
        <v>5</v>
      </c>
      <c r="BW282" s="68"/>
      <c r="BX282" s="90" t="s">
        <v>1268</v>
      </c>
      <c r="BY282" s="90" t="s">
        <v>863</v>
      </c>
      <c r="BZ282" s="90">
        <v>0.32</v>
      </c>
      <c r="CA282" s="90"/>
      <c r="CB282" s="90">
        <v>1</v>
      </c>
      <c r="CC282" s="90">
        <v>41.67</v>
      </c>
      <c r="CD282" s="90"/>
      <c r="CE282" s="90"/>
      <c r="CF282" s="90" t="s">
        <v>1552</v>
      </c>
      <c r="CG282" s="90">
        <v>500</v>
      </c>
      <c r="CH282" s="90">
        <v>365</v>
      </c>
      <c r="CI282" s="68"/>
      <c r="CJ282" s="68"/>
      <c r="CK282" s="125">
        <v>580</v>
      </c>
    </row>
    <row r="283" spans="1:89" ht="15" thickBot="1" x14ac:dyDescent="0.35">
      <c r="A283" s="114" t="s">
        <v>1376</v>
      </c>
      <c r="C283" t="s">
        <v>3249</v>
      </c>
      <c r="E283" s="90">
        <v>2</v>
      </c>
      <c r="F283" s="114" t="s">
        <v>2903</v>
      </c>
      <c r="G283" t="s">
        <v>3155</v>
      </c>
      <c r="H283" t="s">
        <v>3156</v>
      </c>
      <c r="M283" t="b">
        <v>1</v>
      </c>
      <c r="N283" t="b">
        <v>1</v>
      </c>
      <c r="O283" t="b">
        <v>0</v>
      </c>
      <c r="P283" t="b">
        <v>0</v>
      </c>
      <c r="Q283" t="s">
        <v>3155</v>
      </c>
      <c r="R283">
        <v>1512124</v>
      </c>
      <c r="AB283" s="120"/>
      <c r="BT283" s="90" t="s">
        <v>1305</v>
      </c>
      <c r="BU283" s="90">
        <v>1073</v>
      </c>
      <c r="BV283" s="90">
        <v>2</v>
      </c>
      <c r="BW283" s="68"/>
      <c r="BX283" s="90" t="s">
        <v>1268</v>
      </c>
      <c r="BY283" s="90" t="s">
        <v>863</v>
      </c>
      <c r="BZ283" s="90">
        <v>0.32</v>
      </c>
      <c r="CA283" s="90"/>
      <c r="CB283" s="90">
        <v>1</v>
      </c>
      <c r="CC283" s="90">
        <v>41.67</v>
      </c>
      <c r="CD283" s="90"/>
      <c r="CE283" s="90"/>
      <c r="CF283" s="90" t="s">
        <v>1552</v>
      </c>
      <c r="CG283" s="90">
        <v>500</v>
      </c>
      <c r="CH283" s="90">
        <v>365</v>
      </c>
      <c r="CI283" s="68"/>
      <c r="CJ283" s="68"/>
      <c r="CK283" s="125">
        <v>16</v>
      </c>
    </row>
    <row r="284" spans="1:89" ht="15" thickBot="1" x14ac:dyDescent="0.35">
      <c r="A284" s="114" t="s">
        <v>1376</v>
      </c>
      <c r="C284" t="s">
        <v>3249</v>
      </c>
      <c r="E284" s="90">
        <v>3.1</v>
      </c>
      <c r="F284" s="114" t="s">
        <v>2903</v>
      </c>
      <c r="G284" t="s">
        <v>3155</v>
      </c>
      <c r="H284" t="s">
        <v>3156</v>
      </c>
      <c r="M284" t="b">
        <v>1</v>
      </c>
      <c r="N284" t="b">
        <v>1</v>
      </c>
      <c r="O284" t="b">
        <v>0</v>
      </c>
      <c r="P284" t="b">
        <v>0</v>
      </c>
      <c r="Q284" t="s">
        <v>3155</v>
      </c>
      <c r="R284">
        <v>1512124</v>
      </c>
      <c r="AB284" s="120"/>
      <c r="BT284" s="90" t="s">
        <v>1305</v>
      </c>
      <c r="BU284" s="90">
        <v>1073</v>
      </c>
      <c r="BV284" s="90">
        <v>5</v>
      </c>
      <c r="BW284" s="68"/>
      <c r="BX284" s="90" t="s">
        <v>1268</v>
      </c>
      <c r="BY284" s="90" t="s">
        <v>863</v>
      </c>
      <c r="BZ284" s="90">
        <v>0.32</v>
      </c>
      <c r="CA284" s="90"/>
      <c r="CB284" s="90">
        <v>1</v>
      </c>
      <c r="CC284" s="90">
        <v>41.67</v>
      </c>
      <c r="CD284" s="90"/>
      <c r="CE284" s="90"/>
      <c r="CF284" s="90" t="s">
        <v>1552</v>
      </c>
      <c r="CG284" s="90">
        <v>500</v>
      </c>
      <c r="CH284" s="90">
        <v>365</v>
      </c>
      <c r="CI284" s="68"/>
      <c r="CJ284" s="68"/>
      <c r="CK284" s="125">
        <v>988</v>
      </c>
    </row>
    <row r="285" spans="1:89" ht="15" thickBot="1" x14ac:dyDescent="0.35">
      <c r="A285" s="114" t="s">
        <v>1376</v>
      </c>
      <c r="C285" t="s">
        <v>3249</v>
      </c>
      <c r="E285" s="90">
        <v>3.1</v>
      </c>
      <c r="F285" s="114" t="s">
        <v>2903</v>
      </c>
      <c r="G285" t="s">
        <v>3155</v>
      </c>
      <c r="H285" t="s">
        <v>3156</v>
      </c>
      <c r="M285" t="b">
        <v>1</v>
      </c>
      <c r="N285" t="b">
        <v>1</v>
      </c>
      <c r="O285" t="b">
        <v>0</v>
      </c>
      <c r="P285" t="b">
        <v>0</v>
      </c>
      <c r="Q285" t="s">
        <v>3155</v>
      </c>
      <c r="R285">
        <v>1512124</v>
      </c>
      <c r="AB285" s="120"/>
      <c r="BT285" s="90" t="s">
        <v>1305</v>
      </c>
      <c r="BU285" s="90">
        <v>1273</v>
      </c>
      <c r="BV285" s="90">
        <v>3</v>
      </c>
      <c r="BW285" s="68"/>
      <c r="BX285" s="90" t="s">
        <v>1268</v>
      </c>
      <c r="BY285" s="90" t="s">
        <v>863</v>
      </c>
      <c r="BZ285" s="90">
        <v>0.32</v>
      </c>
      <c r="CA285" s="90"/>
      <c r="CB285" s="90">
        <v>1</v>
      </c>
      <c r="CC285" s="90">
        <v>41.67</v>
      </c>
      <c r="CD285" s="90"/>
      <c r="CE285" s="90"/>
      <c r="CF285" s="90" t="s">
        <v>1552</v>
      </c>
      <c r="CG285" s="90">
        <v>500</v>
      </c>
      <c r="CH285" s="90">
        <v>365</v>
      </c>
      <c r="CI285" s="68"/>
      <c r="CJ285" s="68"/>
      <c r="CK285" s="125">
        <v>1272</v>
      </c>
    </row>
    <row r="286" spans="1:89" ht="15" thickBot="1" x14ac:dyDescent="0.35">
      <c r="A286" s="114" t="s">
        <v>1376</v>
      </c>
      <c r="C286" t="s">
        <v>3249</v>
      </c>
      <c r="E286" s="90">
        <v>3.1</v>
      </c>
      <c r="F286" s="114" t="s">
        <v>2903</v>
      </c>
      <c r="G286" t="s">
        <v>3155</v>
      </c>
      <c r="H286" t="s">
        <v>3156</v>
      </c>
      <c r="M286" t="b">
        <v>1</v>
      </c>
      <c r="N286" t="b">
        <v>1</v>
      </c>
      <c r="O286" t="b">
        <v>0</v>
      </c>
      <c r="P286" t="b">
        <v>0</v>
      </c>
      <c r="Q286" t="s">
        <v>3155</v>
      </c>
      <c r="R286">
        <v>1512124</v>
      </c>
      <c r="AB286" s="120"/>
      <c r="BT286" s="90" t="s">
        <v>1538</v>
      </c>
      <c r="BU286" s="90">
        <v>1273</v>
      </c>
      <c r="BV286" s="90">
        <v>3</v>
      </c>
      <c r="BW286" s="68"/>
      <c r="BX286" s="90" t="s">
        <v>1268</v>
      </c>
      <c r="BY286" s="90" t="s">
        <v>863</v>
      </c>
      <c r="BZ286" s="90">
        <v>0.32</v>
      </c>
      <c r="CA286" s="90"/>
      <c r="CB286" s="90">
        <v>1</v>
      </c>
      <c r="CC286" s="90">
        <v>41.67</v>
      </c>
      <c r="CD286" s="90"/>
      <c r="CE286" s="90"/>
      <c r="CF286" s="90" t="s">
        <v>1552</v>
      </c>
      <c r="CG286" s="90">
        <v>500</v>
      </c>
      <c r="CH286" s="90">
        <v>365</v>
      </c>
      <c r="CI286" s="68"/>
      <c r="CJ286" s="68"/>
      <c r="CK286" s="125">
        <v>185</v>
      </c>
    </row>
    <row r="287" spans="1:89" ht="15" thickBot="1" x14ac:dyDescent="0.35">
      <c r="A287" s="114" t="s">
        <v>28</v>
      </c>
      <c r="C287" t="s">
        <v>805</v>
      </c>
      <c r="E287" s="90">
        <v>4.0999999999999996</v>
      </c>
      <c r="F287" s="114" t="s">
        <v>2904</v>
      </c>
      <c r="G287" t="s">
        <v>586</v>
      </c>
      <c r="H287" t="s">
        <v>660</v>
      </c>
      <c r="M287" t="b">
        <v>1</v>
      </c>
      <c r="N287" t="b">
        <v>1</v>
      </c>
      <c r="O287" t="b">
        <v>0</v>
      </c>
      <c r="P287" t="b">
        <v>0</v>
      </c>
      <c r="Q287" t="s">
        <v>586</v>
      </c>
      <c r="R287">
        <v>1521385</v>
      </c>
      <c r="AB287" s="120"/>
      <c r="BT287" s="90" t="s">
        <v>1264</v>
      </c>
      <c r="BU287" s="90">
        <v>773</v>
      </c>
      <c r="BV287" s="90">
        <v>3</v>
      </c>
      <c r="BW287" s="68"/>
      <c r="BX287" s="90"/>
      <c r="BY287" s="90"/>
      <c r="BZ287" s="90"/>
      <c r="CA287" s="90">
        <v>0.6</v>
      </c>
      <c r="CB287" s="90">
        <v>1.1100000000000001</v>
      </c>
      <c r="CC287" s="90">
        <v>0</v>
      </c>
      <c r="CD287" s="90"/>
      <c r="CE287" s="90"/>
      <c r="CF287" s="90" t="s">
        <v>1552</v>
      </c>
      <c r="CG287" s="90">
        <v>400</v>
      </c>
      <c r="CH287" s="90">
        <v>365</v>
      </c>
      <c r="CI287" s="68"/>
      <c r="CJ287" s="68"/>
      <c r="CK287" s="125">
        <v>89.25</v>
      </c>
    </row>
    <row r="288" spans="1:89" ht="15" thickBot="1" x14ac:dyDescent="0.35">
      <c r="A288" s="114" t="s">
        <v>28</v>
      </c>
      <c r="C288" t="s">
        <v>805</v>
      </c>
      <c r="E288" s="90">
        <v>3.9</v>
      </c>
      <c r="F288" s="114" t="s">
        <v>2904</v>
      </c>
      <c r="G288" t="s">
        <v>586</v>
      </c>
      <c r="H288" t="s">
        <v>660</v>
      </c>
      <c r="M288" t="b">
        <v>1</v>
      </c>
      <c r="N288" t="b">
        <v>1</v>
      </c>
      <c r="O288" t="b">
        <v>0</v>
      </c>
      <c r="P288" t="b">
        <v>0</v>
      </c>
      <c r="Q288" t="s">
        <v>586</v>
      </c>
      <c r="R288">
        <v>1521385</v>
      </c>
      <c r="AB288" s="120"/>
      <c r="BT288" s="90" t="s">
        <v>1264</v>
      </c>
      <c r="BU288" s="90">
        <v>1473</v>
      </c>
      <c r="BV288" s="90">
        <v>1</v>
      </c>
      <c r="BW288" s="68"/>
      <c r="BX288" s="90"/>
      <c r="BY288" s="90"/>
      <c r="BZ288" s="90"/>
      <c r="CA288" s="90">
        <v>23</v>
      </c>
      <c r="CB288" s="90">
        <v>1.1100000000000001</v>
      </c>
      <c r="CC288" s="90">
        <v>0</v>
      </c>
      <c r="CD288" s="90"/>
      <c r="CE288" s="90"/>
      <c r="CF288" s="90" t="s">
        <v>1552</v>
      </c>
      <c r="CG288" s="90">
        <v>400</v>
      </c>
      <c r="CH288" s="90">
        <v>365</v>
      </c>
      <c r="CI288" s="68"/>
      <c r="CJ288" s="68"/>
      <c r="CK288" s="125">
        <v>2097.5</v>
      </c>
    </row>
    <row r="289" spans="1:89" ht="15" thickBot="1" x14ac:dyDescent="0.35">
      <c r="A289" s="114" t="s">
        <v>34</v>
      </c>
      <c r="C289" t="s">
        <v>711</v>
      </c>
      <c r="E289" s="90">
        <v>3.2</v>
      </c>
      <c r="F289" s="114" t="s">
        <v>94</v>
      </c>
      <c r="G289" t="s">
        <v>542</v>
      </c>
      <c r="H289" t="s">
        <v>623</v>
      </c>
      <c r="M289" t="b">
        <v>1</v>
      </c>
      <c r="N289" t="b">
        <v>1</v>
      </c>
      <c r="O289" t="b">
        <v>0</v>
      </c>
      <c r="P289" t="b">
        <v>0</v>
      </c>
      <c r="Q289" t="s">
        <v>542</v>
      </c>
      <c r="R289">
        <v>1530317</v>
      </c>
      <c r="AB289" s="120"/>
      <c r="BT289" s="90" t="s">
        <v>1264</v>
      </c>
      <c r="BU289" s="90">
        <v>1373</v>
      </c>
      <c r="BV289" s="90">
        <v>30</v>
      </c>
      <c r="BW289" s="68"/>
      <c r="BX289" s="90" t="s">
        <v>1533</v>
      </c>
      <c r="BY289" s="90" t="s">
        <v>56</v>
      </c>
      <c r="BZ289" s="90">
        <v>1</v>
      </c>
      <c r="CA289" s="90">
        <v>8.1449999999999996</v>
      </c>
      <c r="CB289" s="90">
        <v>2.1</v>
      </c>
      <c r="CC289" s="90">
        <v>0</v>
      </c>
      <c r="CD289" s="90"/>
      <c r="CE289" s="90"/>
      <c r="CF289" s="90" t="s">
        <v>1552</v>
      </c>
      <c r="CG289" s="90">
        <v>400</v>
      </c>
      <c r="CH289" s="90">
        <v>365</v>
      </c>
      <c r="CI289" s="68"/>
      <c r="CJ289" s="68"/>
      <c r="CK289" s="125">
        <v>61.9</v>
      </c>
    </row>
    <row r="290" spans="1:89" ht="15" thickBot="1" x14ac:dyDescent="0.35">
      <c r="A290" s="114" t="s">
        <v>34</v>
      </c>
      <c r="C290" t="s">
        <v>711</v>
      </c>
      <c r="E290" s="90">
        <v>3.2</v>
      </c>
      <c r="F290" s="114" t="s">
        <v>94</v>
      </c>
      <c r="G290" t="s">
        <v>542</v>
      </c>
      <c r="H290" t="s">
        <v>623</v>
      </c>
      <c r="M290" t="b">
        <v>1</v>
      </c>
      <c r="N290" t="b">
        <v>1</v>
      </c>
      <c r="O290" t="b">
        <v>0</v>
      </c>
      <c r="P290" t="b">
        <v>0</v>
      </c>
      <c r="Q290" t="s">
        <v>542</v>
      </c>
      <c r="R290">
        <v>1530317</v>
      </c>
      <c r="AB290" s="120"/>
      <c r="BT290" s="90" t="s">
        <v>1336</v>
      </c>
      <c r="BU290" s="90">
        <v>1073</v>
      </c>
      <c r="BV290" s="90">
        <v>2</v>
      </c>
      <c r="BW290" s="68"/>
      <c r="BX290" s="90" t="s">
        <v>1533</v>
      </c>
      <c r="BY290" s="90" t="s">
        <v>56</v>
      </c>
      <c r="BZ290" s="90">
        <v>1</v>
      </c>
      <c r="CA290" s="90">
        <v>3.49</v>
      </c>
      <c r="CB290" s="90">
        <v>2.1</v>
      </c>
      <c r="CC290" s="90">
        <v>0</v>
      </c>
      <c r="CD290" s="90"/>
      <c r="CE290" s="90"/>
      <c r="CF290" s="90" t="s">
        <v>1552</v>
      </c>
      <c r="CG290" s="90">
        <v>400</v>
      </c>
      <c r="CH290" s="90">
        <v>365</v>
      </c>
      <c r="CI290" s="68"/>
      <c r="CJ290" s="68"/>
      <c r="CK290" s="125">
        <v>82.5</v>
      </c>
    </row>
    <row r="291" spans="1:89" ht="15" thickBot="1" x14ac:dyDescent="0.35">
      <c r="A291" s="114" t="s">
        <v>2906</v>
      </c>
      <c r="C291" t="s">
        <v>3298</v>
      </c>
      <c r="E291" s="90">
        <v>2.35</v>
      </c>
      <c r="F291" s="114" t="s">
        <v>2905</v>
      </c>
      <c r="G291" t="s">
        <v>3177</v>
      </c>
      <c r="H291" t="s">
        <v>3178</v>
      </c>
      <c r="M291" t="b">
        <v>1</v>
      </c>
      <c r="N291" t="b">
        <v>1</v>
      </c>
      <c r="O291" t="b">
        <v>0</v>
      </c>
      <c r="P291" t="b">
        <v>0</v>
      </c>
      <c r="Q291" t="s">
        <v>3177</v>
      </c>
      <c r="R291">
        <v>1525846</v>
      </c>
      <c r="AB291" s="90"/>
      <c r="BT291" s="90" t="s">
        <v>1264</v>
      </c>
      <c r="BU291" s="90"/>
      <c r="BV291" s="90"/>
      <c r="BW291" s="68"/>
      <c r="BX291" s="90" t="s">
        <v>1268</v>
      </c>
      <c r="BY291" s="90" t="s">
        <v>863</v>
      </c>
      <c r="BZ291" s="90">
        <v>1</v>
      </c>
      <c r="CA291" s="90">
        <v>119.2</v>
      </c>
      <c r="CB291" s="90">
        <v>1</v>
      </c>
      <c r="CC291" s="90">
        <v>0</v>
      </c>
      <c r="CD291" s="90" t="s">
        <v>1550</v>
      </c>
      <c r="CE291" s="90" t="s">
        <v>1551</v>
      </c>
      <c r="CF291" s="90" t="s">
        <v>1534</v>
      </c>
      <c r="CG291" s="90">
        <v>350</v>
      </c>
      <c r="CH291" s="90">
        <v>420</v>
      </c>
      <c r="CI291" s="68"/>
      <c r="CJ291" s="68"/>
      <c r="CK291" s="125">
        <v>157</v>
      </c>
    </row>
    <row r="292" spans="1:89" ht="15" thickBot="1" x14ac:dyDescent="0.35">
      <c r="A292" s="114" t="s">
        <v>2907</v>
      </c>
      <c r="C292" t="s">
        <v>3277</v>
      </c>
      <c r="E292" s="90">
        <v>2.3199999999999998</v>
      </c>
      <c r="F292" s="114" t="s">
        <v>2905</v>
      </c>
      <c r="G292" t="s">
        <v>3177</v>
      </c>
      <c r="H292" t="s">
        <v>3178</v>
      </c>
      <c r="M292" t="b">
        <v>1</v>
      </c>
      <c r="N292" t="b">
        <v>1</v>
      </c>
      <c r="O292" t="b">
        <v>0</v>
      </c>
      <c r="P292" t="b">
        <v>0</v>
      </c>
      <c r="Q292" t="s">
        <v>3177</v>
      </c>
      <c r="R292">
        <v>1525846</v>
      </c>
      <c r="AB292" s="90"/>
      <c r="BT292" s="90" t="s">
        <v>1264</v>
      </c>
      <c r="BU292" s="90"/>
      <c r="BV292" s="90"/>
      <c r="BW292" s="68"/>
      <c r="BX292" s="90" t="s">
        <v>1268</v>
      </c>
      <c r="BY292" s="90" t="s">
        <v>863</v>
      </c>
      <c r="BZ292" s="90">
        <v>1</v>
      </c>
      <c r="CA292" s="90">
        <v>123.3</v>
      </c>
      <c r="CB292" s="90">
        <v>1</v>
      </c>
      <c r="CC292" s="90">
        <v>0</v>
      </c>
      <c r="CD292" s="90" t="s">
        <v>1550</v>
      </c>
      <c r="CE292" s="90" t="s">
        <v>1551</v>
      </c>
      <c r="CF292" s="90" t="s">
        <v>1534</v>
      </c>
      <c r="CG292" s="90">
        <v>350</v>
      </c>
      <c r="CH292" s="90">
        <v>420</v>
      </c>
      <c r="CI292" s="68"/>
      <c r="CJ292" s="68"/>
      <c r="CK292" s="125">
        <v>259.33</v>
      </c>
    </row>
    <row r="293" spans="1:89" ht="15" thickBot="1" x14ac:dyDescent="0.35">
      <c r="A293" s="114" t="s">
        <v>2908</v>
      </c>
      <c r="C293" t="s">
        <v>3277</v>
      </c>
      <c r="E293" s="90">
        <v>2.2999999999999998</v>
      </c>
      <c r="F293" s="114" t="s">
        <v>2905</v>
      </c>
      <c r="G293" t="s">
        <v>3177</v>
      </c>
      <c r="H293" t="s">
        <v>3178</v>
      </c>
      <c r="M293" t="b">
        <v>1</v>
      </c>
      <c r="N293" t="b">
        <v>1</v>
      </c>
      <c r="O293" t="b">
        <v>0</v>
      </c>
      <c r="P293" t="b">
        <v>0</v>
      </c>
      <c r="Q293" t="s">
        <v>3177</v>
      </c>
      <c r="R293">
        <v>1525846</v>
      </c>
      <c r="AB293" s="90"/>
      <c r="BT293" s="90" t="s">
        <v>1264</v>
      </c>
      <c r="BU293" s="90"/>
      <c r="BV293" s="90"/>
      <c r="BW293" s="68"/>
      <c r="BX293" s="90" t="s">
        <v>1268</v>
      </c>
      <c r="BY293" s="90" t="s">
        <v>863</v>
      </c>
      <c r="BZ293" s="90">
        <v>1</v>
      </c>
      <c r="CA293" s="90">
        <v>124.4</v>
      </c>
      <c r="CB293" s="90">
        <v>1</v>
      </c>
      <c r="CC293" s="90">
        <v>0</v>
      </c>
      <c r="CD293" s="90" t="s">
        <v>1550</v>
      </c>
      <c r="CE293" s="90" t="s">
        <v>1551</v>
      </c>
      <c r="CF293" s="90" t="s">
        <v>1534</v>
      </c>
      <c r="CG293" s="90">
        <v>350</v>
      </c>
      <c r="CH293" s="90">
        <v>420</v>
      </c>
      <c r="CI293" s="68"/>
      <c r="CJ293" s="68"/>
      <c r="CK293" s="125">
        <v>360</v>
      </c>
    </row>
    <row r="294" spans="1:89" ht="15" thickBot="1" x14ac:dyDescent="0.35">
      <c r="A294" s="114" t="s">
        <v>2909</v>
      </c>
      <c r="C294" t="s">
        <v>3277</v>
      </c>
      <c r="E294" s="90">
        <v>2.25</v>
      </c>
      <c r="F294" s="114" t="s">
        <v>2905</v>
      </c>
      <c r="G294" t="s">
        <v>3177</v>
      </c>
      <c r="H294" t="s">
        <v>3178</v>
      </c>
      <c r="M294" t="b">
        <v>0</v>
      </c>
      <c r="N294" t="b">
        <v>1</v>
      </c>
      <c r="O294" t="b">
        <v>0</v>
      </c>
      <c r="P294" t="b">
        <v>0</v>
      </c>
      <c r="Q294" t="s">
        <v>3177</v>
      </c>
      <c r="R294">
        <v>1525846</v>
      </c>
      <c r="AB294" s="90"/>
      <c r="BT294" s="90" t="s">
        <v>1407</v>
      </c>
      <c r="BU294" s="90"/>
      <c r="BV294" s="90"/>
      <c r="BW294" s="68"/>
      <c r="BX294" s="90" t="s">
        <v>1268</v>
      </c>
      <c r="BY294" s="90" t="s">
        <v>863</v>
      </c>
      <c r="BZ294" s="90">
        <v>1</v>
      </c>
      <c r="CA294" s="90">
        <v>109</v>
      </c>
      <c r="CB294" s="90">
        <v>1</v>
      </c>
      <c r="CC294" s="90">
        <v>0</v>
      </c>
      <c r="CD294" s="90" t="s">
        <v>1550</v>
      </c>
      <c r="CE294" s="90" t="s">
        <v>1551</v>
      </c>
      <c r="CF294" s="90" t="s">
        <v>1534</v>
      </c>
      <c r="CG294" s="90">
        <v>350</v>
      </c>
      <c r="CH294" s="90">
        <v>420</v>
      </c>
      <c r="CI294" s="68"/>
      <c r="CJ294" s="68"/>
      <c r="CK294" s="125">
        <v>323.67</v>
      </c>
    </row>
    <row r="295" spans="1:89" ht="15" thickBot="1" x14ac:dyDescent="0.35">
      <c r="A295" s="114" t="s">
        <v>2910</v>
      </c>
      <c r="C295" t="s">
        <v>3277</v>
      </c>
      <c r="E295" s="90">
        <v>2.23</v>
      </c>
      <c r="F295" s="114" t="s">
        <v>2905</v>
      </c>
      <c r="G295" t="s">
        <v>3177</v>
      </c>
      <c r="H295" t="s">
        <v>3178</v>
      </c>
      <c r="M295" t="b">
        <v>0</v>
      </c>
      <c r="N295" t="b">
        <v>0</v>
      </c>
      <c r="O295" t="b">
        <v>0</v>
      </c>
      <c r="P295" t="b">
        <v>1</v>
      </c>
      <c r="Q295" t="s">
        <v>3177</v>
      </c>
      <c r="R295">
        <v>1525846</v>
      </c>
      <c r="AB295" s="90"/>
      <c r="BT295" s="90" t="s">
        <v>1407</v>
      </c>
      <c r="BU295" s="90"/>
      <c r="BV295" s="90"/>
      <c r="BW295" s="68"/>
      <c r="BX295" s="90" t="s">
        <v>1268</v>
      </c>
      <c r="BY295" s="90" t="s">
        <v>863</v>
      </c>
      <c r="BZ295" s="90">
        <v>1</v>
      </c>
      <c r="CA295" s="90">
        <v>100.5</v>
      </c>
      <c r="CB295" s="90">
        <v>1</v>
      </c>
      <c r="CC295" s="90">
        <v>0</v>
      </c>
      <c r="CD295" s="90" t="s">
        <v>1550</v>
      </c>
      <c r="CE295" s="90" t="s">
        <v>1551</v>
      </c>
      <c r="CF295" s="90" t="s">
        <v>1534</v>
      </c>
      <c r="CG295" s="90">
        <v>350</v>
      </c>
      <c r="CH295" s="90">
        <v>420</v>
      </c>
      <c r="CI295" s="68"/>
      <c r="CJ295" s="68"/>
      <c r="CK295" s="125">
        <v>307.67</v>
      </c>
    </row>
    <row r="296" spans="1:89" ht="15" thickBot="1" x14ac:dyDescent="0.35">
      <c r="A296" s="114" t="s">
        <v>2911</v>
      </c>
      <c r="C296" t="s">
        <v>3299</v>
      </c>
      <c r="E296" s="90">
        <v>2.25</v>
      </c>
      <c r="F296" s="114" t="s">
        <v>2905</v>
      </c>
      <c r="G296" t="s">
        <v>3177</v>
      </c>
      <c r="H296" t="s">
        <v>3178</v>
      </c>
      <c r="M296" t="b">
        <v>0</v>
      </c>
      <c r="N296" t="b">
        <v>0</v>
      </c>
      <c r="O296" t="b">
        <v>0</v>
      </c>
      <c r="P296" t="b">
        <v>1</v>
      </c>
      <c r="Q296" t="s">
        <v>3177</v>
      </c>
      <c r="R296">
        <v>1525846</v>
      </c>
      <c r="AB296" s="90"/>
      <c r="BT296" s="90" t="s">
        <v>1407</v>
      </c>
      <c r="BU296" s="90"/>
      <c r="BV296" s="90"/>
      <c r="BW296" s="68"/>
      <c r="BX296" s="90" t="s">
        <v>1268</v>
      </c>
      <c r="BY296" s="90" t="s">
        <v>863</v>
      </c>
      <c r="BZ296" s="90">
        <v>1</v>
      </c>
      <c r="CA296" s="90">
        <v>97.3</v>
      </c>
      <c r="CB296" s="90">
        <v>1</v>
      </c>
      <c r="CC296" s="90">
        <v>0</v>
      </c>
      <c r="CD296" s="90" t="s">
        <v>1550</v>
      </c>
      <c r="CE296" s="90" t="s">
        <v>1551</v>
      </c>
      <c r="CF296" s="90" t="s">
        <v>1534</v>
      </c>
      <c r="CG296" s="90">
        <v>350</v>
      </c>
      <c r="CH296" s="90">
        <v>420</v>
      </c>
      <c r="CI296" s="68"/>
      <c r="CJ296" s="68"/>
      <c r="CK296" s="125">
        <v>282.33</v>
      </c>
    </row>
    <row r="297" spans="1:89" ht="15" thickBot="1" x14ac:dyDescent="0.35">
      <c r="A297" s="114" t="s">
        <v>2912</v>
      </c>
      <c r="C297" t="s">
        <v>3300</v>
      </c>
      <c r="E297" s="90">
        <v>4.0999999999999996</v>
      </c>
      <c r="F297" s="114" t="s">
        <v>2913</v>
      </c>
      <c r="G297" t="s">
        <v>3187</v>
      </c>
      <c r="H297" t="s">
        <v>3188</v>
      </c>
      <c r="M297" t="b">
        <v>1</v>
      </c>
      <c r="N297" t="b">
        <v>1</v>
      </c>
      <c r="O297" t="b">
        <v>0</v>
      </c>
      <c r="P297" t="b">
        <v>0</v>
      </c>
      <c r="Q297" t="s">
        <v>3187</v>
      </c>
      <c r="R297">
        <v>1010424</v>
      </c>
      <c r="AB297" s="120"/>
      <c r="BT297" s="90" t="s">
        <v>1407</v>
      </c>
      <c r="BU297" s="90">
        <v>1373</v>
      </c>
      <c r="BV297" s="90">
        <v>24</v>
      </c>
      <c r="BW297" s="68"/>
      <c r="BX297" s="90"/>
      <c r="BY297" s="90"/>
      <c r="BZ297" s="90"/>
      <c r="CA297" s="90">
        <v>2</v>
      </c>
      <c r="CB297" s="90">
        <v>1</v>
      </c>
      <c r="CC297" s="90">
        <v>0</v>
      </c>
      <c r="CD297" s="90"/>
      <c r="CE297" s="90"/>
      <c r="CF297" s="90" t="s">
        <v>1572</v>
      </c>
      <c r="CG297" s="90"/>
      <c r="CH297" s="90">
        <v>254</v>
      </c>
      <c r="CI297" s="68"/>
      <c r="CJ297" s="68"/>
      <c r="CK297" s="125">
        <v>8</v>
      </c>
    </row>
    <row r="298" spans="1:89" ht="15" thickBot="1" x14ac:dyDescent="0.35">
      <c r="A298" s="114" t="s">
        <v>2915</v>
      </c>
      <c r="C298" t="s">
        <v>3301</v>
      </c>
      <c r="E298" s="90">
        <v>4.75</v>
      </c>
      <c r="F298" s="114" t="s">
        <v>2914</v>
      </c>
      <c r="G298" t="s">
        <v>3189</v>
      </c>
      <c r="H298" t="s">
        <v>3190</v>
      </c>
      <c r="M298" t="b">
        <v>1</v>
      </c>
      <c r="N298" t="b">
        <v>1</v>
      </c>
      <c r="O298" t="b">
        <v>0</v>
      </c>
      <c r="P298" t="b">
        <v>0</v>
      </c>
      <c r="Q298" t="s">
        <v>3189</v>
      </c>
      <c r="R298">
        <v>4001767</v>
      </c>
      <c r="AB298" s="120"/>
      <c r="BT298" s="90" t="s">
        <v>1407</v>
      </c>
      <c r="BU298" s="90">
        <v>1173</v>
      </c>
      <c r="BV298" s="90">
        <v>15</v>
      </c>
      <c r="BW298" s="68"/>
      <c r="BX298" s="90"/>
      <c r="BY298" s="90"/>
      <c r="BZ298" s="90"/>
      <c r="CA298" s="90">
        <v>5.2</v>
      </c>
      <c r="CB298" s="90">
        <v>1</v>
      </c>
      <c r="CC298" s="90">
        <v>0</v>
      </c>
      <c r="CD298" s="90"/>
      <c r="CE298" s="90"/>
      <c r="CF298" s="90" t="s">
        <v>1552</v>
      </c>
      <c r="CG298" s="90">
        <v>500</v>
      </c>
      <c r="CH298" s="90">
        <v>365</v>
      </c>
      <c r="CI298" s="68"/>
      <c r="CJ298" s="68"/>
      <c r="CK298" s="125">
        <v>9</v>
      </c>
    </row>
    <row r="299" spans="1:89" ht="15" thickBot="1" x14ac:dyDescent="0.35">
      <c r="A299" s="114" t="s">
        <v>2915</v>
      </c>
      <c r="C299" t="s">
        <v>3301</v>
      </c>
      <c r="E299" s="90">
        <v>4.7699999999999996</v>
      </c>
      <c r="F299" s="114" t="s">
        <v>2914</v>
      </c>
      <c r="G299" t="s">
        <v>3189</v>
      </c>
      <c r="H299" t="s">
        <v>3190</v>
      </c>
      <c r="M299" t="b">
        <v>1</v>
      </c>
      <c r="N299" t="b">
        <v>1</v>
      </c>
      <c r="O299" t="b">
        <v>0</v>
      </c>
      <c r="P299" t="b">
        <v>0</v>
      </c>
      <c r="Q299" t="s">
        <v>3189</v>
      </c>
      <c r="R299">
        <v>4001767</v>
      </c>
      <c r="AB299" s="120"/>
      <c r="BT299" s="90" t="s">
        <v>1407</v>
      </c>
      <c r="BU299" s="90"/>
      <c r="BV299" s="90"/>
      <c r="BW299" s="68"/>
      <c r="BX299" s="90"/>
      <c r="BY299" s="90"/>
      <c r="BZ299" s="90"/>
      <c r="CA299" s="90">
        <v>20</v>
      </c>
      <c r="CB299" s="90">
        <v>1</v>
      </c>
      <c r="CC299" s="90">
        <v>0</v>
      </c>
      <c r="CD299" s="90"/>
      <c r="CE299" s="90"/>
      <c r="CF299" s="90" t="s">
        <v>1552</v>
      </c>
      <c r="CG299" s="90">
        <v>500</v>
      </c>
      <c r="CH299" s="90">
        <v>365</v>
      </c>
      <c r="CI299" s="68"/>
      <c r="CJ299" s="68"/>
      <c r="CK299" s="125">
        <v>14.6</v>
      </c>
    </row>
    <row r="300" spans="1:89" ht="15" thickBot="1" x14ac:dyDescent="0.35">
      <c r="A300" s="114" t="s">
        <v>2915</v>
      </c>
      <c r="C300" t="s">
        <v>3301</v>
      </c>
      <c r="E300" s="90">
        <v>4.37</v>
      </c>
      <c r="F300" s="114" t="s">
        <v>2914</v>
      </c>
      <c r="G300" t="s">
        <v>3189</v>
      </c>
      <c r="H300" t="s">
        <v>3190</v>
      </c>
      <c r="M300" t="b">
        <v>1</v>
      </c>
      <c r="N300" t="b">
        <v>1</v>
      </c>
      <c r="O300" t="b">
        <v>0</v>
      </c>
      <c r="P300" t="b">
        <v>0</v>
      </c>
      <c r="Q300" t="s">
        <v>3189</v>
      </c>
      <c r="R300">
        <v>4001767</v>
      </c>
      <c r="AB300" s="120"/>
      <c r="BT300" s="90" t="s">
        <v>1264</v>
      </c>
      <c r="BU300" s="90">
        <v>873</v>
      </c>
      <c r="BV300" s="90">
        <v>2</v>
      </c>
      <c r="BW300" s="68"/>
      <c r="BX300" s="90"/>
      <c r="BY300" s="90"/>
      <c r="BZ300" s="90"/>
      <c r="CA300" s="90">
        <v>29</v>
      </c>
      <c r="CB300" s="90">
        <v>1</v>
      </c>
      <c r="CC300" s="90">
        <v>0</v>
      </c>
      <c r="CD300" s="90"/>
      <c r="CE300" s="90"/>
      <c r="CF300" s="90" t="s">
        <v>1552</v>
      </c>
      <c r="CG300" s="90">
        <v>500</v>
      </c>
      <c r="CH300" s="90">
        <v>365</v>
      </c>
      <c r="CI300" s="68"/>
      <c r="CJ300" s="68"/>
      <c r="CK300" s="125">
        <v>29</v>
      </c>
    </row>
    <row r="301" spans="1:89" ht="15" thickBot="1" x14ac:dyDescent="0.35">
      <c r="A301" s="114" t="s">
        <v>2915</v>
      </c>
      <c r="C301" t="s">
        <v>3301</v>
      </c>
      <c r="E301" s="90">
        <v>4.75</v>
      </c>
      <c r="F301" s="114" t="s">
        <v>2914</v>
      </c>
      <c r="G301" t="s">
        <v>3189</v>
      </c>
      <c r="H301" t="s">
        <v>3190</v>
      </c>
      <c r="M301" t="b">
        <v>1</v>
      </c>
      <c r="N301" t="b">
        <v>1</v>
      </c>
      <c r="O301" t="b">
        <v>0</v>
      </c>
      <c r="P301" t="b">
        <v>0</v>
      </c>
      <c r="Q301" t="s">
        <v>3189</v>
      </c>
      <c r="R301">
        <v>4001767</v>
      </c>
      <c r="AB301" s="120"/>
      <c r="BT301" s="90" t="s">
        <v>1264</v>
      </c>
      <c r="BU301" s="90">
        <v>1173</v>
      </c>
      <c r="BV301" s="90">
        <v>15</v>
      </c>
      <c r="BW301" s="68"/>
      <c r="BX301" s="90"/>
      <c r="BY301" s="90"/>
      <c r="BZ301" s="90"/>
      <c r="CA301" s="90">
        <v>5.2</v>
      </c>
      <c r="CB301" s="90">
        <v>1</v>
      </c>
      <c r="CC301" s="90">
        <v>20</v>
      </c>
      <c r="CD301" s="90"/>
      <c r="CE301" s="90"/>
      <c r="CF301" s="90" t="s">
        <v>1552</v>
      </c>
      <c r="CG301" s="90">
        <v>500</v>
      </c>
      <c r="CH301" s="90">
        <v>365</v>
      </c>
      <c r="CI301" s="68"/>
      <c r="CJ301" s="68"/>
      <c r="CK301" s="125">
        <v>27.2</v>
      </c>
    </row>
    <row r="302" spans="1:89" ht="15" thickBot="1" x14ac:dyDescent="0.35">
      <c r="A302" s="114" t="s">
        <v>2915</v>
      </c>
      <c r="C302" t="s">
        <v>3301</v>
      </c>
      <c r="E302" s="90">
        <v>4.7699999999999996</v>
      </c>
      <c r="F302" s="114" t="s">
        <v>2914</v>
      </c>
      <c r="G302" t="s">
        <v>3189</v>
      </c>
      <c r="H302" t="s">
        <v>3190</v>
      </c>
      <c r="M302" t="b">
        <v>1</v>
      </c>
      <c r="N302" t="b">
        <v>1</v>
      </c>
      <c r="O302" t="b">
        <v>0</v>
      </c>
      <c r="P302" t="b">
        <v>0</v>
      </c>
      <c r="Q302" t="s">
        <v>3189</v>
      </c>
      <c r="R302">
        <v>4001767</v>
      </c>
      <c r="AB302" s="120"/>
      <c r="BT302" s="90" t="s">
        <v>1407</v>
      </c>
      <c r="BU302" s="90"/>
      <c r="BV302" s="90"/>
      <c r="BW302" s="68"/>
      <c r="BX302" s="90"/>
      <c r="BY302" s="90"/>
      <c r="BZ302" s="90"/>
      <c r="CA302" s="90">
        <v>20</v>
      </c>
      <c r="CB302" s="90">
        <v>1</v>
      </c>
      <c r="CC302" s="90">
        <v>20</v>
      </c>
      <c r="CD302" s="90"/>
      <c r="CE302" s="90"/>
      <c r="CF302" s="90" t="s">
        <v>1552</v>
      </c>
      <c r="CG302" s="90">
        <v>500</v>
      </c>
      <c r="CH302" s="90">
        <v>365</v>
      </c>
      <c r="CI302" s="68"/>
      <c r="CJ302" s="68"/>
      <c r="CK302" s="125">
        <v>97.8</v>
      </c>
    </row>
    <row r="303" spans="1:89" ht="15" thickBot="1" x14ac:dyDescent="0.35">
      <c r="A303" s="114" t="s">
        <v>2915</v>
      </c>
      <c r="C303" t="s">
        <v>3301</v>
      </c>
      <c r="E303" s="90">
        <v>4.37</v>
      </c>
      <c r="F303" s="114" t="s">
        <v>2914</v>
      </c>
      <c r="G303" t="s">
        <v>3189</v>
      </c>
      <c r="H303" t="s">
        <v>3190</v>
      </c>
      <c r="M303" t="b">
        <v>1</v>
      </c>
      <c r="N303" t="b">
        <v>1</v>
      </c>
      <c r="O303" t="b">
        <v>0</v>
      </c>
      <c r="P303" t="b">
        <v>0</v>
      </c>
      <c r="Q303" t="s">
        <v>3189</v>
      </c>
      <c r="R303">
        <v>4001767</v>
      </c>
      <c r="AB303" s="120"/>
      <c r="BT303" s="90" t="s">
        <v>1336</v>
      </c>
      <c r="BU303" s="90">
        <v>873</v>
      </c>
      <c r="BV303" s="90">
        <v>2</v>
      </c>
      <c r="BW303" s="68"/>
      <c r="BX303" s="90"/>
      <c r="BY303" s="90"/>
      <c r="BZ303" s="90"/>
      <c r="CA303" s="90">
        <v>29</v>
      </c>
      <c r="CB303" s="90">
        <v>1</v>
      </c>
      <c r="CC303" s="90">
        <v>20</v>
      </c>
      <c r="CD303" s="90"/>
      <c r="CE303" s="90"/>
      <c r="CF303" s="90" t="s">
        <v>1552</v>
      </c>
      <c r="CG303" s="90">
        <v>500</v>
      </c>
      <c r="CH303" s="90">
        <v>365</v>
      </c>
      <c r="CI303" s="68"/>
      <c r="CJ303" s="68"/>
      <c r="CK303" s="125">
        <v>134.80000000000001</v>
      </c>
    </row>
    <row r="304" spans="1:89" ht="15" thickBot="1" x14ac:dyDescent="0.35">
      <c r="A304" s="114" t="s">
        <v>2916</v>
      </c>
      <c r="C304" t="s">
        <v>3302</v>
      </c>
      <c r="E304" s="90">
        <v>3.85</v>
      </c>
      <c r="F304" s="114" t="s">
        <v>2917</v>
      </c>
      <c r="G304" t="s">
        <v>3191</v>
      </c>
      <c r="H304" t="s">
        <v>3192</v>
      </c>
      <c r="M304" t="b">
        <v>1</v>
      </c>
      <c r="N304" t="b">
        <v>1</v>
      </c>
      <c r="O304" t="b">
        <v>0</v>
      </c>
      <c r="P304" t="b">
        <v>0</v>
      </c>
      <c r="Q304" t="s">
        <v>3191</v>
      </c>
      <c r="R304">
        <v>1541403</v>
      </c>
      <c r="AB304" s="120"/>
      <c r="BT304" s="90" t="s">
        <v>1264</v>
      </c>
      <c r="BU304" s="90">
        <v>773</v>
      </c>
      <c r="BV304" s="90">
        <v>5</v>
      </c>
      <c r="BW304" s="68"/>
      <c r="BX304" s="90" t="s">
        <v>1533</v>
      </c>
      <c r="BY304" s="90" t="s">
        <v>1313</v>
      </c>
      <c r="BZ304" s="90">
        <v>1</v>
      </c>
      <c r="CA304" s="90">
        <v>17</v>
      </c>
      <c r="CB304" s="90">
        <v>2</v>
      </c>
      <c r="CC304" s="90">
        <v>33</v>
      </c>
      <c r="CD304" s="90"/>
      <c r="CE304" s="90"/>
      <c r="CF304" s="90" t="s">
        <v>1552</v>
      </c>
      <c r="CG304" s="90">
        <v>300</v>
      </c>
      <c r="CH304" s="90">
        <v>320</v>
      </c>
      <c r="CI304" s="68"/>
      <c r="CJ304" s="68"/>
      <c r="CK304" s="125">
        <v>3</v>
      </c>
    </row>
    <row r="305" spans="1:89" ht="15" thickBot="1" x14ac:dyDescent="0.35">
      <c r="A305" s="114" t="s">
        <v>241</v>
      </c>
      <c r="C305" t="s">
        <v>3303</v>
      </c>
      <c r="E305" s="90">
        <v>4.2</v>
      </c>
      <c r="F305" s="114" t="s">
        <v>242</v>
      </c>
      <c r="G305" t="s">
        <v>588</v>
      </c>
      <c r="H305">
        <v>-1</v>
      </c>
      <c r="I305" t="s">
        <v>3432</v>
      </c>
      <c r="J305" s="73" t="s">
        <v>3430</v>
      </c>
      <c r="L305" s="73" t="s">
        <v>3430</v>
      </c>
      <c r="M305" t="b">
        <v>1</v>
      </c>
      <c r="N305" t="b">
        <v>0</v>
      </c>
      <c r="O305" t="b">
        <v>1</v>
      </c>
      <c r="P305" t="b">
        <v>0</v>
      </c>
      <c r="Q305" t="s">
        <v>3621</v>
      </c>
      <c r="R305">
        <v>-1</v>
      </c>
      <c r="S305" t="s">
        <v>3622</v>
      </c>
      <c r="AB305" s="120"/>
      <c r="BT305" s="90" t="s">
        <v>1407</v>
      </c>
      <c r="BU305" s="90">
        <v>1173</v>
      </c>
      <c r="BV305" s="90">
        <v>3</v>
      </c>
      <c r="BW305" s="68"/>
      <c r="BX305" s="90"/>
      <c r="BY305" s="90"/>
      <c r="BZ305" s="90"/>
      <c r="CA305" s="90">
        <v>5</v>
      </c>
      <c r="CB305" s="90">
        <v>0.5</v>
      </c>
      <c r="CC305" s="90">
        <v>8.3000000000000007</v>
      </c>
      <c r="CD305" s="90"/>
      <c r="CE305" s="90"/>
      <c r="CF305" s="90" t="s">
        <v>1552</v>
      </c>
      <c r="CG305" s="90">
        <v>500</v>
      </c>
      <c r="CH305" s="90">
        <v>250</v>
      </c>
      <c r="CI305" s="68"/>
      <c r="CJ305" s="68"/>
      <c r="CK305" s="125">
        <v>356</v>
      </c>
    </row>
    <row r="306" spans="1:89" ht="15" thickBot="1" x14ac:dyDescent="0.35">
      <c r="A306" s="114" t="s">
        <v>220</v>
      </c>
      <c r="C306" t="s">
        <v>3304</v>
      </c>
      <c r="E306" s="90">
        <v>4.5</v>
      </c>
      <c r="F306" s="114" t="s">
        <v>242</v>
      </c>
      <c r="G306" t="s">
        <v>588</v>
      </c>
      <c r="H306">
        <v>-1</v>
      </c>
      <c r="I306" t="s">
        <v>3432</v>
      </c>
      <c r="M306" t="b">
        <v>1</v>
      </c>
      <c r="N306" t="b">
        <v>0</v>
      </c>
      <c r="O306" t="b">
        <v>1</v>
      </c>
      <c r="P306" t="b">
        <v>0</v>
      </c>
      <c r="Q306" t="s">
        <v>588</v>
      </c>
      <c r="R306">
        <v>-1</v>
      </c>
      <c r="S306" t="s">
        <v>3432</v>
      </c>
      <c r="AB306" s="120"/>
      <c r="BT306" s="90" t="s">
        <v>1336</v>
      </c>
      <c r="BU306" s="90">
        <v>1173</v>
      </c>
      <c r="BV306" s="90">
        <v>3</v>
      </c>
      <c r="BW306" s="68"/>
      <c r="BX306" s="90"/>
      <c r="BY306" s="90"/>
      <c r="BZ306" s="90"/>
      <c r="CA306" s="90">
        <v>5</v>
      </c>
      <c r="CB306" s="90">
        <v>0.5</v>
      </c>
      <c r="CC306" s="90">
        <v>8.3000000000000007</v>
      </c>
      <c r="CD306" s="90"/>
      <c r="CE306" s="90"/>
      <c r="CF306" s="90" t="s">
        <v>1552</v>
      </c>
      <c r="CG306" s="90">
        <v>500</v>
      </c>
      <c r="CH306" s="90">
        <v>250</v>
      </c>
      <c r="CI306" s="68"/>
      <c r="CJ306" s="68"/>
      <c r="CK306" s="125">
        <v>485.5</v>
      </c>
    </row>
    <row r="307" spans="1:89" ht="15" thickBot="1" x14ac:dyDescent="0.35">
      <c r="A307" s="114" t="s">
        <v>38</v>
      </c>
      <c r="C307" t="s">
        <v>3305</v>
      </c>
      <c r="E307" s="90">
        <v>3.9</v>
      </c>
      <c r="F307" s="114" t="s">
        <v>242</v>
      </c>
      <c r="G307" t="s">
        <v>588</v>
      </c>
      <c r="H307">
        <v>-1</v>
      </c>
      <c r="I307" t="s">
        <v>3432</v>
      </c>
      <c r="J307" s="73" t="s">
        <v>3431</v>
      </c>
      <c r="L307" s="73" t="s">
        <v>3431</v>
      </c>
      <c r="M307" t="b">
        <v>1</v>
      </c>
      <c r="N307" t="b">
        <v>0</v>
      </c>
      <c r="O307" t="b">
        <v>1</v>
      </c>
      <c r="P307" t="b">
        <v>0</v>
      </c>
      <c r="Q307" t="s">
        <v>3623</v>
      </c>
      <c r="R307">
        <v>-1</v>
      </c>
      <c r="S307" t="s">
        <v>3624</v>
      </c>
      <c r="AB307" s="120"/>
      <c r="BT307" s="90" t="s">
        <v>1598</v>
      </c>
      <c r="BU307" s="90">
        <v>1173</v>
      </c>
      <c r="BV307" s="90">
        <v>3</v>
      </c>
      <c r="BW307" s="68"/>
      <c r="BX307" s="90"/>
      <c r="BY307" s="90"/>
      <c r="BZ307" s="90"/>
      <c r="CA307" s="90">
        <v>5</v>
      </c>
      <c r="CB307" s="90">
        <v>0.5</v>
      </c>
      <c r="CC307" s="90">
        <v>8.3000000000000007</v>
      </c>
      <c r="CD307" s="90"/>
      <c r="CE307" s="90"/>
      <c r="CF307" s="90" t="s">
        <v>1552</v>
      </c>
      <c r="CG307" s="90">
        <v>500</v>
      </c>
      <c r="CH307" s="90">
        <v>250</v>
      </c>
      <c r="CI307" s="68"/>
      <c r="CJ307" s="68"/>
      <c r="CK307" s="125">
        <v>590</v>
      </c>
    </row>
    <row r="308" spans="1:89" ht="15" thickBot="1" x14ac:dyDescent="0.35">
      <c r="A308" s="114" t="s">
        <v>2921</v>
      </c>
      <c r="C308" t="s">
        <v>3306</v>
      </c>
      <c r="E308" s="90">
        <v>4.17</v>
      </c>
      <c r="F308" s="114" t="s">
        <v>2922</v>
      </c>
      <c r="G308" t="s">
        <v>3193</v>
      </c>
      <c r="H308">
        <v>-1</v>
      </c>
      <c r="M308" t="b">
        <v>1</v>
      </c>
      <c r="N308" t="b">
        <v>0</v>
      </c>
      <c r="O308" t="b">
        <v>0</v>
      </c>
      <c r="P308" t="b">
        <v>0</v>
      </c>
      <c r="Q308" t="s">
        <v>3193</v>
      </c>
      <c r="R308">
        <v>-1</v>
      </c>
      <c r="AB308" s="120"/>
      <c r="BT308" s="90" t="s">
        <v>1597</v>
      </c>
      <c r="BU308" s="90">
        <v>1400</v>
      </c>
      <c r="BV308" s="90">
        <v>15</v>
      </c>
      <c r="BW308" s="68"/>
      <c r="BX308" s="90" t="s">
        <v>1533</v>
      </c>
      <c r="BY308" s="90" t="s">
        <v>863</v>
      </c>
      <c r="BZ308" s="90">
        <v>1</v>
      </c>
      <c r="CA308" s="90">
        <v>1</v>
      </c>
      <c r="CB308" s="90">
        <v>0.5</v>
      </c>
      <c r="CC308" s="90">
        <v>0</v>
      </c>
      <c r="CD308" s="90"/>
      <c r="CE308" s="90"/>
      <c r="CF308" s="90" t="s">
        <v>1552</v>
      </c>
      <c r="CG308" s="90">
        <v>500</v>
      </c>
      <c r="CH308" s="90">
        <v>250</v>
      </c>
      <c r="CI308" s="68"/>
      <c r="CJ308" s="68"/>
      <c r="CK308" s="125">
        <v>15.2</v>
      </c>
    </row>
    <row r="309" spans="1:89" ht="15" thickBot="1" x14ac:dyDescent="0.35">
      <c r="A309" s="114" t="s">
        <v>2924</v>
      </c>
      <c r="C309" t="s">
        <v>3307</v>
      </c>
      <c r="E309" s="90">
        <v>4.5999999999999996</v>
      </c>
      <c r="F309" s="114" t="s">
        <v>2923</v>
      </c>
      <c r="G309" t="s">
        <v>3194</v>
      </c>
      <c r="H309" t="s">
        <v>3195</v>
      </c>
      <c r="M309" t="b">
        <v>1</v>
      </c>
      <c r="N309" t="b">
        <v>1</v>
      </c>
      <c r="O309" t="b">
        <v>0</v>
      </c>
      <c r="P309" t="b">
        <v>0</v>
      </c>
      <c r="Q309" t="s">
        <v>3194</v>
      </c>
      <c r="R309">
        <v>1525169</v>
      </c>
      <c r="AB309" s="120"/>
      <c r="BT309" s="90" t="s">
        <v>1305</v>
      </c>
      <c r="BU309" s="90">
        <v>1623</v>
      </c>
      <c r="BV309" s="90">
        <v>2</v>
      </c>
      <c r="BW309" s="68"/>
      <c r="BX309" s="90" t="s">
        <v>1533</v>
      </c>
      <c r="BY309" s="90" t="s">
        <v>56</v>
      </c>
      <c r="BZ309" s="90">
        <v>1</v>
      </c>
      <c r="CA309" s="90">
        <v>1.6</v>
      </c>
      <c r="CB309" s="90">
        <v>1.2</v>
      </c>
      <c r="CC309" s="90">
        <v>0</v>
      </c>
      <c r="CD309" s="90"/>
      <c r="CE309" s="90"/>
      <c r="CF309" s="90" t="s">
        <v>1552</v>
      </c>
      <c r="CG309" s="90">
        <v>400</v>
      </c>
      <c r="CH309" s="90">
        <v>200</v>
      </c>
      <c r="CI309" s="68"/>
      <c r="CJ309" s="68"/>
      <c r="CK309" s="125">
        <v>0</v>
      </c>
    </row>
    <row r="310" spans="1:89" ht="15" thickBot="1" x14ac:dyDescent="0.35">
      <c r="A310" s="114" t="s">
        <v>2925</v>
      </c>
      <c r="C310" t="s">
        <v>3308</v>
      </c>
      <c r="E310" s="90">
        <v>4.5999999999999996</v>
      </c>
      <c r="F310" s="114" t="s">
        <v>2923</v>
      </c>
      <c r="G310" t="s">
        <v>3196</v>
      </c>
      <c r="H310">
        <v>-1</v>
      </c>
      <c r="M310" t="b">
        <v>1</v>
      </c>
      <c r="N310" t="b">
        <v>0</v>
      </c>
      <c r="O310" t="b">
        <v>0</v>
      </c>
      <c r="P310" t="b">
        <v>0</v>
      </c>
      <c r="Q310" t="s">
        <v>3196</v>
      </c>
      <c r="R310">
        <v>-1</v>
      </c>
      <c r="AB310" s="120"/>
      <c r="BT310" s="90" t="s">
        <v>1305</v>
      </c>
      <c r="BU310" s="90">
        <v>1623</v>
      </c>
      <c r="BV310" s="90">
        <v>2</v>
      </c>
      <c r="BW310" s="68"/>
      <c r="BX310" s="90" t="s">
        <v>1533</v>
      </c>
      <c r="BY310" s="90" t="s">
        <v>56</v>
      </c>
      <c r="BZ310" s="90">
        <v>1</v>
      </c>
      <c r="CA310" s="90">
        <v>2.2999999999999998</v>
      </c>
      <c r="CB310" s="90">
        <v>1.2</v>
      </c>
      <c r="CC310" s="90">
        <v>0</v>
      </c>
      <c r="CD310" s="90"/>
      <c r="CE310" s="90"/>
      <c r="CF310" s="90" t="s">
        <v>1552</v>
      </c>
      <c r="CG310" s="90">
        <v>400</v>
      </c>
      <c r="CH310" s="90">
        <v>200</v>
      </c>
      <c r="CI310" s="68"/>
      <c r="CJ310" s="68"/>
      <c r="CK310" s="125">
        <v>4</v>
      </c>
    </row>
    <row r="311" spans="1:89" ht="15" thickBot="1" x14ac:dyDescent="0.35">
      <c r="A311" s="114" t="s">
        <v>2926</v>
      </c>
      <c r="C311" t="s">
        <v>3309</v>
      </c>
      <c r="E311" s="90">
        <v>4.5999999999999996</v>
      </c>
      <c r="F311" s="114" t="s">
        <v>2923</v>
      </c>
      <c r="G311" t="s">
        <v>3197</v>
      </c>
      <c r="H311">
        <v>-1</v>
      </c>
      <c r="M311" t="b">
        <v>1</v>
      </c>
      <c r="N311" t="b">
        <v>0</v>
      </c>
      <c r="O311" t="b">
        <v>0</v>
      </c>
      <c r="P311" t="b">
        <v>0</v>
      </c>
      <c r="Q311" t="s">
        <v>3197</v>
      </c>
      <c r="R311">
        <v>-1</v>
      </c>
      <c r="AB311" s="120"/>
      <c r="BT311" s="90" t="s">
        <v>1305</v>
      </c>
      <c r="BU311" s="90">
        <v>1273</v>
      </c>
      <c r="BV311" s="90">
        <v>2</v>
      </c>
      <c r="BW311" s="68"/>
      <c r="BX311" s="90" t="s">
        <v>1533</v>
      </c>
      <c r="BY311" s="90" t="s">
        <v>56</v>
      </c>
      <c r="BZ311" s="90">
        <v>1</v>
      </c>
      <c r="CA311" s="90">
        <v>3</v>
      </c>
      <c r="CB311" s="90">
        <v>1.2</v>
      </c>
      <c r="CC311" s="90">
        <v>0</v>
      </c>
      <c r="CD311" s="90"/>
      <c r="CE311" s="90"/>
      <c r="CF311" s="90" t="s">
        <v>1552</v>
      </c>
      <c r="CG311" s="90">
        <v>400</v>
      </c>
      <c r="CH311" s="90">
        <v>200</v>
      </c>
      <c r="CI311" s="68"/>
      <c r="CJ311" s="68"/>
      <c r="CK311" s="125">
        <v>8</v>
      </c>
    </row>
    <row r="312" spans="1:89" ht="15" thickBot="1" x14ac:dyDescent="0.35">
      <c r="A312" s="114" t="s">
        <v>2926</v>
      </c>
      <c r="C312" t="s">
        <v>3309</v>
      </c>
      <c r="E312" s="90">
        <v>4.5999999999999996</v>
      </c>
      <c r="F312" s="114" t="s">
        <v>2923</v>
      </c>
      <c r="G312" t="s">
        <v>3197</v>
      </c>
      <c r="H312">
        <v>-1</v>
      </c>
      <c r="M312" t="b">
        <v>1</v>
      </c>
      <c r="N312" t="b">
        <v>0</v>
      </c>
      <c r="O312" t="b">
        <v>0</v>
      </c>
      <c r="P312" t="b">
        <v>0</v>
      </c>
      <c r="Q312" t="s">
        <v>3197</v>
      </c>
      <c r="R312">
        <v>-1</v>
      </c>
      <c r="AB312" s="120"/>
      <c r="BT312" s="90" t="s">
        <v>1305</v>
      </c>
      <c r="BU312" s="90">
        <v>1373</v>
      </c>
      <c r="BV312" s="90">
        <v>2</v>
      </c>
      <c r="BW312" s="68"/>
      <c r="BX312" s="90" t="s">
        <v>1533</v>
      </c>
      <c r="BY312" s="90" t="s">
        <v>56</v>
      </c>
      <c r="BZ312" s="90">
        <v>1</v>
      </c>
      <c r="CA312" s="90">
        <v>2.8</v>
      </c>
      <c r="CB312" s="90">
        <v>1.2</v>
      </c>
      <c r="CC312" s="90">
        <v>0</v>
      </c>
      <c r="CD312" s="90"/>
      <c r="CE312" s="90"/>
      <c r="CF312" s="90" t="s">
        <v>1552</v>
      </c>
      <c r="CG312" s="90">
        <v>400</v>
      </c>
      <c r="CH312" s="90">
        <v>200</v>
      </c>
      <c r="CI312" s="68"/>
      <c r="CJ312" s="68"/>
      <c r="CK312" s="125">
        <v>328</v>
      </c>
    </row>
    <row r="313" spans="1:89" ht="15" thickBot="1" x14ac:dyDescent="0.35">
      <c r="A313" s="114" t="s">
        <v>2927</v>
      </c>
      <c r="C313" t="s">
        <v>3310</v>
      </c>
      <c r="E313" s="90">
        <v>3.9</v>
      </c>
      <c r="F313" s="114" t="s">
        <v>2923</v>
      </c>
      <c r="G313" t="s">
        <v>3198</v>
      </c>
      <c r="H313">
        <v>-1</v>
      </c>
      <c r="M313" t="b">
        <v>1</v>
      </c>
      <c r="N313" t="b">
        <v>0</v>
      </c>
      <c r="O313" t="b">
        <v>0</v>
      </c>
      <c r="P313" t="b">
        <v>0</v>
      </c>
      <c r="Q313" t="s">
        <v>3198</v>
      </c>
      <c r="R313">
        <v>-1</v>
      </c>
      <c r="AB313" s="120"/>
      <c r="BT313" s="90" t="s">
        <v>1305</v>
      </c>
      <c r="BU313" s="90">
        <v>1623</v>
      </c>
      <c r="BV313" s="90">
        <v>2</v>
      </c>
      <c r="BW313" s="68"/>
      <c r="BX313" s="90" t="s">
        <v>1533</v>
      </c>
      <c r="BY313" s="90" t="s">
        <v>56</v>
      </c>
      <c r="BZ313" s="90">
        <v>1</v>
      </c>
      <c r="CA313" s="90">
        <v>1.2</v>
      </c>
      <c r="CB313" s="90">
        <v>1.2</v>
      </c>
      <c r="CC313" s="90">
        <v>0</v>
      </c>
      <c r="CD313" s="90"/>
      <c r="CE313" s="90"/>
      <c r="CF313" s="90" t="s">
        <v>1552</v>
      </c>
      <c r="CG313" s="90">
        <v>400</v>
      </c>
      <c r="CH313" s="90">
        <v>200</v>
      </c>
      <c r="CI313" s="68"/>
      <c r="CJ313" s="68"/>
      <c r="CK313" s="125">
        <v>0</v>
      </c>
    </row>
    <row r="314" spans="1:89" ht="15" thickBot="1" x14ac:dyDescent="0.35">
      <c r="A314" s="114" t="s">
        <v>2928</v>
      </c>
      <c r="C314" t="s">
        <v>3311</v>
      </c>
      <c r="E314" s="90">
        <v>3.9</v>
      </c>
      <c r="F314" s="114" t="s">
        <v>2923</v>
      </c>
      <c r="G314" t="s">
        <v>3199</v>
      </c>
      <c r="H314">
        <v>-1</v>
      </c>
      <c r="M314" t="b">
        <v>1</v>
      </c>
      <c r="N314" t="b">
        <v>0</v>
      </c>
      <c r="O314" t="b">
        <v>0</v>
      </c>
      <c r="P314" t="b">
        <v>0</v>
      </c>
      <c r="Q314" t="s">
        <v>3199</v>
      </c>
      <c r="R314">
        <v>-1</v>
      </c>
      <c r="AB314" s="120"/>
      <c r="BT314" s="90" t="s">
        <v>1305</v>
      </c>
      <c r="BU314" s="90">
        <v>1623</v>
      </c>
      <c r="BV314" s="90">
        <v>2</v>
      </c>
      <c r="BW314" s="68"/>
      <c r="BX314" s="90" t="s">
        <v>1533</v>
      </c>
      <c r="BY314" s="90" t="s">
        <v>56</v>
      </c>
      <c r="BZ314" s="90">
        <v>1</v>
      </c>
      <c r="CA314" s="90">
        <v>3</v>
      </c>
      <c r="CB314" s="90">
        <v>1.2</v>
      </c>
      <c r="CC314" s="90">
        <v>0</v>
      </c>
      <c r="CD314" s="90"/>
      <c r="CE314" s="90"/>
      <c r="CF314" s="90" t="s">
        <v>1552</v>
      </c>
      <c r="CG314" s="90">
        <v>400</v>
      </c>
      <c r="CH314" s="90">
        <v>200</v>
      </c>
      <c r="CI314" s="68"/>
      <c r="CJ314" s="68"/>
      <c r="CK314" s="125">
        <v>1</v>
      </c>
    </row>
    <row r="315" spans="1:89" ht="15" thickBot="1" x14ac:dyDescent="0.35">
      <c r="A315" s="114" t="s">
        <v>2929</v>
      </c>
      <c r="C315" t="s">
        <v>3312</v>
      </c>
      <c r="E315" s="90">
        <v>3.9</v>
      </c>
      <c r="F315" s="114" t="s">
        <v>2923</v>
      </c>
      <c r="G315" t="s">
        <v>3200</v>
      </c>
      <c r="H315" t="s">
        <v>3201</v>
      </c>
      <c r="M315" t="b">
        <v>1</v>
      </c>
      <c r="N315" t="b">
        <v>1</v>
      </c>
      <c r="O315" t="b">
        <v>0</v>
      </c>
      <c r="P315" t="b">
        <v>0</v>
      </c>
      <c r="Q315" t="s">
        <v>3200</v>
      </c>
      <c r="R315">
        <v>1001651</v>
      </c>
      <c r="AB315" s="120"/>
      <c r="BT315" s="90" t="s">
        <v>1305</v>
      </c>
      <c r="BU315" s="90">
        <v>1173</v>
      </c>
      <c r="BV315" s="90">
        <v>2</v>
      </c>
      <c r="BW315" s="68"/>
      <c r="BX315" s="90" t="s">
        <v>1533</v>
      </c>
      <c r="BY315" s="90" t="s">
        <v>56</v>
      </c>
      <c r="BZ315" s="90">
        <v>1</v>
      </c>
      <c r="CA315" s="90">
        <v>2.8</v>
      </c>
      <c r="CB315" s="90">
        <v>1.2</v>
      </c>
      <c r="CC315" s="90">
        <v>0</v>
      </c>
      <c r="CD315" s="90"/>
      <c r="CE315" s="90"/>
      <c r="CF315" s="90" t="s">
        <v>1552</v>
      </c>
      <c r="CG315" s="90">
        <v>400</v>
      </c>
      <c r="CH315" s="90">
        <v>200</v>
      </c>
      <c r="CI315" s="68"/>
      <c r="CJ315" s="68"/>
      <c r="CK315" s="125">
        <v>2</v>
      </c>
    </row>
    <row r="316" spans="1:89" ht="15" thickBot="1" x14ac:dyDescent="0.35">
      <c r="A316" s="114" t="s">
        <v>2929</v>
      </c>
      <c r="C316" t="s">
        <v>3312</v>
      </c>
      <c r="E316" s="90">
        <v>3.9</v>
      </c>
      <c r="F316" s="114" t="s">
        <v>2923</v>
      </c>
      <c r="G316" t="s">
        <v>3200</v>
      </c>
      <c r="H316" t="s">
        <v>3201</v>
      </c>
      <c r="M316" t="b">
        <v>1</v>
      </c>
      <c r="N316" t="b">
        <v>1</v>
      </c>
      <c r="O316" t="b">
        <v>0</v>
      </c>
      <c r="P316" t="b">
        <v>0</v>
      </c>
      <c r="Q316" t="s">
        <v>3200</v>
      </c>
      <c r="R316">
        <v>1001651</v>
      </c>
      <c r="AB316" s="120"/>
      <c r="BT316" s="90" t="s">
        <v>1305</v>
      </c>
      <c r="BU316" s="90">
        <v>1373</v>
      </c>
      <c r="BV316" s="90">
        <v>2</v>
      </c>
      <c r="BW316" s="68"/>
      <c r="BX316" s="90" t="s">
        <v>1533</v>
      </c>
      <c r="BY316" s="90" t="s">
        <v>56</v>
      </c>
      <c r="BZ316" s="90">
        <v>1</v>
      </c>
      <c r="CA316" s="90">
        <v>2.5</v>
      </c>
      <c r="CB316" s="90">
        <v>1.2</v>
      </c>
      <c r="CC316" s="90">
        <v>0</v>
      </c>
      <c r="CD316" s="90"/>
      <c r="CE316" s="90"/>
      <c r="CF316" s="90" t="s">
        <v>1552</v>
      </c>
      <c r="CG316" s="90">
        <v>400</v>
      </c>
      <c r="CH316" s="90">
        <v>200</v>
      </c>
      <c r="CI316" s="68"/>
      <c r="CJ316" s="68"/>
      <c r="CK316" s="125">
        <v>70</v>
      </c>
    </row>
    <row r="317" spans="1:89" ht="15" thickBot="1" x14ac:dyDescent="0.35">
      <c r="A317" s="114" t="s">
        <v>2930</v>
      </c>
      <c r="C317" t="s">
        <v>3313</v>
      </c>
      <c r="E317" s="90">
        <v>3.5</v>
      </c>
      <c r="F317" s="114" t="s">
        <v>2923</v>
      </c>
      <c r="G317" t="s">
        <v>3202</v>
      </c>
      <c r="H317" t="s">
        <v>3203</v>
      </c>
      <c r="M317" t="b">
        <v>1</v>
      </c>
      <c r="N317" t="b">
        <v>1</v>
      </c>
      <c r="O317" t="b">
        <v>0</v>
      </c>
      <c r="P317" t="b">
        <v>0</v>
      </c>
      <c r="Q317" t="s">
        <v>3202</v>
      </c>
      <c r="R317">
        <v>1559965</v>
      </c>
      <c r="AB317" s="120"/>
      <c r="BT317" s="90" t="s">
        <v>1305</v>
      </c>
      <c r="BU317" s="90">
        <v>1273</v>
      </c>
      <c r="BV317" s="90">
        <v>2</v>
      </c>
      <c r="BW317" s="68"/>
      <c r="BX317" s="90" t="s">
        <v>1533</v>
      </c>
      <c r="BY317" s="90" t="s">
        <v>56</v>
      </c>
      <c r="BZ317" s="90">
        <v>1</v>
      </c>
      <c r="CA317" s="90">
        <v>2</v>
      </c>
      <c r="CB317" s="90">
        <v>1.2</v>
      </c>
      <c r="CC317" s="90">
        <v>0</v>
      </c>
      <c r="CD317" s="90"/>
      <c r="CE317" s="90"/>
      <c r="CF317" s="90" t="s">
        <v>1552</v>
      </c>
      <c r="CG317" s="90">
        <v>400</v>
      </c>
      <c r="CH317" s="90">
        <v>200</v>
      </c>
      <c r="CI317" s="68"/>
      <c r="CJ317" s="68"/>
      <c r="CK317" s="125">
        <v>1700</v>
      </c>
    </row>
    <row r="318" spans="1:89" ht="15" thickBot="1" x14ac:dyDescent="0.35">
      <c r="A318" s="114" t="s">
        <v>2931</v>
      </c>
      <c r="C318" t="s">
        <v>3314</v>
      </c>
      <c r="E318" s="90">
        <v>3.5</v>
      </c>
      <c r="F318" s="114" t="s">
        <v>2923</v>
      </c>
      <c r="G318" t="s">
        <v>3204</v>
      </c>
      <c r="H318">
        <v>-1</v>
      </c>
      <c r="M318" t="b">
        <v>1</v>
      </c>
      <c r="N318" t="b">
        <v>0</v>
      </c>
      <c r="O318" t="b">
        <v>0</v>
      </c>
      <c r="P318" t="b">
        <v>0</v>
      </c>
      <c r="Q318" t="s">
        <v>3204</v>
      </c>
      <c r="R318">
        <v>-1</v>
      </c>
      <c r="AB318" s="120"/>
      <c r="BT318" s="90" t="s">
        <v>1305</v>
      </c>
      <c r="BU318" s="90">
        <v>373</v>
      </c>
      <c r="BV318" s="90">
        <v>2</v>
      </c>
      <c r="BW318" s="68"/>
      <c r="BX318" s="90" t="s">
        <v>1533</v>
      </c>
      <c r="BY318" s="90" t="s">
        <v>56</v>
      </c>
      <c r="BZ318" s="90">
        <v>1</v>
      </c>
      <c r="CA318" s="90">
        <v>2.2999999999999998</v>
      </c>
      <c r="CB318" s="90">
        <v>1.2</v>
      </c>
      <c r="CC318" s="90">
        <v>0</v>
      </c>
      <c r="CD318" s="90"/>
      <c r="CE318" s="90"/>
      <c r="CF318" s="90" t="s">
        <v>1552</v>
      </c>
      <c r="CG318" s="90">
        <v>400</v>
      </c>
      <c r="CH318" s="90">
        <v>200</v>
      </c>
      <c r="CI318" s="68"/>
      <c r="CJ318" s="68"/>
      <c r="CK318" s="125">
        <v>800</v>
      </c>
    </row>
    <row r="319" spans="1:89" ht="15" thickBot="1" x14ac:dyDescent="0.35">
      <c r="A319" s="114" t="s">
        <v>46</v>
      </c>
      <c r="C319" t="s">
        <v>722</v>
      </c>
      <c r="E319" s="90">
        <v>3.8</v>
      </c>
      <c r="F319" s="114" t="s">
        <v>2923</v>
      </c>
      <c r="G319" t="s">
        <v>551</v>
      </c>
      <c r="H319" t="s">
        <v>629</v>
      </c>
      <c r="M319" t="b">
        <v>1</v>
      </c>
      <c r="N319" t="b">
        <v>1</v>
      </c>
      <c r="O319" t="b">
        <v>0</v>
      </c>
      <c r="P319" t="b">
        <v>0</v>
      </c>
      <c r="Q319" t="s">
        <v>551</v>
      </c>
      <c r="R319">
        <v>1001022</v>
      </c>
      <c r="AB319" s="120"/>
      <c r="BT319" s="90" t="s">
        <v>1305</v>
      </c>
      <c r="BU319" s="90">
        <v>1273</v>
      </c>
      <c r="BV319" s="90">
        <v>2</v>
      </c>
      <c r="BW319" s="68"/>
      <c r="BX319" s="90" t="s">
        <v>1533</v>
      </c>
      <c r="BY319" s="90" t="s">
        <v>56</v>
      </c>
      <c r="BZ319" s="90">
        <v>1</v>
      </c>
      <c r="CA319" s="90">
        <v>1.8</v>
      </c>
      <c r="CB319" s="90">
        <v>1.2</v>
      </c>
      <c r="CC319" s="90">
        <v>0</v>
      </c>
      <c r="CD319" s="90"/>
      <c r="CE319" s="90"/>
      <c r="CF319" s="90" t="s">
        <v>1552</v>
      </c>
      <c r="CG319" s="90">
        <v>400</v>
      </c>
      <c r="CH319" s="90">
        <v>200</v>
      </c>
      <c r="CI319" s="68"/>
      <c r="CJ319" s="68"/>
      <c r="CK319" s="125">
        <v>4614</v>
      </c>
    </row>
    <row r="320" spans="1:89" ht="15" thickBot="1" x14ac:dyDescent="0.35">
      <c r="A320" s="114" t="s">
        <v>2841</v>
      </c>
      <c r="C320" t="s">
        <v>3272</v>
      </c>
      <c r="E320" s="90">
        <v>4.0999999999999996</v>
      </c>
      <c r="F320" s="114" t="s">
        <v>2932</v>
      </c>
      <c r="G320" t="s">
        <v>3173</v>
      </c>
      <c r="H320" t="s">
        <v>3174</v>
      </c>
      <c r="M320" t="b">
        <v>1</v>
      </c>
      <c r="N320" t="b">
        <v>1</v>
      </c>
      <c r="O320" t="b">
        <v>0</v>
      </c>
      <c r="P320" t="b">
        <v>0</v>
      </c>
      <c r="Q320" t="s">
        <v>3173</v>
      </c>
      <c r="R320">
        <v>1521093</v>
      </c>
      <c r="AB320" s="120"/>
      <c r="BT320" s="90" t="s">
        <v>1305</v>
      </c>
      <c r="BU320" s="90"/>
      <c r="BV320" s="90"/>
      <c r="BW320" s="68"/>
      <c r="BX320" s="90"/>
      <c r="BY320" s="90"/>
      <c r="BZ320" s="90"/>
      <c r="CA320" s="90">
        <v>0.4</v>
      </c>
      <c r="CB320" s="90">
        <v>0.54</v>
      </c>
      <c r="CC320" s="90">
        <v>13.5</v>
      </c>
      <c r="CD320" s="90"/>
      <c r="CE320" s="90"/>
      <c r="CF320" s="90" t="s">
        <v>1552</v>
      </c>
      <c r="CG320" s="90">
        <v>200</v>
      </c>
      <c r="CH320" s="90">
        <v>300</v>
      </c>
      <c r="CI320" s="68"/>
      <c r="CJ320" s="68"/>
      <c r="CK320" s="125">
        <v>7200</v>
      </c>
    </row>
    <row r="321" spans="1:89" ht="15" thickBot="1" x14ac:dyDescent="0.35">
      <c r="A321" s="114" t="s">
        <v>2841</v>
      </c>
      <c r="C321" t="s">
        <v>3272</v>
      </c>
      <c r="E321" s="90"/>
      <c r="F321" s="114" t="s">
        <v>2932</v>
      </c>
      <c r="G321" t="s">
        <v>3173</v>
      </c>
      <c r="H321" t="s">
        <v>3174</v>
      </c>
      <c r="M321" t="b">
        <v>1</v>
      </c>
      <c r="N321" t="b">
        <v>1</v>
      </c>
      <c r="O321" t="b">
        <v>0</v>
      </c>
      <c r="P321" t="b">
        <v>0</v>
      </c>
      <c r="Q321" t="s">
        <v>3173</v>
      </c>
      <c r="R321">
        <v>1521093</v>
      </c>
      <c r="AB321" s="120"/>
      <c r="BT321" s="90" t="s">
        <v>1305</v>
      </c>
      <c r="BU321" s="90"/>
      <c r="BV321" s="90"/>
      <c r="BW321" s="68"/>
      <c r="BX321" s="90"/>
      <c r="BY321" s="90"/>
      <c r="BZ321" s="90"/>
      <c r="CA321" s="90">
        <v>0.5</v>
      </c>
      <c r="CB321" s="90">
        <v>0.54</v>
      </c>
      <c r="CC321" s="90">
        <v>13.5</v>
      </c>
      <c r="CD321" s="90"/>
      <c r="CE321" s="90"/>
      <c r="CF321" s="90" t="s">
        <v>1552</v>
      </c>
      <c r="CG321" s="90">
        <v>200</v>
      </c>
      <c r="CH321" s="90">
        <v>300</v>
      </c>
      <c r="CI321" s="68"/>
      <c r="CJ321" s="68"/>
      <c r="CK321" s="125">
        <v>7200</v>
      </c>
    </row>
    <row r="322" spans="1:89" ht="15" thickBot="1" x14ac:dyDescent="0.35">
      <c r="A322" s="114" t="s">
        <v>2841</v>
      </c>
      <c r="C322" t="s">
        <v>3272</v>
      </c>
      <c r="E322" s="90"/>
      <c r="F322" s="114" t="s">
        <v>2932</v>
      </c>
      <c r="G322" t="s">
        <v>3173</v>
      </c>
      <c r="H322" t="s">
        <v>3174</v>
      </c>
      <c r="M322" t="b">
        <v>1</v>
      </c>
      <c r="N322" t="b">
        <v>1</v>
      </c>
      <c r="O322" t="b">
        <v>0</v>
      </c>
      <c r="P322" t="b">
        <v>0</v>
      </c>
      <c r="Q322" t="s">
        <v>3173</v>
      </c>
      <c r="R322">
        <v>1521093</v>
      </c>
      <c r="AB322" s="120"/>
      <c r="BT322" s="90" t="s">
        <v>1305</v>
      </c>
      <c r="BU322" s="90"/>
      <c r="BV322" s="90"/>
      <c r="BW322" s="68"/>
      <c r="BX322" s="90"/>
      <c r="BY322" s="90"/>
      <c r="BZ322" s="90"/>
      <c r="CA322" s="90">
        <v>0.3</v>
      </c>
      <c r="CB322" s="90">
        <v>0.54</v>
      </c>
      <c r="CC322" s="90">
        <v>13.5</v>
      </c>
      <c r="CD322" s="90"/>
      <c r="CE322" s="90"/>
      <c r="CF322" s="90" t="s">
        <v>1552</v>
      </c>
      <c r="CG322" s="90">
        <v>200</v>
      </c>
      <c r="CH322" s="90">
        <v>300</v>
      </c>
      <c r="CI322" s="68"/>
      <c r="CJ322" s="68"/>
      <c r="CK322" s="125">
        <v>720</v>
      </c>
    </row>
    <row r="323" spans="1:89" ht="15" thickBot="1" x14ac:dyDescent="0.35">
      <c r="A323" s="114" t="s">
        <v>2934</v>
      </c>
      <c r="C323" t="s">
        <v>3315</v>
      </c>
      <c r="E323" s="90">
        <v>3.6</v>
      </c>
      <c r="F323" s="114" t="s">
        <v>2933</v>
      </c>
      <c r="G323" t="s">
        <v>3154</v>
      </c>
      <c r="H323" t="s">
        <v>3205</v>
      </c>
      <c r="M323" t="b">
        <v>0</v>
      </c>
      <c r="N323" t="b">
        <v>1</v>
      </c>
      <c r="O323" t="b">
        <v>0</v>
      </c>
      <c r="P323" t="b">
        <v>0</v>
      </c>
      <c r="Q323" t="s">
        <v>3154</v>
      </c>
      <c r="R323">
        <v>4031663</v>
      </c>
      <c r="AB323" s="90"/>
      <c r="BT323" s="90" t="s">
        <v>1407</v>
      </c>
      <c r="BU323" s="90">
        <v>1673</v>
      </c>
      <c r="BV323" s="90">
        <v>16</v>
      </c>
      <c r="BW323" s="68"/>
      <c r="BX323" s="90" t="s">
        <v>1533</v>
      </c>
      <c r="BY323" s="90" t="s">
        <v>1313</v>
      </c>
      <c r="BZ323" s="90">
        <v>1</v>
      </c>
      <c r="CA323" s="90"/>
      <c r="CB323" s="90">
        <v>8.33</v>
      </c>
      <c r="CC323" s="90">
        <v>0</v>
      </c>
      <c r="CD323" s="90"/>
      <c r="CE323" s="90"/>
      <c r="CF323" s="90" t="s">
        <v>1552</v>
      </c>
      <c r="CG323" s="90">
        <v>200</v>
      </c>
      <c r="CH323" s="90">
        <v>230</v>
      </c>
      <c r="CI323" s="68"/>
      <c r="CJ323" s="68"/>
      <c r="CK323" s="125">
        <v>1</v>
      </c>
    </row>
    <row r="324" spans="1:89" ht="15" thickBot="1" x14ac:dyDescent="0.35">
      <c r="A324" s="114" t="s">
        <v>2935</v>
      </c>
      <c r="C324" t="s">
        <v>3315</v>
      </c>
      <c r="E324" s="90">
        <v>3.75</v>
      </c>
      <c r="F324" s="114" t="s">
        <v>2933</v>
      </c>
      <c r="G324" t="s">
        <v>3206</v>
      </c>
      <c r="H324" t="s">
        <v>3205</v>
      </c>
      <c r="M324" t="b">
        <v>1</v>
      </c>
      <c r="N324" t="b">
        <v>1</v>
      </c>
      <c r="O324" t="b">
        <v>0</v>
      </c>
      <c r="P324" t="b">
        <v>0</v>
      </c>
      <c r="Q324" t="s">
        <v>3206</v>
      </c>
      <c r="R324">
        <v>4031663</v>
      </c>
      <c r="AB324" s="90"/>
      <c r="BT324" s="90" t="s">
        <v>1407</v>
      </c>
      <c r="BU324" s="90">
        <v>1673</v>
      </c>
      <c r="BV324" s="90">
        <v>16</v>
      </c>
      <c r="BW324" s="68"/>
      <c r="BX324" s="90" t="s">
        <v>1533</v>
      </c>
      <c r="BY324" s="90" t="s">
        <v>1313</v>
      </c>
      <c r="BZ324" s="90">
        <v>1</v>
      </c>
      <c r="CA324" s="90"/>
      <c r="CB324" s="90">
        <v>8.33</v>
      </c>
      <c r="CC324" s="90">
        <v>0</v>
      </c>
      <c r="CD324" s="90"/>
      <c r="CE324" s="90"/>
      <c r="CF324" s="90" t="s">
        <v>1552</v>
      </c>
      <c r="CG324" s="90">
        <v>200</v>
      </c>
      <c r="CH324" s="90">
        <v>230</v>
      </c>
      <c r="CI324" s="68"/>
      <c r="CJ324" s="68"/>
      <c r="CK324" s="125">
        <v>3.1</v>
      </c>
    </row>
    <row r="325" spans="1:89" ht="15" thickBot="1" x14ac:dyDescent="0.35">
      <c r="A325" s="114" t="s">
        <v>2936</v>
      </c>
      <c r="C325" t="s">
        <v>3315</v>
      </c>
      <c r="E325" s="90">
        <v>3.92</v>
      </c>
      <c r="F325" s="114" t="s">
        <v>2933</v>
      </c>
      <c r="G325" t="s">
        <v>3154</v>
      </c>
      <c r="H325" t="s">
        <v>3205</v>
      </c>
      <c r="M325" t="b">
        <v>0</v>
      </c>
      <c r="N325" t="b">
        <v>1</v>
      </c>
      <c r="O325" t="b">
        <v>0</v>
      </c>
      <c r="P325" t="b">
        <v>0</v>
      </c>
      <c r="Q325" t="s">
        <v>3154</v>
      </c>
      <c r="R325">
        <v>4031663</v>
      </c>
      <c r="AB325" s="90"/>
      <c r="BT325" s="90" t="s">
        <v>1407</v>
      </c>
      <c r="BU325" s="90">
        <v>1673</v>
      </c>
      <c r="BV325" s="90">
        <v>16</v>
      </c>
      <c r="BW325" s="68"/>
      <c r="BX325" s="90" t="s">
        <v>1533</v>
      </c>
      <c r="BY325" s="90" t="s">
        <v>1313</v>
      </c>
      <c r="BZ325" s="90">
        <v>1</v>
      </c>
      <c r="CA325" s="90"/>
      <c r="CB325" s="90">
        <v>8.33</v>
      </c>
      <c r="CC325" s="90">
        <v>0</v>
      </c>
      <c r="CD325" s="90"/>
      <c r="CE325" s="90"/>
      <c r="CF325" s="90" t="s">
        <v>1552</v>
      </c>
      <c r="CG325" s="90">
        <v>200</v>
      </c>
      <c r="CH325" s="90">
        <v>230</v>
      </c>
      <c r="CI325" s="68"/>
      <c r="CJ325" s="68"/>
      <c r="CK325" s="125">
        <v>5</v>
      </c>
    </row>
    <row r="326" spans="1:89" ht="15" thickBot="1" x14ac:dyDescent="0.35">
      <c r="A326" s="114" t="s">
        <v>2937</v>
      </c>
      <c r="C326" t="s">
        <v>3315</v>
      </c>
      <c r="E326" s="90">
        <v>4.0999999999999996</v>
      </c>
      <c r="F326" s="114" t="s">
        <v>2933</v>
      </c>
      <c r="G326" t="s">
        <v>3154</v>
      </c>
      <c r="H326" t="s">
        <v>3205</v>
      </c>
      <c r="M326" t="b">
        <v>0</v>
      </c>
      <c r="N326" t="b">
        <v>1</v>
      </c>
      <c r="O326" t="b">
        <v>0</v>
      </c>
      <c r="P326" t="b">
        <v>0</v>
      </c>
      <c r="Q326" t="s">
        <v>3154</v>
      </c>
      <c r="R326">
        <v>4031663</v>
      </c>
      <c r="AB326" s="90"/>
      <c r="BT326" s="90" t="s">
        <v>1264</v>
      </c>
      <c r="BU326" s="90">
        <v>1673</v>
      </c>
      <c r="BV326" s="90">
        <v>16</v>
      </c>
      <c r="BW326" s="68"/>
      <c r="BX326" s="90" t="s">
        <v>1533</v>
      </c>
      <c r="BY326" s="90" t="s">
        <v>1313</v>
      </c>
      <c r="BZ326" s="90">
        <v>1</v>
      </c>
      <c r="CA326" s="90"/>
      <c r="CB326" s="90">
        <v>8.33</v>
      </c>
      <c r="CC326" s="90">
        <v>0</v>
      </c>
      <c r="CD326" s="90"/>
      <c r="CE326" s="90"/>
      <c r="CF326" s="90" t="s">
        <v>1552</v>
      </c>
      <c r="CG326" s="90">
        <v>200</v>
      </c>
      <c r="CH326" s="90">
        <v>230</v>
      </c>
      <c r="CI326" s="68"/>
      <c r="CJ326" s="68"/>
      <c r="CK326" s="125">
        <v>6</v>
      </c>
    </row>
    <row r="327" spans="1:89" ht="15" thickBot="1" x14ac:dyDescent="0.35">
      <c r="A327" s="114" t="s">
        <v>2938</v>
      </c>
      <c r="C327" t="s">
        <v>3315</v>
      </c>
      <c r="E327" s="90">
        <v>4.18</v>
      </c>
      <c r="F327" s="114" t="s">
        <v>2933</v>
      </c>
      <c r="G327" t="s">
        <v>3154</v>
      </c>
      <c r="H327" t="s">
        <v>3205</v>
      </c>
      <c r="M327" t="b">
        <v>0</v>
      </c>
      <c r="N327" t="b">
        <v>1</v>
      </c>
      <c r="O327" t="b">
        <v>0</v>
      </c>
      <c r="P327" t="b">
        <v>0</v>
      </c>
      <c r="Q327" t="s">
        <v>3154</v>
      </c>
      <c r="R327">
        <v>4031663</v>
      </c>
      <c r="AB327" s="90"/>
      <c r="BT327" s="90" t="s">
        <v>1264</v>
      </c>
      <c r="BU327" s="90">
        <v>1673</v>
      </c>
      <c r="BV327" s="90">
        <v>16</v>
      </c>
      <c r="BW327" s="68"/>
      <c r="BX327" s="90" t="s">
        <v>1533</v>
      </c>
      <c r="BY327" s="90" t="s">
        <v>1313</v>
      </c>
      <c r="BZ327" s="90">
        <v>1</v>
      </c>
      <c r="CA327" s="90"/>
      <c r="CB327" s="90">
        <v>8.33</v>
      </c>
      <c r="CC327" s="90">
        <v>0</v>
      </c>
      <c r="CD327" s="90"/>
      <c r="CE327" s="90"/>
      <c r="CF327" s="90" t="s">
        <v>1552</v>
      </c>
      <c r="CG327" s="90">
        <v>200</v>
      </c>
      <c r="CH327" s="90">
        <v>230</v>
      </c>
      <c r="CI327" s="68"/>
      <c r="CJ327" s="68"/>
      <c r="CK327" s="125">
        <v>7.9</v>
      </c>
    </row>
    <row r="328" spans="1:89" ht="15" thickBot="1" x14ac:dyDescent="0.35">
      <c r="A328" s="114" t="s">
        <v>2939</v>
      </c>
      <c r="C328" t="s">
        <v>3315</v>
      </c>
      <c r="E328" s="90">
        <v>4.3899999999999997</v>
      </c>
      <c r="F328" s="114" t="s">
        <v>2933</v>
      </c>
      <c r="G328" t="s">
        <v>3154</v>
      </c>
      <c r="H328" t="s">
        <v>3205</v>
      </c>
      <c r="M328" t="b">
        <v>0</v>
      </c>
      <c r="N328" t="b">
        <v>0</v>
      </c>
      <c r="O328" t="b">
        <v>0</v>
      </c>
      <c r="P328" t="b">
        <v>1</v>
      </c>
      <c r="Q328" t="s">
        <v>3154</v>
      </c>
      <c r="R328">
        <v>4031663</v>
      </c>
      <c r="AB328" s="90"/>
      <c r="BT328" s="90" t="s">
        <v>1264</v>
      </c>
      <c r="BU328" s="90">
        <v>1673</v>
      </c>
      <c r="BV328" s="90">
        <v>16</v>
      </c>
      <c r="BW328" s="68"/>
      <c r="BX328" s="90" t="s">
        <v>1533</v>
      </c>
      <c r="BY328" s="90" t="s">
        <v>1313</v>
      </c>
      <c r="BZ328" s="90">
        <v>1</v>
      </c>
      <c r="CA328" s="90"/>
      <c r="CB328" s="90">
        <v>8.33</v>
      </c>
      <c r="CC328" s="90">
        <v>0</v>
      </c>
      <c r="CD328" s="90"/>
      <c r="CE328" s="90"/>
      <c r="CF328" s="90" t="s">
        <v>1552</v>
      </c>
      <c r="CG328" s="90">
        <v>200</v>
      </c>
      <c r="CH328" s="90">
        <v>230</v>
      </c>
      <c r="CI328" s="68"/>
      <c r="CJ328" s="68"/>
      <c r="CK328" s="125">
        <v>7</v>
      </c>
    </row>
    <row r="329" spans="1:89" ht="15" thickBot="1" x14ac:dyDescent="0.35">
      <c r="A329" s="114" t="s">
        <v>2938</v>
      </c>
      <c r="C329" t="s">
        <v>3315</v>
      </c>
      <c r="E329" s="90">
        <v>4.87</v>
      </c>
      <c r="F329" s="114" t="s">
        <v>2933</v>
      </c>
      <c r="G329" t="s">
        <v>3154</v>
      </c>
      <c r="H329" t="s">
        <v>3205</v>
      </c>
      <c r="M329" t="b">
        <v>0</v>
      </c>
      <c r="N329" t="b">
        <v>1</v>
      </c>
      <c r="O329" t="b">
        <v>0</v>
      </c>
      <c r="P329" t="b">
        <v>0</v>
      </c>
      <c r="Q329" t="s">
        <v>3154</v>
      </c>
      <c r="R329">
        <v>4031663</v>
      </c>
      <c r="AB329" s="90"/>
      <c r="BT329" s="90" t="s">
        <v>1264</v>
      </c>
      <c r="BU329" s="90">
        <v>1673</v>
      </c>
      <c r="BV329" s="90">
        <v>16</v>
      </c>
      <c r="BW329" s="68"/>
      <c r="BX329" s="90" t="s">
        <v>1533</v>
      </c>
      <c r="BY329" s="90" t="s">
        <v>1313</v>
      </c>
      <c r="BZ329" s="90">
        <v>1</v>
      </c>
      <c r="CA329" s="90"/>
      <c r="CB329" s="90">
        <v>8.33</v>
      </c>
      <c r="CC329" s="90">
        <v>0</v>
      </c>
      <c r="CD329" s="90"/>
      <c r="CE329" s="90"/>
      <c r="CF329" s="90" t="s">
        <v>1552</v>
      </c>
      <c r="CG329" s="90">
        <v>200</v>
      </c>
      <c r="CH329" s="90">
        <v>230</v>
      </c>
      <c r="CI329" s="68"/>
      <c r="CJ329" s="68"/>
      <c r="CK329" s="125">
        <v>5.8</v>
      </c>
    </row>
    <row r="330" spans="1:89" ht="15" thickBot="1" x14ac:dyDescent="0.35">
      <c r="A330" s="115" t="s">
        <v>1273</v>
      </c>
      <c r="C330" t="s">
        <v>3260</v>
      </c>
      <c r="E330" s="90">
        <v>3.2</v>
      </c>
      <c r="F330" s="115" t="s">
        <v>2940</v>
      </c>
      <c r="G330" t="s">
        <v>3163</v>
      </c>
      <c r="H330" t="s">
        <v>3164</v>
      </c>
      <c r="M330" t="b">
        <v>1</v>
      </c>
      <c r="N330" t="b">
        <v>1</v>
      </c>
      <c r="O330" t="b">
        <v>0</v>
      </c>
      <c r="P330" t="b">
        <v>0</v>
      </c>
      <c r="Q330" t="s">
        <v>3163</v>
      </c>
      <c r="R330">
        <v>1531431</v>
      </c>
      <c r="AB330" s="122"/>
      <c r="BT330" s="90" t="s">
        <v>1264</v>
      </c>
      <c r="BU330" s="90"/>
      <c r="BV330" s="90"/>
      <c r="BW330" s="68"/>
      <c r="BX330" s="90" t="s">
        <v>1268</v>
      </c>
      <c r="BY330" s="90" t="s">
        <v>863</v>
      </c>
      <c r="BZ330" s="90">
        <v>0.5</v>
      </c>
      <c r="CA330" s="90">
        <v>8.5</v>
      </c>
      <c r="CB330" s="90">
        <v>0.47599999999999998</v>
      </c>
      <c r="CC330" s="90">
        <v>12</v>
      </c>
      <c r="CD330" s="90"/>
      <c r="CE330" s="90"/>
      <c r="CF330" s="90" t="s">
        <v>1552</v>
      </c>
      <c r="CG330" s="92">
        <v>400</v>
      </c>
      <c r="CH330" s="92">
        <v>365</v>
      </c>
      <c r="CI330" s="68"/>
      <c r="CJ330" s="68"/>
      <c r="CK330" s="125">
        <v>2060</v>
      </c>
    </row>
    <row r="331" spans="1:89" ht="15" thickBot="1" x14ac:dyDescent="0.35">
      <c r="A331" s="115" t="s">
        <v>2902</v>
      </c>
      <c r="C331" t="s">
        <v>3297</v>
      </c>
      <c r="E331" s="90">
        <v>3.2</v>
      </c>
      <c r="F331" s="115" t="s">
        <v>2941</v>
      </c>
      <c r="G331" t="s">
        <v>3185</v>
      </c>
      <c r="H331" t="s">
        <v>3186</v>
      </c>
      <c r="M331" t="b">
        <v>1</v>
      </c>
      <c r="N331" t="b">
        <v>1</v>
      </c>
      <c r="O331" t="b">
        <v>0</v>
      </c>
      <c r="P331" t="b">
        <v>0</v>
      </c>
      <c r="Q331" t="s">
        <v>3185</v>
      </c>
      <c r="R331">
        <v>1011064</v>
      </c>
      <c r="AB331" s="90">
        <v>12.5</v>
      </c>
      <c r="BT331" s="90" t="s">
        <v>1264</v>
      </c>
      <c r="BU331" s="90">
        <v>773</v>
      </c>
      <c r="BV331" s="90">
        <v>12</v>
      </c>
      <c r="BW331" s="68"/>
      <c r="BX331" s="90" t="s">
        <v>1268</v>
      </c>
      <c r="BY331" s="90" t="s">
        <v>863</v>
      </c>
      <c r="BZ331" s="90">
        <v>0.8</v>
      </c>
      <c r="CA331" s="90">
        <v>12.5</v>
      </c>
      <c r="CB331" s="90">
        <v>0.81</v>
      </c>
      <c r="CC331" s="90">
        <v>18.5</v>
      </c>
      <c r="CD331" s="90"/>
      <c r="CE331" s="90"/>
      <c r="CF331" s="90" t="s">
        <v>1534</v>
      </c>
      <c r="CG331" s="92">
        <v>300</v>
      </c>
      <c r="CH331" s="92">
        <v>300</v>
      </c>
      <c r="CI331" s="68"/>
      <c r="CJ331" s="68"/>
      <c r="CK331" s="125">
        <v>12.3</v>
      </c>
    </row>
    <row r="332" spans="1:89" ht="15" thickBot="1" x14ac:dyDescent="0.35">
      <c r="A332" s="115" t="s">
        <v>2942</v>
      </c>
      <c r="C332" t="s">
        <v>3316</v>
      </c>
      <c r="E332" s="90">
        <v>3.1</v>
      </c>
      <c r="F332" s="115" t="s">
        <v>2941</v>
      </c>
      <c r="G332" t="s">
        <v>3185</v>
      </c>
      <c r="H332" t="s">
        <v>3186</v>
      </c>
      <c r="M332" t="b">
        <v>1</v>
      </c>
      <c r="N332" t="b">
        <v>1</v>
      </c>
      <c r="O332" t="b">
        <v>0</v>
      </c>
      <c r="P332" t="b">
        <v>0</v>
      </c>
      <c r="Q332" t="s">
        <v>3185</v>
      </c>
      <c r="R332">
        <v>1011064</v>
      </c>
      <c r="AB332" s="90">
        <v>17.399999999999999</v>
      </c>
      <c r="BT332" s="90" t="s">
        <v>1264</v>
      </c>
      <c r="BU332" s="90">
        <v>773</v>
      </c>
      <c r="BV332" s="90">
        <v>12</v>
      </c>
      <c r="BW332" s="68"/>
      <c r="BX332" s="90" t="s">
        <v>1268</v>
      </c>
      <c r="BY332" s="90" t="s">
        <v>863</v>
      </c>
      <c r="BZ332" s="90">
        <v>0.8</v>
      </c>
      <c r="CA332" s="90">
        <v>17.399999999999999</v>
      </c>
      <c r="CB332" s="90">
        <v>0.81</v>
      </c>
      <c r="CC332" s="90">
        <v>18.5</v>
      </c>
      <c r="CD332" s="90"/>
      <c r="CE332" s="90"/>
      <c r="CF332" s="90" t="s">
        <v>1534</v>
      </c>
      <c r="CG332" s="92">
        <v>300</v>
      </c>
      <c r="CH332" s="92">
        <v>300</v>
      </c>
      <c r="CI332" s="68"/>
      <c r="CJ332" s="68"/>
      <c r="CK332" s="125">
        <v>16.899999999999999</v>
      </c>
    </row>
    <row r="333" spans="1:89" ht="15" thickBot="1" x14ac:dyDescent="0.35">
      <c r="A333" s="115" t="s">
        <v>2943</v>
      </c>
      <c r="C333" t="s">
        <v>3316</v>
      </c>
      <c r="E333" s="90">
        <v>3</v>
      </c>
      <c r="F333" s="115" t="s">
        <v>2941</v>
      </c>
      <c r="G333" t="s">
        <v>3185</v>
      </c>
      <c r="H333" t="s">
        <v>3186</v>
      </c>
      <c r="M333" t="b">
        <v>0</v>
      </c>
      <c r="N333" t="b">
        <v>1</v>
      </c>
      <c r="O333" t="b">
        <v>0</v>
      </c>
      <c r="P333" t="b">
        <v>0</v>
      </c>
      <c r="Q333" t="s">
        <v>3185</v>
      </c>
      <c r="R333">
        <v>1011064</v>
      </c>
      <c r="AB333" s="90">
        <v>22.9</v>
      </c>
      <c r="BT333" s="90" t="s">
        <v>1407</v>
      </c>
      <c r="BU333" s="90">
        <v>773</v>
      </c>
      <c r="BV333" s="90">
        <v>12</v>
      </c>
      <c r="BW333" s="68"/>
      <c r="BX333" s="90" t="s">
        <v>1268</v>
      </c>
      <c r="BY333" s="90" t="s">
        <v>863</v>
      </c>
      <c r="BZ333" s="90">
        <v>0.8</v>
      </c>
      <c r="CA333" s="90">
        <v>22.9</v>
      </c>
      <c r="CB333" s="90">
        <v>0.81</v>
      </c>
      <c r="CC333" s="90">
        <v>18.5</v>
      </c>
      <c r="CD333" s="90"/>
      <c r="CE333" s="90"/>
      <c r="CF333" s="90" t="s">
        <v>1534</v>
      </c>
      <c r="CG333" s="92">
        <v>300</v>
      </c>
      <c r="CH333" s="92">
        <v>300</v>
      </c>
      <c r="CI333" s="68"/>
      <c r="CJ333" s="68"/>
      <c r="CK333" s="125">
        <v>42.9</v>
      </c>
    </row>
    <row r="334" spans="1:89" ht="15" thickBot="1" x14ac:dyDescent="0.35">
      <c r="A334" s="115" t="s">
        <v>2944</v>
      </c>
      <c r="C334" t="s">
        <v>3316</v>
      </c>
      <c r="E334" s="90">
        <v>2.9</v>
      </c>
      <c r="F334" s="115" t="s">
        <v>2941</v>
      </c>
      <c r="G334" t="s">
        <v>3185</v>
      </c>
      <c r="H334" t="s">
        <v>3186</v>
      </c>
      <c r="M334" t="b">
        <v>0</v>
      </c>
      <c r="N334" t="b">
        <v>1</v>
      </c>
      <c r="O334" t="b">
        <v>0</v>
      </c>
      <c r="P334" t="b">
        <v>0</v>
      </c>
      <c r="Q334" t="s">
        <v>3185</v>
      </c>
      <c r="R334">
        <v>1011064</v>
      </c>
      <c r="AB334" s="90">
        <v>29.3</v>
      </c>
      <c r="BT334" s="90" t="s">
        <v>1428</v>
      </c>
      <c r="BU334" s="90">
        <v>773</v>
      </c>
      <c r="BV334" s="90">
        <v>12</v>
      </c>
      <c r="BW334" s="68"/>
      <c r="BX334" s="90" t="s">
        <v>1268</v>
      </c>
      <c r="BY334" s="90" t="s">
        <v>863</v>
      </c>
      <c r="BZ334" s="90">
        <v>0.8</v>
      </c>
      <c r="CA334" s="90">
        <v>29.3</v>
      </c>
      <c r="CB334" s="90">
        <v>0.81</v>
      </c>
      <c r="CC334" s="90">
        <v>18.5</v>
      </c>
      <c r="CD334" s="90"/>
      <c r="CE334" s="90"/>
      <c r="CF334" s="90" t="s">
        <v>1534</v>
      </c>
      <c r="CG334" s="92">
        <v>300</v>
      </c>
      <c r="CH334" s="92">
        <v>300</v>
      </c>
      <c r="CI334" s="68"/>
      <c r="CJ334" s="68"/>
      <c r="CK334" s="125">
        <v>44.6</v>
      </c>
    </row>
    <row r="335" spans="1:89" ht="15" thickBot="1" x14ac:dyDescent="0.35">
      <c r="A335" s="115" t="s">
        <v>2945</v>
      </c>
      <c r="C335" t="s">
        <v>3316</v>
      </c>
      <c r="E335" s="90">
        <v>2.8</v>
      </c>
      <c r="F335" s="115" t="s">
        <v>2941</v>
      </c>
      <c r="G335" t="s">
        <v>3185</v>
      </c>
      <c r="H335" t="s">
        <v>3186</v>
      </c>
      <c r="M335" t="b">
        <v>0</v>
      </c>
      <c r="N335" t="b">
        <v>1</v>
      </c>
      <c r="O335" t="b">
        <v>0</v>
      </c>
      <c r="P335" t="b">
        <v>0</v>
      </c>
      <c r="Q335" t="s">
        <v>3185</v>
      </c>
      <c r="R335">
        <v>1011064</v>
      </c>
      <c r="AB335" s="90">
        <v>32.700000000000003</v>
      </c>
      <c r="BT335" s="90" t="s">
        <v>1428</v>
      </c>
      <c r="BU335" s="90">
        <v>773</v>
      </c>
      <c r="BV335" s="90">
        <v>12</v>
      </c>
      <c r="BW335" s="68"/>
      <c r="BX335" s="90" t="s">
        <v>1268</v>
      </c>
      <c r="BY335" s="90" t="s">
        <v>863</v>
      </c>
      <c r="BZ335" s="90">
        <v>0.8</v>
      </c>
      <c r="CA335" s="90">
        <v>32.700000000000003</v>
      </c>
      <c r="CB335" s="90">
        <v>0.81</v>
      </c>
      <c r="CC335" s="90">
        <v>18.5</v>
      </c>
      <c r="CD335" s="90"/>
      <c r="CE335" s="90"/>
      <c r="CF335" s="90" t="s">
        <v>1534</v>
      </c>
      <c r="CG335" s="92">
        <v>300</v>
      </c>
      <c r="CH335" s="92">
        <v>300</v>
      </c>
      <c r="CI335" s="68"/>
      <c r="CJ335" s="68"/>
      <c r="CK335" s="125">
        <v>15.6</v>
      </c>
    </row>
    <row r="336" spans="1:89" ht="15" thickBot="1" x14ac:dyDescent="0.35">
      <c r="A336" s="115" t="s">
        <v>2946</v>
      </c>
      <c r="C336" t="s">
        <v>3316</v>
      </c>
      <c r="E336" s="90">
        <v>2.7</v>
      </c>
      <c r="F336" s="115" t="s">
        <v>2941</v>
      </c>
      <c r="G336" t="s">
        <v>3185</v>
      </c>
      <c r="H336" t="s">
        <v>3186</v>
      </c>
      <c r="M336" t="b">
        <v>0</v>
      </c>
      <c r="N336" t="b">
        <v>1</v>
      </c>
      <c r="O336" t="b">
        <v>0</v>
      </c>
      <c r="P336" t="b">
        <v>0</v>
      </c>
      <c r="Q336" t="s">
        <v>3185</v>
      </c>
      <c r="R336">
        <v>1011064</v>
      </c>
      <c r="AB336" s="90">
        <v>44</v>
      </c>
      <c r="BT336" s="90" t="s">
        <v>1428</v>
      </c>
      <c r="BU336" s="90">
        <v>773</v>
      </c>
      <c r="BV336" s="90">
        <v>12</v>
      </c>
      <c r="BW336" s="68"/>
      <c r="BX336" s="90" t="s">
        <v>1268</v>
      </c>
      <c r="BY336" s="90" t="s">
        <v>863</v>
      </c>
      <c r="BZ336" s="90">
        <v>0.8</v>
      </c>
      <c r="CA336" s="90">
        <v>44</v>
      </c>
      <c r="CB336" s="90">
        <v>0.81</v>
      </c>
      <c r="CC336" s="90">
        <v>18.5</v>
      </c>
      <c r="CD336" s="90"/>
      <c r="CE336" s="90"/>
      <c r="CF336" s="90" t="s">
        <v>1534</v>
      </c>
      <c r="CG336" s="92">
        <v>300</v>
      </c>
      <c r="CH336" s="92">
        <v>300</v>
      </c>
      <c r="CI336" s="68"/>
      <c r="CJ336" s="68"/>
      <c r="CK336" s="125">
        <v>4.0999999999999996</v>
      </c>
    </row>
    <row r="337" spans="1:89" ht="15" thickBot="1" x14ac:dyDescent="0.35">
      <c r="A337" s="115" t="s">
        <v>2902</v>
      </c>
      <c r="C337" t="s">
        <v>3297</v>
      </c>
      <c r="E337" s="90">
        <v>3.2</v>
      </c>
      <c r="F337" s="115" t="s">
        <v>2941</v>
      </c>
      <c r="G337" t="s">
        <v>3185</v>
      </c>
      <c r="H337" t="s">
        <v>3186</v>
      </c>
      <c r="M337" t="b">
        <v>1</v>
      </c>
      <c r="N337" t="b">
        <v>1</v>
      </c>
      <c r="O337" t="b">
        <v>0</v>
      </c>
      <c r="P337" t="b">
        <v>0</v>
      </c>
      <c r="Q337" t="s">
        <v>3185</v>
      </c>
      <c r="R337">
        <v>1011064</v>
      </c>
      <c r="AB337" s="90">
        <v>12.5</v>
      </c>
      <c r="BT337" s="90" t="s">
        <v>1428</v>
      </c>
      <c r="BU337" s="90">
        <v>773</v>
      </c>
      <c r="BV337" s="90">
        <v>12</v>
      </c>
      <c r="BW337" s="68"/>
      <c r="BX337" s="90" t="s">
        <v>1268</v>
      </c>
      <c r="BY337" s="90" t="s">
        <v>863</v>
      </c>
      <c r="BZ337" s="90">
        <v>0.8</v>
      </c>
      <c r="CA337" s="90">
        <v>12.5</v>
      </c>
      <c r="CB337" s="90">
        <v>0.81</v>
      </c>
      <c r="CC337" s="90">
        <v>18.5</v>
      </c>
      <c r="CD337" s="90"/>
      <c r="CE337" s="90"/>
      <c r="CF337" s="90" t="s">
        <v>1534</v>
      </c>
      <c r="CG337" s="92">
        <v>300</v>
      </c>
      <c r="CH337" s="92">
        <v>420</v>
      </c>
      <c r="CI337" s="68"/>
      <c r="CJ337" s="68"/>
      <c r="CK337" s="125">
        <v>0.3</v>
      </c>
    </row>
    <row r="338" spans="1:89" ht="15" thickBot="1" x14ac:dyDescent="0.35">
      <c r="A338" s="115" t="s">
        <v>2942</v>
      </c>
      <c r="C338" t="s">
        <v>3316</v>
      </c>
      <c r="E338" s="90">
        <v>3.1</v>
      </c>
      <c r="F338" s="115" t="s">
        <v>2941</v>
      </c>
      <c r="G338" t="s">
        <v>3185</v>
      </c>
      <c r="H338" t="s">
        <v>3186</v>
      </c>
      <c r="M338" t="b">
        <v>1</v>
      </c>
      <c r="N338" t="b">
        <v>1</v>
      </c>
      <c r="O338" t="b">
        <v>0</v>
      </c>
      <c r="P338" t="b">
        <v>0</v>
      </c>
      <c r="Q338" t="s">
        <v>3185</v>
      </c>
      <c r="R338">
        <v>1011064</v>
      </c>
      <c r="AB338" s="90">
        <v>17.399999999999999</v>
      </c>
      <c r="BT338" s="90" t="s">
        <v>1428</v>
      </c>
      <c r="BU338" s="90">
        <v>773</v>
      </c>
      <c r="BV338" s="90">
        <v>12</v>
      </c>
      <c r="BW338" s="68"/>
      <c r="BX338" s="90" t="s">
        <v>1268</v>
      </c>
      <c r="BY338" s="90" t="s">
        <v>863</v>
      </c>
      <c r="BZ338" s="90">
        <v>0.8</v>
      </c>
      <c r="CA338" s="90">
        <v>17.399999999999999</v>
      </c>
      <c r="CB338" s="90">
        <v>0.81</v>
      </c>
      <c r="CC338" s="90">
        <v>18.5</v>
      </c>
      <c r="CD338" s="90"/>
      <c r="CE338" s="90"/>
      <c r="CF338" s="90" t="s">
        <v>1534</v>
      </c>
      <c r="CG338" s="92">
        <v>300</v>
      </c>
      <c r="CH338" s="92">
        <v>420</v>
      </c>
      <c r="CI338" s="68"/>
      <c r="CJ338" s="68"/>
      <c r="CK338" s="125">
        <v>6.6</v>
      </c>
    </row>
    <row r="339" spans="1:89" ht="15" thickBot="1" x14ac:dyDescent="0.35">
      <c r="A339" s="115" t="s">
        <v>2943</v>
      </c>
      <c r="C339" t="s">
        <v>3316</v>
      </c>
      <c r="E339" s="90">
        <v>3</v>
      </c>
      <c r="F339" s="115" t="s">
        <v>2941</v>
      </c>
      <c r="G339" t="s">
        <v>3185</v>
      </c>
      <c r="H339" t="s">
        <v>3186</v>
      </c>
      <c r="M339" t="b">
        <v>0</v>
      </c>
      <c r="N339" t="b">
        <v>1</v>
      </c>
      <c r="O339" t="b">
        <v>0</v>
      </c>
      <c r="P339" t="b">
        <v>0</v>
      </c>
      <c r="Q339" t="s">
        <v>3185</v>
      </c>
      <c r="R339">
        <v>1011064</v>
      </c>
      <c r="AB339" s="90">
        <v>22.9</v>
      </c>
      <c r="BT339" s="90" t="s">
        <v>1428</v>
      </c>
      <c r="BU339" s="90">
        <v>773</v>
      </c>
      <c r="BV339" s="90">
        <v>12</v>
      </c>
      <c r="BW339" s="68"/>
      <c r="BX339" s="90" t="s">
        <v>1268</v>
      </c>
      <c r="BY339" s="90" t="s">
        <v>863</v>
      </c>
      <c r="BZ339" s="90">
        <v>0.8</v>
      </c>
      <c r="CA339" s="90">
        <v>22.9</v>
      </c>
      <c r="CB339" s="90">
        <v>0.81</v>
      </c>
      <c r="CC339" s="90">
        <v>18.5</v>
      </c>
      <c r="CD339" s="90"/>
      <c r="CE339" s="90"/>
      <c r="CF339" s="90" t="s">
        <v>1534</v>
      </c>
      <c r="CG339" s="92">
        <v>300</v>
      </c>
      <c r="CH339" s="92">
        <v>420</v>
      </c>
      <c r="CI339" s="68"/>
      <c r="CJ339" s="68"/>
      <c r="CK339" s="125">
        <v>16.399999999999999</v>
      </c>
    </row>
    <row r="340" spans="1:89" ht="15" thickBot="1" x14ac:dyDescent="0.35">
      <c r="A340" s="115" t="s">
        <v>2944</v>
      </c>
      <c r="C340" t="s">
        <v>3316</v>
      </c>
      <c r="E340" s="90">
        <v>2.9</v>
      </c>
      <c r="F340" s="115" t="s">
        <v>2941</v>
      </c>
      <c r="G340" t="s">
        <v>3185</v>
      </c>
      <c r="H340" t="s">
        <v>3186</v>
      </c>
      <c r="M340" t="b">
        <v>0</v>
      </c>
      <c r="N340" t="b">
        <v>1</v>
      </c>
      <c r="O340" t="b">
        <v>0</v>
      </c>
      <c r="P340" t="b">
        <v>0</v>
      </c>
      <c r="Q340" t="s">
        <v>3185</v>
      </c>
      <c r="R340">
        <v>1011064</v>
      </c>
      <c r="AB340" s="90">
        <v>29.3</v>
      </c>
      <c r="BT340" s="90" t="s">
        <v>1428</v>
      </c>
      <c r="BU340" s="90">
        <v>773</v>
      </c>
      <c r="BV340" s="90">
        <v>12</v>
      </c>
      <c r="BW340" s="68"/>
      <c r="BX340" s="90" t="s">
        <v>1268</v>
      </c>
      <c r="BY340" s="90" t="s">
        <v>863</v>
      </c>
      <c r="BZ340" s="90">
        <v>0.8</v>
      </c>
      <c r="CA340" s="90">
        <v>29.3</v>
      </c>
      <c r="CB340" s="90">
        <v>0.81</v>
      </c>
      <c r="CC340" s="90">
        <v>18.5</v>
      </c>
      <c r="CD340" s="90"/>
      <c r="CE340" s="90"/>
      <c r="CF340" s="90" t="s">
        <v>1534</v>
      </c>
      <c r="CG340" s="92">
        <v>300</v>
      </c>
      <c r="CH340" s="92">
        <v>420</v>
      </c>
      <c r="CI340" s="68"/>
      <c r="CJ340" s="68"/>
      <c r="CK340" s="125">
        <v>13.2</v>
      </c>
    </row>
    <row r="341" spans="1:89" ht="15" thickBot="1" x14ac:dyDescent="0.35">
      <c r="A341" s="115" t="s">
        <v>2945</v>
      </c>
      <c r="C341" t="s">
        <v>3316</v>
      </c>
      <c r="E341" s="90">
        <v>2.8</v>
      </c>
      <c r="F341" s="115" t="s">
        <v>2941</v>
      </c>
      <c r="G341" t="s">
        <v>3185</v>
      </c>
      <c r="H341" t="s">
        <v>3186</v>
      </c>
      <c r="M341" t="b">
        <v>0</v>
      </c>
      <c r="N341" t="b">
        <v>1</v>
      </c>
      <c r="O341" t="b">
        <v>0</v>
      </c>
      <c r="P341" t="b">
        <v>0</v>
      </c>
      <c r="Q341" t="s">
        <v>3185</v>
      </c>
      <c r="R341">
        <v>1011064</v>
      </c>
      <c r="AB341" s="90">
        <v>32.700000000000003</v>
      </c>
      <c r="BT341" s="90" t="s">
        <v>1428</v>
      </c>
      <c r="BU341" s="90">
        <v>773</v>
      </c>
      <c r="BV341" s="90">
        <v>12</v>
      </c>
      <c r="BW341" s="68"/>
      <c r="BX341" s="90" t="s">
        <v>1268</v>
      </c>
      <c r="BY341" s="90" t="s">
        <v>863</v>
      </c>
      <c r="BZ341" s="90">
        <v>0.8</v>
      </c>
      <c r="CA341" s="90">
        <v>32.700000000000003</v>
      </c>
      <c r="CB341" s="90">
        <v>0.81</v>
      </c>
      <c r="CC341" s="90">
        <v>18.5</v>
      </c>
      <c r="CD341" s="90"/>
      <c r="CE341" s="90"/>
      <c r="CF341" s="90" t="s">
        <v>1534</v>
      </c>
      <c r="CG341" s="92">
        <v>300</v>
      </c>
      <c r="CH341" s="92">
        <v>420</v>
      </c>
      <c r="CI341" s="68"/>
      <c r="CJ341" s="68"/>
      <c r="CK341" s="125">
        <v>4.8</v>
      </c>
    </row>
    <row r="342" spans="1:89" ht="15" thickBot="1" x14ac:dyDescent="0.35">
      <c r="A342" s="115" t="s">
        <v>2946</v>
      </c>
      <c r="C342" t="s">
        <v>3316</v>
      </c>
      <c r="E342" s="90">
        <v>2.7</v>
      </c>
      <c r="F342" s="115" t="s">
        <v>2941</v>
      </c>
      <c r="G342" t="s">
        <v>3185</v>
      </c>
      <c r="H342" t="s">
        <v>3186</v>
      </c>
      <c r="M342" t="b">
        <v>0</v>
      </c>
      <c r="N342" t="b">
        <v>1</v>
      </c>
      <c r="O342" t="b">
        <v>0</v>
      </c>
      <c r="P342" t="b">
        <v>0</v>
      </c>
      <c r="Q342" t="s">
        <v>3185</v>
      </c>
      <c r="R342">
        <v>1011064</v>
      </c>
      <c r="AB342" s="90">
        <v>44</v>
      </c>
      <c r="BT342" s="90" t="s">
        <v>1428</v>
      </c>
      <c r="BU342" s="90">
        <v>773</v>
      </c>
      <c r="BV342" s="90">
        <v>12</v>
      </c>
      <c r="BW342" s="68"/>
      <c r="BX342" s="90" t="s">
        <v>1268</v>
      </c>
      <c r="BY342" s="90" t="s">
        <v>863</v>
      </c>
      <c r="BZ342" s="90">
        <v>0.8</v>
      </c>
      <c r="CA342" s="90">
        <v>44</v>
      </c>
      <c r="CB342" s="90">
        <v>0.81</v>
      </c>
      <c r="CC342" s="90">
        <v>18.5</v>
      </c>
      <c r="CD342" s="90"/>
      <c r="CE342" s="90"/>
      <c r="CF342" s="90" t="s">
        <v>1534</v>
      </c>
      <c r="CG342" s="92">
        <v>300</v>
      </c>
      <c r="CH342" s="92">
        <v>420</v>
      </c>
      <c r="CI342" s="68"/>
      <c r="CJ342" s="68"/>
      <c r="CK342" s="125">
        <v>1.3</v>
      </c>
    </row>
    <row r="343" spans="1:89" ht="15" thickBot="1" x14ac:dyDescent="0.35">
      <c r="A343" s="115" t="s">
        <v>220</v>
      </c>
      <c r="C343" t="s">
        <v>807</v>
      </c>
      <c r="E343" s="90">
        <v>4.0599999999999996</v>
      </c>
      <c r="F343" s="115" t="s">
        <v>219</v>
      </c>
      <c r="G343" t="s">
        <v>588</v>
      </c>
      <c r="H343" t="s">
        <v>661</v>
      </c>
      <c r="M343" t="b">
        <v>1</v>
      </c>
      <c r="N343" t="b">
        <v>1</v>
      </c>
      <c r="O343" t="b">
        <v>0</v>
      </c>
      <c r="P343" t="b">
        <v>0</v>
      </c>
      <c r="Q343" t="s">
        <v>588</v>
      </c>
      <c r="R343">
        <v>2106435</v>
      </c>
      <c r="AB343" s="122"/>
      <c r="BT343" s="90" t="s">
        <v>1428</v>
      </c>
      <c r="BU343" s="90">
        <v>1423</v>
      </c>
      <c r="BV343" s="90">
        <v>18</v>
      </c>
      <c r="BW343" s="68"/>
      <c r="BX343" s="90"/>
      <c r="BY343" s="90"/>
      <c r="BZ343" s="90"/>
      <c r="CA343" s="90"/>
      <c r="CB343" s="90">
        <v>1</v>
      </c>
      <c r="CC343" s="90">
        <v>20</v>
      </c>
      <c r="CD343" s="90"/>
      <c r="CE343" s="90"/>
      <c r="CF343" s="90" t="s">
        <v>1534</v>
      </c>
      <c r="CG343" s="92">
        <v>300</v>
      </c>
      <c r="CH343" s="92">
        <v>400</v>
      </c>
      <c r="CI343" s="68"/>
      <c r="CJ343" s="68"/>
      <c r="CK343" s="125">
        <v>300</v>
      </c>
    </row>
    <row r="344" spans="1:89" ht="15" thickBot="1" x14ac:dyDescent="0.35">
      <c r="A344" s="115" t="s">
        <v>220</v>
      </c>
      <c r="C344" t="s">
        <v>807</v>
      </c>
      <c r="E344" s="90">
        <v>1.78</v>
      </c>
      <c r="F344" s="115" t="s">
        <v>219</v>
      </c>
      <c r="G344" t="s">
        <v>588</v>
      </c>
      <c r="H344" t="s">
        <v>661</v>
      </c>
      <c r="M344" t="b">
        <v>1</v>
      </c>
      <c r="N344" t="b">
        <v>1</v>
      </c>
      <c r="O344" t="b">
        <v>0</v>
      </c>
      <c r="P344" t="b">
        <v>0</v>
      </c>
      <c r="Q344" t="s">
        <v>588</v>
      </c>
      <c r="R344">
        <v>2106435</v>
      </c>
      <c r="AB344" s="122"/>
      <c r="BT344" s="90" t="s">
        <v>1428</v>
      </c>
      <c r="BU344" s="90">
        <v>1423</v>
      </c>
      <c r="BV344" s="90">
        <v>18</v>
      </c>
      <c r="BW344" s="68"/>
      <c r="BX344" s="90"/>
      <c r="BY344" s="90"/>
      <c r="BZ344" s="90"/>
      <c r="CA344" s="90"/>
      <c r="CB344" s="90">
        <v>1</v>
      </c>
      <c r="CC344" s="90">
        <v>20</v>
      </c>
      <c r="CD344" s="90"/>
      <c r="CE344" s="90"/>
      <c r="CF344" s="90" t="s">
        <v>1534</v>
      </c>
      <c r="CG344" s="92">
        <v>300</v>
      </c>
      <c r="CH344" s="92">
        <v>400</v>
      </c>
      <c r="CI344" s="68"/>
      <c r="CJ344" s="68"/>
      <c r="CK344" s="125">
        <v>500</v>
      </c>
    </row>
    <row r="345" spans="1:89" ht="15" thickBot="1" x14ac:dyDescent="0.35">
      <c r="A345" s="115" t="s">
        <v>28</v>
      </c>
      <c r="C345" t="s">
        <v>805</v>
      </c>
      <c r="E345" s="90">
        <v>3.64</v>
      </c>
      <c r="F345" s="115" t="s">
        <v>2947</v>
      </c>
      <c r="G345" t="s">
        <v>586</v>
      </c>
      <c r="H345" t="s">
        <v>660</v>
      </c>
      <c r="M345" t="b">
        <v>1</v>
      </c>
      <c r="N345" t="b">
        <v>1</v>
      </c>
      <c r="O345" t="b">
        <v>0</v>
      </c>
      <c r="P345" t="b">
        <v>0</v>
      </c>
      <c r="Q345" t="s">
        <v>586</v>
      </c>
      <c r="R345">
        <v>1521385</v>
      </c>
      <c r="AB345" s="122"/>
      <c r="BT345" s="90" t="s">
        <v>1428</v>
      </c>
      <c r="BU345" s="90"/>
      <c r="BV345" s="90"/>
      <c r="BW345" s="68"/>
      <c r="BX345" s="90"/>
      <c r="BY345" s="90"/>
      <c r="BZ345" s="90"/>
      <c r="CA345" s="90"/>
      <c r="CB345" s="90">
        <v>1</v>
      </c>
      <c r="CC345" s="90">
        <v>25</v>
      </c>
      <c r="CD345" s="90" t="s">
        <v>1637</v>
      </c>
      <c r="CE345" s="90"/>
      <c r="CF345" s="90" t="s">
        <v>1534</v>
      </c>
      <c r="CG345" s="92">
        <v>300</v>
      </c>
      <c r="CH345" s="92">
        <v>420</v>
      </c>
      <c r="CI345" s="68"/>
      <c r="CJ345" s="68"/>
      <c r="CK345" s="125">
        <v>1660</v>
      </c>
    </row>
    <row r="346" spans="1:89" ht="15" thickBot="1" x14ac:dyDescent="0.35">
      <c r="A346" s="115" t="s">
        <v>28</v>
      </c>
      <c r="C346" t="s">
        <v>805</v>
      </c>
      <c r="E346" s="90">
        <v>3.64</v>
      </c>
      <c r="F346" s="115" t="s">
        <v>2947</v>
      </c>
      <c r="G346" t="s">
        <v>586</v>
      </c>
      <c r="H346" t="s">
        <v>660</v>
      </c>
      <c r="M346" t="b">
        <v>1</v>
      </c>
      <c r="N346" t="b">
        <v>1</v>
      </c>
      <c r="O346" t="b">
        <v>0</v>
      </c>
      <c r="P346" t="b">
        <v>0</v>
      </c>
      <c r="Q346" t="s">
        <v>586</v>
      </c>
      <c r="R346">
        <v>1521385</v>
      </c>
      <c r="AB346" s="122"/>
      <c r="BT346" s="90" t="s">
        <v>1264</v>
      </c>
      <c r="BU346" s="90"/>
      <c r="BV346" s="90"/>
      <c r="BW346" s="68"/>
      <c r="BX346" s="90" t="s">
        <v>1268</v>
      </c>
      <c r="BY346" s="90" t="s">
        <v>1555</v>
      </c>
      <c r="BZ346" s="90">
        <v>0.05</v>
      </c>
      <c r="CA346" s="90"/>
      <c r="CB346" s="90">
        <v>1</v>
      </c>
      <c r="CC346" s="90">
        <v>25</v>
      </c>
      <c r="CD346" s="90" t="s">
        <v>1637</v>
      </c>
      <c r="CE346" s="90"/>
      <c r="CF346" s="90" t="s">
        <v>1534</v>
      </c>
      <c r="CG346" s="92">
        <v>300</v>
      </c>
      <c r="CH346" s="92">
        <v>420</v>
      </c>
      <c r="CI346" s="68"/>
      <c r="CJ346" s="68"/>
      <c r="CK346" s="125">
        <v>2740</v>
      </c>
    </row>
    <row r="347" spans="1:89" ht="15" thickBot="1" x14ac:dyDescent="0.35">
      <c r="A347" s="115" t="s">
        <v>28</v>
      </c>
      <c r="C347" t="s">
        <v>805</v>
      </c>
      <c r="E347" s="90">
        <v>3.64</v>
      </c>
      <c r="F347" s="115" t="s">
        <v>2947</v>
      </c>
      <c r="G347" t="s">
        <v>586</v>
      </c>
      <c r="H347" t="s">
        <v>660</v>
      </c>
      <c r="M347" t="b">
        <v>1</v>
      </c>
      <c r="N347" t="b">
        <v>1</v>
      </c>
      <c r="O347" t="b">
        <v>0</v>
      </c>
      <c r="P347" t="b">
        <v>0</v>
      </c>
      <c r="Q347" t="s">
        <v>586</v>
      </c>
      <c r="R347">
        <v>1521385</v>
      </c>
      <c r="AB347" s="122"/>
      <c r="BT347" s="90" t="s">
        <v>1264</v>
      </c>
      <c r="BU347" s="90"/>
      <c r="BV347" s="90"/>
      <c r="BW347" s="68"/>
      <c r="BX347" s="90" t="s">
        <v>1268</v>
      </c>
      <c r="BY347" s="90" t="s">
        <v>1555</v>
      </c>
      <c r="BZ347" s="90">
        <v>0.1</v>
      </c>
      <c r="CA347" s="90"/>
      <c r="CB347" s="90">
        <v>1</v>
      </c>
      <c r="CC347" s="90">
        <v>25</v>
      </c>
      <c r="CD347" s="90" t="s">
        <v>1637</v>
      </c>
      <c r="CE347" s="90"/>
      <c r="CF347" s="90" t="s">
        <v>1534</v>
      </c>
      <c r="CG347" s="92">
        <v>300</v>
      </c>
      <c r="CH347" s="92">
        <v>420</v>
      </c>
      <c r="CI347" s="68"/>
      <c r="CJ347" s="68"/>
      <c r="CK347" s="125">
        <v>3540</v>
      </c>
    </row>
    <row r="348" spans="1:89" ht="15" thickBot="1" x14ac:dyDescent="0.35">
      <c r="A348" s="115" t="s">
        <v>28</v>
      </c>
      <c r="C348" t="s">
        <v>805</v>
      </c>
      <c r="E348" s="90">
        <v>3.64</v>
      </c>
      <c r="F348" s="115" t="s">
        <v>2947</v>
      </c>
      <c r="G348" t="s">
        <v>586</v>
      </c>
      <c r="H348" t="s">
        <v>660</v>
      </c>
      <c r="M348" t="b">
        <v>1</v>
      </c>
      <c r="N348" t="b">
        <v>1</v>
      </c>
      <c r="O348" t="b">
        <v>0</v>
      </c>
      <c r="P348" t="b">
        <v>0</v>
      </c>
      <c r="Q348" t="s">
        <v>586</v>
      </c>
      <c r="R348">
        <v>1521385</v>
      </c>
      <c r="AB348" s="122"/>
      <c r="BT348" s="90" t="s">
        <v>1407</v>
      </c>
      <c r="BU348" s="90"/>
      <c r="BV348" s="90"/>
      <c r="BW348" s="68"/>
      <c r="BX348" s="90" t="s">
        <v>1268</v>
      </c>
      <c r="BY348" s="90" t="s">
        <v>1555</v>
      </c>
      <c r="BZ348" s="90">
        <v>0.2</v>
      </c>
      <c r="CA348" s="90"/>
      <c r="CB348" s="90">
        <v>1</v>
      </c>
      <c r="CC348" s="90">
        <v>25</v>
      </c>
      <c r="CD348" s="90" t="s">
        <v>1637</v>
      </c>
      <c r="CE348" s="90"/>
      <c r="CF348" s="90" t="s">
        <v>1534</v>
      </c>
      <c r="CG348" s="90">
        <v>300</v>
      </c>
      <c r="CH348" s="90">
        <v>420</v>
      </c>
      <c r="CI348" s="68"/>
      <c r="CJ348" s="68"/>
      <c r="CK348" s="125">
        <v>3170</v>
      </c>
    </row>
    <row r="349" spans="1:89" ht="15" thickBot="1" x14ac:dyDescent="0.35">
      <c r="A349" s="115" t="s">
        <v>28</v>
      </c>
      <c r="C349" t="s">
        <v>805</v>
      </c>
      <c r="E349" s="90">
        <v>4</v>
      </c>
      <c r="F349" s="114"/>
      <c r="G349" t="s">
        <v>586</v>
      </c>
      <c r="H349" t="s">
        <v>660</v>
      </c>
      <c r="M349" t="b">
        <v>1</v>
      </c>
      <c r="N349" t="b">
        <v>1</v>
      </c>
      <c r="O349" t="b">
        <v>0</v>
      </c>
      <c r="P349" t="b">
        <v>0</v>
      </c>
      <c r="Q349" t="s">
        <v>586</v>
      </c>
      <c r="R349">
        <v>1521385</v>
      </c>
      <c r="AB349" s="120"/>
      <c r="BT349" s="90" t="s">
        <v>1407</v>
      </c>
      <c r="BU349" s="90">
        <v>1423</v>
      </c>
      <c r="BV349" s="90">
        <v>10</v>
      </c>
      <c r="BW349" s="68"/>
      <c r="BX349" s="90"/>
      <c r="BY349" s="90"/>
      <c r="BZ349" s="90"/>
      <c r="CA349" s="90">
        <v>2</v>
      </c>
      <c r="CB349" s="90">
        <v>0.5</v>
      </c>
      <c r="CC349" s="90">
        <v>10</v>
      </c>
      <c r="CD349" s="90"/>
      <c r="CE349" s="90"/>
      <c r="CF349" s="90" t="s">
        <v>1552</v>
      </c>
      <c r="CG349" s="90">
        <v>150</v>
      </c>
      <c r="CH349" s="90">
        <v>365</v>
      </c>
      <c r="CI349" s="68"/>
      <c r="CJ349" s="68"/>
      <c r="CK349" s="125">
        <v>1600</v>
      </c>
    </row>
    <row r="350" spans="1:89" ht="15" thickBot="1" x14ac:dyDescent="0.35">
      <c r="A350" s="115" t="s">
        <v>28</v>
      </c>
      <c r="C350" t="s">
        <v>805</v>
      </c>
      <c r="E350" s="90">
        <v>3.75</v>
      </c>
      <c r="F350" s="114"/>
      <c r="G350" t="s">
        <v>586</v>
      </c>
      <c r="H350" t="s">
        <v>660</v>
      </c>
      <c r="M350" t="b">
        <v>1</v>
      </c>
      <c r="N350" t="b">
        <v>1</v>
      </c>
      <c r="O350" t="b">
        <v>0</v>
      </c>
      <c r="P350" t="b">
        <v>0</v>
      </c>
      <c r="Q350" t="s">
        <v>586</v>
      </c>
      <c r="R350">
        <v>1521385</v>
      </c>
      <c r="AB350" s="120"/>
      <c r="BT350" s="90" t="s">
        <v>1407</v>
      </c>
      <c r="BU350" s="90">
        <v>543</v>
      </c>
      <c r="BV350" s="90">
        <v>2</v>
      </c>
      <c r="BW350" s="68"/>
      <c r="BX350" s="90"/>
      <c r="BY350" s="90"/>
      <c r="BZ350" s="90"/>
      <c r="CA350" s="90"/>
      <c r="CB350" s="90">
        <v>0.6</v>
      </c>
      <c r="CC350" s="90">
        <v>20</v>
      </c>
      <c r="CD350" s="90"/>
      <c r="CE350" s="90"/>
      <c r="CF350" s="90" t="s">
        <v>1552</v>
      </c>
      <c r="CG350" s="90">
        <v>450</v>
      </c>
      <c r="CH350" s="90">
        <v>365</v>
      </c>
      <c r="CI350" s="68"/>
      <c r="CJ350" s="68"/>
      <c r="CK350" s="125">
        <v>90</v>
      </c>
    </row>
    <row r="351" spans="1:89" ht="15" thickBot="1" x14ac:dyDescent="0.35">
      <c r="A351" s="115" t="s">
        <v>28</v>
      </c>
      <c r="C351" t="s">
        <v>805</v>
      </c>
      <c r="E351" s="90">
        <v>3.75</v>
      </c>
      <c r="F351" s="114"/>
      <c r="G351" t="s">
        <v>586</v>
      </c>
      <c r="H351" t="s">
        <v>660</v>
      </c>
      <c r="M351" t="b">
        <v>1</v>
      </c>
      <c r="N351" t="b">
        <v>1</v>
      </c>
      <c r="O351" t="b">
        <v>0</v>
      </c>
      <c r="P351" t="b">
        <v>0</v>
      </c>
      <c r="Q351" t="s">
        <v>586</v>
      </c>
      <c r="R351">
        <v>1521385</v>
      </c>
      <c r="AB351" s="120"/>
      <c r="BT351" s="90" t="s">
        <v>1407</v>
      </c>
      <c r="BU351" s="90">
        <v>543</v>
      </c>
      <c r="BV351" s="90">
        <v>2</v>
      </c>
      <c r="BW351" s="68"/>
      <c r="BX351" s="90" t="s">
        <v>1268</v>
      </c>
      <c r="BY351" s="90" t="s">
        <v>56</v>
      </c>
      <c r="BZ351" s="90">
        <v>0.05</v>
      </c>
      <c r="CA351" s="90"/>
      <c r="CB351" s="90">
        <v>0.6</v>
      </c>
      <c r="CC351" s="90">
        <v>20</v>
      </c>
      <c r="CD351" s="90"/>
      <c r="CE351" s="90"/>
      <c r="CF351" s="90" t="s">
        <v>1552</v>
      </c>
      <c r="CG351" s="90">
        <v>450</v>
      </c>
      <c r="CH351" s="90">
        <v>365</v>
      </c>
      <c r="CI351" s="68"/>
      <c r="CJ351" s="68"/>
      <c r="CK351" s="125">
        <v>640</v>
      </c>
    </row>
    <row r="352" spans="1:89" ht="15" thickBot="1" x14ac:dyDescent="0.35">
      <c r="A352" s="115" t="s">
        <v>28</v>
      </c>
      <c r="C352" t="s">
        <v>805</v>
      </c>
      <c r="E352" s="90">
        <v>3.75</v>
      </c>
      <c r="F352" s="114"/>
      <c r="G352" t="s">
        <v>586</v>
      </c>
      <c r="H352" t="s">
        <v>660</v>
      </c>
      <c r="M352" t="b">
        <v>1</v>
      </c>
      <c r="N352" t="b">
        <v>1</v>
      </c>
      <c r="O352" t="b">
        <v>0</v>
      </c>
      <c r="P352" t="b">
        <v>0</v>
      </c>
      <c r="Q352" t="s">
        <v>586</v>
      </c>
      <c r="R352">
        <v>1521385</v>
      </c>
      <c r="AB352" s="120"/>
      <c r="BT352" s="90" t="s">
        <v>1264</v>
      </c>
      <c r="BU352" s="90">
        <v>543</v>
      </c>
      <c r="BV352" s="90">
        <v>2</v>
      </c>
      <c r="BW352" s="68"/>
      <c r="BX352" s="90" t="s">
        <v>1268</v>
      </c>
      <c r="BY352" s="90" t="s">
        <v>56</v>
      </c>
      <c r="BZ352" s="90">
        <v>0.1</v>
      </c>
      <c r="CA352" s="90"/>
      <c r="CB352" s="90">
        <v>0.6</v>
      </c>
      <c r="CC352" s="90">
        <v>20</v>
      </c>
      <c r="CD352" s="90"/>
      <c r="CE352" s="90"/>
      <c r="CF352" s="90" t="s">
        <v>1552</v>
      </c>
      <c r="CG352" s="90">
        <v>450</v>
      </c>
      <c r="CH352" s="90">
        <v>365</v>
      </c>
      <c r="CI352" s="68"/>
      <c r="CJ352" s="68"/>
      <c r="CK352" s="125">
        <v>740</v>
      </c>
    </row>
    <row r="353" spans="1:89" ht="15" thickBot="1" x14ac:dyDescent="0.35">
      <c r="A353" s="115" t="s">
        <v>28</v>
      </c>
      <c r="C353" t="s">
        <v>805</v>
      </c>
      <c r="E353" s="90">
        <v>3.75</v>
      </c>
      <c r="F353" s="114"/>
      <c r="G353" t="s">
        <v>586</v>
      </c>
      <c r="H353" t="s">
        <v>660</v>
      </c>
      <c r="M353" t="b">
        <v>1</v>
      </c>
      <c r="N353" t="b">
        <v>1</v>
      </c>
      <c r="O353" t="b">
        <v>0</v>
      </c>
      <c r="P353" t="b">
        <v>0</v>
      </c>
      <c r="Q353" t="s">
        <v>586</v>
      </c>
      <c r="R353">
        <v>1521385</v>
      </c>
      <c r="AB353" s="120"/>
      <c r="BT353" s="90" t="s">
        <v>1407</v>
      </c>
      <c r="BU353" s="90">
        <v>543</v>
      </c>
      <c r="BV353" s="90">
        <v>2</v>
      </c>
      <c r="BW353" s="68"/>
      <c r="BX353" s="90" t="s">
        <v>1268</v>
      </c>
      <c r="BY353" s="90" t="s">
        <v>56</v>
      </c>
      <c r="BZ353" s="90">
        <v>0.2</v>
      </c>
      <c r="CA353" s="90"/>
      <c r="CB353" s="90">
        <v>0.6</v>
      </c>
      <c r="CC353" s="90">
        <v>20</v>
      </c>
      <c r="CD353" s="90"/>
      <c r="CE353" s="90"/>
      <c r="CF353" s="90" t="s">
        <v>1552</v>
      </c>
      <c r="CG353" s="90">
        <v>450</v>
      </c>
      <c r="CH353" s="90">
        <v>365</v>
      </c>
      <c r="CI353" s="68"/>
      <c r="CJ353" s="68"/>
      <c r="CK353" s="125">
        <v>1900</v>
      </c>
    </row>
    <row r="354" spans="1:89" ht="15" thickBot="1" x14ac:dyDescent="0.35">
      <c r="A354" s="115" t="s">
        <v>28</v>
      </c>
      <c r="C354" t="s">
        <v>805</v>
      </c>
      <c r="E354" s="90">
        <v>3.75</v>
      </c>
      <c r="F354" s="114"/>
      <c r="G354" t="s">
        <v>586</v>
      </c>
      <c r="H354" t="s">
        <v>660</v>
      </c>
      <c r="M354" t="b">
        <v>1</v>
      </c>
      <c r="N354" t="b">
        <v>1</v>
      </c>
      <c r="O354" t="b">
        <v>0</v>
      </c>
      <c r="P354" t="b">
        <v>0</v>
      </c>
      <c r="Q354" t="s">
        <v>586</v>
      </c>
      <c r="R354">
        <v>1521385</v>
      </c>
      <c r="AB354" s="120"/>
      <c r="BT354" s="90" t="s">
        <v>1407</v>
      </c>
      <c r="BU354" s="90">
        <v>543</v>
      </c>
      <c r="BV354" s="90">
        <v>2</v>
      </c>
      <c r="BW354" s="68"/>
      <c r="BX354" s="90" t="s">
        <v>1268</v>
      </c>
      <c r="BY354" s="90" t="s">
        <v>56</v>
      </c>
      <c r="BZ354" s="90">
        <v>0.4</v>
      </c>
      <c r="CA354" s="90"/>
      <c r="CB354" s="90">
        <v>0.6</v>
      </c>
      <c r="CC354" s="90">
        <v>20</v>
      </c>
      <c r="CD354" s="90"/>
      <c r="CE354" s="90"/>
      <c r="CF354" s="90" t="s">
        <v>1552</v>
      </c>
      <c r="CG354" s="90">
        <v>450</v>
      </c>
      <c r="CH354" s="90">
        <v>365</v>
      </c>
      <c r="CI354" s="68"/>
      <c r="CJ354" s="68"/>
      <c r="CK354" s="125">
        <v>1600</v>
      </c>
    </row>
    <row r="355" spans="1:89" ht="15" thickBot="1" x14ac:dyDescent="0.35">
      <c r="A355" s="115" t="s">
        <v>28</v>
      </c>
      <c r="C355" t="s">
        <v>805</v>
      </c>
      <c r="E355" s="90">
        <v>3.75</v>
      </c>
      <c r="F355" s="114"/>
      <c r="G355" t="s">
        <v>586</v>
      </c>
      <c r="H355" t="s">
        <v>660</v>
      </c>
      <c r="M355" t="b">
        <v>1</v>
      </c>
      <c r="N355" t="b">
        <v>1</v>
      </c>
      <c r="O355" t="b">
        <v>0</v>
      </c>
      <c r="P355" t="b">
        <v>0</v>
      </c>
      <c r="Q355" t="s">
        <v>586</v>
      </c>
      <c r="R355">
        <v>1521385</v>
      </c>
      <c r="AB355" s="120"/>
      <c r="BT355" s="90" t="s">
        <v>1407</v>
      </c>
      <c r="BU355" s="90">
        <v>543</v>
      </c>
      <c r="BV355" s="90">
        <v>2</v>
      </c>
      <c r="BW355" s="68"/>
      <c r="BX355" s="90" t="s">
        <v>1268</v>
      </c>
      <c r="BY355" s="90" t="s">
        <v>56</v>
      </c>
      <c r="BZ355" s="90">
        <v>0.8</v>
      </c>
      <c r="CA355" s="90"/>
      <c r="CB355" s="90">
        <v>0.6</v>
      </c>
      <c r="CC355" s="90">
        <v>20</v>
      </c>
      <c r="CD355" s="90"/>
      <c r="CE355" s="90"/>
      <c r="CF355" s="90" t="s">
        <v>1552</v>
      </c>
      <c r="CG355" s="90">
        <v>450</v>
      </c>
      <c r="CH355" s="90">
        <v>365</v>
      </c>
      <c r="CI355" s="68"/>
      <c r="CJ355" s="68"/>
      <c r="CK355" s="125">
        <v>1000</v>
      </c>
    </row>
    <row r="356" spans="1:89" ht="15" thickBot="1" x14ac:dyDescent="0.35">
      <c r="A356" s="115" t="s">
        <v>28</v>
      </c>
      <c r="C356" t="s">
        <v>805</v>
      </c>
      <c r="E356" s="90">
        <v>3.75</v>
      </c>
      <c r="F356" s="114"/>
      <c r="G356" t="s">
        <v>586</v>
      </c>
      <c r="H356" t="s">
        <v>660</v>
      </c>
      <c r="M356" t="b">
        <v>1</v>
      </c>
      <c r="N356" t="b">
        <v>1</v>
      </c>
      <c r="O356" t="b">
        <v>0</v>
      </c>
      <c r="P356" t="b">
        <v>0</v>
      </c>
      <c r="Q356" t="s">
        <v>586</v>
      </c>
      <c r="R356">
        <v>1521385</v>
      </c>
      <c r="AB356" s="120"/>
      <c r="BT356" s="90" t="s">
        <v>1407</v>
      </c>
      <c r="BU356" s="90">
        <v>543</v>
      </c>
      <c r="BV356" s="90">
        <v>2</v>
      </c>
      <c r="BW356" s="68"/>
      <c r="BX356" s="90" t="s">
        <v>1268</v>
      </c>
      <c r="BY356" s="90" t="s">
        <v>56</v>
      </c>
      <c r="BZ356" s="90">
        <v>1.2</v>
      </c>
      <c r="CA356" s="90"/>
      <c r="CB356" s="90">
        <v>0.6</v>
      </c>
      <c r="CC356" s="90">
        <v>20</v>
      </c>
      <c r="CD356" s="90"/>
      <c r="CE356" s="90"/>
      <c r="CF356" s="90" t="s">
        <v>1552</v>
      </c>
      <c r="CG356" s="90">
        <v>450</v>
      </c>
      <c r="CH356" s="90">
        <v>365</v>
      </c>
      <c r="CI356" s="68"/>
      <c r="CJ356" s="68"/>
      <c r="CK356" s="125">
        <v>540</v>
      </c>
    </row>
    <row r="357" spans="1:89" ht="15" thickBot="1" x14ac:dyDescent="0.35">
      <c r="A357" s="115" t="s">
        <v>28</v>
      </c>
      <c r="C357" t="s">
        <v>805</v>
      </c>
      <c r="E357" s="90">
        <v>3.75</v>
      </c>
      <c r="F357" s="114"/>
      <c r="G357" t="s">
        <v>586</v>
      </c>
      <c r="H357" t="s">
        <v>660</v>
      </c>
      <c r="M357" t="b">
        <v>1</v>
      </c>
      <c r="N357" t="b">
        <v>1</v>
      </c>
      <c r="O357" t="b">
        <v>0</v>
      </c>
      <c r="P357" t="b">
        <v>0</v>
      </c>
      <c r="Q357" t="s">
        <v>586</v>
      </c>
      <c r="R357">
        <v>1521385</v>
      </c>
      <c r="AB357" s="120"/>
      <c r="BT357" s="90" t="s">
        <v>1407</v>
      </c>
      <c r="BU357" s="90">
        <v>543</v>
      </c>
      <c r="BV357" s="90">
        <v>2</v>
      </c>
      <c r="BW357" s="68"/>
      <c r="BX357" s="90" t="s">
        <v>1268</v>
      </c>
      <c r="BY357" s="90" t="s">
        <v>56</v>
      </c>
      <c r="BZ357" s="90">
        <v>1.6</v>
      </c>
      <c r="CA357" s="90"/>
      <c r="CB357" s="90">
        <v>0.6</v>
      </c>
      <c r="CC357" s="90">
        <v>20</v>
      </c>
      <c r="CD357" s="90"/>
      <c r="CE357" s="90"/>
      <c r="CF357" s="90" t="s">
        <v>1552</v>
      </c>
      <c r="CG357" s="90">
        <v>450</v>
      </c>
      <c r="CH357" s="90">
        <v>365</v>
      </c>
      <c r="CI357" s="68"/>
      <c r="CJ357" s="68"/>
      <c r="CK357" s="125">
        <v>460</v>
      </c>
    </row>
    <row r="358" spans="1:89" ht="15" thickBot="1" x14ac:dyDescent="0.35">
      <c r="A358" s="115" t="s">
        <v>28</v>
      </c>
      <c r="C358" t="s">
        <v>805</v>
      </c>
      <c r="E358" s="90">
        <v>3.75</v>
      </c>
      <c r="F358" s="114"/>
      <c r="G358" t="s">
        <v>586</v>
      </c>
      <c r="H358" t="s">
        <v>660</v>
      </c>
      <c r="M358" t="b">
        <v>1</v>
      </c>
      <c r="N358" t="b">
        <v>1</v>
      </c>
      <c r="O358" t="b">
        <v>0</v>
      </c>
      <c r="P358" t="b">
        <v>0</v>
      </c>
      <c r="Q358" t="s">
        <v>586</v>
      </c>
      <c r="R358">
        <v>1521385</v>
      </c>
      <c r="AB358" s="120"/>
      <c r="BT358" s="90" t="s">
        <v>1407</v>
      </c>
      <c r="BU358" s="90">
        <v>543</v>
      </c>
      <c r="BV358" s="90">
        <v>2</v>
      </c>
      <c r="BW358" s="68"/>
      <c r="BX358" s="90" t="s">
        <v>1268</v>
      </c>
      <c r="BY358" s="90" t="s">
        <v>56</v>
      </c>
      <c r="BZ358" s="90">
        <v>2</v>
      </c>
      <c r="CA358" s="90"/>
      <c r="CB358" s="90">
        <v>0.6</v>
      </c>
      <c r="CC358" s="90">
        <v>20</v>
      </c>
      <c r="CD358" s="90"/>
      <c r="CE358" s="90"/>
      <c r="CF358" s="90" t="s">
        <v>1552</v>
      </c>
      <c r="CG358" s="90">
        <v>450</v>
      </c>
      <c r="CH358" s="90">
        <v>365</v>
      </c>
      <c r="CI358" s="68"/>
      <c r="CJ358" s="68"/>
      <c r="CK358" s="125">
        <v>420</v>
      </c>
    </row>
    <row r="359" spans="1:89" ht="15" thickBot="1" x14ac:dyDescent="0.35">
      <c r="A359" s="115" t="s">
        <v>28</v>
      </c>
      <c r="C359" t="s">
        <v>805</v>
      </c>
      <c r="E359" s="90">
        <v>3.75</v>
      </c>
      <c r="F359" s="114"/>
      <c r="G359" t="s">
        <v>586</v>
      </c>
      <c r="H359" t="s">
        <v>660</v>
      </c>
      <c r="M359" t="b">
        <v>1</v>
      </c>
      <c r="N359" t="b">
        <v>1</v>
      </c>
      <c r="O359" t="b">
        <v>0</v>
      </c>
      <c r="P359" t="b">
        <v>0</v>
      </c>
      <c r="Q359" t="s">
        <v>586</v>
      </c>
      <c r="R359">
        <v>1521385</v>
      </c>
      <c r="AB359" s="120"/>
      <c r="BT359" s="90" t="s">
        <v>1407</v>
      </c>
      <c r="BU359" s="90">
        <v>543</v>
      </c>
      <c r="BV359" s="90">
        <v>2</v>
      </c>
      <c r="BW359" s="68"/>
      <c r="BX359" s="90" t="s">
        <v>1533</v>
      </c>
      <c r="BY359" s="90" t="s">
        <v>56</v>
      </c>
      <c r="BZ359" s="90">
        <v>0.05</v>
      </c>
      <c r="CA359" s="90"/>
      <c r="CB359" s="90">
        <v>0.6</v>
      </c>
      <c r="CC359" s="90">
        <v>20</v>
      </c>
      <c r="CD359" s="90"/>
      <c r="CE359" s="90"/>
      <c r="CF359" s="90" t="s">
        <v>1552</v>
      </c>
      <c r="CG359" s="90">
        <v>450</v>
      </c>
      <c r="CH359" s="90">
        <v>365</v>
      </c>
      <c r="CI359" s="68"/>
      <c r="CJ359" s="68"/>
      <c r="CK359" s="125">
        <v>160</v>
      </c>
    </row>
    <row r="360" spans="1:89" ht="15" thickBot="1" x14ac:dyDescent="0.35">
      <c r="A360" s="115" t="s">
        <v>28</v>
      </c>
      <c r="C360" t="s">
        <v>805</v>
      </c>
      <c r="E360" s="90">
        <v>3.75</v>
      </c>
      <c r="F360" s="114"/>
      <c r="G360" t="s">
        <v>586</v>
      </c>
      <c r="H360" t="s">
        <v>660</v>
      </c>
      <c r="M360" t="b">
        <v>1</v>
      </c>
      <c r="N360" t="b">
        <v>1</v>
      </c>
      <c r="O360" t="b">
        <v>0</v>
      </c>
      <c r="P360" t="b">
        <v>0</v>
      </c>
      <c r="Q360" t="s">
        <v>586</v>
      </c>
      <c r="R360">
        <v>1521385</v>
      </c>
      <c r="AB360" s="120"/>
      <c r="BT360" s="90" t="s">
        <v>1407</v>
      </c>
      <c r="BU360" s="90">
        <v>543</v>
      </c>
      <c r="BV360" s="90">
        <v>2</v>
      </c>
      <c r="BW360" s="68"/>
      <c r="BX360" s="90" t="s">
        <v>1533</v>
      </c>
      <c r="BY360" s="90" t="s">
        <v>56</v>
      </c>
      <c r="BZ360" s="90">
        <v>0.1</v>
      </c>
      <c r="CA360" s="90"/>
      <c r="CB360" s="90">
        <v>0.6</v>
      </c>
      <c r="CC360" s="90">
        <v>20</v>
      </c>
      <c r="CD360" s="90"/>
      <c r="CE360" s="90"/>
      <c r="CF360" s="90" t="s">
        <v>1552</v>
      </c>
      <c r="CG360" s="90">
        <v>450</v>
      </c>
      <c r="CH360" s="90">
        <v>365</v>
      </c>
      <c r="CI360" s="68"/>
      <c r="CJ360" s="68"/>
      <c r="CK360" s="125">
        <v>220</v>
      </c>
    </row>
    <row r="361" spans="1:89" ht="15" thickBot="1" x14ac:dyDescent="0.35">
      <c r="A361" s="115" t="s">
        <v>28</v>
      </c>
      <c r="C361" t="s">
        <v>805</v>
      </c>
      <c r="E361" s="90">
        <v>3.75</v>
      </c>
      <c r="F361" s="114"/>
      <c r="G361" t="s">
        <v>586</v>
      </c>
      <c r="H361" t="s">
        <v>660</v>
      </c>
      <c r="M361" t="b">
        <v>1</v>
      </c>
      <c r="N361" t="b">
        <v>1</v>
      </c>
      <c r="O361" t="b">
        <v>0</v>
      </c>
      <c r="P361" t="b">
        <v>0</v>
      </c>
      <c r="Q361" t="s">
        <v>586</v>
      </c>
      <c r="R361">
        <v>1521385</v>
      </c>
      <c r="AB361" s="120"/>
      <c r="BT361" s="90" t="s">
        <v>1407</v>
      </c>
      <c r="BU361" s="90">
        <v>543</v>
      </c>
      <c r="BV361" s="90">
        <v>2</v>
      </c>
      <c r="BW361" s="68"/>
      <c r="BX361" s="90" t="s">
        <v>1533</v>
      </c>
      <c r="BY361" s="90" t="s">
        <v>56</v>
      </c>
      <c r="BZ361" s="90">
        <v>0.2</v>
      </c>
      <c r="CA361" s="90"/>
      <c r="CB361" s="90">
        <v>0.6</v>
      </c>
      <c r="CC361" s="90">
        <v>20</v>
      </c>
      <c r="CD361" s="90"/>
      <c r="CE361" s="90"/>
      <c r="CF361" s="90" t="s">
        <v>1552</v>
      </c>
      <c r="CG361" s="90">
        <v>450</v>
      </c>
      <c r="CH361" s="90">
        <v>365</v>
      </c>
      <c r="CI361" s="68"/>
      <c r="CJ361" s="68"/>
      <c r="CK361" s="125">
        <v>340</v>
      </c>
    </row>
    <row r="362" spans="1:89" ht="15" thickBot="1" x14ac:dyDescent="0.35">
      <c r="A362" s="115" t="s">
        <v>28</v>
      </c>
      <c r="C362" t="s">
        <v>805</v>
      </c>
      <c r="E362" s="90">
        <v>3.75</v>
      </c>
      <c r="F362" s="114"/>
      <c r="G362" t="s">
        <v>586</v>
      </c>
      <c r="H362" t="s">
        <v>660</v>
      </c>
      <c r="M362" t="b">
        <v>1</v>
      </c>
      <c r="N362" t="b">
        <v>1</v>
      </c>
      <c r="O362" t="b">
        <v>0</v>
      </c>
      <c r="P362" t="b">
        <v>0</v>
      </c>
      <c r="Q362" t="s">
        <v>586</v>
      </c>
      <c r="R362">
        <v>1521385</v>
      </c>
      <c r="AB362" s="120"/>
      <c r="BT362" s="90" t="s">
        <v>1407</v>
      </c>
      <c r="BU362" s="90">
        <v>543</v>
      </c>
      <c r="BV362" s="90">
        <v>2</v>
      </c>
      <c r="BW362" s="68"/>
      <c r="BX362" s="90" t="s">
        <v>1533</v>
      </c>
      <c r="BY362" s="90" t="s">
        <v>56</v>
      </c>
      <c r="BZ362" s="90">
        <v>0.4</v>
      </c>
      <c r="CA362" s="90"/>
      <c r="CB362" s="90">
        <v>0.6</v>
      </c>
      <c r="CC362" s="90">
        <v>20</v>
      </c>
      <c r="CD362" s="90"/>
      <c r="CE362" s="90"/>
      <c r="CF362" s="90" t="s">
        <v>1552</v>
      </c>
      <c r="CG362" s="90">
        <v>450</v>
      </c>
      <c r="CH362" s="90">
        <v>365</v>
      </c>
      <c r="CI362" s="68"/>
      <c r="CJ362" s="68"/>
      <c r="CK362" s="125">
        <v>220</v>
      </c>
    </row>
    <row r="363" spans="1:89" ht="15" thickBot="1" x14ac:dyDescent="0.35">
      <c r="A363" s="115" t="s">
        <v>28</v>
      </c>
      <c r="C363" t="s">
        <v>805</v>
      </c>
      <c r="E363" s="90">
        <v>3.75</v>
      </c>
      <c r="F363" s="114"/>
      <c r="G363" t="s">
        <v>586</v>
      </c>
      <c r="H363" t="s">
        <v>660</v>
      </c>
      <c r="M363" t="b">
        <v>1</v>
      </c>
      <c r="N363" t="b">
        <v>1</v>
      </c>
      <c r="O363" t="b">
        <v>0</v>
      </c>
      <c r="P363" t="b">
        <v>0</v>
      </c>
      <c r="Q363" t="s">
        <v>586</v>
      </c>
      <c r="R363">
        <v>1521385</v>
      </c>
      <c r="AB363" s="120"/>
      <c r="BT363" s="90" t="s">
        <v>1407</v>
      </c>
      <c r="BU363" s="90">
        <v>543</v>
      </c>
      <c r="BV363" s="90">
        <v>2</v>
      </c>
      <c r="BW363" s="68"/>
      <c r="BX363" s="90" t="s">
        <v>1533</v>
      </c>
      <c r="BY363" s="90" t="s">
        <v>56</v>
      </c>
      <c r="BZ363" s="90">
        <v>0.8</v>
      </c>
      <c r="CA363" s="90"/>
      <c r="CB363" s="90">
        <v>0.6</v>
      </c>
      <c r="CC363" s="90">
        <v>20</v>
      </c>
      <c r="CD363" s="90"/>
      <c r="CE363" s="90"/>
      <c r="CF363" s="90" t="s">
        <v>1552</v>
      </c>
      <c r="CG363" s="90">
        <v>450</v>
      </c>
      <c r="CH363" s="90">
        <v>365</v>
      </c>
      <c r="CI363" s="68"/>
      <c r="CJ363" s="68"/>
      <c r="CK363" s="125">
        <v>310</v>
      </c>
    </row>
    <row r="364" spans="1:89" ht="15" thickBot="1" x14ac:dyDescent="0.35">
      <c r="A364" s="115" t="s">
        <v>28</v>
      </c>
      <c r="C364" t="s">
        <v>805</v>
      </c>
      <c r="E364" s="90">
        <v>3.75</v>
      </c>
      <c r="F364" s="114"/>
      <c r="G364" t="s">
        <v>586</v>
      </c>
      <c r="H364" t="s">
        <v>660</v>
      </c>
      <c r="M364" t="b">
        <v>1</v>
      </c>
      <c r="N364" t="b">
        <v>1</v>
      </c>
      <c r="O364" t="b">
        <v>0</v>
      </c>
      <c r="P364" t="b">
        <v>0</v>
      </c>
      <c r="Q364" t="s">
        <v>586</v>
      </c>
      <c r="R364">
        <v>1521385</v>
      </c>
      <c r="AB364" s="120"/>
      <c r="BT364" s="90" t="s">
        <v>1407</v>
      </c>
      <c r="BU364" s="90">
        <v>543</v>
      </c>
      <c r="BV364" s="90">
        <v>2</v>
      </c>
      <c r="BW364" s="68"/>
      <c r="BX364" s="90" t="s">
        <v>1533</v>
      </c>
      <c r="BY364" s="90" t="s">
        <v>56</v>
      </c>
      <c r="BZ364" s="90">
        <v>1.2</v>
      </c>
      <c r="CA364" s="90"/>
      <c r="CB364" s="90">
        <v>0.6</v>
      </c>
      <c r="CC364" s="90">
        <v>20</v>
      </c>
      <c r="CD364" s="90"/>
      <c r="CE364" s="90"/>
      <c r="CF364" s="90" t="s">
        <v>1552</v>
      </c>
      <c r="CG364" s="90">
        <v>450</v>
      </c>
      <c r="CH364" s="90">
        <v>365</v>
      </c>
      <c r="CI364" s="68"/>
      <c r="CJ364" s="68"/>
      <c r="CK364" s="125">
        <v>260</v>
      </c>
    </row>
    <row r="365" spans="1:89" ht="15" thickBot="1" x14ac:dyDescent="0.35">
      <c r="A365" s="115" t="s">
        <v>28</v>
      </c>
      <c r="C365" t="s">
        <v>805</v>
      </c>
      <c r="E365" s="90">
        <v>3.75</v>
      </c>
      <c r="F365" s="114"/>
      <c r="G365" t="s">
        <v>586</v>
      </c>
      <c r="H365" t="s">
        <v>660</v>
      </c>
      <c r="M365" t="b">
        <v>1</v>
      </c>
      <c r="N365" t="b">
        <v>1</v>
      </c>
      <c r="O365" t="b">
        <v>0</v>
      </c>
      <c r="P365" t="b">
        <v>0</v>
      </c>
      <c r="Q365" t="s">
        <v>586</v>
      </c>
      <c r="R365">
        <v>1521385</v>
      </c>
      <c r="AB365" s="120"/>
      <c r="BT365" s="90" t="s">
        <v>1407</v>
      </c>
      <c r="BU365" s="90">
        <v>543</v>
      </c>
      <c r="BV365" s="90">
        <v>2</v>
      </c>
      <c r="BW365" s="68"/>
      <c r="BX365" s="90" t="s">
        <v>1533</v>
      </c>
      <c r="BY365" s="90" t="s">
        <v>56</v>
      </c>
      <c r="BZ365" s="90">
        <v>1.6</v>
      </c>
      <c r="CA365" s="90"/>
      <c r="CB365" s="90">
        <v>0.6</v>
      </c>
      <c r="CC365" s="90">
        <v>20</v>
      </c>
      <c r="CD365" s="90"/>
      <c r="CE365" s="90"/>
      <c r="CF365" s="90" t="s">
        <v>1552</v>
      </c>
      <c r="CG365" s="90">
        <v>450</v>
      </c>
      <c r="CH365" s="90">
        <v>365</v>
      </c>
      <c r="CI365" s="68"/>
      <c r="CJ365" s="68"/>
      <c r="CK365" s="125">
        <v>460</v>
      </c>
    </row>
    <row r="366" spans="1:89" ht="15" thickBot="1" x14ac:dyDescent="0.35">
      <c r="A366" s="115" t="s">
        <v>28</v>
      </c>
      <c r="C366" t="s">
        <v>805</v>
      </c>
      <c r="E366" s="90">
        <v>3.75</v>
      </c>
      <c r="F366" s="114"/>
      <c r="G366" t="s">
        <v>586</v>
      </c>
      <c r="H366" t="s">
        <v>660</v>
      </c>
      <c r="M366" t="b">
        <v>1</v>
      </c>
      <c r="N366" t="b">
        <v>1</v>
      </c>
      <c r="O366" t="b">
        <v>0</v>
      </c>
      <c r="P366" t="b">
        <v>0</v>
      </c>
      <c r="Q366" t="s">
        <v>586</v>
      </c>
      <c r="R366">
        <v>1521385</v>
      </c>
      <c r="AB366" s="120"/>
      <c r="BT366" s="90" t="s">
        <v>1407</v>
      </c>
      <c r="BU366" s="90">
        <v>543</v>
      </c>
      <c r="BV366" s="90">
        <v>2</v>
      </c>
      <c r="BW366" s="68"/>
      <c r="BX366" s="90" t="s">
        <v>1533</v>
      </c>
      <c r="BY366" s="90" t="s">
        <v>56</v>
      </c>
      <c r="BZ366" s="90">
        <v>2</v>
      </c>
      <c r="CA366" s="90"/>
      <c r="CB366" s="90">
        <v>0.6</v>
      </c>
      <c r="CC366" s="90">
        <v>20</v>
      </c>
      <c r="CD366" s="90"/>
      <c r="CE366" s="90"/>
      <c r="CF366" s="90" t="s">
        <v>1552</v>
      </c>
      <c r="CG366" s="90">
        <v>450</v>
      </c>
      <c r="CH366" s="90">
        <v>365</v>
      </c>
      <c r="CI366" s="68"/>
      <c r="CJ366" s="68"/>
      <c r="CK366" s="125">
        <v>400</v>
      </c>
    </row>
    <row r="367" spans="1:89" ht="15" thickBot="1" x14ac:dyDescent="0.35">
      <c r="A367" s="115" t="s">
        <v>2951</v>
      </c>
      <c r="C367" t="s">
        <v>3317</v>
      </c>
      <c r="E367" s="90"/>
      <c r="F367" s="114" t="s">
        <v>2948</v>
      </c>
      <c r="G367" t="s">
        <v>3154</v>
      </c>
      <c r="H367" t="s">
        <v>3207</v>
      </c>
      <c r="M367" t="b">
        <v>0</v>
      </c>
      <c r="N367" t="b">
        <v>0</v>
      </c>
      <c r="O367" t="b">
        <v>0</v>
      </c>
      <c r="P367" t="b">
        <v>1</v>
      </c>
      <c r="Q367" t="s">
        <v>3154</v>
      </c>
      <c r="R367">
        <v>4031807</v>
      </c>
      <c r="AB367" s="120"/>
      <c r="BT367" s="90" t="s">
        <v>1264</v>
      </c>
      <c r="BU367" s="90">
        <v>1470</v>
      </c>
      <c r="BV367" s="90">
        <v>10</v>
      </c>
      <c r="BW367" s="68"/>
      <c r="BX367" s="90" t="s">
        <v>1268</v>
      </c>
      <c r="BY367" s="90" t="s">
        <v>863</v>
      </c>
      <c r="BZ367" s="90">
        <v>1</v>
      </c>
      <c r="CA367" s="115"/>
      <c r="CB367" s="90">
        <v>0.7</v>
      </c>
      <c r="CC367" s="90">
        <v>5.4</v>
      </c>
      <c r="CD367" s="90"/>
      <c r="CE367" s="90"/>
      <c r="CF367" s="90" t="s">
        <v>1552</v>
      </c>
      <c r="CG367" s="90">
        <v>450</v>
      </c>
      <c r="CH367" s="90">
        <v>365</v>
      </c>
      <c r="CI367" s="68"/>
      <c r="CJ367" s="68"/>
      <c r="CK367" s="125">
        <v>0</v>
      </c>
    </row>
    <row r="368" spans="1:89" ht="15" thickBot="1" x14ac:dyDescent="0.35">
      <c r="A368" s="115" t="s">
        <v>2952</v>
      </c>
      <c r="C368" t="s">
        <v>3317</v>
      </c>
      <c r="E368" s="90"/>
      <c r="F368" s="114" t="s">
        <v>2948</v>
      </c>
      <c r="G368" t="s">
        <v>3154</v>
      </c>
      <c r="H368" t="s">
        <v>3207</v>
      </c>
      <c r="M368" t="b">
        <v>0</v>
      </c>
      <c r="N368" t="b">
        <v>0</v>
      </c>
      <c r="O368" t="b">
        <v>0</v>
      </c>
      <c r="P368" t="b">
        <v>1</v>
      </c>
      <c r="Q368" t="s">
        <v>3154</v>
      </c>
      <c r="R368">
        <v>4031807</v>
      </c>
      <c r="AB368" s="120"/>
      <c r="BT368" s="90" t="s">
        <v>1264</v>
      </c>
      <c r="BU368" s="90">
        <v>1470</v>
      </c>
      <c r="BV368" s="90">
        <v>10</v>
      </c>
      <c r="BW368" s="68"/>
      <c r="BX368" s="90" t="s">
        <v>1268</v>
      </c>
      <c r="BY368" s="90" t="s">
        <v>863</v>
      </c>
      <c r="BZ368" s="90">
        <v>1</v>
      </c>
      <c r="CA368" s="115"/>
      <c r="CB368" s="90">
        <v>0.6</v>
      </c>
      <c r="CC368" s="90">
        <v>5.4</v>
      </c>
      <c r="CD368" s="90"/>
      <c r="CE368" s="90"/>
      <c r="CF368" s="90" t="s">
        <v>1552</v>
      </c>
      <c r="CG368" s="90">
        <v>451</v>
      </c>
      <c r="CH368" s="90">
        <v>365</v>
      </c>
      <c r="CI368" s="68"/>
      <c r="CJ368" s="68"/>
      <c r="CK368" s="125">
        <v>3</v>
      </c>
    </row>
    <row r="369" spans="1:89" ht="15" thickBot="1" x14ac:dyDescent="0.35">
      <c r="A369" s="115" t="s">
        <v>2953</v>
      </c>
      <c r="C369" t="s">
        <v>3317</v>
      </c>
      <c r="E369" s="90">
        <v>3.8</v>
      </c>
      <c r="F369" s="114" t="s">
        <v>2948</v>
      </c>
      <c r="G369" t="s">
        <v>3154</v>
      </c>
      <c r="H369" t="s">
        <v>3207</v>
      </c>
      <c r="M369" t="b">
        <v>0</v>
      </c>
      <c r="N369" t="b">
        <v>0</v>
      </c>
      <c r="O369" t="b">
        <v>0</v>
      </c>
      <c r="P369" t="b">
        <v>1</v>
      </c>
      <c r="Q369" t="s">
        <v>3154</v>
      </c>
      <c r="R369">
        <v>4031807</v>
      </c>
      <c r="AB369" s="120"/>
      <c r="BT369" s="90" t="s">
        <v>1264</v>
      </c>
      <c r="BU369" s="90">
        <v>1470</v>
      </c>
      <c r="BV369" s="90">
        <v>10</v>
      </c>
      <c r="BW369" s="68"/>
      <c r="BX369" s="90" t="s">
        <v>1268</v>
      </c>
      <c r="BY369" s="90" t="s">
        <v>863</v>
      </c>
      <c r="BZ369" s="90">
        <v>1</v>
      </c>
      <c r="CA369" s="115"/>
      <c r="CB369" s="90">
        <v>1.3</v>
      </c>
      <c r="CC369" s="90">
        <v>5.4</v>
      </c>
      <c r="CD369" s="90"/>
      <c r="CE369" s="90"/>
      <c r="CF369" s="90" t="s">
        <v>1552</v>
      </c>
      <c r="CG369" s="90">
        <v>452</v>
      </c>
      <c r="CH369" s="90">
        <v>365</v>
      </c>
      <c r="CI369" s="68"/>
      <c r="CJ369" s="68"/>
      <c r="CK369" s="125">
        <v>10</v>
      </c>
    </row>
    <row r="370" spans="1:89" ht="15" thickBot="1" x14ac:dyDescent="0.35">
      <c r="A370" s="115" t="s">
        <v>2949</v>
      </c>
      <c r="C370" t="s">
        <v>3317</v>
      </c>
      <c r="E370" s="90">
        <v>3.7</v>
      </c>
      <c r="F370" s="114" t="s">
        <v>2948</v>
      </c>
      <c r="G370" t="s">
        <v>3208</v>
      </c>
      <c r="H370" t="s">
        <v>3207</v>
      </c>
      <c r="M370" t="b">
        <v>1</v>
      </c>
      <c r="N370" t="b">
        <v>1</v>
      </c>
      <c r="O370" t="b">
        <v>0</v>
      </c>
      <c r="P370" t="b">
        <v>0</v>
      </c>
      <c r="Q370" t="s">
        <v>3208</v>
      </c>
      <c r="R370">
        <v>4031807</v>
      </c>
      <c r="AB370" s="120"/>
      <c r="BT370" s="90" t="s">
        <v>1264</v>
      </c>
      <c r="BU370" s="90">
        <v>1470</v>
      </c>
      <c r="BV370" s="90">
        <v>10</v>
      </c>
      <c r="BW370" s="68"/>
      <c r="BX370" s="90" t="s">
        <v>1268</v>
      </c>
      <c r="BY370" s="90" t="s">
        <v>863</v>
      </c>
      <c r="BZ370" s="90">
        <v>1</v>
      </c>
      <c r="CA370" s="115"/>
      <c r="CB370" s="90">
        <v>0.8</v>
      </c>
      <c r="CC370" s="90">
        <v>5.4</v>
      </c>
      <c r="CD370" s="90"/>
      <c r="CE370" s="90"/>
      <c r="CF370" s="90" t="s">
        <v>1552</v>
      </c>
      <c r="CG370" s="90">
        <v>453</v>
      </c>
      <c r="CH370" s="90">
        <v>365</v>
      </c>
      <c r="CI370" s="68"/>
      <c r="CJ370" s="68"/>
      <c r="CK370" s="125">
        <v>28</v>
      </c>
    </row>
    <row r="371" spans="1:89" ht="15" thickBot="1" x14ac:dyDescent="0.35">
      <c r="A371" s="115" t="s">
        <v>2954</v>
      </c>
      <c r="C371" t="s">
        <v>3317</v>
      </c>
      <c r="E371" s="90"/>
      <c r="F371" s="114" t="s">
        <v>2948</v>
      </c>
      <c r="G371" t="s">
        <v>3154</v>
      </c>
      <c r="H371" t="s">
        <v>3207</v>
      </c>
      <c r="M371" t="b">
        <v>0</v>
      </c>
      <c r="N371" t="b">
        <v>0</v>
      </c>
      <c r="O371" t="b">
        <v>0</v>
      </c>
      <c r="P371" t="b">
        <v>1</v>
      </c>
      <c r="Q371" t="s">
        <v>3154</v>
      </c>
      <c r="R371">
        <v>4031807</v>
      </c>
      <c r="AB371" s="120"/>
      <c r="BT371" s="90" t="s">
        <v>1264</v>
      </c>
      <c r="BU371" s="90">
        <v>1470</v>
      </c>
      <c r="BV371" s="90">
        <v>10</v>
      </c>
      <c r="BW371" s="68"/>
      <c r="BX371" s="90" t="s">
        <v>1268</v>
      </c>
      <c r="BY371" s="90" t="s">
        <v>863</v>
      </c>
      <c r="BZ371" s="90">
        <v>1</v>
      </c>
      <c r="CA371" s="115"/>
      <c r="CB371" s="90">
        <v>1</v>
      </c>
      <c r="CC371" s="90">
        <v>5.4</v>
      </c>
      <c r="CD371" s="90"/>
      <c r="CE371" s="90"/>
      <c r="CF371" s="90" t="s">
        <v>1552</v>
      </c>
      <c r="CG371" s="90">
        <v>454</v>
      </c>
      <c r="CH371" s="90">
        <v>365</v>
      </c>
      <c r="CI371" s="68"/>
      <c r="CJ371" s="68"/>
      <c r="CK371" s="125">
        <v>18</v>
      </c>
    </row>
    <row r="372" spans="1:89" ht="15" thickBot="1" x14ac:dyDescent="0.35">
      <c r="A372" s="115" t="s">
        <v>2955</v>
      </c>
      <c r="C372" t="s">
        <v>3317</v>
      </c>
      <c r="E372" s="90"/>
      <c r="F372" s="114" t="s">
        <v>2948</v>
      </c>
      <c r="G372" t="s">
        <v>3154</v>
      </c>
      <c r="H372" t="s">
        <v>3207</v>
      </c>
      <c r="M372" t="b">
        <v>0</v>
      </c>
      <c r="N372" t="b">
        <v>0</v>
      </c>
      <c r="O372" t="b">
        <v>0</v>
      </c>
      <c r="P372" t="b">
        <v>1</v>
      </c>
      <c r="Q372" t="s">
        <v>3154</v>
      </c>
      <c r="R372">
        <v>4031807</v>
      </c>
      <c r="AB372" s="120"/>
      <c r="BT372" s="90" t="s">
        <v>1264</v>
      </c>
      <c r="BU372" s="90">
        <v>1470</v>
      </c>
      <c r="BV372" s="90">
        <v>10</v>
      </c>
      <c r="BW372" s="68"/>
      <c r="BX372" s="90" t="s">
        <v>1268</v>
      </c>
      <c r="BY372" s="90" t="s">
        <v>863</v>
      </c>
      <c r="BZ372" s="90">
        <v>1</v>
      </c>
      <c r="CA372" s="115"/>
      <c r="CB372" s="90">
        <v>0.5</v>
      </c>
      <c r="CC372" s="90">
        <v>5.4</v>
      </c>
      <c r="CD372" s="90"/>
      <c r="CE372" s="90"/>
      <c r="CF372" s="90" t="s">
        <v>1552</v>
      </c>
      <c r="CG372" s="90">
        <v>455</v>
      </c>
      <c r="CH372" s="90">
        <v>365</v>
      </c>
      <c r="CI372" s="68"/>
      <c r="CJ372" s="68"/>
      <c r="CK372" s="125">
        <v>3</v>
      </c>
    </row>
    <row r="373" spans="1:89" ht="15" thickBot="1" x14ac:dyDescent="0.35">
      <c r="A373" s="115" t="s">
        <v>2950</v>
      </c>
      <c r="C373" t="s">
        <v>3318</v>
      </c>
      <c r="E373" s="90">
        <v>2.8</v>
      </c>
      <c r="F373" s="114" t="s">
        <v>2948</v>
      </c>
      <c r="G373" t="s">
        <v>3209</v>
      </c>
      <c r="H373" t="s">
        <v>3210</v>
      </c>
      <c r="M373" t="b">
        <v>1</v>
      </c>
      <c r="N373" t="b">
        <v>1</v>
      </c>
      <c r="O373" t="b">
        <v>0</v>
      </c>
      <c r="P373" t="b">
        <v>0</v>
      </c>
      <c r="Q373" t="s">
        <v>3209</v>
      </c>
      <c r="R373">
        <v>1010341</v>
      </c>
      <c r="AB373" s="120"/>
      <c r="BT373" s="90" t="s">
        <v>1264</v>
      </c>
      <c r="BU373" s="90">
        <v>1470</v>
      </c>
      <c r="BV373" s="90">
        <v>10</v>
      </c>
      <c r="BW373" s="68"/>
      <c r="BX373" s="90" t="s">
        <v>1268</v>
      </c>
      <c r="BY373" s="90" t="s">
        <v>863</v>
      </c>
      <c r="BZ373" s="90">
        <v>1</v>
      </c>
      <c r="CA373" s="115"/>
      <c r="CB373" s="90">
        <v>4.4000000000000004</v>
      </c>
      <c r="CC373" s="90">
        <v>5.4</v>
      </c>
      <c r="CD373" s="90"/>
      <c r="CE373" s="90"/>
      <c r="CF373" s="90" t="s">
        <v>1552</v>
      </c>
      <c r="CG373" s="90">
        <v>456</v>
      </c>
      <c r="CH373" s="90">
        <v>365</v>
      </c>
      <c r="CI373" s="68"/>
      <c r="CJ373" s="68"/>
      <c r="CK373" s="125">
        <v>0</v>
      </c>
    </row>
    <row r="374" spans="1:89" ht="15" thickBot="1" x14ac:dyDescent="0.35">
      <c r="A374" s="115" t="s">
        <v>2957</v>
      </c>
      <c r="C374" t="s">
        <v>3319</v>
      </c>
      <c r="E374" s="90"/>
      <c r="F374" s="114" t="s">
        <v>2956</v>
      </c>
      <c r="G374" t="s">
        <v>3211</v>
      </c>
      <c r="H374">
        <v>-1</v>
      </c>
      <c r="M374" t="b">
        <v>1</v>
      </c>
      <c r="N374" t="b">
        <v>0</v>
      </c>
      <c r="O374" t="b">
        <v>0</v>
      </c>
      <c r="P374" t="b">
        <v>0</v>
      </c>
      <c r="Q374" t="s">
        <v>3211</v>
      </c>
      <c r="R374">
        <v>-1</v>
      </c>
      <c r="AB374" s="120"/>
      <c r="BT374" s="90" t="s">
        <v>1264</v>
      </c>
      <c r="BU374" s="90">
        <v>1173</v>
      </c>
      <c r="BV374" s="90"/>
      <c r="BW374" s="68"/>
      <c r="BX374" s="90" t="s">
        <v>1533</v>
      </c>
      <c r="BY374" s="90" t="s">
        <v>56</v>
      </c>
      <c r="BZ374" s="90">
        <v>1</v>
      </c>
      <c r="CA374" s="115"/>
      <c r="CB374" s="90">
        <v>3.33</v>
      </c>
      <c r="CC374" s="92">
        <v>0</v>
      </c>
      <c r="CD374" s="90"/>
      <c r="CE374" s="90"/>
      <c r="CF374" s="90" t="s">
        <v>1534</v>
      </c>
      <c r="CG374" s="90">
        <v>500</v>
      </c>
      <c r="CH374" s="90">
        <v>420</v>
      </c>
      <c r="CI374" s="68"/>
      <c r="CJ374" s="68"/>
      <c r="CK374" s="125">
        <v>0</v>
      </c>
    </row>
    <row r="375" spans="1:89" ht="15" thickBot="1" x14ac:dyDescent="0.35">
      <c r="A375" s="115" t="s">
        <v>28</v>
      </c>
      <c r="C375" t="s">
        <v>805</v>
      </c>
      <c r="E375" s="90"/>
      <c r="F375" s="114" t="s">
        <v>2956</v>
      </c>
      <c r="G375" t="s">
        <v>586</v>
      </c>
      <c r="H375" t="s">
        <v>660</v>
      </c>
      <c r="M375" t="b">
        <v>1</v>
      </c>
      <c r="N375" t="b">
        <v>1</v>
      </c>
      <c r="O375" t="b">
        <v>0</v>
      </c>
      <c r="P375" t="b">
        <v>0</v>
      </c>
      <c r="Q375" t="s">
        <v>586</v>
      </c>
      <c r="R375">
        <v>1521385</v>
      </c>
      <c r="AB375" s="120"/>
      <c r="BT375" s="90" t="s">
        <v>1264</v>
      </c>
      <c r="BU375" s="90">
        <v>1173</v>
      </c>
      <c r="BV375" s="90"/>
      <c r="BW375" s="68"/>
      <c r="BX375" s="90" t="s">
        <v>1533</v>
      </c>
      <c r="BY375" s="90" t="s">
        <v>56</v>
      </c>
      <c r="BZ375" s="90">
        <v>1</v>
      </c>
      <c r="CA375" s="115"/>
      <c r="CB375" s="90">
        <v>3.33</v>
      </c>
      <c r="CC375" s="92">
        <v>0</v>
      </c>
      <c r="CD375" s="90"/>
      <c r="CE375" s="90"/>
      <c r="CF375" s="90" t="s">
        <v>1534</v>
      </c>
      <c r="CG375" s="90">
        <v>500</v>
      </c>
      <c r="CH375" s="90">
        <v>420</v>
      </c>
      <c r="CI375" s="68"/>
      <c r="CJ375" s="68"/>
      <c r="CK375" s="125">
        <v>8</v>
      </c>
    </row>
    <row r="376" spans="1:89" ht="15" thickBot="1" x14ac:dyDescent="0.35">
      <c r="A376" s="115" t="s">
        <v>58</v>
      </c>
      <c r="C376" t="s">
        <v>731</v>
      </c>
      <c r="E376" s="90"/>
      <c r="F376" s="114" t="s">
        <v>2956</v>
      </c>
      <c r="G376" s="8" t="s">
        <v>523</v>
      </c>
      <c r="H376" t="s">
        <v>606</v>
      </c>
      <c r="J376" s="73" t="s">
        <v>1773</v>
      </c>
      <c r="K376" s="73" t="s">
        <v>1773</v>
      </c>
      <c r="M376" t="b">
        <v>1</v>
      </c>
      <c r="N376" t="b">
        <v>1</v>
      </c>
      <c r="O376" t="b">
        <v>0</v>
      </c>
      <c r="P376" t="b">
        <v>0</v>
      </c>
      <c r="Q376" t="s">
        <v>3625</v>
      </c>
      <c r="R376" t="s">
        <v>3626</v>
      </c>
      <c r="AB376" s="120"/>
      <c r="BT376" s="90" t="s">
        <v>1264</v>
      </c>
      <c r="BU376" s="90">
        <v>1173</v>
      </c>
      <c r="BV376" s="90"/>
      <c r="BW376" s="68"/>
      <c r="BX376" s="90" t="s">
        <v>1533</v>
      </c>
      <c r="BY376" s="90" t="s">
        <v>56</v>
      </c>
      <c r="BZ376" s="90">
        <v>1</v>
      </c>
      <c r="CA376" s="115"/>
      <c r="CB376" s="90">
        <v>3.33</v>
      </c>
      <c r="CC376" s="92">
        <v>0</v>
      </c>
      <c r="CD376" s="90"/>
      <c r="CE376" s="90"/>
      <c r="CF376" s="90" t="s">
        <v>1534</v>
      </c>
      <c r="CG376" s="90">
        <v>500</v>
      </c>
      <c r="CH376" s="90">
        <v>420</v>
      </c>
      <c r="CI376" s="68"/>
      <c r="CJ376" s="68"/>
      <c r="CK376" s="125">
        <v>0</v>
      </c>
    </row>
    <row r="377" spans="1:89" ht="15" thickBot="1" x14ac:dyDescent="0.35">
      <c r="A377" s="115" t="s">
        <v>27</v>
      </c>
      <c r="C377" t="s">
        <v>742</v>
      </c>
      <c r="E377" s="90"/>
      <c r="F377" s="114" t="s">
        <v>2956</v>
      </c>
      <c r="G377" t="s">
        <v>563</v>
      </c>
      <c r="H377" t="s">
        <v>641</v>
      </c>
      <c r="M377" t="b">
        <v>1</v>
      </c>
      <c r="N377" t="b">
        <v>1</v>
      </c>
      <c r="O377" t="b">
        <v>0</v>
      </c>
      <c r="P377" t="b">
        <v>0</v>
      </c>
      <c r="Q377" t="s">
        <v>563</v>
      </c>
      <c r="R377">
        <v>2102087</v>
      </c>
      <c r="AB377" s="120"/>
      <c r="BT377" s="90" t="s">
        <v>1264</v>
      </c>
      <c r="BU377" s="90">
        <v>1173</v>
      </c>
      <c r="BV377" s="90"/>
      <c r="BW377" s="68"/>
      <c r="BX377" s="90" t="s">
        <v>1533</v>
      </c>
      <c r="BY377" s="90" t="s">
        <v>56</v>
      </c>
      <c r="BZ377" s="90">
        <v>1</v>
      </c>
      <c r="CA377" s="115"/>
      <c r="CB377" s="90">
        <v>3.33</v>
      </c>
      <c r="CC377" s="92">
        <v>0</v>
      </c>
      <c r="CD377" s="90"/>
      <c r="CE377" s="90"/>
      <c r="CF377" s="90" t="s">
        <v>1534</v>
      </c>
      <c r="CG377" s="90">
        <v>500</v>
      </c>
      <c r="CH377" s="90">
        <v>420</v>
      </c>
      <c r="CI377" s="68"/>
      <c r="CJ377" s="68"/>
      <c r="CK377" s="125">
        <v>45</v>
      </c>
    </row>
    <row r="378" spans="1:89" ht="15" thickBot="1" x14ac:dyDescent="0.35">
      <c r="A378" s="115" t="s">
        <v>2958</v>
      </c>
      <c r="C378" t="s">
        <v>3320</v>
      </c>
      <c r="E378" s="90"/>
      <c r="F378" s="114" t="s">
        <v>2956</v>
      </c>
      <c r="G378" t="s">
        <v>563</v>
      </c>
      <c r="H378" t="s">
        <v>641</v>
      </c>
      <c r="J378" s="73" t="s">
        <v>3433</v>
      </c>
      <c r="K378" s="73" t="s">
        <v>3433</v>
      </c>
      <c r="M378" t="b">
        <v>1</v>
      </c>
      <c r="N378" t="b">
        <v>1</v>
      </c>
      <c r="O378" t="b">
        <v>0</v>
      </c>
      <c r="P378" t="b">
        <v>0</v>
      </c>
      <c r="Q378" t="s">
        <v>3627</v>
      </c>
      <c r="R378" t="s">
        <v>3628</v>
      </c>
      <c r="AB378" s="120"/>
      <c r="BT378" s="90" t="s">
        <v>1264</v>
      </c>
      <c r="BU378" s="90">
        <v>1173</v>
      </c>
      <c r="BV378" s="90"/>
      <c r="BW378" s="68"/>
      <c r="BX378" s="90" t="s">
        <v>1533</v>
      </c>
      <c r="BY378" s="90" t="s">
        <v>56</v>
      </c>
      <c r="BZ378" s="90">
        <v>1</v>
      </c>
      <c r="CA378" s="115"/>
      <c r="CB378" s="90">
        <v>3.33</v>
      </c>
      <c r="CC378" s="92">
        <v>0</v>
      </c>
      <c r="CD378" s="90"/>
      <c r="CE378" s="90"/>
      <c r="CF378" s="90" t="s">
        <v>1534</v>
      </c>
      <c r="CG378" s="90">
        <v>500</v>
      </c>
      <c r="CH378" s="90">
        <v>420</v>
      </c>
      <c r="CI378" s="68"/>
      <c r="CJ378" s="68"/>
      <c r="CK378" s="125">
        <v>291</v>
      </c>
    </row>
    <row r="379" spans="1:89" ht="15" thickBot="1" x14ac:dyDescent="0.35">
      <c r="A379" s="115" t="s">
        <v>2959</v>
      </c>
      <c r="C379" t="s">
        <v>3321</v>
      </c>
      <c r="E379" s="90"/>
      <c r="F379" s="114" t="s">
        <v>2956</v>
      </c>
      <c r="G379" t="s">
        <v>563</v>
      </c>
      <c r="H379" t="s">
        <v>641</v>
      </c>
      <c r="J379" s="73" t="s">
        <v>3434</v>
      </c>
      <c r="K379" s="73" t="s">
        <v>3434</v>
      </c>
      <c r="M379" t="b">
        <v>1</v>
      </c>
      <c r="N379" t="b">
        <v>1</v>
      </c>
      <c r="O379" t="b">
        <v>0</v>
      </c>
      <c r="P379" t="b">
        <v>0</v>
      </c>
      <c r="Q379" t="s">
        <v>3629</v>
      </c>
      <c r="R379" t="s">
        <v>3630</v>
      </c>
      <c r="AB379" s="120"/>
      <c r="BT379" s="90" t="s">
        <v>1264</v>
      </c>
      <c r="BU379" s="90">
        <v>1173</v>
      </c>
      <c r="BV379" s="90"/>
      <c r="BW379" s="68"/>
      <c r="BX379" s="90" t="s">
        <v>1533</v>
      </c>
      <c r="BY379" s="90" t="s">
        <v>56</v>
      </c>
      <c r="BZ379" s="90">
        <v>1</v>
      </c>
      <c r="CA379" s="115"/>
      <c r="CB379" s="90">
        <v>3.33</v>
      </c>
      <c r="CC379" s="92">
        <v>0</v>
      </c>
      <c r="CD379" s="90"/>
      <c r="CE379" s="90"/>
      <c r="CF379" s="90" t="s">
        <v>1534</v>
      </c>
      <c r="CG379" s="90">
        <v>500</v>
      </c>
      <c r="CH379" s="90">
        <v>420</v>
      </c>
      <c r="CI379" s="68"/>
      <c r="CJ379" s="68"/>
      <c r="CK379" s="125">
        <v>44</v>
      </c>
    </row>
    <row r="380" spans="1:89" ht="15" thickBot="1" x14ac:dyDescent="0.35">
      <c r="A380" s="115" t="s">
        <v>2960</v>
      </c>
      <c r="C380" t="s">
        <v>3322</v>
      </c>
      <c r="E380" s="90"/>
      <c r="F380" s="114" t="s">
        <v>2956</v>
      </c>
      <c r="G380" t="s">
        <v>563</v>
      </c>
      <c r="H380" t="s">
        <v>641</v>
      </c>
      <c r="J380" s="73" t="s">
        <v>3435</v>
      </c>
      <c r="K380" s="73" t="s">
        <v>3435</v>
      </c>
      <c r="M380" t="b">
        <v>1</v>
      </c>
      <c r="N380" t="b">
        <v>1</v>
      </c>
      <c r="O380" t="b">
        <v>0</v>
      </c>
      <c r="P380" t="b">
        <v>0</v>
      </c>
      <c r="Q380" t="s">
        <v>3631</v>
      </c>
      <c r="R380" t="s">
        <v>3632</v>
      </c>
      <c r="AB380" s="120"/>
      <c r="BT380" s="90" t="s">
        <v>1264</v>
      </c>
      <c r="BU380" s="90">
        <v>1173</v>
      </c>
      <c r="BV380" s="90"/>
      <c r="BW380" s="68"/>
      <c r="BX380" s="90" t="s">
        <v>1533</v>
      </c>
      <c r="BY380" s="90" t="s">
        <v>56</v>
      </c>
      <c r="BZ380" s="90">
        <v>1</v>
      </c>
      <c r="CA380" s="115"/>
      <c r="CB380" s="90">
        <v>3.33</v>
      </c>
      <c r="CC380" s="92">
        <v>0</v>
      </c>
      <c r="CD380" s="90"/>
      <c r="CE380" s="90"/>
      <c r="CF380" s="90" t="s">
        <v>1534</v>
      </c>
      <c r="CG380" s="90">
        <v>500</v>
      </c>
      <c r="CH380" s="90">
        <v>420</v>
      </c>
      <c r="CI380" s="68"/>
      <c r="CJ380" s="68"/>
      <c r="CK380" s="125">
        <v>97</v>
      </c>
    </row>
    <row r="381" spans="1:89" ht="15" thickBot="1" x14ac:dyDescent="0.35">
      <c r="A381" s="115" t="s">
        <v>2961</v>
      </c>
      <c r="C381" t="s">
        <v>3323</v>
      </c>
      <c r="E381" s="90"/>
      <c r="F381" s="114" t="s">
        <v>2956</v>
      </c>
      <c r="G381" t="s">
        <v>563</v>
      </c>
      <c r="H381" t="s">
        <v>641</v>
      </c>
      <c r="J381" s="73" t="s">
        <v>3436</v>
      </c>
      <c r="K381" s="73" t="s">
        <v>3436</v>
      </c>
      <c r="M381" t="b">
        <v>1</v>
      </c>
      <c r="N381" t="b">
        <v>1</v>
      </c>
      <c r="O381" t="b">
        <v>0</v>
      </c>
      <c r="P381" t="b">
        <v>0</v>
      </c>
      <c r="Q381" t="s">
        <v>3633</v>
      </c>
      <c r="R381" t="s">
        <v>3634</v>
      </c>
      <c r="AB381" s="120"/>
      <c r="BT381" s="90" t="s">
        <v>1264</v>
      </c>
      <c r="BU381" s="90">
        <v>1173</v>
      </c>
      <c r="BV381" s="90"/>
      <c r="BW381" s="68"/>
      <c r="BX381" s="90" t="s">
        <v>1533</v>
      </c>
      <c r="BY381" s="90" t="s">
        <v>56</v>
      </c>
      <c r="BZ381" s="90">
        <v>1</v>
      </c>
      <c r="CA381" s="115"/>
      <c r="CB381" s="90">
        <v>3.33</v>
      </c>
      <c r="CC381" s="92">
        <v>0</v>
      </c>
      <c r="CD381" s="90"/>
      <c r="CE381" s="90"/>
      <c r="CF381" s="90" t="s">
        <v>1534</v>
      </c>
      <c r="CG381" s="90">
        <v>500</v>
      </c>
      <c r="CH381" s="90">
        <v>420</v>
      </c>
      <c r="CI381" s="68"/>
      <c r="CJ381" s="68"/>
      <c r="CK381" s="125">
        <v>676</v>
      </c>
    </row>
    <row r="382" spans="1:89" ht="15" thickBot="1" x14ac:dyDescent="0.35">
      <c r="A382" s="115" t="s">
        <v>2962</v>
      </c>
      <c r="C382" t="s">
        <v>3324</v>
      </c>
      <c r="E382" s="90"/>
      <c r="F382" s="114" t="s">
        <v>2956</v>
      </c>
      <c r="G382" t="s">
        <v>563</v>
      </c>
      <c r="H382" t="s">
        <v>641</v>
      </c>
      <c r="J382" s="73" t="s">
        <v>3437</v>
      </c>
      <c r="K382" s="73" t="s">
        <v>3437</v>
      </c>
      <c r="M382" t="b">
        <v>1</v>
      </c>
      <c r="N382" t="b">
        <v>1</v>
      </c>
      <c r="O382" t="b">
        <v>0</v>
      </c>
      <c r="P382" t="b">
        <v>0</v>
      </c>
      <c r="Q382" t="s">
        <v>3635</v>
      </c>
      <c r="R382" t="s">
        <v>3636</v>
      </c>
      <c r="AB382" s="120"/>
      <c r="BT382" s="90" t="s">
        <v>1264</v>
      </c>
      <c r="BU382" s="90">
        <v>1173</v>
      </c>
      <c r="BV382" s="90"/>
      <c r="BW382" s="68"/>
      <c r="BX382" s="90" t="s">
        <v>1533</v>
      </c>
      <c r="BY382" s="90" t="s">
        <v>56</v>
      </c>
      <c r="BZ382" s="90">
        <v>1</v>
      </c>
      <c r="CA382" s="115"/>
      <c r="CB382" s="90">
        <v>3.33</v>
      </c>
      <c r="CC382" s="92">
        <v>0</v>
      </c>
      <c r="CD382" s="90"/>
      <c r="CE382" s="90"/>
      <c r="CF382" s="90" t="s">
        <v>1534</v>
      </c>
      <c r="CG382" s="90">
        <v>500</v>
      </c>
      <c r="CH382" s="90">
        <v>420</v>
      </c>
      <c r="CI382" s="68"/>
      <c r="CJ382" s="68"/>
      <c r="CK382" s="125">
        <v>213</v>
      </c>
    </row>
    <row r="383" spans="1:89" ht="15" thickBot="1" x14ac:dyDescent="0.35">
      <c r="A383" s="115" t="s">
        <v>2963</v>
      </c>
      <c r="C383" t="s">
        <v>3325</v>
      </c>
      <c r="E383" s="90"/>
      <c r="F383" s="114" t="s">
        <v>2956</v>
      </c>
      <c r="G383" t="s">
        <v>563</v>
      </c>
      <c r="H383" t="s">
        <v>641</v>
      </c>
      <c r="J383" s="73" t="s">
        <v>3438</v>
      </c>
      <c r="K383" s="73" t="s">
        <v>3438</v>
      </c>
      <c r="M383" t="b">
        <v>1</v>
      </c>
      <c r="N383" t="b">
        <v>1</v>
      </c>
      <c r="O383" t="b">
        <v>0</v>
      </c>
      <c r="P383" t="b">
        <v>0</v>
      </c>
      <c r="Q383" t="s">
        <v>3637</v>
      </c>
      <c r="R383" t="s">
        <v>3638</v>
      </c>
      <c r="AB383" s="120"/>
      <c r="BT383" s="90" t="s">
        <v>1264</v>
      </c>
      <c r="BU383" s="90">
        <v>1173</v>
      </c>
      <c r="BV383" s="90"/>
      <c r="BW383" s="68"/>
      <c r="BX383" s="90" t="s">
        <v>1533</v>
      </c>
      <c r="BY383" s="90" t="s">
        <v>56</v>
      </c>
      <c r="BZ383" s="90">
        <v>1</v>
      </c>
      <c r="CA383" s="115"/>
      <c r="CB383" s="90">
        <v>3.33</v>
      </c>
      <c r="CC383" s="92">
        <v>0</v>
      </c>
      <c r="CD383" s="90"/>
      <c r="CE383" s="90"/>
      <c r="CF383" s="90" t="s">
        <v>1534</v>
      </c>
      <c r="CG383" s="90">
        <v>500</v>
      </c>
      <c r="CH383" s="90">
        <v>420</v>
      </c>
      <c r="CI383" s="68"/>
      <c r="CJ383" s="68"/>
      <c r="CK383" s="125">
        <v>0</v>
      </c>
    </row>
    <row r="384" spans="1:89" ht="15" thickBot="1" x14ac:dyDescent="0.35">
      <c r="A384" s="115" t="s">
        <v>2964</v>
      </c>
      <c r="C384" t="s">
        <v>3326</v>
      </c>
      <c r="E384" s="90"/>
      <c r="F384" s="114" t="s">
        <v>2956</v>
      </c>
      <c r="G384" t="s">
        <v>563</v>
      </c>
      <c r="H384" t="s">
        <v>641</v>
      </c>
      <c r="J384" s="73" t="s">
        <v>3439</v>
      </c>
      <c r="K384" s="73" t="s">
        <v>3439</v>
      </c>
      <c r="M384" t="b">
        <v>1</v>
      </c>
      <c r="N384" t="b">
        <v>1</v>
      </c>
      <c r="O384" t="b">
        <v>0</v>
      </c>
      <c r="P384" t="b">
        <v>0</v>
      </c>
      <c r="Q384" t="s">
        <v>3639</v>
      </c>
      <c r="R384" t="s">
        <v>3640</v>
      </c>
      <c r="AB384" s="120"/>
      <c r="BT384" s="90" t="s">
        <v>1264</v>
      </c>
      <c r="BU384" s="90">
        <v>1173</v>
      </c>
      <c r="BV384" s="90"/>
      <c r="BW384" s="68"/>
      <c r="BX384" s="90" t="s">
        <v>1533</v>
      </c>
      <c r="BY384" s="90" t="s">
        <v>56</v>
      </c>
      <c r="BZ384" s="90">
        <v>1</v>
      </c>
      <c r="CA384" s="115"/>
      <c r="CB384" s="90">
        <v>3.33</v>
      </c>
      <c r="CC384" s="92">
        <v>0</v>
      </c>
      <c r="CD384" s="90"/>
      <c r="CE384" s="90"/>
      <c r="CF384" s="90" t="s">
        <v>1534</v>
      </c>
      <c r="CG384" s="90">
        <v>500</v>
      </c>
      <c r="CH384" s="90">
        <v>420</v>
      </c>
      <c r="CI384" s="68"/>
      <c r="CJ384" s="68"/>
      <c r="CK384" s="125">
        <v>506</v>
      </c>
    </row>
    <row r="385" spans="1:89" ht="15" thickBot="1" x14ac:dyDescent="0.35">
      <c r="A385" s="115" t="s">
        <v>2965</v>
      </c>
      <c r="C385" t="s">
        <v>3327</v>
      </c>
      <c r="E385" s="90"/>
      <c r="F385" s="114" t="s">
        <v>2956</v>
      </c>
      <c r="G385" t="s">
        <v>563</v>
      </c>
      <c r="H385" t="s">
        <v>641</v>
      </c>
      <c r="J385" s="73" t="s">
        <v>3440</v>
      </c>
      <c r="K385" s="73" t="s">
        <v>3440</v>
      </c>
      <c r="M385" t="b">
        <v>1</v>
      </c>
      <c r="N385" t="b">
        <v>1</v>
      </c>
      <c r="O385" t="b">
        <v>0</v>
      </c>
      <c r="P385" t="b">
        <v>0</v>
      </c>
      <c r="Q385" t="s">
        <v>3641</v>
      </c>
      <c r="R385" t="s">
        <v>3642</v>
      </c>
      <c r="AB385" s="120"/>
      <c r="BT385" s="90" t="s">
        <v>1264</v>
      </c>
      <c r="BU385" s="90">
        <v>1173</v>
      </c>
      <c r="BV385" s="90"/>
      <c r="BW385" s="68"/>
      <c r="BX385" s="90" t="s">
        <v>1533</v>
      </c>
      <c r="BY385" s="90" t="s">
        <v>56</v>
      </c>
      <c r="BZ385" s="90">
        <v>1</v>
      </c>
      <c r="CA385" s="115"/>
      <c r="CB385" s="90">
        <v>3.33</v>
      </c>
      <c r="CC385" s="92">
        <v>0</v>
      </c>
      <c r="CD385" s="90"/>
      <c r="CE385" s="90"/>
      <c r="CF385" s="90" t="s">
        <v>1534</v>
      </c>
      <c r="CG385" s="90">
        <v>500</v>
      </c>
      <c r="CH385" s="90">
        <v>420</v>
      </c>
      <c r="CI385" s="68"/>
      <c r="CJ385" s="68"/>
      <c r="CK385" s="125">
        <v>935</v>
      </c>
    </row>
    <row r="386" spans="1:89" ht="15" thickBot="1" x14ac:dyDescent="0.35">
      <c r="A386" s="115" t="s">
        <v>2966</v>
      </c>
      <c r="C386" t="s">
        <v>3328</v>
      </c>
      <c r="E386" s="90"/>
      <c r="F386" s="114" t="s">
        <v>2956</v>
      </c>
      <c r="G386" t="s">
        <v>563</v>
      </c>
      <c r="H386" t="s">
        <v>641</v>
      </c>
      <c r="J386" s="73" t="s">
        <v>3441</v>
      </c>
      <c r="K386" s="73" t="s">
        <v>3441</v>
      </c>
      <c r="M386" t="b">
        <v>1</v>
      </c>
      <c r="N386" t="b">
        <v>1</v>
      </c>
      <c r="O386" t="b">
        <v>0</v>
      </c>
      <c r="P386" t="b">
        <v>0</v>
      </c>
      <c r="Q386" t="s">
        <v>3643</v>
      </c>
      <c r="R386" t="s">
        <v>3644</v>
      </c>
      <c r="AB386" s="120"/>
      <c r="BT386" s="90" t="s">
        <v>1264</v>
      </c>
      <c r="BU386" s="90">
        <v>1173</v>
      </c>
      <c r="BV386" s="90"/>
      <c r="BW386" s="68"/>
      <c r="BX386" s="90" t="s">
        <v>1533</v>
      </c>
      <c r="BY386" s="90" t="s">
        <v>56</v>
      </c>
      <c r="BZ386" s="90">
        <v>1</v>
      </c>
      <c r="CA386" s="115"/>
      <c r="CB386" s="90">
        <v>3.33</v>
      </c>
      <c r="CC386" s="92">
        <v>0</v>
      </c>
      <c r="CD386" s="90"/>
      <c r="CE386" s="90"/>
      <c r="CF386" s="90" t="s">
        <v>1534</v>
      </c>
      <c r="CG386" s="90">
        <v>500</v>
      </c>
      <c r="CH386" s="90">
        <v>420</v>
      </c>
      <c r="CI386" s="68"/>
      <c r="CJ386" s="68"/>
      <c r="CK386" s="125">
        <v>985</v>
      </c>
    </row>
    <row r="387" spans="1:89" ht="15" thickBot="1" x14ac:dyDescent="0.35">
      <c r="A387" s="115" t="s">
        <v>2967</v>
      </c>
      <c r="C387" t="s">
        <v>3329</v>
      </c>
      <c r="E387" s="90"/>
      <c r="F387" s="114" t="s">
        <v>2956</v>
      </c>
      <c r="G387" t="s">
        <v>563</v>
      </c>
      <c r="H387" t="s">
        <v>641</v>
      </c>
      <c r="J387" s="73" t="s">
        <v>3442</v>
      </c>
      <c r="K387" s="73" t="s">
        <v>3442</v>
      </c>
      <c r="M387" t="b">
        <v>1</v>
      </c>
      <c r="N387" t="b">
        <v>1</v>
      </c>
      <c r="O387" t="b">
        <v>0</v>
      </c>
      <c r="P387" t="b">
        <v>0</v>
      </c>
      <c r="Q387" t="s">
        <v>3645</v>
      </c>
      <c r="R387" t="s">
        <v>3646</v>
      </c>
      <c r="AB387" s="120"/>
      <c r="BT387" s="90" t="s">
        <v>1264</v>
      </c>
      <c r="BU387" s="90">
        <v>1173</v>
      </c>
      <c r="BV387" s="90"/>
      <c r="BW387" s="68"/>
      <c r="BX387" s="90" t="s">
        <v>1533</v>
      </c>
      <c r="BY387" s="90" t="s">
        <v>56</v>
      </c>
      <c r="BZ387" s="90">
        <v>1</v>
      </c>
      <c r="CA387" s="115"/>
      <c r="CB387" s="90">
        <v>3.33</v>
      </c>
      <c r="CC387" s="92">
        <v>0</v>
      </c>
      <c r="CD387" s="90"/>
      <c r="CE387" s="90"/>
      <c r="CF387" s="90" t="s">
        <v>1534</v>
      </c>
      <c r="CG387" s="90">
        <v>500</v>
      </c>
      <c r="CH387" s="90">
        <v>420</v>
      </c>
      <c r="CI387" s="68"/>
      <c r="CJ387" s="68"/>
      <c r="CK387" s="125">
        <v>172</v>
      </c>
    </row>
    <row r="388" spans="1:89" ht="15" thickBot="1" x14ac:dyDescent="0.35">
      <c r="A388" s="115" t="s">
        <v>2968</v>
      </c>
      <c r="C388" t="s">
        <v>3330</v>
      </c>
      <c r="E388" s="90"/>
      <c r="F388" s="114" t="s">
        <v>2956</v>
      </c>
      <c r="G388" t="s">
        <v>563</v>
      </c>
      <c r="H388" t="s">
        <v>641</v>
      </c>
      <c r="J388" s="73" t="s">
        <v>3443</v>
      </c>
      <c r="K388" s="73" t="s">
        <v>3443</v>
      </c>
      <c r="M388" t="b">
        <v>1</v>
      </c>
      <c r="N388" t="b">
        <v>1</v>
      </c>
      <c r="O388" t="b">
        <v>0</v>
      </c>
      <c r="P388" t="b">
        <v>0</v>
      </c>
      <c r="Q388" t="s">
        <v>3647</v>
      </c>
      <c r="R388" t="s">
        <v>3648</v>
      </c>
      <c r="AB388" s="120"/>
      <c r="BT388" s="90" t="s">
        <v>1264</v>
      </c>
      <c r="BU388" s="90">
        <v>1173</v>
      </c>
      <c r="BV388" s="90"/>
      <c r="BW388" s="68"/>
      <c r="BX388" s="90" t="s">
        <v>1533</v>
      </c>
      <c r="BY388" s="90" t="s">
        <v>56</v>
      </c>
      <c r="BZ388" s="90">
        <v>1</v>
      </c>
      <c r="CA388" s="115"/>
      <c r="CB388" s="90">
        <v>3.33</v>
      </c>
      <c r="CC388" s="92">
        <v>0</v>
      </c>
      <c r="CD388" s="90"/>
      <c r="CE388" s="90"/>
      <c r="CF388" s="90" t="s">
        <v>1534</v>
      </c>
      <c r="CG388" s="90">
        <v>500</v>
      </c>
      <c r="CH388" s="90">
        <v>420</v>
      </c>
      <c r="CI388" s="68"/>
      <c r="CJ388" s="68"/>
      <c r="CK388" s="125">
        <v>83</v>
      </c>
    </row>
    <row r="389" spans="1:89" ht="15" thickBot="1" x14ac:dyDescent="0.35">
      <c r="A389" s="115" t="s">
        <v>2969</v>
      </c>
      <c r="C389" t="s">
        <v>3331</v>
      </c>
      <c r="E389" s="90"/>
      <c r="F389" s="114" t="s">
        <v>2956</v>
      </c>
      <c r="G389" t="s">
        <v>563</v>
      </c>
      <c r="H389" t="s">
        <v>641</v>
      </c>
      <c r="J389" s="73" t="s">
        <v>3444</v>
      </c>
      <c r="K389" s="73" t="s">
        <v>3444</v>
      </c>
      <c r="M389" t="b">
        <v>1</v>
      </c>
      <c r="N389" t="b">
        <v>1</v>
      </c>
      <c r="O389" t="b">
        <v>0</v>
      </c>
      <c r="P389" t="b">
        <v>0</v>
      </c>
      <c r="Q389" t="s">
        <v>3649</v>
      </c>
      <c r="R389" t="s">
        <v>3650</v>
      </c>
      <c r="AB389" s="120"/>
      <c r="BT389" s="90" t="s">
        <v>1264</v>
      </c>
      <c r="BU389" s="90">
        <v>1173</v>
      </c>
      <c r="BV389" s="90"/>
      <c r="BW389" s="68"/>
      <c r="BX389" s="90" t="s">
        <v>1533</v>
      </c>
      <c r="BY389" s="90" t="s">
        <v>56</v>
      </c>
      <c r="BZ389" s="90">
        <v>1</v>
      </c>
      <c r="CA389" s="115"/>
      <c r="CB389" s="90">
        <v>3.33</v>
      </c>
      <c r="CC389" s="92">
        <v>0</v>
      </c>
      <c r="CD389" s="90"/>
      <c r="CE389" s="90"/>
      <c r="CF389" s="90" t="s">
        <v>1534</v>
      </c>
      <c r="CG389" s="90">
        <v>500</v>
      </c>
      <c r="CH389" s="90">
        <v>420</v>
      </c>
      <c r="CI389" s="68"/>
      <c r="CJ389" s="68"/>
      <c r="CK389" s="125">
        <v>37</v>
      </c>
    </row>
    <row r="390" spans="1:89" ht="15" thickBot="1" x14ac:dyDescent="0.35">
      <c r="A390" s="115" t="s">
        <v>2970</v>
      </c>
      <c r="C390" t="s">
        <v>3332</v>
      </c>
      <c r="E390" s="90"/>
      <c r="F390" s="114" t="s">
        <v>2956</v>
      </c>
      <c r="G390" t="s">
        <v>563</v>
      </c>
      <c r="H390" t="s">
        <v>641</v>
      </c>
      <c r="J390" s="73" t="s">
        <v>3445</v>
      </c>
      <c r="K390" s="73" t="s">
        <v>3445</v>
      </c>
      <c r="M390" t="b">
        <v>1</v>
      </c>
      <c r="N390" t="b">
        <v>1</v>
      </c>
      <c r="O390" t="b">
        <v>0</v>
      </c>
      <c r="P390" t="b">
        <v>0</v>
      </c>
      <c r="Q390" t="s">
        <v>3651</v>
      </c>
      <c r="R390" t="s">
        <v>3652</v>
      </c>
      <c r="AB390" s="120"/>
      <c r="BT390" s="90" t="s">
        <v>1264</v>
      </c>
      <c r="BU390" s="90">
        <v>1173</v>
      </c>
      <c r="BV390" s="90"/>
      <c r="BW390" s="68"/>
      <c r="BX390" s="90" t="s">
        <v>1533</v>
      </c>
      <c r="BY390" s="90" t="s">
        <v>56</v>
      </c>
      <c r="BZ390" s="90">
        <v>1</v>
      </c>
      <c r="CA390" s="115"/>
      <c r="CB390" s="90">
        <v>3.33</v>
      </c>
      <c r="CC390" s="92">
        <v>0</v>
      </c>
      <c r="CD390" s="90"/>
      <c r="CE390" s="90"/>
      <c r="CF390" s="90" t="s">
        <v>1534</v>
      </c>
      <c r="CG390" s="90">
        <v>500</v>
      </c>
      <c r="CH390" s="90">
        <v>420</v>
      </c>
      <c r="CI390" s="68"/>
      <c r="CJ390" s="68"/>
      <c r="CK390" s="125">
        <v>0</v>
      </c>
    </row>
    <row r="391" spans="1:89" ht="15" thickBot="1" x14ac:dyDescent="0.35">
      <c r="A391" s="115" t="s">
        <v>2971</v>
      </c>
      <c r="C391" t="s">
        <v>3333</v>
      </c>
      <c r="E391" s="90"/>
      <c r="F391" s="114" t="s">
        <v>2956</v>
      </c>
      <c r="G391" t="s">
        <v>563</v>
      </c>
      <c r="H391" t="s">
        <v>641</v>
      </c>
      <c r="J391" s="73" t="s">
        <v>3446</v>
      </c>
      <c r="K391" s="73" t="s">
        <v>3446</v>
      </c>
      <c r="M391" t="b">
        <v>1</v>
      </c>
      <c r="N391" t="b">
        <v>1</v>
      </c>
      <c r="O391" t="b">
        <v>0</v>
      </c>
      <c r="P391" t="b">
        <v>0</v>
      </c>
      <c r="Q391" t="s">
        <v>3653</v>
      </c>
      <c r="R391" t="s">
        <v>3654</v>
      </c>
      <c r="AB391" s="120"/>
      <c r="BT391" s="90" t="s">
        <v>1264</v>
      </c>
      <c r="BU391" s="90">
        <v>1173</v>
      </c>
      <c r="BV391" s="90"/>
      <c r="BW391" s="68"/>
      <c r="BX391" s="90" t="s">
        <v>1533</v>
      </c>
      <c r="BY391" s="90" t="s">
        <v>56</v>
      </c>
      <c r="BZ391" s="90">
        <v>1</v>
      </c>
      <c r="CA391" s="115"/>
      <c r="CB391" s="90">
        <v>3.33</v>
      </c>
      <c r="CC391" s="92">
        <v>0</v>
      </c>
      <c r="CD391" s="90"/>
      <c r="CE391" s="90"/>
      <c r="CF391" s="90" t="s">
        <v>1534</v>
      </c>
      <c r="CG391" s="90">
        <v>500</v>
      </c>
      <c r="CH391" s="90">
        <v>420</v>
      </c>
      <c r="CI391" s="68"/>
      <c r="CJ391" s="68"/>
      <c r="CK391" s="125">
        <v>10</v>
      </c>
    </row>
    <row r="392" spans="1:89" ht="15" thickBot="1" x14ac:dyDescent="0.35">
      <c r="A392" s="115" t="s">
        <v>8</v>
      </c>
      <c r="C392" t="s">
        <v>694</v>
      </c>
      <c r="E392" s="90"/>
      <c r="F392" s="114" t="s">
        <v>2956</v>
      </c>
      <c r="G392" t="s">
        <v>530</v>
      </c>
      <c r="H392" t="s">
        <v>612</v>
      </c>
      <c r="M392" t="b">
        <v>1</v>
      </c>
      <c r="N392" t="b">
        <v>1</v>
      </c>
      <c r="O392" t="b">
        <v>0</v>
      </c>
      <c r="P392" t="b">
        <v>0</v>
      </c>
      <c r="Q392" t="s">
        <v>530</v>
      </c>
      <c r="R392">
        <v>1010942</v>
      </c>
      <c r="AB392" s="120"/>
      <c r="BT392" s="90" t="s">
        <v>1264</v>
      </c>
      <c r="BU392" s="90">
        <v>1173</v>
      </c>
      <c r="BV392" s="90"/>
      <c r="BW392" s="68"/>
      <c r="BX392" s="90" t="s">
        <v>1268</v>
      </c>
      <c r="BY392" s="90" t="s">
        <v>863</v>
      </c>
      <c r="BZ392" s="90">
        <v>0.3</v>
      </c>
      <c r="CA392" s="115"/>
      <c r="CB392" s="90">
        <v>3.33</v>
      </c>
      <c r="CC392" s="92">
        <v>0</v>
      </c>
      <c r="CD392" s="90"/>
      <c r="CE392" s="90"/>
      <c r="CF392" s="90" t="s">
        <v>1534</v>
      </c>
      <c r="CG392" s="90">
        <v>500</v>
      </c>
      <c r="CH392" s="90">
        <v>420</v>
      </c>
      <c r="CI392" s="68"/>
      <c r="CJ392" s="68"/>
      <c r="CK392" s="125">
        <v>1061</v>
      </c>
    </row>
    <row r="393" spans="1:89" ht="15" thickBot="1" x14ac:dyDescent="0.35">
      <c r="A393" s="115" t="s">
        <v>28</v>
      </c>
      <c r="C393" t="s">
        <v>805</v>
      </c>
      <c r="E393" s="90">
        <v>4.01</v>
      </c>
      <c r="F393" s="114" t="s">
        <v>2972</v>
      </c>
      <c r="G393" t="s">
        <v>586</v>
      </c>
      <c r="H393" t="s">
        <v>660</v>
      </c>
      <c r="M393" t="b">
        <v>1</v>
      </c>
      <c r="N393" t="b">
        <v>1</v>
      </c>
      <c r="O393" t="b">
        <v>0</v>
      </c>
      <c r="P393" t="b">
        <v>0</v>
      </c>
      <c r="Q393" t="s">
        <v>586</v>
      </c>
      <c r="R393">
        <v>1521385</v>
      </c>
      <c r="AB393" s="120"/>
      <c r="BT393" s="90" t="s">
        <v>1264</v>
      </c>
      <c r="BU393" s="90">
        <v>1420</v>
      </c>
      <c r="BV393" s="90">
        <v>10</v>
      </c>
      <c r="BW393" s="68"/>
      <c r="BX393" s="90" t="s">
        <v>1533</v>
      </c>
      <c r="BY393" s="92" t="s">
        <v>56</v>
      </c>
      <c r="BZ393" s="90">
        <v>0.05</v>
      </c>
      <c r="CA393" s="115">
        <v>0.44</v>
      </c>
      <c r="CB393" s="90">
        <v>2.56</v>
      </c>
      <c r="CC393" s="92">
        <v>0</v>
      </c>
      <c r="CD393" s="90"/>
      <c r="CE393" s="90"/>
      <c r="CF393" s="90" t="s">
        <v>1552</v>
      </c>
      <c r="CG393" s="90">
        <v>400</v>
      </c>
      <c r="CH393" s="90">
        <v>365</v>
      </c>
      <c r="CI393" s="68"/>
      <c r="CJ393" s="68"/>
      <c r="CK393" s="125">
        <v>2200</v>
      </c>
    </row>
    <row r="394" spans="1:89" ht="15" thickBot="1" x14ac:dyDescent="0.35">
      <c r="A394" s="115" t="s">
        <v>2881</v>
      </c>
      <c r="C394" t="s">
        <v>3280</v>
      </c>
      <c r="E394" s="90">
        <v>4.07</v>
      </c>
      <c r="F394" s="114" t="s">
        <v>2972</v>
      </c>
      <c r="G394" t="s">
        <v>586</v>
      </c>
      <c r="H394" t="s">
        <v>660</v>
      </c>
      <c r="M394" t="b">
        <v>1</v>
      </c>
      <c r="N394" t="b">
        <v>1</v>
      </c>
      <c r="O394" t="b">
        <v>0</v>
      </c>
      <c r="P394" t="b">
        <v>0</v>
      </c>
      <c r="Q394" t="s">
        <v>586</v>
      </c>
      <c r="R394">
        <v>1521385</v>
      </c>
      <c r="AB394" s="120"/>
      <c r="BT394" s="90" t="s">
        <v>1264</v>
      </c>
      <c r="BU394" s="90">
        <v>1420</v>
      </c>
      <c r="BV394" s="90">
        <v>10</v>
      </c>
      <c r="BW394" s="68"/>
      <c r="BX394" s="90" t="s">
        <v>1533</v>
      </c>
      <c r="BY394" s="92" t="s">
        <v>56</v>
      </c>
      <c r="BZ394" s="90">
        <v>0.05</v>
      </c>
      <c r="CA394" s="115">
        <v>2.5</v>
      </c>
      <c r="CB394" s="90">
        <v>2.56</v>
      </c>
      <c r="CC394" s="92">
        <v>0</v>
      </c>
      <c r="CD394" s="90"/>
      <c r="CE394" s="90"/>
      <c r="CF394" s="90" t="s">
        <v>1552</v>
      </c>
      <c r="CG394" s="90">
        <v>400</v>
      </c>
      <c r="CH394" s="90">
        <v>365</v>
      </c>
      <c r="CI394" s="68"/>
      <c r="CJ394" s="68"/>
      <c r="CK394" s="125">
        <v>5900</v>
      </c>
    </row>
    <row r="395" spans="1:89" ht="15" thickBot="1" x14ac:dyDescent="0.35">
      <c r="A395" s="115" t="s">
        <v>2973</v>
      </c>
      <c r="C395" t="s">
        <v>3334</v>
      </c>
      <c r="E395" s="90">
        <v>4.09</v>
      </c>
      <c r="F395" s="114" t="s">
        <v>2972</v>
      </c>
      <c r="G395" t="s">
        <v>586</v>
      </c>
      <c r="H395" t="s">
        <v>660</v>
      </c>
      <c r="M395" t="b">
        <v>1</v>
      </c>
      <c r="N395" t="b">
        <v>1</v>
      </c>
      <c r="O395" t="b">
        <v>0</v>
      </c>
      <c r="P395" t="b">
        <v>0</v>
      </c>
      <c r="Q395" t="s">
        <v>586</v>
      </c>
      <c r="R395">
        <v>1521385</v>
      </c>
      <c r="AB395" s="120"/>
      <c r="BT395" s="90" t="s">
        <v>1264</v>
      </c>
      <c r="BU395" s="90">
        <v>1420</v>
      </c>
      <c r="BV395" s="90">
        <v>10</v>
      </c>
      <c r="BW395" s="68"/>
      <c r="BX395" s="90" t="s">
        <v>1533</v>
      </c>
      <c r="BY395" s="92" t="s">
        <v>56</v>
      </c>
      <c r="BZ395" s="90">
        <v>0.05</v>
      </c>
      <c r="CA395" s="115">
        <v>3.1</v>
      </c>
      <c r="CB395" s="90">
        <v>2.56</v>
      </c>
      <c r="CC395" s="92">
        <v>0</v>
      </c>
      <c r="CD395" s="90"/>
      <c r="CE395" s="90"/>
      <c r="CF395" s="90" t="s">
        <v>1552</v>
      </c>
      <c r="CG395" s="90">
        <v>400</v>
      </c>
      <c r="CH395" s="90">
        <v>365</v>
      </c>
      <c r="CI395" s="68"/>
      <c r="CJ395" s="68"/>
      <c r="CK395" s="125">
        <v>5300</v>
      </c>
    </row>
    <row r="396" spans="1:89" ht="15" thickBot="1" x14ac:dyDescent="0.35">
      <c r="A396" s="115" t="s">
        <v>2974</v>
      </c>
      <c r="C396" t="s">
        <v>3335</v>
      </c>
      <c r="E396" s="90">
        <v>4.07</v>
      </c>
      <c r="F396" s="114" t="s">
        <v>2972</v>
      </c>
      <c r="G396" t="s">
        <v>586</v>
      </c>
      <c r="H396" t="s">
        <v>660</v>
      </c>
      <c r="M396" t="b">
        <v>1</v>
      </c>
      <c r="N396" t="b">
        <v>1</v>
      </c>
      <c r="O396" t="b">
        <v>0</v>
      </c>
      <c r="P396" t="b">
        <v>0</v>
      </c>
      <c r="Q396" t="s">
        <v>586</v>
      </c>
      <c r="R396">
        <v>1521385</v>
      </c>
      <c r="AB396" s="120"/>
      <c r="BT396" s="90" t="s">
        <v>1264</v>
      </c>
      <c r="BU396" s="90">
        <v>1420</v>
      </c>
      <c r="BV396" s="90">
        <v>10</v>
      </c>
      <c r="BW396" s="68"/>
      <c r="BX396" s="90" t="s">
        <v>1533</v>
      </c>
      <c r="BY396" s="92" t="s">
        <v>56</v>
      </c>
      <c r="BZ396" s="90">
        <v>0.05</v>
      </c>
      <c r="CA396" s="115">
        <v>3</v>
      </c>
      <c r="CB396" s="90">
        <v>2.56</v>
      </c>
      <c r="CC396" s="92">
        <v>0</v>
      </c>
      <c r="CD396" s="90"/>
      <c r="CE396" s="90"/>
      <c r="CF396" s="90" t="s">
        <v>1552</v>
      </c>
      <c r="CG396" s="90">
        <v>400</v>
      </c>
      <c r="CH396" s="90">
        <v>365</v>
      </c>
      <c r="CI396" s="68"/>
      <c r="CJ396" s="68"/>
      <c r="CK396" s="125">
        <v>5200</v>
      </c>
    </row>
    <row r="397" spans="1:89" ht="15" thickBot="1" x14ac:dyDescent="0.35">
      <c r="A397" s="115" t="s">
        <v>2975</v>
      </c>
      <c r="C397" t="s">
        <v>3336</v>
      </c>
      <c r="E397" s="90">
        <v>4.08</v>
      </c>
      <c r="F397" s="114" t="s">
        <v>2972</v>
      </c>
      <c r="G397" t="s">
        <v>586</v>
      </c>
      <c r="H397" t="s">
        <v>660</v>
      </c>
      <c r="M397" t="b">
        <v>1</v>
      </c>
      <c r="N397" t="b">
        <v>1</v>
      </c>
      <c r="O397" t="b">
        <v>0</v>
      </c>
      <c r="P397" t="b">
        <v>0</v>
      </c>
      <c r="Q397" t="s">
        <v>586</v>
      </c>
      <c r="R397">
        <v>1521385</v>
      </c>
      <c r="AB397" s="120"/>
      <c r="BT397" s="90" t="s">
        <v>1264</v>
      </c>
      <c r="BU397" s="90">
        <v>1420</v>
      </c>
      <c r="BV397" s="90">
        <v>10</v>
      </c>
      <c r="BW397" s="68"/>
      <c r="BX397" s="90" t="s">
        <v>1533</v>
      </c>
      <c r="BY397" s="92" t="s">
        <v>56</v>
      </c>
      <c r="BZ397" s="90">
        <v>0.05</v>
      </c>
      <c r="CA397" s="115">
        <v>2.6</v>
      </c>
      <c r="CB397" s="90">
        <v>2.56</v>
      </c>
      <c r="CC397" s="92">
        <v>0</v>
      </c>
      <c r="CD397" s="90"/>
      <c r="CE397" s="90"/>
      <c r="CF397" s="90" t="s">
        <v>1552</v>
      </c>
      <c r="CG397" s="90">
        <v>400</v>
      </c>
      <c r="CH397" s="90">
        <v>365</v>
      </c>
      <c r="CI397" s="68"/>
      <c r="CJ397" s="68"/>
      <c r="CK397" s="125">
        <v>5300</v>
      </c>
    </row>
    <row r="398" spans="1:89" ht="15" thickBot="1" x14ac:dyDescent="0.35">
      <c r="A398" s="115" t="s">
        <v>2976</v>
      </c>
      <c r="C398" t="s">
        <v>3337</v>
      </c>
      <c r="E398" s="90">
        <v>4.08</v>
      </c>
      <c r="F398" s="114" t="s">
        <v>2972</v>
      </c>
      <c r="G398" t="s">
        <v>586</v>
      </c>
      <c r="H398" t="s">
        <v>660</v>
      </c>
      <c r="M398" t="b">
        <v>1</v>
      </c>
      <c r="N398" t="b">
        <v>1</v>
      </c>
      <c r="O398" t="b">
        <v>0</v>
      </c>
      <c r="P398" t="b">
        <v>0</v>
      </c>
      <c r="Q398" t="s">
        <v>586</v>
      </c>
      <c r="R398">
        <v>1521385</v>
      </c>
      <c r="AB398" s="120"/>
      <c r="BT398" s="90" t="s">
        <v>1264</v>
      </c>
      <c r="BU398" s="90">
        <v>1420</v>
      </c>
      <c r="BV398" s="90">
        <v>10</v>
      </c>
      <c r="BW398" s="68"/>
      <c r="BX398" s="90" t="s">
        <v>1533</v>
      </c>
      <c r="BY398" s="92" t="s">
        <v>56</v>
      </c>
      <c r="BZ398" s="90">
        <v>0.05</v>
      </c>
      <c r="CA398" s="115">
        <v>2.5</v>
      </c>
      <c r="CB398" s="90">
        <v>2.56</v>
      </c>
      <c r="CC398" s="92">
        <v>0</v>
      </c>
      <c r="CD398" s="90"/>
      <c r="CE398" s="90"/>
      <c r="CF398" s="90" t="s">
        <v>1552</v>
      </c>
      <c r="CG398" s="90">
        <v>400</v>
      </c>
      <c r="CH398" s="90">
        <v>365</v>
      </c>
      <c r="CI398" s="68"/>
      <c r="CJ398" s="68"/>
      <c r="CK398" s="125">
        <v>250</v>
      </c>
    </row>
    <row r="399" spans="1:89" ht="15" thickBot="1" x14ac:dyDescent="0.35">
      <c r="A399" s="115" t="s">
        <v>2977</v>
      </c>
      <c r="C399" t="s">
        <v>3338</v>
      </c>
      <c r="E399" s="90">
        <v>4.08</v>
      </c>
      <c r="F399" s="114" t="s">
        <v>2972</v>
      </c>
      <c r="G399" t="s">
        <v>586</v>
      </c>
      <c r="H399" t="s">
        <v>660</v>
      </c>
      <c r="M399" t="b">
        <v>1</v>
      </c>
      <c r="N399" t="b">
        <v>1</v>
      </c>
      <c r="O399" t="b">
        <v>0</v>
      </c>
      <c r="P399" t="b">
        <v>0</v>
      </c>
      <c r="Q399" t="s">
        <v>586</v>
      </c>
      <c r="R399">
        <v>1521385</v>
      </c>
      <c r="AB399" s="120"/>
      <c r="BT399" s="90" t="s">
        <v>1264</v>
      </c>
      <c r="BU399" s="90">
        <v>1420</v>
      </c>
      <c r="BV399" s="90">
        <v>10</v>
      </c>
      <c r="BW399" s="68"/>
      <c r="BX399" s="90" t="s">
        <v>1533</v>
      </c>
      <c r="BY399" s="92" t="s">
        <v>56</v>
      </c>
      <c r="BZ399" s="90">
        <v>0.05</v>
      </c>
      <c r="CA399" s="115">
        <v>1.9</v>
      </c>
      <c r="CB399" s="90">
        <v>2.56</v>
      </c>
      <c r="CC399" s="92">
        <v>0</v>
      </c>
      <c r="CD399" s="90"/>
      <c r="CE399" s="90"/>
      <c r="CF399" s="90" t="s">
        <v>1552</v>
      </c>
      <c r="CG399" s="90">
        <v>400</v>
      </c>
      <c r="CH399" s="90">
        <v>365</v>
      </c>
      <c r="CI399" s="68"/>
      <c r="CJ399" s="68"/>
      <c r="CK399" s="125">
        <v>4300</v>
      </c>
    </row>
    <row r="400" spans="1:89" ht="15" thickBot="1" x14ac:dyDescent="0.35">
      <c r="A400" s="115" t="s">
        <v>2978</v>
      </c>
      <c r="C400" t="s">
        <v>3339</v>
      </c>
      <c r="E400" s="90">
        <v>4.07</v>
      </c>
      <c r="F400" s="114" t="s">
        <v>2972</v>
      </c>
      <c r="G400" t="s">
        <v>586</v>
      </c>
      <c r="H400" t="s">
        <v>660</v>
      </c>
      <c r="M400" t="b">
        <v>1</v>
      </c>
      <c r="N400" t="b">
        <v>1</v>
      </c>
      <c r="O400" t="b">
        <v>0</v>
      </c>
      <c r="P400" t="b">
        <v>0</v>
      </c>
      <c r="Q400" t="s">
        <v>586</v>
      </c>
      <c r="R400">
        <v>1521385</v>
      </c>
      <c r="AB400" s="120"/>
      <c r="BT400" s="90" t="s">
        <v>1264</v>
      </c>
      <c r="BU400" s="90">
        <v>1420</v>
      </c>
      <c r="BV400" s="90">
        <v>10</v>
      </c>
      <c r="BW400" s="68"/>
      <c r="BX400" s="90" t="s">
        <v>1533</v>
      </c>
      <c r="BY400" s="92" t="s">
        <v>56</v>
      </c>
      <c r="BZ400" s="90">
        <v>0.05</v>
      </c>
      <c r="CA400" s="115">
        <v>1.4</v>
      </c>
      <c r="CB400" s="90">
        <v>2.56</v>
      </c>
      <c r="CC400" s="92">
        <v>0</v>
      </c>
      <c r="CD400" s="90"/>
      <c r="CE400" s="90"/>
      <c r="CF400" s="90" t="s">
        <v>1552</v>
      </c>
      <c r="CG400" s="90">
        <v>400</v>
      </c>
      <c r="CH400" s="90">
        <v>365</v>
      </c>
      <c r="CI400" s="68"/>
      <c r="CJ400" s="68"/>
      <c r="CK400" s="125">
        <v>4300</v>
      </c>
    </row>
    <row r="401" spans="1:89" ht="15" thickBot="1" x14ac:dyDescent="0.35">
      <c r="A401" s="115" t="s">
        <v>2979</v>
      </c>
      <c r="C401" t="s">
        <v>3340</v>
      </c>
      <c r="E401" s="90">
        <v>4.07</v>
      </c>
      <c r="F401" s="114" t="s">
        <v>2972</v>
      </c>
      <c r="G401" t="s">
        <v>586</v>
      </c>
      <c r="H401" t="s">
        <v>660</v>
      </c>
      <c r="M401" t="b">
        <v>1</v>
      </c>
      <c r="N401" t="b">
        <v>1</v>
      </c>
      <c r="O401" t="b">
        <v>0</v>
      </c>
      <c r="P401" t="b">
        <v>0</v>
      </c>
      <c r="Q401" t="s">
        <v>586</v>
      </c>
      <c r="R401">
        <v>1521385</v>
      </c>
      <c r="AB401" s="120"/>
      <c r="BT401" s="90" t="s">
        <v>1264</v>
      </c>
      <c r="BU401" s="90">
        <v>1420</v>
      </c>
      <c r="BV401" s="90">
        <v>10</v>
      </c>
      <c r="BW401" s="68"/>
      <c r="BX401" s="90" t="s">
        <v>1533</v>
      </c>
      <c r="BY401" s="92" t="s">
        <v>56</v>
      </c>
      <c r="BZ401" s="90">
        <v>0.05</v>
      </c>
      <c r="CA401" s="115">
        <v>1.7</v>
      </c>
      <c r="CB401" s="90">
        <v>2.56</v>
      </c>
      <c r="CC401" s="92">
        <v>0</v>
      </c>
      <c r="CD401" s="90"/>
      <c r="CE401" s="90"/>
      <c r="CF401" s="90" t="s">
        <v>1552</v>
      </c>
      <c r="CG401" s="90">
        <v>400</v>
      </c>
      <c r="CH401" s="90">
        <v>365</v>
      </c>
      <c r="CI401" s="68"/>
      <c r="CJ401" s="68"/>
      <c r="CK401" s="125">
        <v>4500</v>
      </c>
    </row>
    <row r="402" spans="1:89" ht="15" thickBot="1" x14ac:dyDescent="0.35">
      <c r="A402" s="115" t="s">
        <v>2882</v>
      </c>
      <c r="C402" t="s">
        <v>3290</v>
      </c>
      <c r="E402" s="90">
        <v>4.05</v>
      </c>
      <c r="F402" s="114" t="s">
        <v>2972</v>
      </c>
      <c r="G402" t="s">
        <v>586</v>
      </c>
      <c r="H402" t="s">
        <v>660</v>
      </c>
      <c r="M402" t="b">
        <v>1</v>
      </c>
      <c r="N402" t="b">
        <v>1</v>
      </c>
      <c r="O402" t="b">
        <v>0</v>
      </c>
      <c r="P402" t="b">
        <v>0</v>
      </c>
      <c r="Q402" t="s">
        <v>586</v>
      </c>
      <c r="R402">
        <v>1521385</v>
      </c>
      <c r="AB402" s="120"/>
      <c r="BT402" s="90" t="s">
        <v>1264</v>
      </c>
      <c r="BU402" s="90">
        <v>1420</v>
      </c>
      <c r="BV402" s="90">
        <v>10</v>
      </c>
      <c r="BW402" s="68"/>
      <c r="BX402" s="90" t="s">
        <v>1533</v>
      </c>
      <c r="BY402" s="92" t="s">
        <v>56</v>
      </c>
      <c r="BZ402" s="90">
        <v>0.05</v>
      </c>
      <c r="CA402" s="115">
        <v>1.3</v>
      </c>
      <c r="CB402" s="90">
        <v>2.56</v>
      </c>
      <c r="CC402" s="92">
        <v>0</v>
      </c>
      <c r="CD402" s="90"/>
      <c r="CE402" s="90"/>
      <c r="CF402" s="90" t="s">
        <v>1552</v>
      </c>
      <c r="CG402" s="90">
        <v>400</v>
      </c>
      <c r="CH402" s="90">
        <v>365</v>
      </c>
      <c r="CI402" s="68"/>
      <c r="CJ402" s="68"/>
      <c r="CK402" s="125">
        <v>1700</v>
      </c>
    </row>
    <row r="403" spans="1:89" ht="15" thickBot="1" x14ac:dyDescent="0.35">
      <c r="A403" s="115" t="s">
        <v>2981</v>
      </c>
      <c r="C403" t="s">
        <v>3341</v>
      </c>
      <c r="E403" s="90"/>
      <c r="F403" s="114" t="s">
        <v>2980</v>
      </c>
      <c r="G403" t="s">
        <v>3212</v>
      </c>
      <c r="H403" t="s">
        <v>3213</v>
      </c>
      <c r="M403" t="b">
        <v>1</v>
      </c>
      <c r="N403" t="b">
        <v>1</v>
      </c>
      <c r="O403" t="b">
        <v>0</v>
      </c>
      <c r="P403" t="b">
        <v>0</v>
      </c>
      <c r="Q403" t="s">
        <v>3212</v>
      </c>
      <c r="R403">
        <v>1010156</v>
      </c>
      <c r="AB403" s="120"/>
      <c r="BT403" s="90" t="s">
        <v>1264</v>
      </c>
      <c r="BU403" s="90">
        <v>1173</v>
      </c>
      <c r="BV403" s="90">
        <v>16</v>
      </c>
      <c r="BW403" s="68"/>
      <c r="BX403" s="90" t="s">
        <v>1533</v>
      </c>
      <c r="BY403" s="92" t="s">
        <v>1313</v>
      </c>
      <c r="BZ403" s="92">
        <v>1</v>
      </c>
      <c r="CA403" s="115"/>
      <c r="CB403" s="90">
        <v>12.5</v>
      </c>
      <c r="CC403" s="92">
        <v>0</v>
      </c>
      <c r="CD403" s="90"/>
      <c r="CE403" s="90"/>
      <c r="CF403" s="90" t="s">
        <v>1552</v>
      </c>
      <c r="CG403" s="90">
        <v>200</v>
      </c>
      <c r="CH403" s="90">
        <v>365</v>
      </c>
      <c r="CI403" s="68"/>
      <c r="CJ403" s="68"/>
      <c r="CK403" s="125">
        <v>7</v>
      </c>
    </row>
    <row r="404" spans="1:89" ht="15" thickBot="1" x14ac:dyDescent="0.35">
      <c r="A404" s="115" t="s">
        <v>2982</v>
      </c>
      <c r="C404" t="s">
        <v>3342</v>
      </c>
      <c r="E404" s="90"/>
      <c r="F404" s="114" t="s">
        <v>2980</v>
      </c>
      <c r="G404" t="s">
        <v>3214</v>
      </c>
      <c r="H404" t="s">
        <v>3215</v>
      </c>
      <c r="M404" t="b">
        <v>1</v>
      </c>
      <c r="N404" t="b">
        <v>1</v>
      </c>
      <c r="O404" t="b">
        <v>0</v>
      </c>
      <c r="P404" t="b">
        <v>0</v>
      </c>
      <c r="Q404" t="s">
        <v>3214</v>
      </c>
      <c r="R404">
        <v>2009656</v>
      </c>
      <c r="AB404" s="120"/>
      <c r="BT404" s="90" t="s">
        <v>1264</v>
      </c>
      <c r="BU404" s="90">
        <v>1173</v>
      </c>
      <c r="BV404" s="90">
        <v>16</v>
      </c>
      <c r="BW404" s="68"/>
      <c r="BX404" s="90" t="s">
        <v>1533</v>
      </c>
      <c r="BY404" s="92" t="s">
        <v>1313</v>
      </c>
      <c r="BZ404" s="92">
        <v>1</v>
      </c>
      <c r="CA404" s="115"/>
      <c r="CB404" s="90">
        <v>12.5</v>
      </c>
      <c r="CC404" s="92">
        <v>0</v>
      </c>
      <c r="CD404" s="90"/>
      <c r="CE404" s="90"/>
      <c r="CF404" s="90" t="s">
        <v>1552</v>
      </c>
      <c r="CG404" s="90">
        <v>200</v>
      </c>
      <c r="CH404" s="90">
        <v>365</v>
      </c>
      <c r="CI404" s="68"/>
      <c r="CJ404" s="68"/>
      <c r="CK404" s="125">
        <v>6</v>
      </c>
    </row>
    <row r="405" spans="1:89" ht="15" thickBot="1" x14ac:dyDescent="0.35">
      <c r="A405" s="114" t="s">
        <v>2983</v>
      </c>
      <c r="C405" t="s">
        <v>3343</v>
      </c>
      <c r="E405" s="90"/>
      <c r="F405" s="114" t="s">
        <v>2980</v>
      </c>
      <c r="G405" t="s">
        <v>3216</v>
      </c>
      <c r="H405" t="s">
        <v>3217</v>
      </c>
      <c r="M405" t="b">
        <v>1</v>
      </c>
      <c r="N405" t="b">
        <v>1</v>
      </c>
      <c r="O405" t="b">
        <v>0</v>
      </c>
      <c r="P405" t="b">
        <v>0</v>
      </c>
      <c r="Q405" t="s">
        <v>3216</v>
      </c>
      <c r="R405">
        <v>1011140</v>
      </c>
      <c r="AB405" s="120"/>
      <c r="BT405" s="90" t="s">
        <v>1264</v>
      </c>
      <c r="BU405" s="90">
        <v>1173</v>
      </c>
      <c r="BV405" s="90">
        <v>16</v>
      </c>
      <c r="BW405" s="68"/>
      <c r="BX405" s="90" t="s">
        <v>1533</v>
      </c>
      <c r="BY405" s="92" t="s">
        <v>1313</v>
      </c>
      <c r="BZ405" s="92">
        <v>1</v>
      </c>
      <c r="CA405" s="90"/>
      <c r="CB405" s="90">
        <v>12.5</v>
      </c>
      <c r="CC405" s="92">
        <v>0</v>
      </c>
      <c r="CD405" s="90"/>
      <c r="CE405" s="90"/>
      <c r="CF405" s="90" t="s">
        <v>1552</v>
      </c>
      <c r="CG405" s="90">
        <v>200</v>
      </c>
      <c r="CH405" s="90">
        <v>365</v>
      </c>
      <c r="CI405" s="68"/>
      <c r="CJ405" s="68"/>
      <c r="CK405" s="125">
        <v>11.2</v>
      </c>
    </row>
    <row r="406" spans="1:89" ht="15" thickBot="1" x14ac:dyDescent="0.35">
      <c r="A406" s="114" t="s">
        <v>2984</v>
      </c>
      <c r="C406" t="s">
        <v>3344</v>
      </c>
      <c r="E406" s="90"/>
      <c r="F406" s="114" t="s">
        <v>2980</v>
      </c>
      <c r="G406" t="s">
        <v>3218</v>
      </c>
      <c r="H406">
        <v>-1</v>
      </c>
      <c r="M406" t="b">
        <v>1</v>
      </c>
      <c r="N406" t="b">
        <v>0</v>
      </c>
      <c r="O406" t="b">
        <v>0</v>
      </c>
      <c r="P406" t="b">
        <v>0</v>
      </c>
      <c r="Q406" t="s">
        <v>3218</v>
      </c>
      <c r="R406">
        <v>-1</v>
      </c>
      <c r="AB406" s="120"/>
      <c r="BT406" s="90" t="s">
        <v>1264</v>
      </c>
      <c r="BU406" s="90">
        <v>1173</v>
      </c>
      <c r="BV406" s="90">
        <v>16</v>
      </c>
      <c r="BW406" s="68"/>
      <c r="BX406" s="90" t="s">
        <v>1533</v>
      </c>
      <c r="BY406" s="92" t="s">
        <v>1313</v>
      </c>
      <c r="BZ406" s="92">
        <v>1</v>
      </c>
      <c r="CA406" s="90"/>
      <c r="CB406" s="90">
        <v>12.5</v>
      </c>
      <c r="CC406" s="92">
        <v>0</v>
      </c>
      <c r="CD406" s="90"/>
      <c r="CE406" s="90"/>
      <c r="CF406" s="90" t="s">
        <v>1552</v>
      </c>
      <c r="CG406" s="90">
        <v>200</v>
      </c>
      <c r="CH406" s="90">
        <v>365</v>
      </c>
      <c r="CI406" s="68"/>
      <c r="CJ406" s="68"/>
      <c r="CK406" s="125">
        <v>30.4</v>
      </c>
    </row>
    <row r="407" spans="1:89" ht="15" thickBot="1" x14ac:dyDescent="0.35">
      <c r="A407" s="114" t="s">
        <v>28</v>
      </c>
      <c r="C407" t="s">
        <v>805</v>
      </c>
      <c r="E407" s="90">
        <v>4</v>
      </c>
      <c r="F407" s="114" t="s">
        <v>2985</v>
      </c>
      <c r="G407" t="s">
        <v>586</v>
      </c>
      <c r="H407" t="s">
        <v>660</v>
      </c>
      <c r="M407" t="b">
        <v>1</v>
      </c>
      <c r="N407" t="b">
        <v>1</v>
      </c>
      <c r="O407" t="b">
        <v>0</v>
      </c>
      <c r="P407" t="b">
        <v>0</v>
      </c>
      <c r="Q407" t="s">
        <v>586</v>
      </c>
      <c r="R407">
        <v>1521385</v>
      </c>
      <c r="AB407" s="120"/>
      <c r="BT407" s="90" t="s">
        <v>1264</v>
      </c>
      <c r="BU407" s="90">
        <v>1420</v>
      </c>
      <c r="BV407" s="90">
        <v>10</v>
      </c>
      <c r="BW407" s="68"/>
      <c r="BX407" s="90" t="s">
        <v>1533</v>
      </c>
      <c r="BY407" s="92" t="s">
        <v>863</v>
      </c>
      <c r="BZ407" s="92">
        <v>0.05</v>
      </c>
      <c r="CA407" s="90">
        <v>0.44</v>
      </c>
      <c r="CB407" s="90">
        <v>2.85</v>
      </c>
      <c r="CC407" s="92">
        <v>0</v>
      </c>
      <c r="CD407" s="90" t="s">
        <v>1575</v>
      </c>
      <c r="CE407" s="90"/>
      <c r="CF407" s="90" t="s">
        <v>1552</v>
      </c>
      <c r="CG407" s="90">
        <v>400</v>
      </c>
      <c r="CH407" s="90">
        <v>365</v>
      </c>
      <c r="CI407" s="68"/>
      <c r="CJ407" s="68"/>
      <c r="CK407" s="125">
        <v>3390</v>
      </c>
    </row>
    <row r="408" spans="1:89" ht="15" thickBot="1" x14ac:dyDescent="0.35">
      <c r="A408" s="114" t="s">
        <v>204</v>
      </c>
      <c r="C408" t="s">
        <v>804</v>
      </c>
      <c r="E408" s="90">
        <v>4</v>
      </c>
      <c r="F408" s="114" t="s">
        <v>2985</v>
      </c>
      <c r="G408" t="s">
        <v>585</v>
      </c>
      <c r="H408" t="s">
        <v>659</v>
      </c>
      <c r="M408" t="b">
        <v>1</v>
      </c>
      <c r="N408" t="b">
        <v>1</v>
      </c>
      <c r="O408" t="b">
        <v>0</v>
      </c>
      <c r="P408" t="b">
        <v>0</v>
      </c>
      <c r="Q408" t="s">
        <v>585</v>
      </c>
      <c r="R408">
        <v>1531051</v>
      </c>
      <c r="AB408" s="120"/>
      <c r="BT408" s="90" t="s">
        <v>1264</v>
      </c>
      <c r="BU408" s="90">
        <v>1420</v>
      </c>
      <c r="BV408" s="90">
        <v>10</v>
      </c>
      <c r="BW408" s="68"/>
      <c r="BX408" s="90" t="s">
        <v>1533</v>
      </c>
      <c r="BY408" s="92" t="s">
        <v>863</v>
      </c>
      <c r="BZ408" s="92">
        <v>0.05</v>
      </c>
      <c r="CA408" s="90">
        <v>0.44</v>
      </c>
      <c r="CB408" s="90">
        <v>2.85</v>
      </c>
      <c r="CC408" s="92">
        <v>0</v>
      </c>
      <c r="CD408" s="90"/>
      <c r="CE408" s="90"/>
      <c r="CF408" s="90" t="s">
        <v>1552</v>
      </c>
      <c r="CG408" s="90">
        <v>400</v>
      </c>
      <c r="CH408" s="90">
        <v>365</v>
      </c>
      <c r="CI408" s="68"/>
      <c r="CJ408" s="68"/>
      <c r="CK408" s="125">
        <v>430</v>
      </c>
    </row>
    <row r="409" spans="1:89" ht="15" thickBot="1" x14ac:dyDescent="0.35">
      <c r="A409" s="114" t="s">
        <v>27</v>
      </c>
      <c r="C409" t="s">
        <v>742</v>
      </c>
      <c r="E409" s="90">
        <v>4</v>
      </c>
      <c r="F409" s="114" t="s">
        <v>2985</v>
      </c>
      <c r="G409" t="s">
        <v>563</v>
      </c>
      <c r="H409" t="s">
        <v>641</v>
      </c>
      <c r="M409" t="b">
        <v>1</v>
      </c>
      <c r="N409" t="b">
        <v>1</v>
      </c>
      <c r="O409" t="b">
        <v>0</v>
      </c>
      <c r="P409" t="b">
        <v>0</v>
      </c>
      <c r="Q409" t="s">
        <v>563</v>
      </c>
      <c r="R409">
        <v>2102087</v>
      </c>
      <c r="AB409" s="120"/>
      <c r="BT409" s="90" t="s">
        <v>1264</v>
      </c>
      <c r="BU409" s="90">
        <v>1420</v>
      </c>
      <c r="BV409" s="90">
        <v>10</v>
      </c>
      <c r="BW409" s="68"/>
      <c r="BX409" s="90" t="s">
        <v>1533</v>
      </c>
      <c r="BY409" s="92" t="s">
        <v>863</v>
      </c>
      <c r="BZ409" s="92">
        <v>0.05</v>
      </c>
      <c r="CA409" s="90">
        <v>0.44</v>
      </c>
      <c r="CB409" s="90">
        <v>2.85</v>
      </c>
      <c r="CC409" s="92">
        <v>0</v>
      </c>
      <c r="CD409" s="90"/>
      <c r="CE409" s="90"/>
      <c r="CF409" s="90" t="s">
        <v>1552</v>
      </c>
      <c r="CG409" s="90">
        <v>400</v>
      </c>
      <c r="CH409" s="90">
        <v>365</v>
      </c>
      <c r="CI409" s="68"/>
      <c r="CJ409" s="68"/>
      <c r="CK409" s="125">
        <v>29</v>
      </c>
    </row>
    <row r="410" spans="1:89" ht="15" thickBot="1" x14ac:dyDescent="0.35">
      <c r="A410" s="114" t="s">
        <v>28</v>
      </c>
      <c r="C410" t="s">
        <v>805</v>
      </c>
      <c r="E410" s="90">
        <v>4</v>
      </c>
      <c r="F410" s="114" t="s">
        <v>2986</v>
      </c>
      <c r="G410" t="s">
        <v>586</v>
      </c>
      <c r="H410" t="s">
        <v>660</v>
      </c>
      <c r="M410" t="b">
        <v>1</v>
      </c>
      <c r="N410" t="b">
        <v>1</v>
      </c>
      <c r="O410" t="b">
        <v>0</v>
      </c>
      <c r="P410" t="b">
        <v>0</v>
      </c>
      <c r="Q410" t="s">
        <v>586</v>
      </c>
      <c r="R410">
        <v>1521385</v>
      </c>
      <c r="AB410" s="120"/>
      <c r="BT410" s="90" t="s">
        <v>1264</v>
      </c>
      <c r="BU410" s="90">
        <v>770</v>
      </c>
      <c r="BV410" s="90">
        <v>2</v>
      </c>
      <c r="BW410" s="68"/>
      <c r="BX410" s="90" t="s">
        <v>1533</v>
      </c>
      <c r="BY410" s="92" t="s">
        <v>1499</v>
      </c>
      <c r="BZ410" s="92">
        <v>1</v>
      </c>
      <c r="CA410" s="90"/>
      <c r="CB410" s="90">
        <v>2.5</v>
      </c>
      <c r="CC410" s="92">
        <v>0</v>
      </c>
      <c r="CD410" s="90" t="s">
        <v>1646</v>
      </c>
      <c r="CE410" s="90"/>
      <c r="CF410" s="90" t="s">
        <v>1552</v>
      </c>
      <c r="CG410" s="90">
        <v>450</v>
      </c>
      <c r="CH410" s="90">
        <v>365</v>
      </c>
      <c r="CI410" s="68"/>
      <c r="CJ410" s="68"/>
      <c r="CK410" s="125">
        <v>300</v>
      </c>
    </row>
    <row r="411" spans="1:89" ht="15" thickBot="1" x14ac:dyDescent="0.35">
      <c r="A411" s="114" t="s">
        <v>2987</v>
      </c>
      <c r="C411" t="s">
        <v>3345</v>
      </c>
      <c r="E411" s="90">
        <v>3.4</v>
      </c>
      <c r="F411" s="114" t="s">
        <v>2989</v>
      </c>
      <c r="G411" t="s">
        <v>3219</v>
      </c>
      <c r="H411" t="s">
        <v>3220</v>
      </c>
      <c r="M411" t="b">
        <v>1</v>
      </c>
      <c r="N411" t="b">
        <v>1</v>
      </c>
      <c r="O411" t="b">
        <v>0</v>
      </c>
      <c r="P411" t="b">
        <v>0</v>
      </c>
      <c r="Q411" t="s">
        <v>3219</v>
      </c>
      <c r="R411">
        <v>8103400</v>
      </c>
      <c r="AB411" s="120"/>
      <c r="BT411" s="90" t="s">
        <v>1264</v>
      </c>
      <c r="BU411" s="90">
        <v>1350</v>
      </c>
      <c r="BV411" s="90">
        <v>5</v>
      </c>
      <c r="BW411" s="68"/>
      <c r="BX411" s="90" t="s">
        <v>1268</v>
      </c>
      <c r="BY411" s="92" t="s">
        <v>56</v>
      </c>
      <c r="BZ411" s="92">
        <v>0.24</v>
      </c>
      <c r="CA411" s="90">
        <v>1</v>
      </c>
      <c r="CB411" s="90">
        <v>1</v>
      </c>
      <c r="CC411" s="92">
        <v>0</v>
      </c>
      <c r="CD411" s="90"/>
      <c r="CE411" s="90"/>
      <c r="CF411" s="90" t="s">
        <v>1534</v>
      </c>
      <c r="CG411" s="90">
        <v>300</v>
      </c>
      <c r="CH411" s="90">
        <v>300</v>
      </c>
      <c r="CI411" s="68"/>
      <c r="CJ411" s="68"/>
      <c r="CK411" s="125">
        <v>138</v>
      </c>
    </row>
    <row r="412" spans="1:89" ht="15" thickBot="1" x14ac:dyDescent="0.35">
      <c r="A412" s="114" t="s">
        <v>2988</v>
      </c>
      <c r="C412" t="s">
        <v>3346</v>
      </c>
      <c r="E412" s="90">
        <v>3.4</v>
      </c>
      <c r="F412" s="114" t="s">
        <v>2989</v>
      </c>
      <c r="G412" t="s">
        <v>3221</v>
      </c>
      <c r="H412" t="s">
        <v>3222</v>
      </c>
      <c r="M412" t="b">
        <v>1</v>
      </c>
      <c r="N412" t="b">
        <v>1</v>
      </c>
      <c r="O412" t="b">
        <v>0</v>
      </c>
      <c r="P412" t="b">
        <v>0</v>
      </c>
      <c r="Q412" t="s">
        <v>3221</v>
      </c>
      <c r="R412">
        <v>1100916</v>
      </c>
      <c r="AB412" s="120"/>
      <c r="BT412" s="90" t="s">
        <v>1264</v>
      </c>
      <c r="BU412" s="90">
        <v>1150</v>
      </c>
      <c r="BV412" s="90">
        <v>5</v>
      </c>
      <c r="BW412" s="68"/>
      <c r="BX412" s="90" t="s">
        <v>1268</v>
      </c>
      <c r="BY412" s="92" t="s">
        <v>56</v>
      </c>
      <c r="BZ412" s="92">
        <v>0.24</v>
      </c>
      <c r="CA412" s="90">
        <v>1</v>
      </c>
      <c r="CB412" s="90">
        <v>1</v>
      </c>
      <c r="CC412" s="92">
        <v>0</v>
      </c>
      <c r="CD412" s="90" t="s">
        <v>1637</v>
      </c>
      <c r="CE412" s="90"/>
      <c r="CF412" s="90" t="s">
        <v>1534</v>
      </c>
      <c r="CG412" s="90">
        <v>300</v>
      </c>
      <c r="CH412" s="90">
        <v>300</v>
      </c>
      <c r="CI412" s="68"/>
      <c r="CJ412" s="68"/>
      <c r="CK412" s="125">
        <v>103.5</v>
      </c>
    </row>
    <row r="413" spans="1:89" ht="15" thickBot="1" x14ac:dyDescent="0.35">
      <c r="A413" s="114" t="s">
        <v>3527</v>
      </c>
      <c r="C413" t="s">
        <v>3347</v>
      </c>
      <c r="E413" s="90">
        <v>2.4</v>
      </c>
      <c r="F413" s="114" t="s">
        <v>2991</v>
      </c>
      <c r="G413" t="s">
        <v>3155</v>
      </c>
      <c r="H413" t="s">
        <v>3156</v>
      </c>
      <c r="M413" t="b">
        <v>1</v>
      </c>
      <c r="N413" t="b">
        <v>1</v>
      </c>
      <c r="O413" t="b">
        <v>0</v>
      </c>
      <c r="P413" t="b">
        <v>0</v>
      </c>
      <c r="Q413" t="s">
        <v>3155</v>
      </c>
      <c r="R413">
        <v>1512124</v>
      </c>
      <c r="AB413" s="120"/>
      <c r="BT413" s="90" t="s">
        <v>1264</v>
      </c>
      <c r="BU413" s="90">
        <v>1420</v>
      </c>
      <c r="BV413" s="90">
        <v>10</v>
      </c>
      <c r="BW413" s="68"/>
      <c r="BX413" s="90" t="s">
        <v>1268</v>
      </c>
      <c r="BY413" s="92" t="s">
        <v>863</v>
      </c>
      <c r="BZ413" s="92">
        <v>0.3</v>
      </c>
      <c r="CA413" s="90"/>
      <c r="CB413" s="90">
        <v>1.56</v>
      </c>
      <c r="CC413" s="92">
        <v>8</v>
      </c>
      <c r="CD413" s="90" t="s">
        <v>1637</v>
      </c>
      <c r="CE413" s="90"/>
      <c r="CF413" s="90" t="s">
        <v>1534</v>
      </c>
      <c r="CG413" s="90">
        <v>300</v>
      </c>
      <c r="CH413" s="90">
        <v>420</v>
      </c>
      <c r="CI413" s="68"/>
      <c r="CJ413" s="68"/>
      <c r="CK413" s="125">
        <v>156</v>
      </c>
    </row>
    <row r="414" spans="1:89" ht="15" thickBot="1" x14ac:dyDescent="0.35">
      <c r="A414" s="114" t="s">
        <v>2881</v>
      </c>
      <c r="C414" t="s">
        <v>3280</v>
      </c>
      <c r="E414" s="90">
        <v>4.09</v>
      </c>
      <c r="F414" s="114" t="s">
        <v>2994</v>
      </c>
      <c r="G414" t="s">
        <v>586</v>
      </c>
      <c r="H414" t="s">
        <v>660</v>
      </c>
      <c r="M414" t="b">
        <v>1</v>
      </c>
      <c r="N414" t="b">
        <v>1</v>
      </c>
      <c r="O414" t="b">
        <v>0</v>
      </c>
      <c r="P414" t="b">
        <v>0</v>
      </c>
      <c r="Q414" t="s">
        <v>586</v>
      </c>
      <c r="R414">
        <v>1521385</v>
      </c>
      <c r="AB414" s="120"/>
      <c r="BT414" s="90" t="s">
        <v>1264</v>
      </c>
      <c r="BU414" s="90">
        <v>1420</v>
      </c>
      <c r="BV414" s="90">
        <v>10</v>
      </c>
      <c r="BW414" s="68"/>
      <c r="BX414" s="90" t="s">
        <v>1533</v>
      </c>
      <c r="BY414" s="92" t="s">
        <v>56</v>
      </c>
      <c r="BZ414" s="92">
        <v>0.2</v>
      </c>
      <c r="CA414" s="90">
        <v>3.2</v>
      </c>
      <c r="CB414" s="90">
        <v>2.56</v>
      </c>
      <c r="CC414" s="92">
        <v>0</v>
      </c>
      <c r="CD414" s="90" t="s">
        <v>1575</v>
      </c>
      <c r="CE414" s="90"/>
      <c r="CF414" s="90" t="s">
        <v>1552</v>
      </c>
      <c r="CG414" s="90">
        <v>400</v>
      </c>
      <c r="CH414" s="90">
        <v>365</v>
      </c>
      <c r="CI414" s="68"/>
      <c r="CJ414" s="68"/>
      <c r="CK414" s="125">
        <v>19800</v>
      </c>
    </row>
    <row r="415" spans="1:89" ht="15" thickBot="1" x14ac:dyDescent="0.35">
      <c r="A415" s="114" t="s">
        <v>2993</v>
      </c>
      <c r="C415" t="s">
        <v>3348</v>
      </c>
      <c r="E415" s="90">
        <v>4.4249999999999998</v>
      </c>
      <c r="F415" s="114" t="s">
        <v>2992</v>
      </c>
      <c r="G415" t="s">
        <v>3223</v>
      </c>
      <c r="H415" t="s">
        <v>3224</v>
      </c>
      <c r="M415" t="b">
        <v>1</v>
      </c>
      <c r="N415" t="b">
        <v>1</v>
      </c>
      <c r="O415" t="b">
        <v>0</v>
      </c>
      <c r="P415" t="b">
        <v>0</v>
      </c>
      <c r="Q415" t="s">
        <v>3223</v>
      </c>
      <c r="R415">
        <v>2013696</v>
      </c>
      <c r="AB415" s="120"/>
      <c r="BT415" s="90" t="s">
        <v>1264</v>
      </c>
      <c r="BU415" s="90">
        <v>1473</v>
      </c>
      <c r="BV415" s="90">
        <v>16</v>
      </c>
      <c r="BW415" s="68"/>
      <c r="BX415" s="90" t="s">
        <v>1533</v>
      </c>
      <c r="BY415" s="92" t="s">
        <v>1313</v>
      </c>
      <c r="BZ415" s="92">
        <v>1</v>
      </c>
      <c r="CA415" s="90"/>
      <c r="CB415" s="90">
        <v>1</v>
      </c>
      <c r="CC415" s="92">
        <v>0</v>
      </c>
      <c r="CD415" s="90"/>
      <c r="CE415" s="90"/>
      <c r="CF415" s="90" t="s">
        <v>1552</v>
      </c>
      <c r="CG415" s="90">
        <v>200</v>
      </c>
      <c r="CH415" s="90">
        <v>365</v>
      </c>
      <c r="CI415" s="68"/>
      <c r="CJ415" s="68"/>
      <c r="CK415" s="125">
        <v>5</v>
      </c>
    </row>
    <row r="416" spans="1:89" ht="15" thickBot="1" x14ac:dyDescent="0.35">
      <c r="A416" s="114" t="s">
        <v>2995</v>
      </c>
      <c r="C416" t="s">
        <v>3349</v>
      </c>
      <c r="E416" s="90">
        <v>3.51</v>
      </c>
      <c r="F416" s="114" t="s">
        <v>2998</v>
      </c>
      <c r="G416" t="s">
        <v>3154</v>
      </c>
      <c r="H416">
        <v>-1</v>
      </c>
      <c r="I416" t="s">
        <v>3447</v>
      </c>
      <c r="M416" t="b">
        <v>0</v>
      </c>
      <c r="N416" t="b">
        <v>0</v>
      </c>
      <c r="O416" t="b">
        <v>1</v>
      </c>
      <c r="P416" t="b">
        <v>0</v>
      </c>
      <c r="Q416" t="s">
        <v>3154</v>
      </c>
      <c r="R416">
        <v>-1</v>
      </c>
      <c r="S416" t="s">
        <v>3447</v>
      </c>
      <c r="AB416" s="120"/>
      <c r="BT416" s="90" t="s">
        <v>1264</v>
      </c>
      <c r="BU416" s="90">
        <v>1123</v>
      </c>
      <c r="BV416" s="90">
        <v>8</v>
      </c>
      <c r="BW416" s="68"/>
      <c r="BX416" s="90" t="s">
        <v>1533</v>
      </c>
      <c r="BY416" s="92" t="s">
        <v>56</v>
      </c>
      <c r="BZ416" s="92">
        <v>1</v>
      </c>
      <c r="CA416" s="90">
        <v>1.71</v>
      </c>
      <c r="CB416" s="90">
        <v>1.85</v>
      </c>
      <c r="CC416" s="92">
        <v>18.5</v>
      </c>
      <c r="CD416" s="90"/>
      <c r="CE416" s="90"/>
      <c r="CF416" s="90" t="s">
        <v>1552</v>
      </c>
      <c r="CG416" s="90">
        <v>400</v>
      </c>
      <c r="CH416" s="90">
        <v>365</v>
      </c>
      <c r="CI416" s="68"/>
      <c r="CJ416" s="68"/>
      <c r="CK416" s="125">
        <v>54</v>
      </c>
    </row>
    <row r="417" spans="1:89" ht="15" thickBot="1" x14ac:dyDescent="0.35">
      <c r="A417" s="114" t="s">
        <v>2996</v>
      </c>
      <c r="C417" t="s">
        <v>3350</v>
      </c>
      <c r="E417" s="90">
        <v>3.51</v>
      </c>
      <c r="F417" s="114" t="s">
        <v>2998</v>
      </c>
      <c r="G417" t="s">
        <v>3154</v>
      </c>
      <c r="H417">
        <v>-1</v>
      </c>
      <c r="I417" t="s">
        <v>3447</v>
      </c>
      <c r="L417" s="73" t="s">
        <v>3448</v>
      </c>
      <c r="M417" t="b">
        <v>0</v>
      </c>
      <c r="N417" t="b">
        <v>0</v>
      </c>
      <c r="O417" t="b">
        <v>1</v>
      </c>
      <c r="P417" t="b">
        <v>0</v>
      </c>
      <c r="Q417" t="s">
        <v>3154</v>
      </c>
      <c r="R417">
        <v>-1</v>
      </c>
      <c r="S417" t="s">
        <v>3655</v>
      </c>
      <c r="AB417" s="120"/>
      <c r="BT417" s="90" t="s">
        <v>1264</v>
      </c>
      <c r="BU417" s="90">
        <v>1123</v>
      </c>
      <c r="BV417" s="90">
        <v>8</v>
      </c>
      <c r="BW417" s="68"/>
      <c r="BX417" s="90" t="s">
        <v>1533</v>
      </c>
      <c r="BY417" s="92" t="s">
        <v>56</v>
      </c>
      <c r="BZ417" s="92">
        <v>1</v>
      </c>
      <c r="CA417" s="90">
        <v>1.71</v>
      </c>
      <c r="CB417" s="90">
        <v>1.85</v>
      </c>
      <c r="CC417" s="92">
        <v>18.5</v>
      </c>
      <c r="CD417" s="90"/>
      <c r="CE417" s="90"/>
      <c r="CF417" s="90" t="s">
        <v>1552</v>
      </c>
      <c r="CG417" s="90">
        <v>400</v>
      </c>
      <c r="CH417" s="90">
        <v>365</v>
      </c>
      <c r="CI417" s="68"/>
      <c r="CJ417" s="68"/>
      <c r="CK417" s="125">
        <v>27.6</v>
      </c>
    </row>
    <row r="418" spans="1:89" ht="15" thickBot="1" x14ac:dyDescent="0.35">
      <c r="A418" s="114" t="s">
        <v>2997</v>
      </c>
      <c r="C418" t="s">
        <v>3351</v>
      </c>
      <c r="E418" s="90">
        <v>3.51</v>
      </c>
      <c r="F418" s="114" t="s">
        <v>2998</v>
      </c>
      <c r="G418" t="s">
        <v>3154</v>
      </c>
      <c r="H418">
        <v>-1</v>
      </c>
      <c r="I418" t="s">
        <v>3447</v>
      </c>
      <c r="L418" s="73" t="s">
        <v>3449</v>
      </c>
      <c r="M418" t="b">
        <v>0</v>
      </c>
      <c r="N418" t="b">
        <v>0</v>
      </c>
      <c r="O418" t="b">
        <v>1</v>
      </c>
      <c r="P418" t="b">
        <v>0</v>
      </c>
      <c r="Q418" t="s">
        <v>3154</v>
      </c>
      <c r="R418">
        <v>-1</v>
      </c>
      <c r="S418" t="s">
        <v>3656</v>
      </c>
      <c r="AB418" s="120"/>
      <c r="BT418" s="90" t="s">
        <v>1264</v>
      </c>
      <c r="BU418" s="90">
        <v>1123</v>
      </c>
      <c r="BV418" s="90">
        <v>8</v>
      </c>
      <c r="BW418" s="68"/>
      <c r="BX418" s="90" t="s">
        <v>1533</v>
      </c>
      <c r="BY418" s="92" t="s">
        <v>56</v>
      </c>
      <c r="BZ418" s="92">
        <v>1</v>
      </c>
      <c r="CA418" s="90">
        <v>1.71</v>
      </c>
      <c r="CB418" s="90">
        <v>1.85</v>
      </c>
      <c r="CC418" s="92">
        <v>18.5</v>
      </c>
      <c r="CD418" s="90"/>
      <c r="CE418" s="90"/>
      <c r="CF418" s="90" t="s">
        <v>1552</v>
      </c>
      <c r="CG418" s="90">
        <v>400</v>
      </c>
      <c r="CH418" s="90">
        <v>365</v>
      </c>
      <c r="CI418" s="68"/>
      <c r="CJ418" s="68"/>
      <c r="CK418" s="125">
        <v>29.6</v>
      </c>
    </row>
    <row r="419" spans="1:89" ht="15" thickBot="1" x14ac:dyDescent="0.35">
      <c r="A419" s="114" t="s">
        <v>2999</v>
      </c>
      <c r="C419" t="s">
        <v>3352</v>
      </c>
      <c r="E419" s="90">
        <v>2.8</v>
      </c>
      <c r="F419" s="114" t="s">
        <v>3002</v>
      </c>
      <c r="G419" t="s">
        <v>3155</v>
      </c>
      <c r="H419" t="s">
        <v>3156</v>
      </c>
      <c r="J419" s="73" t="s">
        <v>3451</v>
      </c>
      <c r="K419" s="73" t="s">
        <v>3451</v>
      </c>
      <c r="M419" t="b">
        <v>1</v>
      </c>
      <c r="N419" t="b">
        <v>1</v>
      </c>
      <c r="O419" t="b">
        <v>0</v>
      </c>
      <c r="P419" t="b">
        <v>0</v>
      </c>
      <c r="Q419" t="s">
        <v>3657</v>
      </c>
      <c r="R419" t="s">
        <v>3658</v>
      </c>
      <c r="AB419" s="120"/>
      <c r="BT419" s="90" t="s">
        <v>1264</v>
      </c>
      <c r="BU419" s="90">
        <v>1123</v>
      </c>
      <c r="BV419" s="90">
        <v>8</v>
      </c>
      <c r="BW419" s="68"/>
      <c r="BX419" s="90" t="s">
        <v>1533</v>
      </c>
      <c r="BY419" s="92" t="s">
        <v>56</v>
      </c>
      <c r="BZ419" s="92">
        <v>1</v>
      </c>
      <c r="CA419" s="90">
        <v>2.2000000000000002</v>
      </c>
      <c r="CB419" s="90">
        <v>1.85</v>
      </c>
      <c r="CC419" s="92">
        <v>18.5</v>
      </c>
      <c r="CD419" s="90"/>
      <c r="CE419" s="90"/>
      <c r="CF419" s="90" t="s">
        <v>1534</v>
      </c>
      <c r="CG419" s="90">
        <v>300</v>
      </c>
      <c r="CH419" s="90">
        <v>420</v>
      </c>
      <c r="CI419" s="68"/>
      <c r="CJ419" s="68"/>
      <c r="CK419" s="125">
        <v>1.72</v>
      </c>
    </row>
    <row r="420" spans="1:89" ht="15" thickBot="1" x14ac:dyDescent="0.35">
      <c r="A420" s="114" t="s">
        <v>3000</v>
      </c>
      <c r="C420" t="s">
        <v>3353</v>
      </c>
      <c r="E420" s="90">
        <v>2.8</v>
      </c>
      <c r="F420" s="114" t="s">
        <v>3002</v>
      </c>
      <c r="G420" t="s">
        <v>3155</v>
      </c>
      <c r="H420" t="s">
        <v>3156</v>
      </c>
      <c r="J420" s="73" t="s">
        <v>3450</v>
      </c>
      <c r="K420" s="73" t="s">
        <v>3450</v>
      </c>
      <c r="M420" t="b">
        <v>1</v>
      </c>
      <c r="N420" t="b">
        <v>1</v>
      </c>
      <c r="O420" t="b">
        <v>0</v>
      </c>
      <c r="P420" t="b">
        <v>0</v>
      </c>
      <c r="Q420" t="s">
        <v>3659</v>
      </c>
      <c r="R420" t="s">
        <v>3660</v>
      </c>
      <c r="AB420" s="120"/>
      <c r="BT420" s="90" t="s">
        <v>1264</v>
      </c>
      <c r="BU420" s="90">
        <v>1123</v>
      </c>
      <c r="BV420" s="90">
        <v>8</v>
      </c>
      <c r="BW420" s="68"/>
      <c r="BX420" s="90" t="s">
        <v>1533</v>
      </c>
      <c r="BY420" s="92" t="s">
        <v>56</v>
      </c>
      <c r="BZ420" s="92">
        <v>1</v>
      </c>
      <c r="CA420" s="90">
        <v>2.2000000000000002</v>
      </c>
      <c r="CB420" s="90">
        <v>1.85</v>
      </c>
      <c r="CC420" s="92">
        <v>18.5</v>
      </c>
      <c r="CD420" s="90"/>
      <c r="CE420" s="90"/>
      <c r="CF420" s="90" t="s">
        <v>1534</v>
      </c>
      <c r="CG420" s="90">
        <v>300</v>
      </c>
      <c r="CH420" s="90">
        <v>420</v>
      </c>
      <c r="CI420" s="68"/>
      <c r="CJ420" s="68"/>
      <c r="CK420" s="125">
        <v>1.72</v>
      </c>
    </row>
    <row r="421" spans="1:89" ht="15" thickBot="1" x14ac:dyDescent="0.35">
      <c r="A421" s="114" t="s">
        <v>3001</v>
      </c>
      <c r="C421" t="s">
        <v>3354</v>
      </c>
      <c r="E421" s="90">
        <v>2.8</v>
      </c>
      <c r="F421" s="114" t="s">
        <v>3002</v>
      </c>
      <c r="G421" t="s">
        <v>3155</v>
      </c>
      <c r="H421" t="s">
        <v>3156</v>
      </c>
      <c r="J421" s="73" t="s">
        <v>3452</v>
      </c>
      <c r="K421" s="73" t="s">
        <v>3452</v>
      </c>
      <c r="M421" t="b">
        <v>1</v>
      </c>
      <c r="N421" t="b">
        <v>1</v>
      </c>
      <c r="O421" t="b">
        <v>0</v>
      </c>
      <c r="P421" t="b">
        <v>0</v>
      </c>
      <c r="Q421" t="s">
        <v>3661</v>
      </c>
      <c r="R421" t="s">
        <v>3662</v>
      </c>
      <c r="AB421" s="120"/>
      <c r="BT421" s="90" t="s">
        <v>1264</v>
      </c>
      <c r="BU421" s="90">
        <v>1123</v>
      </c>
      <c r="BV421" s="90">
        <v>8</v>
      </c>
      <c r="BW421" s="68"/>
      <c r="BX421" s="90" t="s">
        <v>1533</v>
      </c>
      <c r="BY421" s="92" t="s">
        <v>56</v>
      </c>
      <c r="BZ421" s="92">
        <v>1</v>
      </c>
      <c r="CA421" s="90">
        <v>2.2000000000000002</v>
      </c>
      <c r="CB421" s="90">
        <v>1.85</v>
      </c>
      <c r="CC421" s="92">
        <v>18.5</v>
      </c>
      <c r="CD421" s="90"/>
      <c r="CE421" s="90"/>
      <c r="CF421" s="90" t="s">
        <v>1534</v>
      </c>
      <c r="CG421" s="90">
        <v>300</v>
      </c>
      <c r="CH421" s="90">
        <v>420</v>
      </c>
      <c r="CI421" s="68"/>
      <c r="CJ421" s="68"/>
      <c r="CK421" s="125">
        <v>2.74</v>
      </c>
    </row>
    <row r="422" spans="1:89" ht="15" thickBot="1" x14ac:dyDescent="0.35">
      <c r="A422" s="114" t="s">
        <v>3004</v>
      </c>
      <c r="C422" t="s">
        <v>3355</v>
      </c>
      <c r="E422" s="90">
        <v>3.82</v>
      </c>
      <c r="F422" s="114" t="s">
        <v>3005</v>
      </c>
      <c r="G422" t="s">
        <v>3155</v>
      </c>
      <c r="H422" t="s">
        <v>3156</v>
      </c>
      <c r="J422" s="73" t="s">
        <v>3453</v>
      </c>
      <c r="K422" s="73" t="s">
        <v>3453</v>
      </c>
      <c r="M422" t="b">
        <v>1</v>
      </c>
      <c r="N422" t="b">
        <v>1</v>
      </c>
      <c r="O422" t="b">
        <v>0</v>
      </c>
      <c r="P422" t="b">
        <v>0</v>
      </c>
      <c r="Q422" t="s">
        <v>3663</v>
      </c>
      <c r="R422" t="s">
        <v>3664</v>
      </c>
      <c r="AB422" s="120"/>
      <c r="BT422" s="90" t="s">
        <v>1264</v>
      </c>
      <c r="BU422" s="90">
        <v>1123</v>
      </c>
      <c r="BV422" s="90">
        <v>8</v>
      </c>
      <c r="BW422" s="68"/>
      <c r="BX422" s="90" t="s">
        <v>1268</v>
      </c>
      <c r="BY422" s="92" t="s">
        <v>863</v>
      </c>
      <c r="BZ422" s="92">
        <v>0.5</v>
      </c>
      <c r="CA422" s="90">
        <v>0.61</v>
      </c>
      <c r="CB422" s="90">
        <v>1.35</v>
      </c>
      <c r="CC422" s="92">
        <v>13.5</v>
      </c>
      <c r="CD422" s="90"/>
      <c r="CE422" s="90"/>
      <c r="CF422" s="90" t="s">
        <v>1552</v>
      </c>
      <c r="CG422" s="90">
        <v>400</v>
      </c>
      <c r="CH422" s="90">
        <v>365</v>
      </c>
      <c r="CI422" s="68"/>
      <c r="CJ422" s="68"/>
      <c r="CK422" s="125">
        <v>1416.4</v>
      </c>
    </row>
    <row r="423" spans="1:89" ht="15" thickBot="1" x14ac:dyDescent="0.35">
      <c r="A423" s="114" t="s">
        <v>3003</v>
      </c>
      <c r="C423" t="s">
        <v>3356</v>
      </c>
      <c r="E423" s="90">
        <v>3.82</v>
      </c>
      <c r="F423" s="114" t="s">
        <v>3005</v>
      </c>
      <c r="G423" t="s">
        <v>3225</v>
      </c>
      <c r="H423">
        <v>-1</v>
      </c>
      <c r="M423" t="b">
        <v>1</v>
      </c>
      <c r="N423" t="b">
        <v>0</v>
      </c>
      <c r="O423" t="b">
        <v>0</v>
      </c>
      <c r="P423" t="b">
        <v>0</v>
      </c>
      <c r="Q423" t="s">
        <v>3225</v>
      </c>
      <c r="R423">
        <v>-1</v>
      </c>
      <c r="AB423" s="120"/>
      <c r="BT423" s="90" t="s">
        <v>1264</v>
      </c>
      <c r="BU423" s="90">
        <v>1123</v>
      </c>
      <c r="BV423" s="90">
        <v>8</v>
      </c>
      <c r="BW423" s="68"/>
      <c r="BX423" s="90" t="s">
        <v>1268</v>
      </c>
      <c r="BY423" s="92" t="s">
        <v>863</v>
      </c>
      <c r="BZ423" s="92">
        <v>0.5</v>
      </c>
      <c r="CA423" s="90">
        <v>0.61</v>
      </c>
      <c r="CB423" s="90">
        <v>1.35</v>
      </c>
      <c r="CC423" s="92">
        <v>13.5</v>
      </c>
      <c r="CD423" s="90"/>
      <c r="CE423" s="90"/>
      <c r="CF423" s="90" t="s">
        <v>1552</v>
      </c>
      <c r="CG423" s="90">
        <v>400</v>
      </c>
      <c r="CH423" s="90">
        <v>365</v>
      </c>
      <c r="CI423" s="68"/>
      <c r="CJ423" s="68"/>
      <c r="CK423" s="125">
        <v>389.6</v>
      </c>
    </row>
    <row r="424" spans="1:89" ht="15" thickBot="1" x14ac:dyDescent="0.35">
      <c r="A424" s="114" t="s">
        <v>1376</v>
      </c>
      <c r="C424" t="s">
        <v>3249</v>
      </c>
      <c r="E424" s="90">
        <v>1.7</v>
      </c>
      <c r="F424" s="114" t="s">
        <v>3008</v>
      </c>
      <c r="G424" t="s">
        <v>3155</v>
      </c>
      <c r="H424" t="s">
        <v>3156</v>
      </c>
      <c r="M424" t="b">
        <v>1</v>
      </c>
      <c r="N424" t="b">
        <v>1</v>
      </c>
      <c r="O424" t="b">
        <v>0</v>
      </c>
      <c r="P424" t="b">
        <v>0</v>
      </c>
      <c r="Q424" t="s">
        <v>3155</v>
      </c>
      <c r="R424">
        <v>1512124</v>
      </c>
      <c r="AB424" s="120"/>
      <c r="BT424" s="90" t="s">
        <v>1264</v>
      </c>
      <c r="BU424" s="90">
        <v>1373</v>
      </c>
      <c r="BV424" s="90">
        <v>15</v>
      </c>
      <c r="BW424" s="68"/>
      <c r="BX424" s="90" t="s">
        <v>1268</v>
      </c>
      <c r="BY424" s="92" t="s">
        <v>863</v>
      </c>
      <c r="BZ424" s="92">
        <v>0.1</v>
      </c>
      <c r="CA424" s="90"/>
      <c r="CB424" s="90">
        <v>2</v>
      </c>
      <c r="CC424" s="92">
        <v>10</v>
      </c>
      <c r="CD424" s="90"/>
      <c r="CE424" s="90"/>
      <c r="CF424" s="90" t="s">
        <v>1534</v>
      </c>
      <c r="CG424" s="90">
        <v>300</v>
      </c>
      <c r="CH424" s="90">
        <v>440</v>
      </c>
      <c r="CI424" s="68"/>
      <c r="CJ424" s="68"/>
      <c r="CK424" s="125">
        <v>390</v>
      </c>
    </row>
    <row r="425" spans="1:89" ht="15" thickBot="1" x14ac:dyDescent="0.35">
      <c r="A425" s="114" t="s">
        <v>3006</v>
      </c>
      <c r="C425" t="s">
        <v>3357</v>
      </c>
      <c r="E425" s="90">
        <v>3.82</v>
      </c>
      <c r="F425" s="114" t="s">
        <v>3005</v>
      </c>
      <c r="G425" t="s">
        <v>3155</v>
      </c>
      <c r="H425" t="s">
        <v>3156</v>
      </c>
      <c r="J425" s="73" t="s">
        <v>3454</v>
      </c>
      <c r="K425" s="73" t="s">
        <v>3454</v>
      </c>
      <c r="M425" t="b">
        <v>1</v>
      </c>
      <c r="N425" t="b">
        <v>1</v>
      </c>
      <c r="O425" t="b">
        <v>0</v>
      </c>
      <c r="P425" t="b">
        <v>0</v>
      </c>
      <c r="Q425" t="s">
        <v>3665</v>
      </c>
      <c r="R425" t="s">
        <v>3666</v>
      </c>
      <c r="AB425" s="120"/>
      <c r="BT425" s="90" t="s">
        <v>1264</v>
      </c>
      <c r="BU425" s="90">
        <v>1123</v>
      </c>
      <c r="BV425" s="90">
        <v>8</v>
      </c>
      <c r="BW425" s="68"/>
      <c r="BX425" s="90" t="s">
        <v>1268</v>
      </c>
      <c r="BY425" s="92" t="s">
        <v>863</v>
      </c>
      <c r="BZ425" s="92">
        <v>0.5</v>
      </c>
      <c r="CA425" s="90">
        <v>0.61</v>
      </c>
      <c r="CB425" s="90">
        <v>1.35</v>
      </c>
      <c r="CC425" s="92">
        <v>13.5</v>
      </c>
      <c r="CD425" s="90"/>
      <c r="CE425" s="90"/>
      <c r="CF425" s="90" t="s">
        <v>1552</v>
      </c>
      <c r="CG425" s="90">
        <v>400</v>
      </c>
      <c r="CH425" s="90">
        <v>365</v>
      </c>
      <c r="CI425" s="68"/>
      <c r="CJ425" s="68"/>
      <c r="CK425" s="125">
        <v>136.44</v>
      </c>
    </row>
    <row r="426" spans="1:89" ht="15" thickBot="1" x14ac:dyDescent="0.35">
      <c r="A426" s="114" t="s">
        <v>3007</v>
      </c>
      <c r="C426" t="s">
        <v>3358</v>
      </c>
      <c r="E426" s="90">
        <v>3.82</v>
      </c>
      <c r="F426" s="114" t="s">
        <v>3005</v>
      </c>
      <c r="G426" t="s">
        <v>3155</v>
      </c>
      <c r="H426" t="s">
        <v>3156</v>
      </c>
      <c r="J426" s="73" t="s">
        <v>3455</v>
      </c>
      <c r="K426" s="73" t="s">
        <v>3455</v>
      </c>
      <c r="M426" t="b">
        <v>1</v>
      </c>
      <c r="N426" t="b">
        <v>1</v>
      </c>
      <c r="O426" t="b">
        <v>0</v>
      </c>
      <c r="P426" t="b">
        <v>0</v>
      </c>
      <c r="Q426" t="s">
        <v>3667</v>
      </c>
      <c r="R426" t="s">
        <v>3668</v>
      </c>
      <c r="AB426" s="120"/>
      <c r="BT426" s="90" t="s">
        <v>1264</v>
      </c>
      <c r="BU426" s="90">
        <v>1123</v>
      </c>
      <c r="BV426" s="90">
        <v>8</v>
      </c>
      <c r="BW426" s="68"/>
      <c r="BX426" s="90" t="s">
        <v>1268</v>
      </c>
      <c r="BY426" s="92" t="s">
        <v>863</v>
      </c>
      <c r="BZ426" s="92">
        <v>0.5</v>
      </c>
      <c r="CA426" s="90">
        <v>0.61</v>
      </c>
      <c r="CB426" s="90">
        <v>1.35</v>
      </c>
      <c r="CC426" s="92">
        <v>13.5</v>
      </c>
      <c r="CD426" s="90"/>
      <c r="CE426" s="90"/>
      <c r="CF426" s="90" t="s">
        <v>1552</v>
      </c>
      <c r="CG426" s="90">
        <v>400</v>
      </c>
      <c r="CH426" s="90">
        <v>365</v>
      </c>
      <c r="CI426" s="68"/>
      <c r="CJ426" s="68"/>
      <c r="CK426" s="125">
        <v>84.32</v>
      </c>
    </row>
    <row r="427" spans="1:89" ht="15" thickBot="1" x14ac:dyDescent="0.35">
      <c r="A427" s="114" t="s">
        <v>3004</v>
      </c>
      <c r="C427" t="s">
        <v>3355</v>
      </c>
      <c r="E427" s="90">
        <v>3.9</v>
      </c>
      <c r="F427" s="114" t="s">
        <v>3009</v>
      </c>
      <c r="G427" t="s">
        <v>3155</v>
      </c>
      <c r="H427" t="s">
        <v>3156</v>
      </c>
      <c r="J427" s="73" t="s">
        <v>3453</v>
      </c>
      <c r="K427" s="73" t="s">
        <v>3453</v>
      </c>
      <c r="M427" t="b">
        <v>1</v>
      </c>
      <c r="N427" t="b">
        <v>1</v>
      </c>
      <c r="O427" t="b">
        <v>0</v>
      </c>
      <c r="P427" t="b">
        <v>0</v>
      </c>
      <c r="Q427" t="s">
        <v>3669</v>
      </c>
      <c r="R427" t="s">
        <v>3670</v>
      </c>
      <c r="AB427" s="120"/>
      <c r="BT427" s="90" t="s">
        <v>1264</v>
      </c>
      <c r="BU427" s="90">
        <v>1473</v>
      </c>
      <c r="BV427" s="90">
        <v>32</v>
      </c>
      <c r="BW427" s="68"/>
      <c r="BX427" s="90" t="s">
        <v>1533</v>
      </c>
      <c r="BY427" s="92" t="s">
        <v>56</v>
      </c>
      <c r="BZ427" s="92">
        <v>1</v>
      </c>
      <c r="CA427" s="90">
        <v>1.24</v>
      </c>
      <c r="CB427" s="90">
        <v>1.35</v>
      </c>
      <c r="CC427" s="92">
        <v>13.5</v>
      </c>
      <c r="CD427" s="90"/>
      <c r="CE427" s="90"/>
      <c r="CF427" s="90" t="s">
        <v>1552</v>
      </c>
      <c r="CG427" s="90">
        <v>400</v>
      </c>
      <c r="CH427" s="90">
        <v>365</v>
      </c>
      <c r="CI427" s="68"/>
      <c r="CJ427" s="68"/>
      <c r="CK427" s="125">
        <v>584.44000000000005</v>
      </c>
    </row>
    <row r="428" spans="1:89" ht="15" thickBot="1" x14ac:dyDescent="0.35">
      <c r="A428" s="114" t="s">
        <v>3011</v>
      </c>
      <c r="C428" t="s">
        <v>3327</v>
      </c>
      <c r="E428" s="90">
        <v>3.54</v>
      </c>
      <c r="F428" s="114" t="s">
        <v>3010</v>
      </c>
      <c r="G428" t="s">
        <v>563</v>
      </c>
      <c r="H428" t="s">
        <v>641</v>
      </c>
      <c r="J428" s="73" t="s">
        <v>3456</v>
      </c>
      <c r="K428" s="73" t="s">
        <v>3456</v>
      </c>
      <c r="M428" t="b">
        <v>1</v>
      </c>
      <c r="N428" t="b">
        <v>1</v>
      </c>
      <c r="O428" t="b">
        <v>0</v>
      </c>
      <c r="P428" t="b">
        <v>0</v>
      </c>
      <c r="Q428" t="s">
        <v>3671</v>
      </c>
      <c r="R428" t="s">
        <v>3672</v>
      </c>
      <c r="AB428" s="120"/>
      <c r="BT428" s="90" t="s">
        <v>1264</v>
      </c>
      <c r="BU428" s="90">
        <v>1173</v>
      </c>
      <c r="BV428" s="90">
        <v>10</v>
      </c>
      <c r="BW428" s="68"/>
      <c r="BX428" s="90" t="s">
        <v>1533</v>
      </c>
      <c r="BY428" s="92" t="s">
        <v>863</v>
      </c>
      <c r="BZ428" s="92">
        <v>0.2</v>
      </c>
      <c r="CA428" s="90"/>
      <c r="CB428" s="90">
        <v>3.33</v>
      </c>
      <c r="CC428" s="92">
        <v>0</v>
      </c>
      <c r="CD428" s="90" t="s">
        <v>1576</v>
      </c>
      <c r="CE428" s="90"/>
      <c r="CF428" s="90" t="s">
        <v>1534</v>
      </c>
      <c r="CG428" s="90">
        <v>500</v>
      </c>
      <c r="CH428" s="90">
        <v>420</v>
      </c>
      <c r="CI428" s="68"/>
      <c r="CJ428" s="68"/>
      <c r="CK428" s="125">
        <v>575</v>
      </c>
    </row>
    <row r="429" spans="1:89" ht="15" thickBot="1" x14ac:dyDescent="0.35">
      <c r="A429" s="114" t="s">
        <v>3013</v>
      </c>
      <c r="C429" t="s">
        <v>3359</v>
      </c>
      <c r="E429" s="90">
        <v>3.7</v>
      </c>
      <c r="F429" s="114" t="s">
        <v>3012</v>
      </c>
      <c r="G429" t="s">
        <v>3154</v>
      </c>
      <c r="H429">
        <v>-1</v>
      </c>
      <c r="M429" t="b">
        <v>0</v>
      </c>
      <c r="N429" t="b">
        <v>0</v>
      </c>
      <c r="O429" t="b">
        <v>0</v>
      </c>
      <c r="P429" t="b">
        <v>1</v>
      </c>
      <c r="Q429" t="s">
        <v>3154</v>
      </c>
      <c r="R429">
        <v>-1</v>
      </c>
      <c r="AB429" s="120"/>
      <c r="BT429" s="90" t="s">
        <v>1264</v>
      </c>
      <c r="BU429" s="90"/>
      <c r="BV429" s="90"/>
      <c r="BW429" s="68"/>
      <c r="BX429" s="90"/>
      <c r="BY429" s="92"/>
      <c r="BZ429" s="92"/>
      <c r="CA429" s="90"/>
      <c r="CB429" s="90">
        <v>1</v>
      </c>
      <c r="CC429" s="92">
        <v>8</v>
      </c>
      <c r="CD429" s="90"/>
      <c r="CE429" s="90"/>
      <c r="CF429" s="90" t="s">
        <v>1370</v>
      </c>
      <c r="CG429" s="90">
        <v>250</v>
      </c>
      <c r="CH429" s="90"/>
      <c r="CI429" s="68"/>
      <c r="CJ429" s="68"/>
      <c r="CK429" s="125">
        <v>85</v>
      </c>
    </row>
    <row r="430" spans="1:89" ht="15" thickBot="1" x14ac:dyDescent="0.35">
      <c r="A430" s="114" t="s">
        <v>3014</v>
      </c>
      <c r="C430" t="s">
        <v>3360</v>
      </c>
      <c r="E430" s="90">
        <v>3.26</v>
      </c>
      <c r="F430" s="114" t="s">
        <v>3012</v>
      </c>
      <c r="G430" t="s">
        <v>3154</v>
      </c>
      <c r="H430">
        <v>-1</v>
      </c>
      <c r="M430" t="b">
        <v>0</v>
      </c>
      <c r="N430" t="b">
        <v>0</v>
      </c>
      <c r="O430" t="b">
        <v>0</v>
      </c>
      <c r="P430" t="b">
        <v>1</v>
      </c>
      <c r="Q430" t="s">
        <v>3154</v>
      </c>
      <c r="R430">
        <v>-1</v>
      </c>
      <c r="AB430" s="120"/>
      <c r="BT430" s="90" t="s">
        <v>1264</v>
      </c>
      <c r="BU430" s="90"/>
      <c r="BV430" s="90"/>
      <c r="BW430" s="68"/>
      <c r="BX430" s="90"/>
      <c r="BY430" s="92"/>
      <c r="BZ430" s="92"/>
      <c r="CA430" s="90"/>
      <c r="CB430" s="90">
        <v>1</v>
      </c>
      <c r="CC430" s="92">
        <v>8</v>
      </c>
      <c r="CD430" s="90"/>
      <c r="CE430" s="90"/>
      <c r="CF430" s="90" t="s">
        <v>1370</v>
      </c>
      <c r="CG430" s="90">
        <v>250</v>
      </c>
      <c r="CH430" s="90">
        <v>420</v>
      </c>
      <c r="CI430" s="68"/>
      <c r="CJ430" s="68"/>
      <c r="CK430" s="125">
        <v>129</v>
      </c>
    </row>
    <row r="431" spans="1:89" ht="15" thickBot="1" x14ac:dyDescent="0.35">
      <c r="A431" s="114" t="s">
        <v>28</v>
      </c>
      <c r="C431" t="s">
        <v>805</v>
      </c>
      <c r="E431" s="90">
        <v>3.99</v>
      </c>
      <c r="F431" s="114" t="s">
        <v>3015</v>
      </c>
      <c r="G431" t="s">
        <v>586</v>
      </c>
      <c r="H431" t="s">
        <v>660</v>
      </c>
      <c r="M431" t="b">
        <v>1</v>
      </c>
      <c r="N431" t="b">
        <v>1</v>
      </c>
      <c r="O431" t="b">
        <v>0</v>
      </c>
      <c r="P431" t="b">
        <v>0</v>
      </c>
      <c r="Q431" t="s">
        <v>586</v>
      </c>
      <c r="R431">
        <v>1521385</v>
      </c>
      <c r="AB431" s="120"/>
      <c r="BT431" s="90" t="s">
        <v>1264</v>
      </c>
      <c r="BU431" s="90">
        <v>1473</v>
      </c>
      <c r="BV431" s="90">
        <v>10</v>
      </c>
      <c r="BW431" s="68"/>
      <c r="BX431" s="90"/>
      <c r="BY431" s="92"/>
      <c r="BZ431" s="92"/>
      <c r="CA431" s="90">
        <v>23</v>
      </c>
      <c r="CB431" s="90">
        <v>1.1100000000000001</v>
      </c>
      <c r="CC431" s="92">
        <v>0</v>
      </c>
      <c r="CD431" s="90"/>
      <c r="CE431" s="90"/>
      <c r="CF431" s="90" t="s">
        <v>1552</v>
      </c>
      <c r="CG431" s="90">
        <v>400</v>
      </c>
      <c r="CH431" s="90">
        <v>365</v>
      </c>
      <c r="CI431" s="68"/>
      <c r="CJ431" s="68"/>
      <c r="CK431" s="125">
        <v>1940</v>
      </c>
    </row>
    <row r="432" spans="1:89" ht="15" thickBot="1" x14ac:dyDescent="0.35">
      <c r="A432" s="114" t="s">
        <v>3001</v>
      </c>
      <c r="C432" t="s">
        <v>3354</v>
      </c>
      <c r="E432" s="90">
        <v>3</v>
      </c>
      <c r="F432" s="114" t="s">
        <v>3016</v>
      </c>
      <c r="G432" t="s">
        <v>3155</v>
      </c>
      <c r="H432" t="s">
        <v>3156</v>
      </c>
      <c r="J432" s="73" t="s">
        <v>3452</v>
      </c>
      <c r="K432" s="73" t="s">
        <v>3452</v>
      </c>
      <c r="M432" t="b">
        <v>1</v>
      </c>
      <c r="N432" t="b">
        <v>1</v>
      </c>
      <c r="O432" t="b">
        <v>0</v>
      </c>
      <c r="P432" t="b">
        <v>0</v>
      </c>
      <c r="Q432" t="s">
        <v>3673</v>
      </c>
      <c r="R432" t="s">
        <v>3674</v>
      </c>
      <c r="AB432" s="120"/>
      <c r="BT432" s="90" t="s">
        <v>1407</v>
      </c>
      <c r="BU432" s="90">
        <v>1023</v>
      </c>
      <c r="BV432" s="90">
        <v>2</v>
      </c>
      <c r="BW432" s="68"/>
      <c r="BX432" s="90" t="s">
        <v>1533</v>
      </c>
      <c r="BY432" s="92" t="s">
        <v>863</v>
      </c>
      <c r="BZ432" s="92">
        <v>0.5</v>
      </c>
      <c r="CA432" s="90">
        <v>19.7</v>
      </c>
      <c r="CB432" s="90">
        <v>0.74</v>
      </c>
      <c r="CC432" s="92">
        <v>18.5</v>
      </c>
      <c r="CD432" s="90"/>
      <c r="CE432" s="90"/>
      <c r="CF432" s="90" t="s">
        <v>1534</v>
      </c>
      <c r="CG432" s="90">
        <v>300</v>
      </c>
      <c r="CH432" s="90">
        <v>420</v>
      </c>
      <c r="CI432" s="68"/>
      <c r="CJ432" s="68"/>
      <c r="CK432" s="125">
        <v>18.100000000000001</v>
      </c>
    </row>
    <row r="433" spans="1:89" ht="15" thickBot="1" x14ac:dyDescent="0.35">
      <c r="A433" s="114" t="s">
        <v>4360</v>
      </c>
      <c r="C433" t="s">
        <v>3249</v>
      </c>
      <c r="E433" s="90">
        <v>1.9</v>
      </c>
      <c r="F433" s="114" t="s">
        <v>3018</v>
      </c>
      <c r="G433" t="s">
        <v>3154</v>
      </c>
      <c r="H433" t="s">
        <v>3156</v>
      </c>
      <c r="M433" t="b">
        <v>0</v>
      </c>
      <c r="N433" t="b">
        <v>0</v>
      </c>
      <c r="O433" t="b">
        <v>0</v>
      </c>
      <c r="P433" t="b">
        <v>1</v>
      </c>
      <c r="Q433" t="s">
        <v>3154</v>
      </c>
      <c r="R433">
        <v>1512124</v>
      </c>
      <c r="AB433" s="120"/>
      <c r="BT433" s="90" t="s">
        <v>1407</v>
      </c>
      <c r="BU433" s="90">
        <v>1373</v>
      </c>
      <c r="BV433" s="90">
        <v>24</v>
      </c>
      <c r="BW433" s="68"/>
      <c r="BX433" s="90" t="s">
        <v>1533</v>
      </c>
      <c r="BY433" s="92" t="s">
        <v>863</v>
      </c>
      <c r="BZ433" s="92">
        <v>0.4</v>
      </c>
      <c r="CA433" s="90">
        <v>1.92</v>
      </c>
      <c r="CB433" s="90">
        <v>0.92</v>
      </c>
      <c r="CC433" s="92">
        <v>18.5</v>
      </c>
      <c r="CD433" s="90"/>
      <c r="CE433" s="90"/>
      <c r="CF433" s="90" t="s">
        <v>1552</v>
      </c>
      <c r="CG433" s="90">
        <v>300</v>
      </c>
      <c r="CH433" s="90">
        <v>420</v>
      </c>
      <c r="CI433" s="68"/>
      <c r="CJ433" s="68"/>
      <c r="CK433" s="125">
        <v>84</v>
      </c>
    </row>
    <row r="434" spans="1:89" ht="15" thickBot="1" x14ac:dyDescent="0.35">
      <c r="A434" s="114" t="s">
        <v>2841</v>
      </c>
      <c r="C434" t="s">
        <v>3272</v>
      </c>
      <c r="E434" s="90">
        <v>4.0999999999999996</v>
      </c>
      <c r="F434" s="114" t="s">
        <v>2932</v>
      </c>
      <c r="G434" t="s">
        <v>3173</v>
      </c>
      <c r="H434" t="s">
        <v>3174</v>
      </c>
      <c r="M434" t="b">
        <v>1</v>
      </c>
      <c r="N434" t="b">
        <v>1</v>
      </c>
      <c r="O434" t="b">
        <v>0</v>
      </c>
      <c r="P434" t="b">
        <v>0</v>
      </c>
      <c r="Q434" t="s">
        <v>3173</v>
      </c>
      <c r="R434">
        <v>1521093</v>
      </c>
      <c r="AB434" s="120"/>
      <c r="BT434" s="90" t="s">
        <v>1336</v>
      </c>
      <c r="BU434" s="90"/>
      <c r="BV434" s="90"/>
      <c r="BW434" s="68"/>
      <c r="BX434" s="90"/>
      <c r="BY434" s="92" t="s">
        <v>863</v>
      </c>
      <c r="BZ434" s="92">
        <v>0.5</v>
      </c>
      <c r="CA434" s="90">
        <v>0.4</v>
      </c>
      <c r="CB434" s="90">
        <v>0.54</v>
      </c>
      <c r="CC434" s="92">
        <v>13.5</v>
      </c>
      <c r="CD434" s="90" t="s">
        <v>1637</v>
      </c>
      <c r="CE434" s="90"/>
      <c r="CF434" s="90" t="s">
        <v>1552</v>
      </c>
      <c r="CG434" s="90">
        <v>400</v>
      </c>
      <c r="CH434" s="90">
        <v>365</v>
      </c>
      <c r="CI434" s="68"/>
      <c r="CJ434" s="68"/>
      <c r="CK434" s="125">
        <v>8.1999999999999993</v>
      </c>
    </row>
    <row r="435" spans="1:89" ht="15" thickBot="1" x14ac:dyDescent="0.35">
      <c r="A435" s="114" t="s">
        <v>28</v>
      </c>
      <c r="C435" t="s">
        <v>805</v>
      </c>
      <c r="E435" s="90">
        <v>3.9</v>
      </c>
      <c r="F435" s="114" t="s">
        <v>2904</v>
      </c>
      <c r="G435" t="s">
        <v>586</v>
      </c>
      <c r="H435" t="s">
        <v>660</v>
      </c>
      <c r="M435" t="b">
        <v>1</v>
      </c>
      <c r="N435" t="b">
        <v>1</v>
      </c>
      <c r="O435" t="b">
        <v>0</v>
      </c>
      <c r="P435" t="b">
        <v>0</v>
      </c>
      <c r="Q435" t="s">
        <v>586</v>
      </c>
      <c r="R435">
        <v>1521385</v>
      </c>
      <c r="AB435" s="120"/>
      <c r="BT435" s="90" t="s">
        <v>1336</v>
      </c>
      <c r="BU435" s="90">
        <v>1473</v>
      </c>
      <c r="BV435" s="90">
        <v>10</v>
      </c>
      <c r="BW435" s="68"/>
      <c r="BX435" s="90"/>
      <c r="BY435" s="92"/>
      <c r="BZ435" s="92"/>
      <c r="CA435" s="90">
        <v>23</v>
      </c>
      <c r="CB435" s="90">
        <v>1.1100000000000001</v>
      </c>
      <c r="CC435" s="92">
        <v>0</v>
      </c>
      <c r="CD435" s="90"/>
      <c r="CE435" s="90"/>
      <c r="CF435" s="90" t="s">
        <v>1552</v>
      </c>
      <c r="CG435" s="90">
        <v>400</v>
      </c>
      <c r="CH435" s="90">
        <v>365</v>
      </c>
      <c r="CI435" s="68"/>
      <c r="CJ435" s="68"/>
      <c r="CK435" s="125">
        <v>2050</v>
      </c>
    </row>
    <row r="436" spans="1:89" ht="15" thickBot="1" x14ac:dyDescent="0.35">
      <c r="A436" s="114" t="s">
        <v>2902</v>
      </c>
      <c r="C436" t="s">
        <v>3297</v>
      </c>
      <c r="E436" s="90">
        <v>3.08</v>
      </c>
      <c r="F436" s="114" t="s">
        <v>3019</v>
      </c>
      <c r="G436" t="s">
        <v>3185</v>
      </c>
      <c r="H436" t="s">
        <v>3186</v>
      </c>
      <c r="M436" t="b">
        <v>1</v>
      </c>
      <c r="N436" t="b">
        <v>1</v>
      </c>
      <c r="O436" t="b">
        <v>0</v>
      </c>
      <c r="P436" t="b">
        <v>0</v>
      </c>
      <c r="Q436" t="s">
        <v>3185</v>
      </c>
      <c r="R436">
        <v>1011064</v>
      </c>
      <c r="AB436" s="120"/>
      <c r="BT436" s="90" t="s">
        <v>1264</v>
      </c>
      <c r="BU436" s="90"/>
      <c r="BV436" s="90"/>
      <c r="BW436" s="68"/>
      <c r="BX436" s="90"/>
      <c r="BY436" s="92"/>
      <c r="BZ436" s="92"/>
      <c r="CA436" s="90">
        <v>2.08</v>
      </c>
      <c r="CB436" s="90">
        <v>2.38</v>
      </c>
      <c r="CC436" s="92">
        <v>5</v>
      </c>
      <c r="CD436" s="90"/>
      <c r="CE436" s="90"/>
      <c r="CF436" s="90" t="s">
        <v>1552</v>
      </c>
      <c r="CG436" s="90">
        <v>350</v>
      </c>
      <c r="CH436" s="90">
        <v>365</v>
      </c>
      <c r="CI436" s="68"/>
      <c r="CJ436" s="68"/>
      <c r="CK436" s="125">
        <v>950</v>
      </c>
    </row>
    <row r="437" spans="1:89" ht="15" thickBot="1" x14ac:dyDescent="0.35">
      <c r="A437" s="114" t="s">
        <v>1273</v>
      </c>
      <c r="C437" t="s">
        <v>3260</v>
      </c>
      <c r="E437" s="90">
        <v>3.08</v>
      </c>
      <c r="F437" s="114" t="s">
        <v>3019</v>
      </c>
      <c r="G437" t="s">
        <v>3163</v>
      </c>
      <c r="H437" t="s">
        <v>3164</v>
      </c>
      <c r="M437" t="b">
        <v>1</v>
      </c>
      <c r="N437" t="b">
        <v>1</v>
      </c>
      <c r="O437" t="b">
        <v>0</v>
      </c>
      <c r="P437" t="b">
        <v>0</v>
      </c>
      <c r="Q437" t="s">
        <v>3163</v>
      </c>
      <c r="R437">
        <v>1531431</v>
      </c>
      <c r="AB437" s="120"/>
      <c r="BT437" s="90" t="s">
        <v>1407</v>
      </c>
      <c r="BU437" s="90"/>
      <c r="BV437" s="90"/>
      <c r="BW437" s="68"/>
      <c r="BX437" s="90"/>
      <c r="BY437" s="92"/>
      <c r="BZ437" s="92"/>
      <c r="CA437" s="90">
        <v>2.08</v>
      </c>
      <c r="CB437" s="90">
        <v>2.38</v>
      </c>
      <c r="CC437" s="92">
        <v>5</v>
      </c>
      <c r="CD437" s="90"/>
      <c r="CE437" s="90"/>
      <c r="CF437" s="90" t="s">
        <v>1552</v>
      </c>
      <c r="CG437" s="90">
        <v>350</v>
      </c>
      <c r="CH437" s="90">
        <v>365</v>
      </c>
      <c r="CI437" s="68"/>
      <c r="CJ437" s="68"/>
      <c r="CK437" s="125">
        <v>100</v>
      </c>
    </row>
    <row r="438" spans="1:89" ht="15" thickBot="1" x14ac:dyDescent="0.35">
      <c r="A438" s="114" t="s">
        <v>28</v>
      </c>
      <c r="C438" t="s">
        <v>805</v>
      </c>
      <c r="E438" s="90">
        <v>3.08</v>
      </c>
      <c r="F438" s="114" t="s">
        <v>3019</v>
      </c>
      <c r="G438" t="s">
        <v>586</v>
      </c>
      <c r="H438" t="s">
        <v>660</v>
      </c>
      <c r="M438" t="b">
        <v>1</v>
      </c>
      <c r="N438" t="b">
        <v>1</v>
      </c>
      <c r="O438" t="b">
        <v>0</v>
      </c>
      <c r="P438" t="b">
        <v>0</v>
      </c>
      <c r="Q438" t="s">
        <v>586</v>
      </c>
      <c r="R438">
        <v>1521385</v>
      </c>
      <c r="AB438" s="120"/>
      <c r="BT438" s="90" t="s">
        <v>1336</v>
      </c>
      <c r="BU438" s="90"/>
      <c r="BV438" s="90"/>
      <c r="BW438" s="68"/>
      <c r="BX438" s="90"/>
      <c r="BY438" s="92"/>
      <c r="BZ438" s="92"/>
      <c r="CA438" s="90">
        <v>2.08</v>
      </c>
      <c r="CB438" s="90">
        <v>2.38</v>
      </c>
      <c r="CC438" s="92">
        <v>5</v>
      </c>
      <c r="CD438" s="90"/>
      <c r="CE438" s="90"/>
      <c r="CF438" s="90" t="s">
        <v>1552</v>
      </c>
      <c r="CG438" s="90">
        <v>350</v>
      </c>
      <c r="CH438" s="90">
        <v>365</v>
      </c>
      <c r="CI438" s="68"/>
      <c r="CJ438" s="68"/>
      <c r="CK438" s="125">
        <v>36750</v>
      </c>
    </row>
    <row r="439" spans="1:89" ht="15" thickBot="1" x14ac:dyDescent="0.35">
      <c r="A439" s="114" t="s">
        <v>27</v>
      </c>
      <c r="C439" t="s">
        <v>742</v>
      </c>
      <c r="E439" s="90">
        <v>3.08</v>
      </c>
      <c r="F439" s="114" t="s">
        <v>3019</v>
      </c>
      <c r="G439" t="s">
        <v>563</v>
      </c>
      <c r="H439" t="s">
        <v>641</v>
      </c>
      <c r="M439" t="b">
        <v>1</v>
      </c>
      <c r="N439" t="b">
        <v>1</v>
      </c>
      <c r="O439" t="b">
        <v>0</v>
      </c>
      <c r="P439" t="b">
        <v>0</v>
      </c>
      <c r="Q439" t="s">
        <v>563</v>
      </c>
      <c r="R439">
        <v>2102087</v>
      </c>
      <c r="AB439" s="120"/>
      <c r="BT439" s="90" t="s">
        <v>1407</v>
      </c>
      <c r="BU439" s="90"/>
      <c r="BV439" s="90"/>
      <c r="BW439" s="68"/>
      <c r="BX439" s="90"/>
      <c r="BY439" s="92"/>
      <c r="BZ439" s="92"/>
      <c r="CA439" s="90">
        <v>2.08</v>
      </c>
      <c r="CB439" s="90">
        <v>2.38</v>
      </c>
      <c r="CC439" s="92">
        <v>5</v>
      </c>
      <c r="CD439" s="90"/>
      <c r="CE439" s="90"/>
      <c r="CF439" s="90" t="s">
        <v>1552</v>
      </c>
      <c r="CG439" s="90">
        <v>350</v>
      </c>
      <c r="CH439" s="90">
        <v>365</v>
      </c>
      <c r="CI439" s="68"/>
      <c r="CJ439" s="68"/>
      <c r="CK439" s="125">
        <v>1040</v>
      </c>
    </row>
    <row r="440" spans="1:89" ht="15" thickBot="1" x14ac:dyDescent="0.35">
      <c r="A440" s="114" t="s">
        <v>3021</v>
      </c>
      <c r="C440" t="s">
        <v>3361</v>
      </c>
      <c r="E440" s="90">
        <v>3.3</v>
      </c>
      <c r="F440" s="114" t="s">
        <v>3020</v>
      </c>
      <c r="G440" t="s">
        <v>3154</v>
      </c>
      <c r="H440">
        <v>-1</v>
      </c>
      <c r="I440" t="s">
        <v>3457</v>
      </c>
      <c r="L440" s="73" t="s">
        <v>3458</v>
      </c>
      <c r="M440" t="b">
        <v>0</v>
      </c>
      <c r="N440" t="b">
        <v>0</v>
      </c>
      <c r="O440" t="b">
        <v>1</v>
      </c>
      <c r="P440" t="b">
        <v>0</v>
      </c>
      <c r="Q440" t="s">
        <v>3154</v>
      </c>
      <c r="R440">
        <v>-1</v>
      </c>
      <c r="S440" t="s">
        <v>3675</v>
      </c>
      <c r="AB440" s="120"/>
      <c r="BT440" s="90" t="s">
        <v>1407</v>
      </c>
      <c r="BU440" s="90">
        <v>1273</v>
      </c>
      <c r="BV440" s="90">
        <v>3</v>
      </c>
      <c r="BW440" s="68"/>
      <c r="BX440" s="90" t="s">
        <v>1533</v>
      </c>
      <c r="BY440" s="92" t="s">
        <v>1313</v>
      </c>
      <c r="BZ440" s="92">
        <v>1</v>
      </c>
      <c r="CA440" s="90">
        <v>0.55000000000000004</v>
      </c>
      <c r="CB440" s="90">
        <v>0.47599999999999998</v>
      </c>
      <c r="CC440" s="92">
        <v>0</v>
      </c>
      <c r="CD440" s="90"/>
      <c r="CE440" s="90"/>
      <c r="CF440" s="90" t="s">
        <v>1534</v>
      </c>
      <c r="CG440" s="90">
        <v>400</v>
      </c>
      <c r="CH440" s="90">
        <v>420</v>
      </c>
      <c r="CI440" s="68"/>
      <c r="CJ440" s="68"/>
      <c r="CK440" s="125">
        <v>220</v>
      </c>
    </row>
    <row r="441" spans="1:89" ht="15" thickBot="1" x14ac:dyDescent="0.35">
      <c r="A441" s="114" t="s">
        <v>3022</v>
      </c>
      <c r="C441" t="s">
        <v>3362</v>
      </c>
      <c r="E441" s="90">
        <v>2.95</v>
      </c>
      <c r="F441" s="114" t="s">
        <v>3023</v>
      </c>
      <c r="G441" t="s">
        <v>586</v>
      </c>
      <c r="H441" t="s">
        <v>660</v>
      </c>
      <c r="J441" s="73" t="s">
        <v>3459</v>
      </c>
      <c r="K441" s="73" t="s">
        <v>3459</v>
      </c>
      <c r="M441" t="b">
        <v>1</v>
      </c>
      <c r="N441" t="b">
        <v>1</v>
      </c>
      <c r="O441" t="b">
        <v>0</v>
      </c>
      <c r="P441" t="b">
        <v>0</v>
      </c>
      <c r="Q441" t="s">
        <v>3676</v>
      </c>
      <c r="R441" t="s">
        <v>3677</v>
      </c>
      <c r="AB441" s="120"/>
      <c r="BT441" s="90" t="s">
        <v>1407</v>
      </c>
      <c r="BU441" s="90">
        <v>1423</v>
      </c>
      <c r="BV441" s="90">
        <v>10</v>
      </c>
      <c r="BW441" s="68"/>
      <c r="BX441" s="90" t="s">
        <v>1268</v>
      </c>
      <c r="BY441" s="92" t="s">
        <v>863</v>
      </c>
      <c r="BZ441" s="92">
        <v>0.2</v>
      </c>
      <c r="CA441" s="90"/>
      <c r="CB441" s="90">
        <v>1.85</v>
      </c>
      <c r="CC441" s="92">
        <v>18.5</v>
      </c>
      <c r="CD441" s="90"/>
      <c r="CE441" s="90"/>
      <c r="CF441" s="90" t="s">
        <v>1552</v>
      </c>
      <c r="CG441" s="90">
        <v>300</v>
      </c>
      <c r="CH441" s="90">
        <v>420</v>
      </c>
      <c r="CI441" s="68"/>
      <c r="CJ441" s="68"/>
      <c r="CK441" s="125">
        <v>8.68</v>
      </c>
    </row>
    <row r="442" spans="1:89" ht="15" thickBot="1" x14ac:dyDescent="0.35">
      <c r="A442" s="114" t="s">
        <v>3024</v>
      </c>
      <c r="C442" t="s">
        <v>3363</v>
      </c>
      <c r="E442" s="90">
        <v>2.1</v>
      </c>
      <c r="F442" s="114" t="s">
        <v>3025</v>
      </c>
      <c r="G442" t="s">
        <v>3226</v>
      </c>
      <c r="H442" t="s">
        <v>3227</v>
      </c>
      <c r="M442" t="b">
        <v>1</v>
      </c>
      <c r="N442" t="b">
        <v>1</v>
      </c>
      <c r="O442" t="b">
        <v>0</v>
      </c>
      <c r="P442" t="b">
        <v>0</v>
      </c>
      <c r="Q442" t="s">
        <v>3226</v>
      </c>
      <c r="R442">
        <v>1001090</v>
      </c>
      <c r="AB442" s="120"/>
      <c r="BT442" s="90" t="s">
        <v>1407</v>
      </c>
      <c r="BU442" s="90"/>
      <c r="BV442" s="90"/>
      <c r="BW442" s="68"/>
      <c r="BX442" s="90"/>
      <c r="BY442" s="92"/>
      <c r="BZ442" s="92"/>
      <c r="CA442" s="90"/>
      <c r="CB442" s="90">
        <v>1</v>
      </c>
      <c r="CC442" s="92">
        <v>0</v>
      </c>
      <c r="CD442" s="90" t="s">
        <v>1669</v>
      </c>
      <c r="CE442" s="90"/>
      <c r="CF442" s="90" t="s">
        <v>1552</v>
      </c>
      <c r="CG442" s="90">
        <v>500</v>
      </c>
      <c r="CH442" s="90">
        <v>400</v>
      </c>
      <c r="CI442" s="68"/>
      <c r="CJ442" s="68"/>
      <c r="CK442" s="125">
        <v>7.5</v>
      </c>
    </row>
    <row r="443" spans="1:89" ht="15" thickBot="1" x14ac:dyDescent="0.35">
      <c r="A443" s="114" t="s">
        <v>2821</v>
      </c>
      <c r="C443" t="s">
        <v>3262</v>
      </c>
      <c r="E443" s="90">
        <v>4.8</v>
      </c>
      <c r="F443" s="114" t="s">
        <v>3026</v>
      </c>
      <c r="G443" t="s">
        <v>3165</v>
      </c>
      <c r="H443" t="s">
        <v>3166</v>
      </c>
      <c r="M443" t="b">
        <v>1</v>
      </c>
      <c r="N443" t="b">
        <v>1</v>
      </c>
      <c r="O443" t="b">
        <v>0</v>
      </c>
      <c r="P443" t="b">
        <v>0</v>
      </c>
      <c r="Q443" t="s">
        <v>3165</v>
      </c>
      <c r="R443">
        <v>1532743</v>
      </c>
      <c r="AB443" s="120"/>
      <c r="BT443" s="90" t="s">
        <v>1305</v>
      </c>
      <c r="BU443" s="90">
        <v>1273</v>
      </c>
      <c r="BV443" s="90">
        <v>6</v>
      </c>
      <c r="BW443" s="68"/>
      <c r="BX443" s="90"/>
      <c r="BY443" s="92"/>
      <c r="BZ443" s="92"/>
      <c r="CA443" s="90">
        <v>6.8</v>
      </c>
      <c r="CB443" s="90">
        <v>0.47599999999999998</v>
      </c>
      <c r="CC443" s="92">
        <v>0</v>
      </c>
      <c r="CD443" s="90"/>
      <c r="CE443" s="90"/>
      <c r="CF443" s="90" t="s">
        <v>1552</v>
      </c>
      <c r="CG443" s="90">
        <v>400</v>
      </c>
      <c r="CH443" s="90">
        <v>365</v>
      </c>
      <c r="CI443" s="68"/>
      <c r="CJ443" s="68"/>
      <c r="CK443" s="125">
        <v>522.5</v>
      </c>
    </row>
    <row r="444" spans="1:89" ht="15" thickBot="1" x14ac:dyDescent="0.35">
      <c r="A444" s="114" t="s">
        <v>1376</v>
      </c>
      <c r="C444" t="s">
        <v>3249</v>
      </c>
      <c r="E444" s="90">
        <v>3.29</v>
      </c>
      <c r="F444" s="114" t="s">
        <v>3027</v>
      </c>
      <c r="G444" t="s">
        <v>3155</v>
      </c>
      <c r="H444" t="s">
        <v>3156</v>
      </c>
      <c r="M444" t="b">
        <v>1</v>
      </c>
      <c r="N444" t="b">
        <v>1</v>
      </c>
      <c r="O444" t="b">
        <v>0</v>
      </c>
      <c r="P444" t="b">
        <v>0</v>
      </c>
      <c r="Q444" t="s">
        <v>3155</v>
      </c>
      <c r="R444">
        <v>1512124</v>
      </c>
      <c r="AB444" s="120"/>
      <c r="BT444" s="90" t="s">
        <v>1264</v>
      </c>
      <c r="BU444" s="90">
        <v>1273</v>
      </c>
      <c r="BV444" s="90">
        <v>6</v>
      </c>
      <c r="BW444" s="68"/>
      <c r="BX444" s="90"/>
      <c r="BY444" s="92"/>
      <c r="BZ444" s="92"/>
      <c r="CA444" s="90">
        <v>9.81</v>
      </c>
      <c r="CB444" s="90">
        <v>0.2</v>
      </c>
      <c r="CC444" s="92">
        <v>0</v>
      </c>
      <c r="CD444" s="90" t="s">
        <v>1590</v>
      </c>
      <c r="CE444" s="90"/>
      <c r="CF444" s="90" t="s">
        <v>1552</v>
      </c>
      <c r="CG444" s="90">
        <v>150</v>
      </c>
      <c r="CH444" s="90">
        <v>365</v>
      </c>
      <c r="CI444" s="68"/>
      <c r="CJ444" s="68"/>
      <c r="CK444" s="125">
        <v>218.9</v>
      </c>
    </row>
    <row r="445" spans="1:89" ht="15" thickBot="1" x14ac:dyDescent="0.35">
      <c r="A445" s="114" t="s">
        <v>3028</v>
      </c>
      <c r="C445" t="s">
        <v>839</v>
      </c>
      <c r="E445" s="90">
        <v>3.29</v>
      </c>
      <c r="F445" s="114" t="s">
        <v>3027</v>
      </c>
      <c r="G445" t="s">
        <v>602</v>
      </c>
      <c r="H445" t="s">
        <v>674</v>
      </c>
      <c r="M445" t="b">
        <v>1</v>
      </c>
      <c r="N445" t="b">
        <v>1</v>
      </c>
      <c r="O445" t="b">
        <v>0</v>
      </c>
      <c r="P445" t="b">
        <v>0</v>
      </c>
      <c r="Q445" t="s">
        <v>602</v>
      </c>
      <c r="R445">
        <v>1000022</v>
      </c>
      <c r="AB445" s="120"/>
      <c r="BT445" s="90" t="s">
        <v>1407</v>
      </c>
      <c r="BU445" s="90">
        <v>1273</v>
      </c>
      <c r="BV445" s="90">
        <v>6</v>
      </c>
      <c r="BW445" s="68"/>
      <c r="BX445" s="90"/>
      <c r="BY445" s="92"/>
      <c r="BZ445" s="92"/>
      <c r="CA445" s="90">
        <v>9.81</v>
      </c>
      <c r="CB445" s="90">
        <v>0.2</v>
      </c>
      <c r="CC445" s="92">
        <v>0</v>
      </c>
      <c r="CD445" s="90" t="s">
        <v>1672</v>
      </c>
      <c r="CE445" s="90"/>
      <c r="CF445" s="90" t="s">
        <v>1552</v>
      </c>
      <c r="CG445" s="90">
        <v>150</v>
      </c>
      <c r="CH445" s="90">
        <v>365</v>
      </c>
      <c r="CI445" s="68"/>
      <c r="CJ445" s="68"/>
      <c r="CK445" s="125">
        <v>65.099999999999994</v>
      </c>
    </row>
    <row r="446" spans="1:89" ht="15" thickBot="1" x14ac:dyDescent="0.35">
      <c r="A446" s="114" t="s">
        <v>3029</v>
      </c>
      <c r="C446" t="s">
        <v>3364</v>
      </c>
      <c r="E446" s="90">
        <v>3.29</v>
      </c>
      <c r="F446" s="114" t="s">
        <v>3027</v>
      </c>
      <c r="G446" t="s">
        <v>3228</v>
      </c>
      <c r="H446" t="s">
        <v>3229</v>
      </c>
      <c r="M446" t="b">
        <v>1</v>
      </c>
      <c r="N446" t="b">
        <v>1</v>
      </c>
      <c r="O446" t="b">
        <v>0</v>
      </c>
      <c r="P446" t="b">
        <v>0</v>
      </c>
      <c r="Q446" t="s">
        <v>3228</v>
      </c>
      <c r="R446">
        <v>1507756</v>
      </c>
      <c r="AB446" s="120"/>
      <c r="BT446" s="90" t="s">
        <v>1336</v>
      </c>
      <c r="BU446" s="90">
        <v>1273</v>
      </c>
      <c r="BV446" s="90">
        <v>6</v>
      </c>
      <c r="BW446" s="68"/>
      <c r="BX446" s="90"/>
      <c r="BY446" s="92"/>
      <c r="BZ446" s="92"/>
      <c r="CA446" s="90">
        <v>9.81</v>
      </c>
      <c r="CB446" s="90">
        <v>0.2</v>
      </c>
      <c r="CC446" s="92">
        <v>0</v>
      </c>
      <c r="CD446" s="90" t="s">
        <v>1672</v>
      </c>
      <c r="CE446" s="90"/>
      <c r="CF446" s="90" t="s">
        <v>1552</v>
      </c>
      <c r="CG446" s="90">
        <v>150</v>
      </c>
      <c r="CH446" s="90">
        <v>365</v>
      </c>
      <c r="CI446" s="68"/>
      <c r="CJ446" s="68"/>
      <c r="CK446" s="125">
        <v>29.35</v>
      </c>
    </row>
    <row r="447" spans="1:89" ht="15" thickBot="1" x14ac:dyDescent="0.35">
      <c r="A447" s="114" t="s">
        <v>1376</v>
      </c>
      <c r="C447" t="s">
        <v>3249</v>
      </c>
      <c r="E447" s="90">
        <v>3.1</v>
      </c>
      <c r="F447" s="114" t="s">
        <v>2903</v>
      </c>
      <c r="G447" t="s">
        <v>3155</v>
      </c>
      <c r="H447" t="s">
        <v>3156</v>
      </c>
      <c r="M447" t="b">
        <v>1</v>
      </c>
      <c r="N447" t="b">
        <v>1</v>
      </c>
      <c r="O447" t="b">
        <v>0</v>
      </c>
      <c r="P447" t="b">
        <v>0</v>
      </c>
      <c r="Q447" t="s">
        <v>3155</v>
      </c>
      <c r="R447">
        <v>1512124</v>
      </c>
      <c r="AB447" s="120"/>
      <c r="BT447" s="90" t="s">
        <v>1264</v>
      </c>
      <c r="BU447" s="90">
        <v>1273</v>
      </c>
      <c r="BV447" s="90">
        <v>3</v>
      </c>
      <c r="BW447" s="68"/>
      <c r="BX447" s="90" t="s">
        <v>1268</v>
      </c>
      <c r="BY447" s="92" t="s">
        <v>863</v>
      </c>
      <c r="BZ447" s="92">
        <v>0.32</v>
      </c>
      <c r="CA447" s="90"/>
      <c r="CB447" s="90">
        <v>0.4</v>
      </c>
      <c r="CC447" s="92">
        <v>10</v>
      </c>
      <c r="CD447" s="90"/>
      <c r="CE447" s="90"/>
      <c r="CF447" s="90" t="s">
        <v>1552</v>
      </c>
      <c r="CG447" s="90">
        <v>500</v>
      </c>
      <c r="CH447" s="90">
        <v>365</v>
      </c>
      <c r="CI447" s="68"/>
      <c r="CJ447" s="68"/>
      <c r="CK447" s="125">
        <v>3200</v>
      </c>
    </row>
    <row r="448" spans="1:89" ht="15" thickBot="1" x14ac:dyDescent="0.35">
      <c r="A448" s="116" t="s">
        <v>1376</v>
      </c>
      <c r="C448" t="s">
        <v>3249</v>
      </c>
      <c r="E448" s="90">
        <v>3.17</v>
      </c>
      <c r="F448" s="116" t="s">
        <v>3030</v>
      </c>
      <c r="G448" t="s">
        <v>3155</v>
      </c>
      <c r="H448" t="s">
        <v>3156</v>
      </c>
      <c r="M448" t="b">
        <v>1</v>
      </c>
      <c r="N448" t="b">
        <v>1</v>
      </c>
      <c r="O448" t="b">
        <v>0</v>
      </c>
      <c r="P448" t="b">
        <v>0</v>
      </c>
      <c r="Q448" t="s">
        <v>3155</v>
      </c>
      <c r="R448">
        <v>1512124</v>
      </c>
      <c r="AB448" s="123"/>
      <c r="BT448" s="90" t="s">
        <v>1264</v>
      </c>
      <c r="BU448" s="90">
        <v>1273</v>
      </c>
      <c r="BV448" s="90">
        <v>10</v>
      </c>
      <c r="BW448" s="68"/>
      <c r="BX448" s="90" t="s">
        <v>1533</v>
      </c>
      <c r="BY448" s="92" t="s">
        <v>863</v>
      </c>
      <c r="BZ448" s="92">
        <v>1</v>
      </c>
      <c r="CA448" s="90">
        <v>3.42</v>
      </c>
      <c r="CB448" s="90">
        <v>2</v>
      </c>
      <c r="CC448" s="92">
        <v>10</v>
      </c>
      <c r="CD448" s="90"/>
      <c r="CE448" s="90"/>
      <c r="CF448" s="90" t="s">
        <v>1552</v>
      </c>
      <c r="CG448" s="90">
        <v>450</v>
      </c>
      <c r="CH448" s="90">
        <v>420</v>
      </c>
      <c r="CI448" s="68"/>
      <c r="CJ448" s="68"/>
      <c r="CK448" s="125">
        <v>78</v>
      </c>
    </row>
    <row r="449" spans="1:89" ht="15" thickBot="1" x14ac:dyDescent="0.35">
      <c r="A449" s="116" t="s">
        <v>1273</v>
      </c>
      <c r="C449" t="s">
        <v>3260</v>
      </c>
      <c r="E449" s="90">
        <v>3.1</v>
      </c>
      <c r="F449" s="116" t="s">
        <v>2940</v>
      </c>
      <c r="G449" t="s">
        <v>3163</v>
      </c>
      <c r="H449" t="s">
        <v>3164</v>
      </c>
      <c r="M449" t="b">
        <v>1</v>
      </c>
      <c r="N449" t="b">
        <v>1</v>
      </c>
      <c r="O449" t="b">
        <v>0</v>
      </c>
      <c r="P449" t="b">
        <v>0</v>
      </c>
      <c r="Q449" t="s">
        <v>3163</v>
      </c>
      <c r="R449">
        <v>1531431</v>
      </c>
      <c r="AB449" s="123"/>
      <c r="BT449" s="90" t="s">
        <v>1264</v>
      </c>
      <c r="BU449" s="90"/>
      <c r="BV449" s="90"/>
      <c r="BW449" s="68"/>
      <c r="BX449" s="90" t="s">
        <v>1268</v>
      </c>
      <c r="BY449" s="92" t="s">
        <v>863</v>
      </c>
      <c r="BZ449" s="92">
        <v>0.5</v>
      </c>
      <c r="CA449" s="90">
        <v>8.5</v>
      </c>
      <c r="CB449" s="90">
        <v>0.42</v>
      </c>
      <c r="CC449" s="92">
        <v>12</v>
      </c>
      <c r="CD449" s="90"/>
      <c r="CE449" s="90"/>
      <c r="CF449" s="90" t="s">
        <v>1534</v>
      </c>
      <c r="CG449" s="90">
        <v>400</v>
      </c>
      <c r="CH449" s="90">
        <v>420</v>
      </c>
      <c r="CI449" s="68"/>
      <c r="CJ449" s="68"/>
      <c r="CK449" s="125">
        <v>5170</v>
      </c>
    </row>
    <row r="450" spans="1:89" ht="15" thickBot="1" x14ac:dyDescent="0.35">
      <c r="A450" s="116" t="s">
        <v>3032</v>
      </c>
      <c r="C450" t="s">
        <v>3365</v>
      </c>
      <c r="E450" s="90">
        <v>2.65</v>
      </c>
      <c r="F450" s="116" t="s">
        <v>3031</v>
      </c>
      <c r="G450" t="s">
        <v>3155</v>
      </c>
      <c r="H450" t="s">
        <v>3156</v>
      </c>
      <c r="J450" s="73" t="s">
        <v>3460</v>
      </c>
      <c r="K450" s="73" t="s">
        <v>3460</v>
      </c>
      <c r="M450" t="b">
        <v>1</v>
      </c>
      <c r="N450" t="b">
        <v>1</v>
      </c>
      <c r="O450" t="b">
        <v>0</v>
      </c>
      <c r="P450" t="b">
        <v>0</v>
      </c>
      <c r="Q450" t="s">
        <v>3678</v>
      </c>
      <c r="R450" t="s">
        <v>3679</v>
      </c>
      <c r="AB450" s="123"/>
      <c r="BT450" s="90" t="s">
        <v>1336</v>
      </c>
      <c r="BU450" s="90">
        <v>1173</v>
      </c>
      <c r="BV450" s="90">
        <v>10</v>
      </c>
      <c r="BW450" s="68"/>
      <c r="BX450" s="90" t="s">
        <v>1533</v>
      </c>
      <c r="BY450" s="92" t="s">
        <v>863</v>
      </c>
      <c r="BZ450" s="92">
        <v>3</v>
      </c>
      <c r="CA450" s="90">
        <v>9.86</v>
      </c>
      <c r="CB450" s="90">
        <v>0.55000000000000004</v>
      </c>
      <c r="CC450" s="92">
        <v>18.5</v>
      </c>
      <c r="CD450" s="90" t="s">
        <v>1637</v>
      </c>
      <c r="CE450" s="90"/>
      <c r="CF450" s="90" t="s">
        <v>1534</v>
      </c>
      <c r="CG450" s="90">
        <v>300</v>
      </c>
      <c r="CH450" s="90">
        <v>420</v>
      </c>
      <c r="CI450" s="68"/>
      <c r="CJ450" s="68"/>
      <c r="CK450" s="125">
        <v>66.67</v>
      </c>
    </row>
    <row r="451" spans="1:89" ht="15" thickBot="1" x14ac:dyDescent="0.35">
      <c r="A451" s="116" t="s">
        <v>3033</v>
      </c>
      <c r="C451" t="s">
        <v>3366</v>
      </c>
      <c r="E451" s="90">
        <v>2.98</v>
      </c>
      <c r="F451" s="116" t="s">
        <v>3034</v>
      </c>
      <c r="G451" t="s">
        <v>3230</v>
      </c>
      <c r="H451" t="s">
        <v>3231</v>
      </c>
      <c r="M451" t="b">
        <v>1</v>
      </c>
      <c r="N451" t="b">
        <v>1</v>
      </c>
      <c r="O451" t="b">
        <v>0</v>
      </c>
      <c r="P451" t="b">
        <v>0</v>
      </c>
      <c r="Q451" t="s">
        <v>3230</v>
      </c>
      <c r="R451">
        <v>1011279</v>
      </c>
      <c r="AB451" s="123"/>
      <c r="BT451" s="90" t="s">
        <v>1407</v>
      </c>
      <c r="BU451" s="90">
        <v>1173</v>
      </c>
      <c r="BV451" s="90">
        <v>8</v>
      </c>
      <c r="BW451" s="68"/>
      <c r="BX451" s="90"/>
      <c r="BY451" s="92"/>
      <c r="BZ451" s="92"/>
      <c r="CA451" s="90">
        <v>2.5</v>
      </c>
      <c r="CB451" s="90">
        <v>1.85</v>
      </c>
      <c r="CC451" s="92">
        <v>0</v>
      </c>
      <c r="CD451" s="90" t="s">
        <v>1637</v>
      </c>
      <c r="CE451" s="90"/>
      <c r="CF451" s="90" t="s">
        <v>1552</v>
      </c>
      <c r="CG451" s="90">
        <v>300</v>
      </c>
      <c r="CH451" s="90">
        <v>400</v>
      </c>
      <c r="CI451" s="68"/>
      <c r="CJ451" s="68"/>
      <c r="CK451" s="125">
        <v>296</v>
      </c>
    </row>
    <row r="452" spans="1:89" ht="15" thickBot="1" x14ac:dyDescent="0.35">
      <c r="A452" s="114" t="s">
        <v>3035</v>
      </c>
      <c r="C452" t="s">
        <v>3367</v>
      </c>
      <c r="E452" s="90">
        <v>4.09</v>
      </c>
      <c r="F452" s="114" t="s">
        <v>3038</v>
      </c>
      <c r="G452" t="s">
        <v>586</v>
      </c>
      <c r="H452" t="s">
        <v>660</v>
      </c>
      <c r="J452" s="73" t="s">
        <v>3461</v>
      </c>
      <c r="K452" s="73" t="s">
        <v>3461</v>
      </c>
      <c r="M452" t="b">
        <v>1</v>
      </c>
      <c r="N452" t="b">
        <v>1</v>
      </c>
      <c r="O452" t="b">
        <v>0</v>
      </c>
      <c r="P452" t="b">
        <v>0</v>
      </c>
      <c r="Q452" t="s">
        <v>3680</v>
      </c>
      <c r="R452" t="s">
        <v>3681</v>
      </c>
      <c r="AB452" s="120"/>
      <c r="BT452" s="90" t="s">
        <v>1407</v>
      </c>
      <c r="BU452" s="90">
        <v>1423</v>
      </c>
      <c r="BV452" s="90">
        <v>10</v>
      </c>
      <c r="BW452" s="68"/>
      <c r="BX452" s="90" t="s">
        <v>1533</v>
      </c>
      <c r="BY452" s="92" t="s">
        <v>56</v>
      </c>
      <c r="BZ452" s="92">
        <v>0.1</v>
      </c>
      <c r="CA452" s="90">
        <v>2.6</v>
      </c>
      <c r="CB452" s="90">
        <v>1.42</v>
      </c>
      <c r="CC452" s="92">
        <v>0</v>
      </c>
      <c r="CD452" s="90"/>
      <c r="CE452" s="90"/>
      <c r="CF452" s="90" t="s">
        <v>1552</v>
      </c>
      <c r="CG452" s="90">
        <v>400</v>
      </c>
      <c r="CH452" s="90">
        <v>365</v>
      </c>
      <c r="CI452" s="68"/>
      <c r="CJ452" s="68"/>
      <c r="CK452" s="125">
        <v>27200</v>
      </c>
    </row>
    <row r="453" spans="1:89" ht="15" thickBot="1" x14ac:dyDescent="0.35">
      <c r="A453" s="114" t="s">
        <v>3036</v>
      </c>
      <c r="C453" t="s">
        <v>3368</v>
      </c>
      <c r="E453" s="90">
        <v>4.09</v>
      </c>
      <c r="F453" s="114" t="s">
        <v>3038</v>
      </c>
      <c r="G453" t="s">
        <v>586</v>
      </c>
      <c r="H453" t="s">
        <v>660</v>
      </c>
      <c r="J453" s="73" t="s">
        <v>3462</v>
      </c>
      <c r="K453" s="73" t="s">
        <v>3462</v>
      </c>
      <c r="M453" t="b">
        <v>1</v>
      </c>
      <c r="N453" t="b">
        <v>1</v>
      </c>
      <c r="O453" t="b">
        <v>0</v>
      </c>
      <c r="P453" t="b">
        <v>0</v>
      </c>
      <c r="Q453" t="s">
        <v>3682</v>
      </c>
      <c r="R453" t="s">
        <v>3683</v>
      </c>
      <c r="AB453" s="120"/>
      <c r="BT453" s="90" t="s">
        <v>1538</v>
      </c>
      <c r="BU453" s="90">
        <v>1423</v>
      </c>
      <c r="BV453" s="90">
        <v>10</v>
      </c>
      <c r="BW453" s="68"/>
      <c r="BX453" s="90" t="s">
        <v>1533</v>
      </c>
      <c r="BY453" s="92" t="s">
        <v>56</v>
      </c>
      <c r="BZ453" s="92">
        <v>0.1</v>
      </c>
      <c r="CA453" s="90">
        <v>2.6</v>
      </c>
      <c r="CB453" s="90">
        <v>1.42</v>
      </c>
      <c r="CC453" s="92">
        <v>0</v>
      </c>
      <c r="CD453" s="90"/>
      <c r="CE453" s="90"/>
      <c r="CF453" s="90" t="s">
        <v>1552</v>
      </c>
      <c r="CG453" s="90">
        <v>400</v>
      </c>
      <c r="CH453" s="90">
        <v>365</v>
      </c>
      <c r="CI453" s="68"/>
      <c r="CJ453" s="68"/>
      <c r="CK453" s="125">
        <v>19560</v>
      </c>
    </row>
    <row r="454" spans="1:89" ht="15" thickBot="1" x14ac:dyDescent="0.35">
      <c r="A454" s="114" t="s">
        <v>3037</v>
      </c>
      <c r="C454" t="s">
        <v>3369</v>
      </c>
      <c r="E454" s="90">
        <v>4.09</v>
      </c>
      <c r="F454" s="114" t="s">
        <v>3038</v>
      </c>
      <c r="G454" t="s">
        <v>586</v>
      </c>
      <c r="H454" t="s">
        <v>660</v>
      </c>
      <c r="J454" s="73" t="s">
        <v>3463</v>
      </c>
      <c r="K454" s="73" t="s">
        <v>3463</v>
      </c>
      <c r="M454" t="b">
        <v>1</v>
      </c>
      <c r="N454" t="b">
        <v>1</v>
      </c>
      <c r="O454" t="b">
        <v>0</v>
      </c>
      <c r="P454" t="b">
        <v>0</v>
      </c>
      <c r="Q454" t="s">
        <v>3684</v>
      </c>
      <c r="R454" t="s">
        <v>3685</v>
      </c>
      <c r="AB454" s="120"/>
      <c r="BT454" s="90" t="s">
        <v>1264</v>
      </c>
      <c r="BU454" s="90">
        <v>1423</v>
      </c>
      <c r="BV454" s="90">
        <v>10</v>
      </c>
      <c r="BW454" s="68"/>
      <c r="BX454" s="90" t="s">
        <v>1533</v>
      </c>
      <c r="BY454" s="92" t="s">
        <v>56</v>
      </c>
      <c r="BZ454" s="92">
        <v>0.1</v>
      </c>
      <c r="CA454" s="90">
        <v>2.6</v>
      </c>
      <c r="CB454" s="90">
        <v>1.42</v>
      </c>
      <c r="CC454" s="92">
        <v>0</v>
      </c>
      <c r="CD454" s="90"/>
      <c r="CE454" s="90"/>
      <c r="CF454" s="90" t="s">
        <v>1552</v>
      </c>
      <c r="CG454" s="90">
        <v>400</v>
      </c>
      <c r="CH454" s="90">
        <v>365</v>
      </c>
      <c r="CI454" s="68"/>
      <c r="CJ454" s="68"/>
      <c r="CK454" s="125">
        <v>9860</v>
      </c>
    </row>
    <row r="455" spans="1:89" ht="15" thickBot="1" x14ac:dyDescent="0.35">
      <c r="A455" s="114" t="s">
        <v>28</v>
      </c>
      <c r="C455" t="s">
        <v>805</v>
      </c>
      <c r="E455" s="90">
        <v>3.99</v>
      </c>
      <c r="F455" s="114" t="s">
        <v>3039</v>
      </c>
      <c r="G455" t="s">
        <v>586</v>
      </c>
      <c r="H455" t="s">
        <v>660</v>
      </c>
      <c r="M455" t="b">
        <v>1</v>
      </c>
      <c r="N455" t="b">
        <v>1</v>
      </c>
      <c r="O455" t="b">
        <v>0</v>
      </c>
      <c r="P455" t="b">
        <v>0</v>
      </c>
      <c r="Q455" t="s">
        <v>586</v>
      </c>
      <c r="R455">
        <v>1521385</v>
      </c>
      <c r="AB455" s="120"/>
      <c r="BT455" s="90" t="s">
        <v>1264</v>
      </c>
      <c r="BU455" s="90">
        <v>1473</v>
      </c>
      <c r="BV455" s="90">
        <v>10</v>
      </c>
      <c r="BW455" s="68"/>
      <c r="BX455" s="90"/>
      <c r="BY455" s="92"/>
      <c r="BZ455" s="92"/>
      <c r="CA455" s="90">
        <v>23</v>
      </c>
      <c r="CB455" s="90">
        <v>1.1100000000000001</v>
      </c>
      <c r="CC455" s="92">
        <v>0</v>
      </c>
      <c r="CD455" s="90"/>
      <c r="CE455" s="90"/>
      <c r="CF455" s="90" t="s">
        <v>1552</v>
      </c>
      <c r="CG455" s="90">
        <v>400</v>
      </c>
      <c r="CH455" s="90">
        <v>365</v>
      </c>
      <c r="CI455" s="68"/>
      <c r="CJ455" s="68"/>
      <c r="CK455" s="125">
        <v>2600</v>
      </c>
    </row>
    <row r="456" spans="1:89" ht="15" thickBot="1" x14ac:dyDescent="0.35">
      <c r="A456" s="114" t="s">
        <v>1376</v>
      </c>
      <c r="C456" t="s">
        <v>3249</v>
      </c>
      <c r="E456" s="90">
        <v>3.75</v>
      </c>
      <c r="F456" s="114" t="s">
        <v>3040</v>
      </c>
      <c r="G456" t="s">
        <v>3155</v>
      </c>
      <c r="H456" t="s">
        <v>3156</v>
      </c>
      <c r="M456" t="b">
        <v>1</v>
      </c>
      <c r="N456" t="b">
        <v>1</v>
      </c>
      <c r="O456" t="b">
        <v>0</v>
      </c>
      <c r="P456" t="b">
        <v>0</v>
      </c>
      <c r="Q456" t="s">
        <v>3155</v>
      </c>
      <c r="R456">
        <v>1512124</v>
      </c>
      <c r="AB456" s="120"/>
      <c r="BT456" s="90" t="s">
        <v>1264</v>
      </c>
      <c r="BU456" s="90">
        <v>1073</v>
      </c>
      <c r="BV456" s="90">
        <v>2</v>
      </c>
      <c r="BW456" s="68"/>
      <c r="BX456" s="90"/>
      <c r="BY456" s="92"/>
      <c r="BZ456" s="92"/>
      <c r="CA456" s="90">
        <v>2.6</v>
      </c>
      <c r="CB456" s="90">
        <v>0.37</v>
      </c>
      <c r="CC456" s="92">
        <v>0</v>
      </c>
      <c r="CD456" s="90" t="s">
        <v>1637</v>
      </c>
      <c r="CE456" s="90"/>
      <c r="CF456" s="90" t="s">
        <v>1534</v>
      </c>
      <c r="CG456" s="90">
        <v>300</v>
      </c>
      <c r="CH456" s="90">
        <v>410</v>
      </c>
      <c r="CI456" s="68"/>
      <c r="CJ456" s="68"/>
      <c r="CK456" s="125">
        <v>648</v>
      </c>
    </row>
    <row r="457" spans="1:89" ht="15" thickBot="1" x14ac:dyDescent="0.35">
      <c r="A457" s="114" t="s">
        <v>3041</v>
      </c>
      <c r="C457" t="s">
        <v>3370</v>
      </c>
      <c r="E457" s="92">
        <v>3.5</v>
      </c>
      <c r="F457" s="114" t="s">
        <v>3042</v>
      </c>
      <c r="G457" t="s">
        <v>586</v>
      </c>
      <c r="H457" t="s">
        <v>660</v>
      </c>
      <c r="J457" s="73" t="s">
        <v>3464</v>
      </c>
      <c r="K457" s="73" t="s">
        <v>3464</v>
      </c>
      <c r="M457" t="b">
        <v>0</v>
      </c>
      <c r="N457" t="b">
        <v>0</v>
      </c>
      <c r="O457" t="b">
        <v>0</v>
      </c>
      <c r="P457" t="b">
        <v>1</v>
      </c>
      <c r="Q457" t="s">
        <v>3686</v>
      </c>
      <c r="R457" t="s">
        <v>3687</v>
      </c>
      <c r="AB457" s="120"/>
      <c r="BT457" s="90" t="s">
        <v>1264</v>
      </c>
      <c r="BU457" s="92">
        <v>1373</v>
      </c>
      <c r="BV457" s="92">
        <v>20</v>
      </c>
      <c r="BW457" s="68"/>
      <c r="BX457" s="92" t="s">
        <v>1533</v>
      </c>
      <c r="BY457" s="92" t="s">
        <v>890</v>
      </c>
      <c r="BZ457" s="92">
        <v>0.5</v>
      </c>
      <c r="CA457" s="92">
        <v>2.6</v>
      </c>
      <c r="CB457" s="92">
        <v>0.75</v>
      </c>
      <c r="CC457" s="92">
        <v>0</v>
      </c>
      <c r="CD457" s="92"/>
      <c r="CE457" s="92"/>
      <c r="CF457" s="92" t="s">
        <v>1552</v>
      </c>
      <c r="CG457" s="92">
        <v>450</v>
      </c>
      <c r="CH457" s="92">
        <v>365</v>
      </c>
      <c r="CI457" s="68"/>
      <c r="CJ457" s="68"/>
      <c r="CK457" s="125">
        <v>22</v>
      </c>
    </row>
    <row r="458" spans="1:89" ht="15" thickBot="1" x14ac:dyDescent="0.35">
      <c r="A458" s="114" t="s">
        <v>3035</v>
      </c>
      <c r="C458" t="s">
        <v>3367</v>
      </c>
      <c r="E458" s="92">
        <v>4.05</v>
      </c>
      <c r="F458" s="114" t="s">
        <v>3043</v>
      </c>
      <c r="G458" t="s">
        <v>586</v>
      </c>
      <c r="H458" t="s">
        <v>660</v>
      </c>
      <c r="J458" s="73" t="s">
        <v>3461</v>
      </c>
      <c r="K458" s="73" t="s">
        <v>3461</v>
      </c>
      <c r="M458" t="b">
        <v>1</v>
      </c>
      <c r="N458" t="b">
        <v>1</v>
      </c>
      <c r="O458" t="b">
        <v>0</v>
      </c>
      <c r="P458" t="b">
        <v>0</v>
      </c>
      <c r="Q458" t="s">
        <v>3688</v>
      </c>
      <c r="R458" t="s">
        <v>3689</v>
      </c>
      <c r="AB458" s="120"/>
      <c r="BT458" s="90" t="s">
        <v>1336</v>
      </c>
      <c r="BU458" s="92">
        <v>1423</v>
      </c>
      <c r="BV458" s="92">
        <v>10</v>
      </c>
      <c r="BW458" s="68"/>
      <c r="BX458" s="92"/>
      <c r="BY458" s="92"/>
      <c r="BZ458" s="92"/>
      <c r="CA458" s="92"/>
      <c r="CB458" s="92">
        <v>0.5</v>
      </c>
      <c r="CC458" s="92">
        <v>0</v>
      </c>
      <c r="CD458" s="92"/>
      <c r="CE458" s="92"/>
      <c r="CF458" s="92" t="s">
        <v>1552</v>
      </c>
      <c r="CG458" s="92">
        <v>400</v>
      </c>
      <c r="CH458" s="92">
        <v>365</v>
      </c>
      <c r="CI458" s="68"/>
      <c r="CJ458" s="68"/>
      <c r="CK458" s="125">
        <v>2180</v>
      </c>
    </row>
    <row r="459" spans="1:89" ht="15" thickBot="1" x14ac:dyDescent="0.35">
      <c r="A459" s="115" t="s">
        <v>3045</v>
      </c>
      <c r="C459" t="s">
        <v>3315</v>
      </c>
      <c r="E459" s="92">
        <v>3.75</v>
      </c>
      <c r="F459" s="115" t="s">
        <v>3044</v>
      </c>
      <c r="G459" t="s">
        <v>3206</v>
      </c>
      <c r="H459" t="s">
        <v>3205</v>
      </c>
      <c r="M459" t="b">
        <v>1</v>
      </c>
      <c r="N459" t="b">
        <v>1</v>
      </c>
      <c r="O459" t="b">
        <v>0</v>
      </c>
      <c r="P459" t="b">
        <v>0</v>
      </c>
      <c r="Q459" t="s">
        <v>3206</v>
      </c>
      <c r="R459">
        <v>4031663</v>
      </c>
      <c r="AB459" s="122"/>
      <c r="BT459" s="90" t="s">
        <v>1264</v>
      </c>
      <c r="BU459" s="92">
        <v>1373</v>
      </c>
      <c r="BV459" s="92">
        <v>12</v>
      </c>
      <c r="BW459" s="68"/>
      <c r="BX459" s="92"/>
      <c r="BY459" s="92" t="s">
        <v>863</v>
      </c>
      <c r="BZ459" s="92">
        <v>0.5</v>
      </c>
      <c r="CA459" s="92"/>
      <c r="CB459" s="92">
        <v>2.91</v>
      </c>
      <c r="CC459" s="92">
        <v>0</v>
      </c>
      <c r="CD459" s="92" t="s">
        <v>1550</v>
      </c>
      <c r="CE459" s="92" t="s">
        <v>1551</v>
      </c>
      <c r="CF459" s="92" t="s">
        <v>1534</v>
      </c>
      <c r="CG459" s="92">
        <v>300</v>
      </c>
      <c r="CH459" s="92">
        <v>420</v>
      </c>
      <c r="CI459" s="68"/>
      <c r="CJ459" s="68"/>
      <c r="CK459" s="125">
        <v>18.88</v>
      </c>
    </row>
    <row r="460" spans="1:89" ht="15" thickBot="1" x14ac:dyDescent="0.35">
      <c r="A460" s="115" t="s">
        <v>28</v>
      </c>
      <c r="C460" t="s">
        <v>805</v>
      </c>
      <c r="E460" s="92">
        <v>3.96</v>
      </c>
      <c r="F460" s="115" t="s">
        <v>3046</v>
      </c>
      <c r="G460" t="s">
        <v>586</v>
      </c>
      <c r="H460" t="s">
        <v>660</v>
      </c>
      <c r="M460" t="b">
        <v>1</v>
      </c>
      <c r="N460" t="b">
        <v>1</v>
      </c>
      <c r="O460" t="b">
        <v>0</v>
      </c>
      <c r="P460" t="b">
        <v>0</v>
      </c>
      <c r="Q460" t="s">
        <v>586</v>
      </c>
      <c r="R460">
        <v>1521385</v>
      </c>
      <c r="AB460" s="122"/>
      <c r="BT460" s="90" t="s">
        <v>1407</v>
      </c>
      <c r="BU460" s="92">
        <f>240+273</f>
        <v>513</v>
      </c>
      <c r="BV460" s="92">
        <v>24</v>
      </c>
      <c r="BW460" s="68"/>
      <c r="BX460" s="92"/>
      <c r="BY460" s="92"/>
      <c r="BZ460" s="92"/>
      <c r="CA460" s="92"/>
      <c r="CB460" s="92">
        <v>0.24</v>
      </c>
      <c r="CC460" s="92">
        <v>5</v>
      </c>
      <c r="CD460" s="92"/>
      <c r="CE460" s="92"/>
      <c r="CF460" s="92" t="s">
        <v>1552</v>
      </c>
      <c r="CG460" s="92">
        <v>350</v>
      </c>
      <c r="CH460" s="92"/>
      <c r="CI460" s="68"/>
      <c r="CJ460" s="68"/>
      <c r="CK460" s="125">
        <v>36500</v>
      </c>
    </row>
    <row r="461" spans="1:89" ht="15" thickBot="1" x14ac:dyDescent="0.35">
      <c r="A461" s="115" t="s">
        <v>3047</v>
      </c>
      <c r="C461" t="s">
        <v>3371</v>
      </c>
      <c r="E461" s="92"/>
      <c r="F461" s="115" t="s">
        <v>3046</v>
      </c>
      <c r="G461" t="s">
        <v>586</v>
      </c>
      <c r="H461" t="s">
        <v>660</v>
      </c>
      <c r="J461" s="73" t="s">
        <v>3465</v>
      </c>
      <c r="K461" s="73" t="s">
        <v>3465</v>
      </c>
      <c r="M461" t="b">
        <v>1</v>
      </c>
      <c r="N461" t="b">
        <v>1</v>
      </c>
      <c r="O461" t="b">
        <v>0</v>
      </c>
      <c r="P461" t="b">
        <v>0</v>
      </c>
      <c r="Q461" t="s">
        <v>3690</v>
      </c>
      <c r="R461" t="s">
        <v>3691</v>
      </c>
      <c r="AB461" s="122"/>
      <c r="BT461" s="90"/>
      <c r="BU461" s="92"/>
      <c r="BV461" s="92"/>
      <c r="BW461" s="68"/>
      <c r="BX461" s="92"/>
      <c r="BY461" s="92"/>
      <c r="BZ461" s="92"/>
      <c r="CA461" s="92"/>
      <c r="CB461" s="92">
        <v>0.24</v>
      </c>
      <c r="CC461" s="92">
        <v>5</v>
      </c>
      <c r="CD461" s="92"/>
      <c r="CE461" s="92"/>
      <c r="CF461" s="92" t="s">
        <v>1552</v>
      </c>
      <c r="CG461" s="92">
        <v>350</v>
      </c>
      <c r="CH461" s="92"/>
      <c r="CI461" s="68"/>
      <c r="CJ461" s="68"/>
      <c r="CK461" s="125">
        <v>35000</v>
      </c>
    </row>
    <row r="462" spans="1:89" ht="15" thickBot="1" x14ac:dyDescent="0.35">
      <c r="A462" s="115" t="s">
        <v>3048</v>
      </c>
      <c r="C462" t="s">
        <v>3371</v>
      </c>
      <c r="E462" s="92"/>
      <c r="F462" s="115" t="s">
        <v>3046</v>
      </c>
      <c r="G462" t="s">
        <v>586</v>
      </c>
      <c r="H462" t="s">
        <v>660</v>
      </c>
      <c r="J462" s="73" t="s">
        <v>3466</v>
      </c>
      <c r="K462" s="73" t="s">
        <v>3466</v>
      </c>
      <c r="M462" t="b">
        <v>1</v>
      </c>
      <c r="N462" t="b">
        <v>1</v>
      </c>
      <c r="O462" t="b">
        <v>0</v>
      </c>
      <c r="P462" t="b">
        <v>0</v>
      </c>
      <c r="Q462" t="s">
        <v>3692</v>
      </c>
      <c r="R462" t="s">
        <v>3693</v>
      </c>
      <c r="AB462" s="122"/>
      <c r="BT462" s="90"/>
      <c r="BU462" s="92"/>
      <c r="BV462" s="92"/>
      <c r="BW462" s="68"/>
      <c r="BX462" s="92"/>
      <c r="BY462" s="92"/>
      <c r="BZ462" s="92"/>
      <c r="CA462" s="92"/>
      <c r="CB462" s="92">
        <v>0.24</v>
      </c>
      <c r="CC462" s="92">
        <v>5</v>
      </c>
      <c r="CD462" s="92"/>
      <c r="CE462" s="92"/>
      <c r="CF462" s="92" t="s">
        <v>1552</v>
      </c>
      <c r="CG462" s="92">
        <v>350</v>
      </c>
      <c r="CH462" s="92"/>
      <c r="CI462" s="68"/>
      <c r="CJ462" s="68"/>
      <c r="CK462" s="125">
        <v>12500</v>
      </c>
    </row>
    <row r="463" spans="1:89" ht="15" thickBot="1" x14ac:dyDescent="0.35">
      <c r="A463" s="115" t="s">
        <v>3049</v>
      </c>
      <c r="C463" t="s">
        <v>3371</v>
      </c>
      <c r="E463" s="92"/>
      <c r="F463" s="115" t="s">
        <v>3046</v>
      </c>
      <c r="G463" t="s">
        <v>586</v>
      </c>
      <c r="H463" t="s">
        <v>660</v>
      </c>
      <c r="J463" s="73" t="s">
        <v>3467</v>
      </c>
      <c r="K463" s="73" t="s">
        <v>3467</v>
      </c>
      <c r="M463" t="b">
        <v>1</v>
      </c>
      <c r="N463" t="b">
        <v>1</v>
      </c>
      <c r="O463" t="b">
        <v>0</v>
      </c>
      <c r="P463" t="b">
        <v>0</v>
      </c>
      <c r="Q463" t="s">
        <v>3694</v>
      </c>
      <c r="R463" t="s">
        <v>3695</v>
      </c>
      <c r="AB463" s="122"/>
      <c r="BT463" s="90"/>
      <c r="BU463" s="92"/>
      <c r="BV463" s="92"/>
      <c r="BW463" s="68"/>
      <c r="BX463" s="92"/>
      <c r="BY463" s="92"/>
      <c r="BZ463" s="92"/>
      <c r="CA463" s="92"/>
      <c r="CB463" s="92">
        <v>0.24</v>
      </c>
      <c r="CC463" s="92">
        <v>5</v>
      </c>
      <c r="CD463" s="92"/>
      <c r="CE463" s="92"/>
      <c r="CF463" s="92" t="s">
        <v>1552</v>
      </c>
      <c r="CG463" s="92">
        <v>350</v>
      </c>
      <c r="CH463" s="92"/>
      <c r="CI463" s="68"/>
      <c r="CJ463" s="68"/>
      <c r="CK463" s="125">
        <v>11000</v>
      </c>
    </row>
    <row r="464" spans="1:89" ht="15" thickBot="1" x14ac:dyDescent="0.35">
      <c r="A464" s="115" t="s">
        <v>3050</v>
      </c>
      <c r="C464" t="s">
        <v>3371</v>
      </c>
      <c r="E464" s="92">
        <v>2.88</v>
      </c>
      <c r="F464" s="115" t="s">
        <v>3046</v>
      </c>
      <c r="G464" t="s">
        <v>586</v>
      </c>
      <c r="H464" t="s">
        <v>660</v>
      </c>
      <c r="J464" s="73" t="s">
        <v>3468</v>
      </c>
      <c r="K464" s="73" t="s">
        <v>3468</v>
      </c>
      <c r="M464" t="b">
        <v>1</v>
      </c>
      <c r="N464" t="b">
        <v>1</v>
      </c>
      <c r="O464" t="b">
        <v>0</v>
      </c>
      <c r="P464" t="b">
        <v>0</v>
      </c>
      <c r="Q464" t="s">
        <v>3696</v>
      </c>
      <c r="R464" t="s">
        <v>3697</v>
      </c>
      <c r="AB464" s="122"/>
      <c r="BT464" s="90"/>
      <c r="BU464" s="92"/>
      <c r="BV464" s="92"/>
      <c r="BW464" s="68"/>
      <c r="BX464" s="92"/>
      <c r="BY464" s="92"/>
      <c r="BZ464" s="92"/>
      <c r="CA464" s="92"/>
      <c r="CB464" s="92">
        <v>0.24</v>
      </c>
      <c r="CC464" s="92">
        <v>5</v>
      </c>
      <c r="CD464" s="92"/>
      <c r="CE464" s="92"/>
      <c r="CF464" s="92" t="s">
        <v>1552</v>
      </c>
      <c r="CG464" s="92">
        <v>350</v>
      </c>
      <c r="CH464" s="92"/>
      <c r="CI464" s="68"/>
      <c r="CJ464" s="68"/>
      <c r="CK464" s="125">
        <v>6000</v>
      </c>
    </row>
    <row r="465" spans="1:89" ht="15" thickBot="1" x14ac:dyDescent="0.35">
      <c r="A465" s="115" t="s">
        <v>3051</v>
      </c>
      <c r="C465" t="s">
        <v>3371</v>
      </c>
      <c r="E465" s="92"/>
      <c r="F465" s="115" t="s">
        <v>3046</v>
      </c>
      <c r="G465" t="s">
        <v>586</v>
      </c>
      <c r="H465" t="s">
        <v>660</v>
      </c>
      <c r="J465" s="73" t="s">
        <v>3469</v>
      </c>
      <c r="K465" s="73" t="s">
        <v>3469</v>
      </c>
      <c r="M465" t="b">
        <v>1</v>
      </c>
      <c r="N465" t="b">
        <v>1</v>
      </c>
      <c r="O465" t="b">
        <v>0</v>
      </c>
      <c r="P465" t="b">
        <v>0</v>
      </c>
      <c r="Q465" t="s">
        <v>3698</v>
      </c>
      <c r="R465" t="s">
        <v>3699</v>
      </c>
      <c r="AB465" s="122"/>
      <c r="BT465" s="90"/>
      <c r="BU465" s="92"/>
      <c r="BV465" s="92"/>
      <c r="BW465" s="68"/>
      <c r="BX465" s="92"/>
      <c r="BY465" s="92"/>
      <c r="BZ465" s="92"/>
      <c r="CA465" s="92"/>
      <c r="CB465" s="92">
        <v>0.24</v>
      </c>
      <c r="CC465" s="92">
        <v>5</v>
      </c>
      <c r="CD465" s="92"/>
      <c r="CE465" s="92"/>
      <c r="CF465" s="92" t="s">
        <v>1552</v>
      </c>
      <c r="CG465" s="92">
        <v>350</v>
      </c>
      <c r="CH465" s="92"/>
      <c r="CI465" s="68"/>
      <c r="CJ465" s="68"/>
      <c r="CK465" s="125">
        <v>7000</v>
      </c>
    </row>
    <row r="466" spans="1:89" ht="15" thickBot="1" x14ac:dyDescent="0.35">
      <c r="A466" s="115" t="s">
        <v>28</v>
      </c>
      <c r="C466" t="s">
        <v>805</v>
      </c>
      <c r="E466" s="92">
        <v>3.96</v>
      </c>
      <c r="F466" s="115" t="s">
        <v>3046</v>
      </c>
      <c r="G466" t="s">
        <v>586</v>
      </c>
      <c r="H466" t="s">
        <v>660</v>
      </c>
      <c r="M466" t="b">
        <v>1</v>
      </c>
      <c r="N466" t="b">
        <v>1</v>
      </c>
      <c r="O466" t="b">
        <v>0</v>
      </c>
      <c r="P466" t="b">
        <v>0</v>
      </c>
      <c r="Q466" t="s">
        <v>586</v>
      </c>
      <c r="R466">
        <v>1521385</v>
      </c>
      <c r="AB466" s="122"/>
      <c r="BT466" s="90" t="s">
        <v>1407</v>
      </c>
      <c r="BU466" s="92">
        <f>240+273</f>
        <v>513</v>
      </c>
      <c r="BV466" s="92">
        <v>24</v>
      </c>
      <c r="BW466" s="68"/>
      <c r="BX466" s="92"/>
      <c r="BY466" s="92"/>
      <c r="BZ466" s="92"/>
      <c r="CA466" s="92"/>
      <c r="CB466" s="92">
        <v>0.24</v>
      </c>
      <c r="CC466" s="92">
        <v>5</v>
      </c>
      <c r="CD466" s="92"/>
      <c r="CE466" s="92"/>
      <c r="CF466" s="92" t="s">
        <v>1534</v>
      </c>
      <c r="CG466" s="92">
        <v>350</v>
      </c>
      <c r="CH466" s="92">
        <v>400</v>
      </c>
      <c r="CI466" s="68"/>
      <c r="CJ466" s="68"/>
      <c r="CK466" s="125">
        <v>0</v>
      </c>
    </row>
    <row r="467" spans="1:89" ht="15" thickBot="1" x14ac:dyDescent="0.35">
      <c r="A467" s="115" t="s">
        <v>3047</v>
      </c>
      <c r="C467" t="s">
        <v>3371</v>
      </c>
      <c r="E467" s="92"/>
      <c r="F467" s="115" t="s">
        <v>3046</v>
      </c>
      <c r="G467" t="s">
        <v>586</v>
      </c>
      <c r="H467" t="s">
        <v>660</v>
      </c>
      <c r="J467" s="73" t="s">
        <v>3465</v>
      </c>
      <c r="K467" s="73" t="s">
        <v>3465</v>
      </c>
      <c r="M467" t="b">
        <v>1</v>
      </c>
      <c r="N467" t="b">
        <v>1</v>
      </c>
      <c r="O467" t="b">
        <v>0</v>
      </c>
      <c r="P467" t="b">
        <v>0</v>
      </c>
      <c r="Q467" t="s">
        <v>3700</v>
      </c>
      <c r="R467" t="s">
        <v>3701</v>
      </c>
      <c r="AB467" s="122"/>
      <c r="BT467" s="90"/>
      <c r="BU467" s="92"/>
      <c r="BV467" s="92"/>
      <c r="BW467" s="68"/>
      <c r="BX467" s="92"/>
      <c r="BY467" s="92"/>
      <c r="BZ467" s="92"/>
      <c r="CA467" s="92"/>
      <c r="CB467" s="92">
        <v>0.24</v>
      </c>
      <c r="CC467" s="92">
        <v>5</v>
      </c>
      <c r="CD467" s="92"/>
      <c r="CE467" s="92"/>
      <c r="CF467" s="92" t="s">
        <v>1534</v>
      </c>
      <c r="CG467" s="92">
        <v>350</v>
      </c>
      <c r="CH467" s="92">
        <v>400</v>
      </c>
      <c r="CI467" s="68"/>
      <c r="CJ467" s="68"/>
      <c r="CK467" s="125">
        <v>49</v>
      </c>
    </row>
    <row r="468" spans="1:89" ht="15" thickBot="1" x14ac:dyDescent="0.35">
      <c r="A468" s="115" t="s">
        <v>3048</v>
      </c>
      <c r="C468" t="s">
        <v>3371</v>
      </c>
      <c r="E468" s="92"/>
      <c r="F468" s="115" t="s">
        <v>3046</v>
      </c>
      <c r="G468" t="s">
        <v>586</v>
      </c>
      <c r="H468" t="s">
        <v>660</v>
      </c>
      <c r="J468" s="73" t="s">
        <v>3466</v>
      </c>
      <c r="K468" s="73" t="s">
        <v>3466</v>
      </c>
      <c r="M468" t="b">
        <v>1</v>
      </c>
      <c r="N468" t="b">
        <v>1</v>
      </c>
      <c r="O468" t="b">
        <v>0</v>
      </c>
      <c r="P468" t="b">
        <v>0</v>
      </c>
      <c r="Q468" t="s">
        <v>3702</v>
      </c>
      <c r="R468" t="s">
        <v>3703</v>
      </c>
      <c r="AB468" s="122"/>
      <c r="BT468" s="90"/>
      <c r="BU468" s="92"/>
      <c r="BV468" s="92"/>
      <c r="BW468" s="68"/>
      <c r="BX468" s="92"/>
      <c r="BY468" s="92"/>
      <c r="BZ468" s="92"/>
      <c r="CA468" s="92"/>
      <c r="CB468" s="92">
        <v>0.24</v>
      </c>
      <c r="CC468" s="92">
        <v>5</v>
      </c>
      <c r="CD468" s="92"/>
      <c r="CE468" s="92"/>
      <c r="CF468" s="92" t="s">
        <v>1534</v>
      </c>
      <c r="CG468" s="92">
        <v>350</v>
      </c>
      <c r="CH468" s="92">
        <v>400</v>
      </c>
      <c r="CI468" s="68"/>
      <c r="CJ468" s="68"/>
      <c r="CK468" s="125">
        <v>53</v>
      </c>
    </row>
    <row r="469" spans="1:89" ht="15" thickBot="1" x14ac:dyDescent="0.35">
      <c r="A469" s="115" t="s">
        <v>3049</v>
      </c>
      <c r="C469" t="s">
        <v>3371</v>
      </c>
      <c r="E469" s="92"/>
      <c r="F469" s="115" t="s">
        <v>3046</v>
      </c>
      <c r="G469" t="s">
        <v>586</v>
      </c>
      <c r="H469" t="s">
        <v>660</v>
      </c>
      <c r="J469" s="73" t="s">
        <v>3467</v>
      </c>
      <c r="K469" s="73" t="s">
        <v>3467</v>
      </c>
      <c r="M469" t="b">
        <v>1</v>
      </c>
      <c r="N469" t="b">
        <v>1</v>
      </c>
      <c r="O469" t="b">
        <v>0</v>
      </c>
      <c r="P469" t="b">
        <v>0</v>
      </c>
      <c r="Q469" t="s">
        <v>3704</v>
      </c>
      <c r="R469" t="s">
        <v>3705</v>
      </c>
      <c r="AB469" s="122"/>
      <c r="BT469" s="90"/>
      <c r="BU469" s="92"/>
      <c r="BV469" s="92"/>
      <c r="BW469" s="68"/>
      <c r="BX469" s="92"/>
      <c r="BY469" s="92"/>
      <c r="BZ469" s="92"/>
      <c r="CA469" s="92"/>
      <c r="CB469" s="92">
        <v>0.24</v>
      </c>
      <c r="CC469" s="92">
        <v>5</v>
      </c>
      <c r="CD469" s="92"/>
      <c r="CE469" s="92"/>
      <c r="CF469" s="92" t="s">
        <v>1534</v>
      </c>
      <c r="CG469" s="92">
        <v>350</v>
      </c>
      <c r="CH469" s="92">
        <v>400</v>
      </c>
      <c r="CI469" s="68"/>
      <c r="CJ469" s="68"/>
      <c r="CK469" s="125">
        <v>55</v>
      </c>
    </row>
    <row r="470" spans="1:89" ht="15" thickBot="1" x14ac:dyDescent="0.35">
      <c r="A470" s="115" t="s">
        <v>3050</v>
      </c>
      <c r="C470" t="s">
        <v>3371</v>
      </c>
      <c r="E470" s="92">
        <v>2.88</v>
      </c>
      <c r="F470" s="115" t="s">
        <v>3046</v>
      </c>
      <c r="G470" t="s">
        <v>586</v>
      </c>
      <c r="H470" t="s">
        <v>660</v>
      </c>
      <c r="J470" s="73" t="s">
        <v>3468</v>
      </c>
      <c r="K470" s="73" t="s">
        <v>3468</v>
      </c>
      <c r="M470" t="b">
        <v>1</v>
      </c>
      <c r="N470" t="b">
        <v>1</v>
      </c>
      <c r="O470" t="b">
        <v>0</v>
      </c>
      <c r="P470" t="b">
        <v>0</v>
      </c>
      <c r="Q470" t="s">
        <v>3706</v>
      </c>
      <c r="R470" t="s">
        <v>3707</v>
      </c>
      <c r="AB470" s="122"/>
      <c r="BT470" s="90"/>
      <c r="BU470" s="92"/>
      <c r="BV470" s="92"/>
      <c r="BW470" s="68"/>
      <c r="BX470" s="92"/>
      <c r="BY470" s="92"/>
      <c r="BZ470" s="92"/>
      <c r="CA470" s="92"/>
      <c r="CB470" s="92">
        <v>0.24</v>
      </c>
      <c r="CC470" s="92">
        <v>5</v>
      </c>
      <c r="CD470" s="92"/>
      <c r="CE470" s="92"/>
      <c r="CF470" s="92" t="s">
        <v>1534</v>
      </c>
      <c r="CG470" s="92">
        <v>350</v>
      </c>
      <c r="CH470" s="92">
        <v>400</v>
      </c>
      <c r="CI470" s="68"/>
      <c r="CJ470" s="68"/>
      <c r="CK470" s="125">
        <v>60</v>
      </c>
    </row>
    <row r="471" spans="1:89" ht="15" thickBot="1" x14ac:dyDescent="0.35">
      <c r="A471" s="115" t="s">
        <v>3051</v>
      </c>
      <c r="C471" t="s">
        <v>3371</v>
      </c>
      <c r="E471" s="92"/>
      <c r="F471" s="115" t="s">
        <v>3046</v>
      </c>
      <c r="G471" t="s">
        <v>586</v>
      </c>
      <c r="H471" t="s">
        <v>660</v>
      </c>
      <c r="J471" s="73" t="s">
        <v>3469</v>
      </c>
      <c r="K471" s="73" t="s">
        <v>3469</v>
      </c>
      <c r="M471" t="b">
        <v>1</v>
      </c>
      <c r="N471" t="b">
        <v>1</v>
      </c>
      <c r="O471" t="b">
        <v>0</v>
      </c>
      <c r="P471" t="b">
        <v>0</v>
      </c>
      <c r="Q471" t="s">
        <v>3708</v>
      </c>
      <c r="R471" t="s">
        <v>3709</v>
      </c>
      <c r="AB471" s="122"/>
      <c r="BT471" s="90"/>
      <c r="BU471" s="92"/>
      <c r="BV471" s="92"/>
      <c r="BW471" s="68"/>
      <c r="BX471" s="92"/>
      <c r="BY471" s="92"/>
      <c r="BZ471" s="92"/>
      <c r="CA471" s="92"/>
      <c r="CB471" s="92">
        <v>0.24</v>
      </c>
      <c r="CC471" s="92">
        <v>5</v>
      </c>
      <c r="CD471" s="92"/>
      <c r="CE471" s="92"/>
      <c r="CF471" s="92" t="s">
        <v>1534</v>
      </c>
      <c r="CG471" s="92">
        <v>350</v>
      </c>
      <c r="CH471" s="92">
        <v>400</v>
      </c>
      <c r="CI471" s="68"/>
      <c r="CJ471" s="68"/>
      <c r="CK471" s="125">
        <v>50</v>
      </c>
    </row>
    <row r="472" spans="1:89" ht="15" thickBot="1" x14ac:dyDescent="0.35">
      <c r="A472" s="115" t="s">
        <v>3050</v>
      </c>
      <c r="C472" t="s">
        <v>3371</v>
      </c>
      <c r="E472" s="92">
        <v>3.96</v>
      </c>
      <c r="F472" s="115" t="s">
        <v>3046</v>
      </c>
      <c r="G472" t="s">
        <v>586</v>
      </c>
      <c r="H472" t="s">
        <v>660</v>
      </c>
      <c r="J472" s="73" t="s">
        <v>3468</v>
      </c>
      <c r="K472" s="73" t="s">
        <v>3468</v>
      </c>
      <c r="M472" t="b">
        <v>1</v>
      </c>
      <c r="N472" t="b">
        <v>1</v>
      </c>
      <c r="O472" t="b">
        <v>0</v>
      </c>
      <c r="P472" t="b">
        <v>0</v>
      </c>
      <c r="Q472" t="s">
        <v>3710</v>
      </c>
      <c r="R472" t="s">
        <v>3711</v>
      </c>
      <c r="AB472" s="122"/>
      <c r="BT472" s="90" t="s">
        <v>1407</v>
      </c>
      <c r="BU472" s="92">
        <f>240+273</f>
        <v>513</v>
      </c>
      <c r="BV472" s="92">
        <v>24</v>
      </c>
      <c r="BW472" s="68"/>
      <c r="BX472" s="92" t="s">
        <v>1533</v>
      </c>
      <c r="BY472" s="92" t="s">
        <v>56</v>
      </c>
      <c r="BZ472" s="92">
        <v>0.1</v>
      </c>
      <c r="CA472" s="92"/>
      <c r="CB472" s="92">
        <v>0.24</v>
      </c>
      <c r="CC472" s="92">
        <v>5</v>
      </c>
      <c r="CD472" s="92"/>
      <c r="CE472" s="92"/>
      <c r="CF472" s="92" t="s">
        <v>1534</v>
      </c>
      <c r="CG472" s="92">
        <v>350</v>
      </c>
      <c r="CH472" s="92">
        <v>400</v>
      </c>
      <c r="CI472" s="68"/>
      <c r="CJ472" s="68"/>
      <c r="CK472" s="125">
        <v>75</v>
      </c>
    </row>
    <row r="473" spans="1:89" ht="15" thickBot="1" x14ac:dyDescent="0.35">
      <c r="A473" s="115" t="s">
        <v>3050</v>
      </c>
      <c r="C473" t="s">
        <v>3371</v>
      </c>
      <c r="E473" s="92">
        <v>3.96</v>
      </c>
      <c r="F473" s="115" t="s">
        <v>3046</v>
      </c>
      <c r="G473" t="s">
        <v>586</v>
      </c>
      <c r="H473" t="s">
        <v>660</v>
      </c>
      <c r="J473" s="73" t="s">
        <v>3468</v>
      </c>
      <c r="K473" s="73" t="s">
        <v>3468</v>
      </c>
      <c r="M473" t="b">
        <v>1</v>
      </c>
      <c r="N473" t="b">
        <v>1</v>
      </c>
      <c r="O473" t="b">
        <v>0</v>
      </c>
      <c r="P473" t="b">
        <v>0</v>
      </c>
      <c r="Q473" t="s">
        <v>3712</v>
      </c>
      <c r="R473" t="s">
        <v>3713</v>
      </c>
      <c r="AB473" s="122"/>
      <c r="BT473" s="90"/>
      <c r="BU473" s="92"/>
      <c r="BV473" s="92"/>
      <c r="BW473" s="68"/>
      <c r="BX473" s="92" t="s">
        <v>1533</v>
      </c>
      <c r="BY473" s="92" t="s">
        <v>56</v>
      </c>
      <c r="BZ473" s="92">
        <v>0.2</v>
      </c>
      <c r="CA473" s="92"/>
      <c r="CB473" s="92">
        <v>0.24</v>
      </c>
      <c r="CC473" s="92">
        <v>5</v>
      </c>
      <c r="CD473" s="92"/>
      <c r="CE473" s="92"/>
      <c r="CF473" s="92" t="s">
        <v>1534</v>
      </c>
      <c r="CG473" s="92">
        <v>350</v>
      </c>
      <c r="CH473" s="92">
        <v>400</v>
      </c>
      <c r="CI473" s="68"/>
      <c r="CJ473" s="68"/>
      <c r="CK473" s="125">
        <v>62</v>
      </c>
    </row>
    <row r="474" spans="1:89" ht="15" thickBot="1" x14ac:dyDescent="0.35">
      <c r="A474" s="115" t="s">
        <v>3050</v>
      </c>
      <c r="C474" t="s">
        <v>3371</v>
      </c>
      <c r="E474" s="92">
        <v>3.96</v>
      </c>
      <c r="F474" s="115" t="s">
        <v>3046</v>
      </c>
      <c r="G474" t="s">
        <v>586</v>
      </c>
      <c r="H474" t="s">
        <v>660</v>
      </c>
      <c r="J474" s="73" t="s">
        <v>3468</v>
      </c>
      <c r="K474" s="73" t="s">
        <v>3468</v>
      </c>
      <c r="M474" t="b">
        <v>1</v>
      </c>
      <c r="N474" t="b">
        <v>1</v>
      </c>
      <c r="O474" t="b">
        <v>0</v>
      </c>
      <c r="P474" t="b">
        <v>0</v>
      </c>
      <c r="Q474" t="s">
        <v>3714</v>
      </c>
      <c r="R474" t="s">
        <v>3715</v>
      </c>
      <c r="AB474" s="122"/>
      <c r="BT474" s="90"/>
      <c r="BU474" s="92"/>
      <c r="BV474" s="92"/>
      <c r="BW474" s="68"/>
      <c r="BX474" s="92" t="s">
        <v>1533</v>
      </c>
      <c r="BY474" s="92" t="s">
        <v>56</v>
      </c>
      <c r="BZ474" s="92">
        <v>0.3</v>
      </c>
      <c r="CA474" s="92"/>
      <c r="CB474" s="92">
        <v>0.24</v>
      </c>
      <c r="CC474" s="92">
        <v>5</v>
      </c>
      <c r="CD474" s="92"/>
      <c r="CE474" s="92"/>
      <c r="CF474" s="92" t="s">
        <v>1534</v>
      </c>
      <c r="CG474" s="92">
        <v>350</v>
      </c>
      <c r="CH474" s="92">
        <v>400</v>
      </c>
      <c r="CI474" s="68"/>
      <c r="CJ474" s="68"/>
      <c r="CK474" s="125">
        <v>53</v>
      </c>
    </row>
    <row r="475" spans="1:89" ht="15" thickBot="1" x14ac:dyDescent="0.35">
      <c r="A475" s="115" t="s">
        <v>3054</v>
      </c>
      <c r="C475" t="s">
        <v>3372</v>
      </c>
      <c r="E475" s="92"/>
      <c r="F475" s="115" t="s">
        <v>3053</v>
      </c>
      <c r="G475" t="s">
        <v>586</v>
      </c>
      <c r="H475" t="s">
        <v>660</v>
      </c>
      <c r="J475" s="73" t="s">
        <v>3470</v>
      </c>
      <c r="K475" s="73" t="s">
        <v>3470</v>
      </c>
      <c r="M475" t="b">
        <v>1</v>
      </c>
      <c r="N475" t="b">
        <v>1</v>
      </c>
      <c r="O475" t="b">
        <v>0</v>
      </c>
      <c r="P475" t="b">
        <v>0</v>
      </c>
      <c r="Q475" t="s">
        <v>3716</v>
      </c>
      <c r="R475" t="s">
        <v>3717</v>
      </c>
      <c r="AB475" s="122"/>
      <c r="BT475" s="90" t="s">
        <v>1264</v>
      </c>
      <c r="BU475" s="92">
        <v>1423</v>
      </c>
      <c r="BV475" s="92">
        <v>10</v>
      </c>
      <c r="BW475" s="68"/>
      <c r="BX475" s="92" t="s">
        <v>1268</v>
      </c>
      <c r="BY475" s="92" t="s">
        <v>863</v>
      </c>
      <c r="BZ475" s="92">
        <v>0.2</v>
      </c>
      <c r="CA475" s="92"/>
      <c r="CB475" s="92">
        <v>1.85</v>
      </c>
      <c r="CC475" s="92">
        <v>18</v>
      </c>
      <c r="CD475" s="92"/>
      <c r="CE475" s="92"/>
      <c r="CF475" s="92" t="s">
        <v>1534</v>
      </c>
      <c r="CG475" s="92">
        <v>300</v>
      </c>
      <c r="CH475" s="92">
        <v>420</v>
      </c>
      <c r="CI475" s="68"/>
      <c r="CJ475" s="68"/>
      <c r="CK475" s="125">
        <v>14</v>
      </c>
    </row>
    <row r="476" spans="1:89" ht="15" thickBot="1" x14ac:dyDescent="0.35">
      <c r="A476" s="115" t="s">
        <v>3055</v>
      </c>
      <c r="C476" t="s">
        <v>3372</v>
      </c>
      <c r="E476" s="92"/>
      <c r="F476" s="115" t="s">
        <v>3053</v>
      </c>
      <c r="G476" t="s">
        <v>586</v>
      </c>
      <c r="H476" t="s">
        <v>660</v>
      </c>
      <c r="J476" s="73" t="s">
        <v>3471</v>
      </c>
      <c r="K476" s="73" t="s">
        <v>3471</v>
      </c>
      <c r="M476" t="b">
        <v>1</v>
      </c>
      <c r="N476" t="b">
        <v>1</v>
      </c>
      <c r="O476" t="b">
        <v>0</v>
      </c>
      <c r="P476" t="b">
        <v>0</v>
      </c>
      <c r="Q476" t="s">
        <v>3718</v>
      </c>
      <c r="R476" t="s">
        <v>3719</v>
      </c>
      <c r="AB476" s="122"/>
      <c r="BT476" s="90" t="s">
        <v>1264</v>
      </c>
      <c r="BU476" s="92">
        <v>1423</v>
      </c>
      <c r="BV476" s="92">
        <v>10</v>
      </c>
      <c r="BW476" s="68"/>
      <c r="BX476" s="92" t="s">
        <v>1268</v>
      </c>
      <c r="BY476" s="92" t="s">
        <v>863</v>
      </c>
      <c r="BZ476" s="92">
        <v>0.2</v>
      </c>
      <c r="CA476" s="92"/>
      <c r="CB476" s="92">
        <v>1.85</v>
      </c>
      <c r="CC476" s="92">
        <v>18</v>
      </c>
      <c r="CD476" s="92"/>
      <c r="CE476" s="92"/>
      <c r="CF476" s="92" t="s">
        <v>1534</v>
      </c>
      <c r="CG476" s="92">
        <v>300</v>
      </c>
      <c r="CH476" s="92">
        <v>420</v>
      </c>
      <c r="CI476" s="68"/>
      <c r="CJ476" s="68"/>
      <c r="CK476" s="125">
        <v>6</v>
      </c>
    </row>
    <row r="477" spans="1:89" ht="15" thickBot="1" x14ac:dyDescent="0.35">
      <c r="A477" s="115" t="s">
        <v>3056</v>
      </c>
      <c r="C477" t="s">
        <v>3372</v>
      </c>
      <c r="E477" s="92"/>
      <c r="F477" s="115" t="s">
        <v>3053</v>
      </c>
      <c r="G477" t="s">
        <v>586</v>
      </c>
      <c r="H477" t="s">
        <v>660</v>
      </c>
      <c r="J477" s="73" t="s">
        <v>3472</v>
      </c>
      <c r="K477" s="73" t="s">
        <v>3472</v>
      </c>
      <c r="M477" t="b">
        <v>1</v>
      </c>
      <c r="N477" t="b">
        <v>1</v>
      </c>
      <c r="O477" t="b">
        <v>0</v>
      </c>
      <c r="P477" t="b">
        <v>0</v>
      </c>
      <c r="Q477" t="s">
        <v>3720</v>
      </c>
      <c r="R477" t="s">
        <v>3721</v>
      </c>
      <c r="AB477" s="122"/>
      <c r="BT477" s="90" t="s">
        <v>1264</v>
      </c>
      <c r="BU477" s="92">
        <v>1423</v>
      </c>
      <c r="BV477" s="92">
        <v>10</v>
      </c>
      <c r="BW477" s="68"/>
      <c r="BX477" s="92" t="s">
        <v>1268</v>
      </c>
      <c r="BY477" s="92" t="s">
        <v>863</v>
      </c>
      <c r="BZ477" s="92">
        <v>0.2</v>
      </c>
      <c r="CA477" s="92"/>
      <c r="CB477" s="92">
        <v>1.85</v>
      </c>
      <c r="CC477" s="92">
        <v>18</v>
      </c>
      <c r="CD477" s="92"/>
      <c r="CE477" s="92"/>
      <c r="CF477" s="92" t="s">
        <v>1534</v>
      </c>
      <c r="CG477" s="92">
        <v>300</v>
      </c>
      <c r="CH477" s="92">
        <v>420</v>
      </c>
      <c r="CI477" s="68"/>
      <c r="CJ477" s="68"/>
      <c r="CK477" s="125">
        <v>7</v>
      </c>
    </row>
    <row r="478" spans="1:89" ht="15" thickBot="1" x14ac:dyDescent="0.35">
      <c r="A478" s="115" t="s">
        <v>3057</v>
      </c>
      <c r="C478" t="s">
        <v>3372</v>
      </c>
      <c r="E478" s="92"/>
      <c r="F478" s="115" t="s">
        <v>3053</v>
      </c>
      <c r="G478" t="s">
        <v>586</v>
      </c>
      <c r="H478" t="s">
        <v>660</v>
      </c>
      <c r="J478" s="73" t="s">
        <v>3473</v>
      </c>
      <c r="K478" s="73" t="s">
        <v>3473</v>
      </c>
      <c r="M478" t="b">
        <v>0</v>
      </c>
      <c r="N478" t="b">
        <v>0</v>
      </c>
      <c r="O478" t="b">
        <v>0</v>
      </c>
      <c r="P478" t="b">
        <v>1</v>
      </c>
      <c r="Q478" t="s">
        <v>3722</v>
      </c>
      <c r="R478" t="s">
        <v>3723</v>
      </c>
      <c r="AB478" s="122"/>
      <c r="BT478" s="90" t="s">
        <v>1264</v>
      </c>
      <c r="BU478" s="92">
        <v>1423</v>
      </c>
      <c r="BV478" s="92">
        <v>10</v>
      </c>
      <c r="BW478" s="68"/>
      <c r="BX478" s="92" t="s">
        <v>1268</v>
      </c>
      <c r="BY478" s="92" t="s">
        <v>863</v>
      </c>
      <c r="BZ478" s="92">
        <v>0.2</v>
      </c>
      <c r="CA478" s="92"/>
      <c r="CB478" s="92">
        <v>1.85</v>
      </c>
      <c r="CC478" s="92">
        <v>18</v>
      </c>
      <c r="CD478" s="92"/>
      <c r="CE478" s="92"/>
      <c r="CF478" s="92" t="s">
        <v>1534</v>
      </c>
      <c r="CG478" s="92">
        <v>300</v>
      </c>
      <c r="CH478" s="92">
        <v>420</v>
      </c>
      <c r="CI478" s="68"/>
      <c r="CJ478" s="68"/>
      <c r="CK478" s="125">
        <v>45</v>
      </c>
    </row>
    <row r="479" spans="1:89" ht="15" thickBot="1" x14ac:dyDescent="0.35">
      <c r="A479" s="115" t="s">
        <v>3058</v>
      </c>
      <c r="C479" t="s">
        <v>3372</v>
      </c>
      <c r="E479" s="92"/>
      <c r="F479" s="115" t="s">
        <v>3053</v>
      </c>
      <c r="G479" t="s">
        <v>586</v>
      </c>
      <c r="H479" t="s">
        <v>660</v>
      </c>
      <c r="J479" s="73" t="s">
        <v>3474</v>
      </c>
      <c r="K479" s="73" t="s">
        <v>3474</v>
      </c>
      <c r="M479" t="b">
        <v>1</v>
      </c>
      <c r="N479" t="b">
        <v>1</v>
      </c>
      <c r="O479" t="b">
        <v>0</v>
      </c>
      <c r="P479" t="b">
        <v>0</v>
      </c>
      <c r="Q479" t="s">
        <v>3724</v>
      </c>
      <c r="R479" t="s">
        <v>3725</v>
      </c>
      <c r="AB479" s="122"/>
      <c r="BT479" s="90" t="s">
        <v>1264</v>
      </c>
      <c r="BU479" s="92">
        <v>1423</v>
      </c>
      <c r="BV479" s="92">
        <v>10</v>
      </c>
      <c r="BW479" s="68"/>
      <c r="BX479" s="92" t="s">
        <v>1268</v>
      </c>
      <c r="BY479" s="92" t="s">
        <v>863</v>
      </c>
      <c r="BZ479" s="92">
        <v>0.2</v>
      </c>
      <c r="CA479" s="92"/>
      <c r="CB479" s="92">
        <v>1.85</v>
      </c>
      <c r="CC479" s="92">
        <v>18</v>
      </c>
      <c r="CD479" s="92"/>
      <c r="CE479" s="92"/>
      <c r="CF479" s="92" t="s">
        <v>1534</v>
      </c>
      <c r="CG479" s="92">
        <v>300</v>
      </c>
      <c r="CH479" s="92">
        <v>420</v>
      </c>
      <c r="CI479" s="68"/>
      <c r="CJ479" s="68"/>
      <c r="CK479" s="125">
        <v>24</v>
      </c>
    </row>
    <row r="480" spans="1:89" ht="15" thickBot="1" x14ac:dyDescent="0.35">
      <c r="A480" s="115" t="s">
        <v>3059</v>
      </c>
      <c r="C480" t="s">
        <v>3372</v>
      </c>
      <c r="E480" s="92"/>
      <c r="F480" s="115" t="s">
        <v>3053</v>
      </c>
      <c r="G480" t="s">
        <v>586</v>
      </c>
      <c r="H480" t="s">
        <v>660</v>
      </c>
      <c r="J480" s="73" t="s">
        <v>3475</v>
      </c>
      <c r="K480" s="73" t="s">
        <v>3475</v>
      </c>
      <c r="M480" t="b">
        <v>1</v>
      </c>
      <c r="N480" t="b">
        <v>1</v>
      </c>
      <c r="O480" t="b">
        <v>0</v>
      </c>
      <c r="P480" t="b">
        <v>0</v>
      </c>
      <c r="Q480" t="s">
        <v>3726</v>
      </c>
      <c r="R480" t="s">
        <v>3727</v>
      </c>
      <c r="AB480" s="122"/>
      <c r="BT480" s="90" t="s">
        <v>1264</v>
      </c>
      <c r="BU480" s="92">
        <v>1423</v>
      </c>
      <c r="BV480" s="92">
        <v>10</v>
      </c>
      <c r="BW480" s="68"/>
      <c r="BX480" s="92" t="s">
        <v>1268</v>
      </c>
      <c r="BY480" s="92" t="s">
        <v>863</v>
      </c>
      <c r="BZ480" s="92">
        <v>0.2</v>
      </c>
      <c r="CA480" s="92"/>
      <c r="CB480" s="92">
        <v>1.85</v>
      </c>
      <c r="CC480" s="92">
        <v>18</v>
      </c>
      <c r="CD480" s="92"/>
      <c r="CE480" s="92"/>
      <c r="CF480" s="92" t="s">
        <v>1534</v>
      </c>
      <c r="CG480" s="92">
        <v>300</v>
      </c>
      <c r="CH480" s="92">
        <v>420</v>
      </c>
      <c r="CI480" s="68"/>
      <c r="CJ480" s="68"/>
      <c r="CK480" s="125">
        <v>18</v>
      </c>
    </row>
    <row r="481" spans="1:89" ht="15" thickBot="1" x14ac:dyDescent="0.35">
      <c r="A481" s="115" t="s">
        <v>3060</v>
      </c>
      <c r="C481" t="s">
        <v>3372</v>
      </c>
      <c r="E481" s="92"/>
      <c r="F481" s="115" t="s">
        <v>3053</v>
      </c>
      <c r="G481" t="s">
        <v>586</v>
      </c>
      <c r="H481" t="s">
        <v>660</v>
      </c>
      <c r="J481" s="73" t="s">
        <v>3476</v>
      </c>
      <c r="K481" s="73" t="s">
        <v>3476</v>
      </c>
      <c r="M481" t="b">
        <v>1</v>
      </c>
      <c r="N481" t="b">
        <v>1</v>
      </c>
      <c r="O481" t="b">
        <v>0</v>
      </c>
      <c r="P481" t="b">
        <v>0</v>
      </c>
      <c r="Q481" t="s">
        <v>3728</v>
      </c>
      <c r="R481" t="s">
        <v>3729</v>
      </c>
      <c r="AB481" s="122"/>
      <c r="BT481" s="90" t="s">
        <v>1264</v>
      </c>
      <c r="BU481" s="92">
        <v>1423</v>
      </c>
      <c r="BV481" s="92">
        <v>10</v>
      </c>
      <c r="BW481" s="68"/>
      <c r="BX481" s="92" t="s">
        <v>1268</v>
      </c>
      <c r="BY481" s="92" t="s">
        <v>863</v>
      </c>
      <c r="BZ481" s="92">
        <v>0.2</v>
      </c>
      <c r="CA481" s="92"/>
      <c r="CB481" s="92">
        <v>1.85</v>
      </c>
      <c r="CC481" s="92">
        <v>18</v>
      </c>
      <c r="CD481" s="92"/>
      <c r="CE481" s="92"/>
      <c r="CF481" s="92" t="s">
        <v>1534</v>
      </c>
      <c r="CG481" s="92">
        <v>300</v>
      </c>
      <c r="CH481" s="92">
        <v>420</v>
      </c>
      <c r="CI481" s="68"/>
      <c r="CJ481" s="68"/>
      <c r="CK481" s="125">
        <v>21</v>
      </c>
    </row>
    <row r="482" spans="1:89" ht="15" thickBot="1" x14ac:dyDescent="0.35">
      <c r="A482" s="115" t="s">
        <v>3061</v>
      </c>
      <c r="C482" t="s">
        <v>3372</v>
      </c>
      <c r="E482" s="92"/>
      <c r="F482" s="115" t="s">
        <v>3053</v>
      </c>
      <c r="G482" t="s">
        <v>586</v>
      </c>
      <c r="H482" t="s">
        <v>660</v>
      </c>
      <c r="J482" s="73" t="s">
        <v>3477</v>
      </c>
      <c r="K482" s="73" t="s">
        <v>3477</v>
      </c>
      <c r="M482" t="b">
        <v>1</v>
      </c>
      <c r="N482" t="b">
        <v>1</v>
      </c>
      <c r="O482" t="b">
        <v>0</v>
      </c>
      <c r="P482" t="b">
        <v>0</v>
      </c>
      <c r="Q482" t="s">
        <v>3730</v>
      </c>
      <c r="R482" t="s">
        <v>3731</v>
      </c>
      <c r="AB482" s="122"/>
      <c r="BT482" s="90" t="s">
        <v>1264</v>
      </c>
      <c r="BU482" s="92">
        <v>1423</v>
      </c>
      <c r="BV482" s="92">
        <v>10</v>
      </c>
      <c r="BW482" s="68"/>
      <c r="BX482" s="92" t="s">
        <v>1268</v>
      </c>
      <c r="BY482" s="92" t="s">
        <v>863</v>
      </c>
      <c r="BZ482" s="92">
        <v>0.2</v>
      </c>
      <c r="CA482" s="92"/>
      <c r="CB482" s="92">
        <v>1.85</v>
      </c>
      <c r="CC482" s="92">
        <v>18</v>
      </c>
      <c r="CD482" s="92"/>
      <c r="CE482" s="92"/>
      <c r="CF482" s="92" t="s">
        <v>1534</v>
      </c>
      <c r="CG482" s="92">
        <v>300</v>
      </c>
      <c r="CH482" s="92">
        <v>420</v>
      </c>
      <c r="CI482" s="68"/>
      <c r="CJ482" s="68"/>
      <c r="CK482" s="125">
        <v>28</v>
      </c>
    </row>
    <row r="483" spans="1:89" ht="15" thickBot="1" x14ac:dyDescent="0.35">
      <c r="A483" s="115" t="s">
        <v>3062</v>
      </c>
      <c r="C483" t="s">
        <v>3372</v>
      </c>
      <c r="E483" s="92"/>
      <c r="F483" s="115" t="s">
        <v>3053</v>
      </c>
      <c r="G483" t="s">
        <v>586</v>
      </c>
      <c r="H483" t="s">
        <v>660</v>
      </c>
      <c r="J483" s="73" t="s">
        <v>3478</v>
      </c>
      <c r="K483" s="73" t="s">
        <v>3478</v>
      </c>
      <c r="M483" t="b">
        <v>1</v>
      </c>
      <c r="N483" t="b">
        <v>1</v>
      </c>
      <c r="O483" t="b">
        <v>0</v>
      </c>
      <c r="P483" t="b">
        <v>0</v>
      </c>
      <c r="Q483" t="s">
        <v>3732</v>
      </c>
      <c r="R483" t="s">
        <v>3733</v>
      </c>
      <c r="AB483" s="122"/>
      <c r="BT483" s="90" t="s">
        <v>1264</v>
      </c>
      <c r="BU483" s="92">
        <v>1423</v>
      </c>
      <c r="BV483" s="92">
        <v>10</v>
      </c>
      <c r="BW483" s="68"/>
      <c r="BX483" s="92" t="s">
        <v>1268</v>
      </c>
      <c r="BY483" s="92" t="s">
        <v>863</v>
      </c>
      <c r="BZ483" s="92">
        <v>0.2</v>
      </c>
      <c r="CA483" s="92"/>
      <c r="CB483" s="92">
        <v>1.85</v>
      </c>
      <c r="CC483" s="92">
        <v>18</v>
      </c>
      <c r="CD483" s="92"/>
      <c r="CE483" s="92"/>
      <c r="CF483" s="92" t="s">
        <v>1534</v>
      </c>
      <c r="CG483" s="92">
        <v>300</v>
      </c>
      <c r="CH483" s="92">
        <v>420</v>
      </c>
      <c r="CI483" s="68"/>
      <c r="CJ483" s="68"/>
      <c r="CK483" s="125">
        <v>5</v>
      </c>
    </row>
    <row r="484" spans="1:89" ht="15" thickBot="1" x14ac:dyDescent="0.35">
      <c r="A484" s="115" t="s">
        <v>3063</v>
      </c>
      <c r="C484" t="s">
        <v>3373</v>
      </c>
      <c r="E484" s="92"/>
      <c r="F484" s="115" t="s">
        <v>3053</v>
      </c>
      <c r="G484" t="s">
        <v>3232</v>
      </c>
      <c r="H484" t="s">
        <v>3233</v>
      </c>
      <c r="M484" t="b">
        <v>1</v>
      </c>
      <c r="N484" t="b">
        <v>1</v>
      </c>
      <c r="O484" t="b">
        <v>0</v>
      </c>
      <c r="P484" t="b">
        <v>0</v>
      </c>
      <c r="Q484" t="s">
        <v>3232</v>
      </c>
      <c r="R484">
        <v>1526176</v>
      </c>
      <c r="AB484" s="122"/>
      <c r="BT484" s="90" t="s">
        <v>1264</v>
      </c>
      <c r="BU484" s="92">
        <v>1423</v>
      </c>
      <c r="BV484" s="92">
        <v>10</v>
      </c>
      <c r="BW484" s="68"/>
      <c r="BX484" s="92" t="s">
        <v>1268</v>
      </c>
      <c r="BY484" s="92" t="s">
        <v>863</v>
      </c>
      <c r="BZ484" s="92">
        <v>0.2</v>
      </c>
      <c r="CA484" s="92"/>
      <c r="CB484" s="92">
        <v>1.85</v>
      </c>
      <c r="CC484" s="92">
        <v>18</v>
      </c>
      <c r="CD484" s="92"/>
      <c r="CE484" s="92"/>
      <c r="CF484" s="92" t="s">
        <v>1534</v>
      </c>
      <c r="CG484" s="92">
        <v>300</v>
      </c>
      <c r="CH484" s="92">
        <v>420</v>
      </c>
      <c r="CI484" s="68"/>
      <c r="CJ484" s="68"/>
      <c r="CK484" s="125">
        <v>2</v>
      </c>
    </row>
    <row r="485" spans="1:89" ht="15" thickBot="1" x14ac:dyDescent="0.35">
      <c r="A485" s="115" t="s">
        <v>2902</v>
      </c>
      <c r="C485" t="s">
        <v>3297</v>
      </c>
      <c r="E485" s="92">
        <v>3.4</v>
      </c>
      <c r="F485" s="115" t="s">
        <v>3064</v>
      </c>
      <c r="G485" t="s">
        <v>3185</v>
      </c>
      <c r="H485" t="s">
        <v>3186</v>
      </c>
      <c r="M485" t="b">
        <v>1</v>
      </c>
      <c r="N485" t="b">
        <v>1</v>
      </c>
      <c r="O485" t="b">
        <v>0</v>
      </c>
      <c r="P485" t="b">
        <v>0</v>
      </c>
      <c r="Q485" t="s">
        <v>3185</v>
      </c>
      <c r="R485">
        <v>1011064</v>
      </c>
      <c r="AB485" s="122"/>
      <c r="BT485" s="90" t="s">
        <v>1538</v>
      </c>
      <c r="BU485" s="92">
        <v>773</v>
      </c>
      <c r="BV485" s="92">
        <v>5</v>
      </c>
      <c r="BW485" s="68"/>
      <c r="BX485" s="92" t="s">
        <v>1533</v>
      </c>
      <c r="BY485" s="92" t="s">
        <v>1313</v>
      </c>
      <c r="BZ485" s="92">
        <v>0.5</v>
      </c>
      <c r="CA485" s="92">
        <v>38</v>
      </c>
      <c r="CB485" s="92">
        <v>0.85</v>
      </c>
      <c r="CC485" s="92">
        <v>0</v>
      </c>
      <c r="CD485" s="92"/>
      <c r="CE485" s="92"/>
      <c r="CF485" s="92" t="s">
        <v>1552</v>
      </c>
      <c r="CG485" s="92">
        <v>400</v>
      </c>
      <c r="CH485" s="92">
        <v>365</v>
      </c>
      <c r="CI485" s="68"/>
      <c r="CJ485" s="68"/>
      <c r="CK485" s="125">
        <v>70</v>
      </c>
    </row>
    <row r="486" spans="1:89" ht="15" thickBot="1" x14ac:dyDescent="0.35">
      <c r="A486" s="115" t="s">
        <v>2821</v>
      </c>
      <c r="C486" t="s">
        <v>3262</v>
      </c>
      <c r="E486" s="92"/>
      <c r="F486" s="115" t="s">
        <v>2820</v>
      </c>
      <c r="G486" t="s">
        <v>3165</v>
      </c>
      <c r="H486" t="s">
        <v>3166</v>
      </c>
      <c r="M486" t="b">
        <v>1</v>
      </c>
      <c r="N486" t="b">
        <v>1</v>
      </c>
      <c r="O486" t="b">
        <v>0</v>
      </c>
      <c r="P486" t="b">
        <v>0</v>
      </c>
      <c r="Q486" t="s">
        <v>3165</v>
      </c>
      <c r="R486">
        <v>1532743</v>
      </c>
      <c r="AB486" s="122"/>
      <c r="BT486" s="90" t="s">
        <v>1305</v>
      </c>
      <c r="BU486" s="92">
        <f>350+273</f>
        <v>623</v>
      </c>
      <c r="BV486" s="92">
        <v>3</v>
      </c>
      <c r="BW486" s="68"/>
      <c r="BX486" s="92"/>
      <c r="BY486" s="92"/>
      <c r="BZ486" s="92"/>
      <c r="CA486" s="92">
        <v>8.5</v>
      </c>
      <c r="CB486" s="92">
        <v>0.48</v>
      </c>
      <c r="CC486" s="92">
        <v>0</v>
      </c>
      <c r="CD486" s="92"/>
      <c r="CE486" s="92"/>
      <c r="CF486" s="92" t="s">
        <v>1552</v>
      </c>
      <c r="CG486" s="92">
        <v>450</v>
      </c>
      <c r="CH486" s="92"/>
      <c r="CI486" s="68"/>
      <c r="CJ486" s="68"/>
      <c r="CK486" s="125">
        <v>675</v>
      </c>
    </row>
    <row r="487" spans="1:89" ht="15" thickBot="1" x14ac:dyDescent="0.35">
      <c r="A487" s="115" t="s">
        <v>2822</v>
      </c>
      <c r="C487" t="s">
        <v>3263</v>
      </c>
      <c r="E487" s="92"/>
      <c r="F487" s="115" t="s">
        <v>2820</v>
      </c>
      <c r="G487" t="s">
        <v>3165</v>
      </c>
      <c r="H487" t="s">
        <v>3166</v>
      </c>
      <c r="J487" s="73" t="s">
        <v>3407</v>
      </c>
      <c r="K487" s="73" t="s">
        <v>3407</v>
      </c>
      <c r="M487" t="b">
        <v>1</v>
      </c>
      <c r="N487" t="b">
        <v>1</v>
      </c>
      <c r="O487" t="b">
        <v>0</v>
      </c>
      <c r="P487" t="b">
        <v>0</v>
      </c>
      <c r="Q487" t="s">
        <v>3734</v>
      </c>
      <c r="R487" t="s">
        <v>3735</v>
      </c>
      <c r="AB487" s="122"/>
      <c r="BT487" s="90" t="s">
        <v>1305</v>
      </c>
      <c r="BU487" s="92">
        <f t="shared" ref="BU487:BU488" si="1">350+273</f>
        <v>623</v>
      </c>
      <c r="BV487" s="92">
        <v>3</v>
      </c>
      <c r="BW487" s="68"/>
      <c r="BX487" s="92"/>
      <c r="BY487" s="92"/>
      <c r="BZ487" s="92"/>
      <c r="CA487" s="92">
        <v>5.5</v>
      </c>
      <c r="CB487" s="92">
        <v>0.48</v>
      </c>
      <c r="CC487" s="92">
        <v>0</v>
      </c>
      <c r="CD487" s="92"/>
      <c r="CE487" s="92"/>
      <c r="CF487" s="92" t="s">
        <v>1552</v>
      </c>
      <c r="CG487" s="92">
        <v>450</v>
      </c>
      <c r="CH487" s="92"/>
      <c r="CI487" s="68"/>
      <c r="CJ487" s="68"/>
      <c r="CK487" s="125">
        <v>425</v>
      </c>
    </row>
    <row r="488" spans="1:89" ht="15" thickBot="1" x14ac:dyDescent="0.35">
      <c r="A488" s="115" t="s">
        <v>2823</v>
      </c>
      <c r="C488" t="s">
        <v>3263</v>
      </c>
      <c r="E488" s="92"/>
      <c r="F488" s="115" t="s">
        <v>2820</v>
      </c>
      <c r="G488" t="s">
        <v>3165</v>
      </c>
      <c r="H488" t="s">
        <v>3166</v>
      </c>
      <c r="J488" s="73" t="s">
        <v>3408</v>
      </c>
      <c r="K488" s="73" t="s">
        <v>3408</v>
      </c>
      <c r="M488" t="b">
        <v>1</v>
      </c>
      <c r="N488" t="b">
        <v>1</v>
      </c>
      <c r="O488" t="b">
        <v>0</v>
      </c>
      <c r="P488" t="b">
        <v>0</v>
      </c>
      <c r="Q488" t="s">
        <v>3736</v>
      </c>
      <c r="R488" t="s">
        <v>3737</v>
      </c>
      <c r="AB488" s="122"/>
      <c r="BT488" s="90" t="s">
        <v>1305</v>
      </c>
      <c r="BU488" s="92">
        <f t="shared" si="1"/>
        <v>623</v>
      </c>
      <c r="BV488" s="92">
        <v>3</v>
      </c>
      <c r="BW488" s="68"/>
      <c r="BX488" s="92"/>
      <c r="BY488" s="92"/>
      <c r="BZ488" s="92"/>
      <c r="CA488" s="92">
        <v>3.5</v>
      </c>
      <c r="CB488" s="92">
        <v>0.48</v>
      </c>
      <c r="CC488" s="92">
        <v>0</v>
      </c>
      <c r="CD488" s="92"/>
      <c r="CE488" s="92"/>
      <c r="CF488" s="92" t="s">
        <v>1552</v>
      </c>
      <c r="CG488" s="92">
        <v>450</v>
      </c>
      <c r="CH488" s="92"/>
      <c r="CI488" s="68"/>
      <c r="CJ488" s="68"/>
      <c r="CK488" s="125">
        <v>200</v>
      </c>
    </row>
    <row r="489" spans="1:89" ht="15" thickBot="1" x14ac:dyDescent="0.35">
      <c r="A489" s="115" t="s">
        <v>2824</v>
      </c>
      <c r="C489" t="s">
        <v>3263</v>
      </c>
      <c r="E489" s="92"/>
      <c r="F489" s="115" t="s">
        <v>2820</v>
      </c>
      <c r="G489" t="s">
        <v>3165</v>
      </c>
      <c r="H489" t="s">
        <v>3166</v>
      </c>
      <c r="J489" s="73" t="s">
        <v>3409</v>
      </c>
      <c r="K489" s="73" t="s">
        <v>3409</v>
      </c>
      <c r="M489" t="b">
        <v>1</v>
      </c>
      <c r="N489" t="b">
        <v>1</v>
      </c>
      <c r="O489" t="b">
        <v>0</v>
      </c>
      <c r="P489" t="b">
        <v>0</v>
      </c>
      <c r="Q489" t="s">
        <v>3738</v>
      </c>
      <c r="R489" t="s">
        <v>3739</v>
      </c>
      <c r="AB489" s="122"/>
      <c r="BT489" s="90" t="s">
        <v>1305</v>
      </c>
      <c r="BU489" s="92">
        <f>350+273</f>
        <v>623</v>
      </c>
      <c r="BV489" s="92">
        <v>3</v>
      </c>
      <c r="BW489" s="68"/>
      <c r="BX489" s="92"/>
      <c r="BY489" s="92"/>
      <c r="BZ489" s="92"/>
      <c r="CA489" s="92">
        <v>3.9</v>
      </c>
      <c r="CB489" s="92">
        <v>0.48</v>
      </c>
      <c r="CC489" s="92">
        <v>0</v>
      </c>
      <c r="CD489" s="92"/>
      <c r="CE489" s="92"/>
      <c r="CF489" s="92" t="s">
        <v>1552</v>
      </c>
      <c r="CG489" s="92">
        <v>450</v>
      </c>
      <c r="CH489" s="92"/>
      <c r="CI489" s="68"/>
      <c r="CJ489" s="68"/>
      <c r="CK489" s="125">
        <v>250</v>
      </c>
    </row>
    <row r="490" spans="1:89" ht="15" thickBot="1" x14ac:dyDescent="0.35">
      <c r="A490" s="115" t="s">
        <v>2825</v>
      </c>
      <c r="C490" t="s">
        <v>3263</v>
      </c>
      <c r="E490" s="92"/>
      <c r="F490" s="115" t="s">
        <v>2820</v>
      </c>
      <c r="G490" t="s">
        <v>3165</v>
      </c>
      <c r="H490" t="s">
        <v>3166</v>
      </c>
      <c r="J490" s="73" t="s">
        <v>3410</v>
      </c>
      <c r="K490" s="73" t="s">
        <v>3410</v>
      </c>
      <c r="M490" t="b">
        <v>1</v>
      </c>
      <c r="N490" t="b">
        <v>1</v>
      </c>
      <c r="O490" t="b">
        <v>0</v>
      </c>
      <c r="P490" t="b">
        <v>0</v>
      </c>
      <c r="Q490" t="s">
        <v>3740</v>
      </c>
      <c r="R490" t="s">
        <v>3741</v>
      </c>
      <c r="AB490" s="122"/>
      <c r="BT490" s="90" t="s">
        <v>1305</v>
      </c>
      <c r="BU490" s="92">
        <f>350+273</f>
        <v>623</v>
      </c>
      <c r="BV490" s="92">
        <v>3</v>
      </c>
      <c r="BW490" s="68"/>
      <c r="BX490" s="92"/>
      <c r="BY490" s="92"/>
      <c r="BZ490" s="92"/>
      <c r="CA490" s="92">
        <v>2</v>
      </c>
      <c r="CB490" s="92">
        <v>0.48</v>
      </c>
      <c r="CC490" s="92">
        <v>0</v>
      </c>
      <c r="CD490" s="92"/>
      <c r="CE490" s="92"/>
      <c r="CF490" s="92" t="s">
        <v>1552</v>
      </c>
      <c r="CG490" s="92">
        <v>450</v>
      </c>
      <c r="CH490" s="92"/>
      <c r="CI490" s="68"/>
      <c r="CJ490" s="68"/>
      <c r="CK490" s="125">
        <v>100</v>
      </c>
    </row>
    <row r="491" spans="1:89" ht="15" thickBot="1" x14ac:dyDescent="0.35">
      <c r="A491" s="115" t="s">
        <v>3028</v>
      </c>
      <c r="C491" t="s">
        <v>839</v>
      </c>
      <c r="E491" s="92">
        <v>3.5</v>
      </c>
      <c r="F491" s="115" t="s">
        <v>3065</v>
      </c>
      <c r="G491" t="s">
        <v>602</v>
      </c>
      <c r="H491" t="s">
        <v>674</v>
      </c>
      <c r="M491" t="b">
        <v>1</v>
      </c>
      <c r="N491" t="b">
        <v>1</v>
      </c>
      <c r="O491" t="b">
        <v>0</v>
      </c>
      <c r="P491" t="b">
        <v>0</v>
      </c>
      <c r="Q491" t="s">
        <v>602</v>
      </c>
      <c r="R491">
        <v>1000022</v>
      </c>
      <c r="AB491" s="122"/>
      <c r="BT491" s="90" t="s">
        <v>1264</v>
      </c>
      <c r="BU491" s="92">
        <v>1273</v>
      </c>
      <c r="BV491" s="92">
        <v>10</v>
      </c>
      <c r="BW491" s="68"/>
      <c r="BX491" s="92" t="s">
        <v>1268</v>
      </c>
      <c r="BY491" s="92" t="s">
        <v>863</v>
      </c>
      <c r="BZ491" s="92">
        <v>0.04</v>
      </c>
      <c r="CA491" s="92">
        <v>1.7</v>
      </c>
      <c r="CB491" s="92">
        <v>2.5</v>
      </c>
      <c r="CC491" s="92">
        <v>10</v>
      </c>
      <c r="CD491" s="92" t="s">
        <v>1689</v>
      </c>
      <c r="CE491" s="92"/>
      <c r="CF491" s="92" t="s">
        <v>1534</v>
      </c>
      <c r="CG491" s="92">
        <v>300</v>
      </c>
      <c r="CH491" s="92">
        <v>420</v>
      </c>
      <c r="CI491" s="68"/>
      <c r="CJ491" s="68"/>
      <c r="CK491" s="125">
        <v>11.52</v>
      </c>
    </row>
    <row r="492" spans="1:89" ht="15" thickBot="1" x14ac:dyDescent="0.35">
      <c r="A492" s="115" t="s">
        <v>28</v>
      </c>
      <c r="C492" t="s">
        <v>805</v>
      </c>
      <c r="E492" s="92">
        <v>3.44</v>
      </c>
      <c r="F492" s="115" t="s">
        <v>3066</v>
      </c>
      <c r="G492" t="s">
        <v>586</v>
      </c>
      <c r="H492" t="s">
        <v>660</v>
      </c>
      <c r="M492" t="b">
        <v>1</v>
      </c>
      <c r="N492" t="b">
        <v>1</v>
      </c>
      <c r="O492" t="b">
        <v>0</v>
      </c>
      <c r="P492" t="b">
        <v>0</v>
      </c>
      <c r="Q492" t="s">
        <v>586</v>
      </c>
      <c r="R492">
        <v>1521385</v>
      </c>
      <c r="AB492" s="122"/>
      <c r="BT492" s="90" t="s">
        <v>1538</v>
      </c>
      <c r="BU492" s="92">
        <v>1473</v>
      </c>
      <c r="BV492" s="92">
        <v>10</v>
      </c>
      <c r="BW492" s="68"/>
      <c r="BX492" s="92" t="s">
        <v>1533</v>
      </c>
      <c r="BY492" s="92" t="s">
        <v>56</v>
      </c>
      <c r="BZ492" s="92">
        <v>3</v>
      </c>
      <c r="CA492" s="92">
        <v>24</v>
      </c>
      <c r="CB492" s="92">
        <v>0.90900000000000003</v>
      </c>
      <c r="CC492" s="92">
        <v>0</v>
      </c>
      <c r="CD492" s="92"/>
      <c r="CE492" s="92"/>
      <c r="CF492" s="92" t="s">
        <v>1552</v>
      </c>
      <c r="CG492" s="92">
        <v>400</v>
      </c>
      <c r="CH492" s="92">
        <v>365</v>
      </c>
      <c r="CI492" s="68"/>
      <c r="CJ492" s="68"/>
      <c r="CK492" s="125">
        <v>9000</v>
      </c>
    </row>
    <row r="493" spans="1:89" ht="15" thickBot="1" x14ac:dyDescent="0.35">
      <c r="A493" s="115" t="s">
        <v>3067</v>
      </c>
      <c r="C493" t="s">
        <v>3374</v>
      </c>
      <c r="E493" s="92">
        <v>4.0999999999999996</v>
      </c>
      <c r="F493" s="115" t="s">
        <v>3068</v>
      </c>
      <c r="G493" t="s">
        <v>3234</v>
      </c>
      <c r="H493" t="s">
        <v>3235</v>
      </c>
      <c r="M493" t="b">
        <v>1</v>
      </c>
      <c r="N493" t="b">
        <v>0</v>
      </c>
      <c r="O493" t="b">
        <v>0</v>
      </c>
      <c r="P493" t="b">
        <v>0</v>
      </c>
      <c r="Q493" t="s">
        <v>3234</v>
      </c>
      <c r="R493">
        <v>6000137</v>
      </c>
      <c r="AB493" s="122"/>
      <c r="BT493" s="90" t="s">
        <v>1305</v>
      </c>
      <c r="BU493" s="92">
        <v>1673</v>
      </c>
      <c r="BV493" s="92">
        <v>10</v>
      </c>
      <c r="BW493" s="68"/>
      <c r="BX493" s="92" t="s">
        <v>1533</v>
      </c>
      <c r="BY493" s="92" t="s">
        <v>1313</v>
      </c>
      <c r="BZ493" s="92">
        <v>1</v>
      </c>
      <c r="CA493" s="92">
        <v>3.2</v>
      </c>
      <c r="CB493" s="92">
        <v>1</v>
      </c>
      <c r="CC493" s="92">
        <v>10</v>
      </c>
      <c r="CD493" s="92"/>
      <c r="CE493" s="92"/>
      <c r="CF493" s="92" t="s">
        <v>1552</v>
      </c>
      <c r="CG493" s="92">
        <v>100</v>
      </c>
      <c r="CH493" s="92">
        <v>365</v>
      </c>
      <c r="CI493" s="68"/>
      <c r="CJ493" s="68"/>
      <c r="CK493" s="125">
        <v>53.4</v>
      </c>
    </row>
    <row r="494" spans="1:89" ht="15" thickBot="1" x14ac:dyDescent="0.35">
      <c r="A494" s="115" t="s">
        <v>2863</v>
      </c>
      <c r="C494" t="s">
        <v>3279</v>
      </c>
      <c r="E494" s="92">
        <v>2.8</v>
      </c>
      <c r="F494" s="115" t="s">
        <v>3069</v>
      </c>
      <c r="G494" t="s">
        <v>3236</v>
      </c>
      <c r="H494" t="s">
        <v>3237</v>
      </c>
      <c r="J494" s="73" t="s">
        <v>3479</v>
      </c>
      <c r="K494" s="73" t="s">
        <v>3479</v>
      </c>
      <c r="M494" t="b">
        <v>1</v>
      </c>
      <c r="N494" t="b">
        <v>1</v>
      </c>
      <c r="O494" t="b">
        <v>0</v>
      </c>
      <c r="P494" t="b">
        <v>0</v>
      </c>
      <c r="Q494" t="s">
        <v>3742</v>
      </c>
      <c r="R494" t="s">
        <v>3743</v>
      </c>
      <c r="AB494" s="122"/>
      <c r="BT494" s="90" t="s">
        <v>1264</v>
      </c>
      <c r="BU494" s="92">
        <v>603</v>
      </c>
      <c r="BV494" s="92">
        <v>2</v>
      </c>
      <c r="BW494" s="68"/>
      <c r="BX494" s="92"/>
      <c r="BY494" s="92"/>
      <c r="BZ494" s="92"/>
      <c r="CA494" s="92"/>
      <c r="CB494" s="92">
        <v>0.5</v>
      </c>
      <c r="CC494" s="92">
        <v>0</v>
      </c>
      <c r="CD494" s="92" t="s">
        <v>1600</v>
      </c>
      <c r="CE494" s="92"/>
      <c r="CF494" s="92" t="s">
        <v>1534</v>
      </c>
      <c r="CG494" s="92">
        <v>125</v>
      </c>
      <c r="CH494" s="92">
        <v>400</v>
      </c>
      <c r="CI494" s="68"/>
      <c r="CJ494" s="68"/>
      <c r="CK494" s="125">
        <v>583</v>
      </c>
    </row>
    <row r="495" spans="1:89" ht="15" thickBot="1" x14ac:dyDescent="0.35">
      <c r="A495" s="115" t="s">
        <v>1376</v>
      </c>
      <c r="C495" t="s">
        <v>3249</v>
      </c>
      <c r="E495" s="90">
        <v>3.18</v>
      </c>
      <c r="F495" s="115" t="s">
        <v>3070</v>
      </c>
      <c r="G495" t="s">
        <v>3155</v>
      </c>
      <c r="H495" t="s">
        <v>3156</v>
      </c>
      <c r="M495" t="b">
        <v>1</v>
      </c>
      <c r="N495" t="b">
        <v>1</v>
      </c>
      <c r="O495" t="b">
        <v>0</v>
      </c>
      <c r="P495" t="b">
        <v>0</v>
      </c>
      <c r="Q495" t="s">
        <v>3155</v>
      </c>
      <c r="R495">
        <v>1512124</v>
      </c>
      <c r="AB495" s="122"/>
      <c r="BT495" s="90" t="s">
        <v>1336</v>
      </c>
      <c r="BU495" s="92">
        <v>973</v>
      </c>
      <c r="BV495" s="92">
        <v>4</v>
      </c>
      <c r="BW495" s="68"/>
      <c r="BX495" s="92" t="s">
        <v>1533</v>
      </c>
      <c r="BY495" s="92" t="s">
        <v>1560</v>
      </c>
      <c r="BZ495" s="92">
        <v>1</v>
      </c>
      <c r="CA495" s="90">
        <v>8.64</v>
      </c>
      <c r="CB495" s="90">
        <v>0.5</v>
      </c>
      <c r="CC495" s="92">
        <v>50</v>
      </c>
      <c r="CD495" s="90"/>
      <c r="CE495" s="90"/>
      <c r="CF495" s="90" t="s">
        <v>1534</v>
      </c>
      <c r="CG495" s="90">
        <v>300</v>
      </c>
      <c r="CH495" s="92">
        <v>400</v>
      </c>
      <c r="CI495" s="68"/>
      <c r="CJ495" s="68"/>
      <c r="CK495" s="125">
        <v>1000</v>
      </c>
    </row>
    <row r="496" spans="1:89" ht="15" thickBot="1" x14ac:dyDescent="0.35">
      <c r="A496" s="115" t="s">
        <v>3071</v>
      </c>
      <c r="C496" t="s">
        <v>3375</v>
      </c>
      <c r="E496" s="90">
        <v>2.11</v>
      </c>
      <c r="F496" s="115" t="s">
        <v>3072</v>
      </c>
      <c r="G496" t="s">
        <v>3236</v>
      </c>
      <c r="H496" t="s">
        <v>3237</v>
      </c>
      <c r="M496" t="b">
        <v>1</v>
      </c>
      <c r="N496" t="b">
        <v>1</v>
      </c>
      <c r="O496" t="b">
        <v>0</v>
      </c>
      <c r="P496" t="b">
        <v>0</v>
      </c>
      <c r="Q496" t="s">
        <v>3236</v>
      </c>
      <c r="R496">
        <v>1526450</v>
      </c>
      <c r="AB496" s="122"/>
      <c r="BT496" s="90" t="s">
        <v>1336</v>
      </c>
      <c r="BU496" s="92">
        <v>773</v>
      </c>
      <c r="BV496" s="92">
        <v>2</v>
      </c>
      <c r="BW496" s="68"/>
      <c r="BX496" s="92"/>
      <c r="BY496" s="92"/>
      <c r="BZ496" s="92"/>
      <c r="CA496" s="90">
        <v>25.8</v>
      </c>
      <c r="CB496" s="90">
        <v>2.5</v>
      </c>
      <c r="CC496" s="92">
        <v>10</v>
      </c>
      <c r="CD496" s="90" t="s">
        <v>1637</v>
      </c>
      <c r="CE496" s="90"/>
      <c r="CF496" s="90" t="s">
        <v>1552</v>
      </c>
      <c r="CG496" s="90">
        <v>125</v>
      </c>
      <c r="CH496" s="92">
        <v>420</v>
      </c>
      <c r="CI496" s="68"/>
      <c r="CJ496" s="68"/>
      <c r="CK496" s="125">
        <v>1720</v>
      </c>
    </row>
    <row r="497" spans="1:89" ht="15" thickBot="1" x14ac:dyDescent="0.35">
      <c r="A497" s="115" t="s">
        <v>3073</v>
      </c>
      <c r="C497" t="s">
        <v>3376</v>
      </c>
      <c r="E497" s="90">
        <v>2.0299999999999998</v>
      </c>
      <c r="F497" s="115" t="s">
        <v>3074</v>
      </c>
      <c r="G497" t="s">
        <v>3154</v>
      </c>
      <c r="H497">
        <v>-1</v>
      </c>
      <c r="M497" t="b">
        <v>0</v>
      </c>
      <c r="N497" t="b">
        <v>0</v>
      </c>
      <c r="O497" t="b">
        <v>0</v>
      </c>
      <c r="P497" t="b">
        <v>1</v>
      </c>
      <c r="Q497" t="s">
        <v>3154</v>
      </c>
      <c r="R497">
        <v>-1</v>
      </c>
      <c r="AB497" s="122"/>
      <c r="BT497" s="90" t="s">
        <v>1336</v>
      </c>
      <c r="BU497" s="92">
        <v>1223</v>
      </c>
      <c r="BV497" s="92">
        <v>20</v>
      </c>
      <c r="BW497" s="68"/>
      <c r="BX497" s="92" t="s">
        <v>1533</v>
      </c>
      <c r="BY497" s="92" t="s">
        <v>863</v>
      </c>
      <c r="BZ497" s="92">
        <v>0.3</v>
      </c>
      <c r="CA497" s="90">
        <v>2.5499999999999998</v>
      </c>
      <c r="CB497" s="90">
        <v>0.4</v>
      </c>
      <c r="CC497" s="92">
        <v>0</v>
      </c>
      <c r="CD497" s="90" t="s">
        <v>1696</v>
      </c>
      <c r="CE497" s="90"/>
      <c r="CF497" s="90" t="s">
        <v>1534</v>
      </c>
      <c r="CG497" s="90">
        <v>300</v>
      </c>
      <c r="CH497" s="92">
        <v>420</v>
      </c>
      <c r="CI497" s="68"/>
      <c r="CJ497" s="68"/>
      <c r="CK497" s="125">
        <v>1.8</v>
      </c>
    </row>
    <row r="498" spans="1:89" ht="15" thickBot="1" x14ac:dyDescent="0.35">
      <c r="A498" s="115" t="s">
        <v>3076</v>
      </c>
      <c r="C498" t="s">
        <v>3377</v>
      </c>
      <c r="E498" s="90"/>
      <c r="F498" s="115" t="s">
        <v>3075</v>
      </c>
      <c r="G498" t="s">
        <v>586</v>
      </c>
      <c r="H498" t="s">
        <v>660</v>
      </c>
      <c r="J498" s="73" t="s">
        <v>3480</v>
      </c>
      <c r="K498" s="73" t="s">
        <v>3480</v>
      </c>
      <c r="M498" t="b">
        <v>1</v>
      </c>
      <c r="N498" t="b">
        <v>1</v>
      </c>
      <c r="O498" t="b">
        <v>0</v>
      </c>
      <c r="P498" t="b">
        <v>0</v>
      </c>
      <c r="Q498" t="s">
        <v>3744</v>
      </c>
      <c r="R498" t="s">
        <v>3745</v>
      </c>
      <c r="AB498" s="122"/>
      <c r="BT498" s="90" t="s">
        <v>1393</v>
      </c>
      <c r="BU498" s="92">
        <f>750+273</f>
        <v>1023</v>
      </c>
      <c r="BV498" s="92">
        <v>2</v>
      </c>
      <c r="BW498" s="68"/>
      <c r="BX498" s="92"/>
      <c r="BY498" s="92"/>
      <c r="BZ498" s="92"/>
      <c r="CA498" s="90">
        <v>18.600000000000001</v>
      </c>
      <c r="CB498" s="90">
        <v>0.28999999999999998</v>
      </c>
      <c r="CC498" s="92">
        <v>14.2</v>
      </c>
      <c r="CD498" s="90"/>
      <c r="CE498" s="90"/>
      <c r="CF498" s="90" t="s">
        <v>1552</v>
      </c>
      <c r="CG498" s="90">
        <v>350</v>
      </c>
      <c r="CH498" s="92"/>
      <c r="CI498" s="68"/>
      <c r="CJ498" s="68"/>
      <c r="CK498" s="125">
        <v>155000</v>
      </c>
    </row>
    <row r="499" spans="1:89" ht="15" thickBot="1" x14ac:dyDescent="0.35">
      <c r="A499" s="115" t="s">
        <v>3077</v>
      </c>
      <c r="C499" t="s">
        <v>3377</v>
      </c>
      <c r="E499" s="90"/>
      <c r="F499" s="115" t="s">
        <v>3075</v>
      </c>
      <c r="G499" t="s">
        <v>586</v>
      </c>
      <c r="H499" t="s">
        <v>660</v>
      </c>
      <c r="J499" s="73" t="s">
        <v>3481</v>
      </c>
      <c r="K499" s="73" t="s">
        <v>3481</v>
      </c>
      <c r="M499" t="b">
        <v>1</v>
      </c>
      <c r="N499" t="b">
        <v>1</v>
      </c>
      <c r="O499" t="b">
        <v>0</v>
      </c>
      <c r="P499" t="b">
        <v>0</v>
      </c>
      <c r="Q499" t="s">
        <v>3746</v>
      </c>
      <c r="R499" t="s">
        <v>3747</v>
      </c>
      <c r="AB499" s="122"/>
      <c r="BT499" s="90" t="s">
        <v>1393</v>
      </c>
      <c r="BU499" s="92">
        <f t="shared" ref="BU499:BU521" si="2">750+273</f>
        <v>1023</v>
      </c>
      <c r="BV499" s="92">
        <v>2</v>
      </c>
      <c r="BW499" s="68"/>
      <c r="BX499" s="92"/>
      <c r="BY499" s="92"/>
      <c r="BZ499" s="92"/>
      <c r="CA499" s="90">
        <v>19.5</v>
      </c>
      <c r="CB499" s="90">
        <v>0.28999999999999998</v>
      </c>
      <c r="CC499" s="92">
        <v>14.2</v>
      </c>
      <c r="CD499" s="90"/>
      <c r="CE499" s="90"/>
      <c r="CF499" s="90" t="s">
        <v>1552</v>
      </c>
      <c r="CG499" s="90">
        <v>350</v>
      </c>
      <c r="CH499" s="92"/>
      <c r="CI499" s="68"/>
      <c r="CJ499" s="68"/>
      <c r="CK499" s="125">
        <v>166000</v>
      </c>
    </row>
    <row r="500" spans="1:89" ht="15" thickBot="1" x14ac:dyDescent="0.35">
      <c r="A500" s="115" t="s">
        <v>3078</v>
      </c>
      <c r="C500" t="s">
        <v>3377</v>
      </c>
      <c r="E500" s="90"/>
      <c r="F500" s="115" t="s">
        <v>3075</v>
      </c>
      <c r="G500" t="s">
        <v>586</v>
      </c>
      <c r="H500" t="s">
        <v>660</v>
      </c>
      <c r="J500" s="73" t="s">
        <v>3482</v>
      </c>
      <c r="K500" s="73" t="s">
        <v>3482</v>
      </c>
      <c r="M500" t="b">
        <v>1</v>
      </c>
      <c r="N500" t="b">
        <v>1</v>
      </c>
      <c r="O500" t="b">
        <v>0</v>
      </c>
      <c r="P500" t="b">
        <v>0</v>
      </c>
      <c r="Q500" t="s">
        <v>3748</v>
      </c>
      <c r="R500" t="s">
        <v>3749</v>
      </c>
      <c r="AB500" s="122"/>
      <c r="BT500" s="90" t="s">
        <v>1393</v>
      </c>
      <c r="BU500" s="92">
        <f t="shared" si="2"/>
        <v>1023</v>
      </c>
      <c r="BV500" s="92">
        <v>2</v>
      </c>
      <c r="BW500" s="68"/>
      <c r="BX500" s="92"/>
      <c r="BY500" s="92"/>
      <c r="BZ500" s="92"/>
      <c r="CA500" s="90">
        <v>21.3</v>
      </c>
      <c r="CB500" s="90">
        <v>0.28999999999999998</v>
      </c>
      <c r="CC500" s="92">
        <v>14.2</v>
      </c>
      <c r="CD500" s="90"/>
      <c r="CE500" s="90"/>
      <c r="CF500" s="90" t="s">
        <v>1552</v>
      </c>
      <c r="CG500" s="90">
        <v>350</v>
      </c>
      <c r="CH500" s="92"/>
      <c r="CI500" s="68"/>
      <c r="CJ500" s="68"/>
      <c r="CK500" s="125">
        <v>199000</v>
      </c>
    </row>
    <row r="501" spans="1:89" ht="15" thickBot="1" x14ac:dyDescent="0.35">
      <c r="A501" s="115" t="s">
        <v>3079</v>
      </c>
      <c r="C501" t="s">
        <v>3377</v>
      </c>
      <c r="E501" s="90"/>
      <c r="F501" s="115" t="s">
        <v>3075</v>
      </c>
      <c r="G501" t="s">
        <v>586</v>
      </c>
      <c r="H501" t="s">
        <v>660</v>
      </c>
      <c r="J501" s="73" t="s">
        <v>3483</v>
      </c>
      <c r="K501" s="73" t="s">
        <v>3483</v>
      </c>
      <c r="M501" t="b">
        <v>1</v>
      </c>
      <c r="N501" t="b">
        <v>1</v>
      </c>
      <c r="O501" t="b">
        <v>0</v>
      </c>
      <c r="P501" t="b">
        <v>0</v>
      </c>
      <c r="Q501" t="s">
        <v>3750</v>
      </c>
      <c r="R501" t="s">
        <v>3751</v>
      </c>
      <c r="AB501" s="122"/>
      <c r="BT501" s="90" t="s">
        <v>1393</v>
      </c>
      <c r="BU501" s="92">
        <f t="shared" si="2"/>
        <v>1023</v>
      </c>
      <c r="BV501" s="92">
        <v>2</v>
      </c>
      <c r="BW501" s="68"/>
      <c r="BX501" s="92"/>
      <c r="BY501" s="92"/>
      <c r="BZ501" s="92"/>
      <c r="CA501" s="90">
        <v>20.8</v>
      </c>
      <c r="CB501" s="90">
        <v>0.28999999999999998</v>
      </c>
      <c r="CC501" s="92">
        <v>14.2</v>
      </c>
      <c r="CD501" s="90"/>
      <c r="CE501" s="90"/>
      <c r="CF501" s="90" t="s">
        <v>1552</v>
      </c>
      <c r="CG501" s="90">
        <v>350</v>
      </c>
      <c r="CH501" s="92"/>
      <c r="CI501" s="68"/>
      <c r="CJ501" s="68"/>
      <c r="CK501" s="125">
        <v>188000</v>
      </c>
    </row>
    <row r="502" spans="1:89" ht="15" thickBot="1" x14ac:dyDescent="0.35">
      <c r="A502" s="115" t="s">
        <v>3080</v>
      </c>
      <c r="C502" t="s">
        <v>3377</v>
      </c>
      <c r="E502" s="90"/>
      <c r="F502" s="115" t="s">
        <v>3075</v>
      </c>
      <c r="G502" t="s">
        <v>586</v>
      </c>
      <c r="H502" t="s">
        <v>660</v>
      </c>
      <c r="J502" s="73" t="s">
        <v>3484</v>
      </c>
      <c r="K502" s="73" t="s">
        <v>3484</v>
      </c>
      <c r="M502" t="b">
        <v>1</v>
      </c>
      <c r="N502" t="b">
        <v>1</v>
      </c>
      <c r="O502" t="b">
        <v>0</v>
      </c>
      <c r="P502" t="b">
        <v>0</v>
      </c>
      <c r="Q502" t="s">
        <v>3752</v>
      </c>
      <c r="R502" t="s">
        <v>3753</v>
      </c>
      <c r="AB502" s="122"/>
      <c r="BT502" s="90" t="s">
        <v>1393</v>
      </c>
      <c r="BU502" s="92">
        <f t="shared" si="2"/>
        <v>1023</v>
      </c>
      <c r="BV502" s="92">
        <v>2</v>
      </c>
      <c r="BW502" s="68"/>
      <c r="BX502" s="92"/>
      <c r="BY502" s="92"/>
      <c r="BZ502" s="92"/>
      <c r="CA502" s="90">
        <v>20.100000000000001</v>
      </c>
      <c r="CB502" s="90">
        <v>0.28999999999999998</v>
      </c>
      <c r="CC502" s="92">
        <v>14.2</v>
      </c>
      <c r="CD502" s="90"/>
      <c r="CE502" s="90"/>
      <c r="CF502" s="90" t="s">
        <v>1552</v>
      </c>
      <c r="CG502" s="90">
        <v>350</v>
      </c>
      <c r="CH502" s="92"/>
      <c r="CI502" s="68"/>
      <c r="CJ502" s="68"/>
      <c r="CK502" s="125">
        <v>183000</v>
      </c>
    </row>
    <row r="503" spans="1:89" ht="15" thickBot="1" x14ac:dyDescent="0.35">
      <c r="A503" s="115" t="s">
        <v>3077</v>
      </c>
      <c r="C503" t="s">
        <v>3377</v>
      </c>
      <c r="E503" s="90"/>
      <c r="F503" s="115" t="s">
        <v>3075</v>
      </c>
      <c r="G503" t="s">
        <v>586</v>
      </c>
      <c r="H503" t="s">
        <v>660</v>
      </c>
      <c r="J503" s="73" t="s">
        <v>3481</v>
      </c>
      <c r="K503" s="73" t="s">
        <v>3481</v>
      </c>
      <c r="M503" t="b">
        <v>1</v>
      </c>
      <c r="N503" t="b">
        <v>1</v>
      </c>
      <c r="O503" t="b">
        <v>0</v>
      </c>
      <c r="P503" t="b">
        <v>0</v>
      </c>
      <c r="Q503" t="s">
        <v>3754</v>
      </c>
      <c r="R503" t="s">
        <v>3755</v>
      </c>
      <c r="AB503" s="122"/>
      <c r="BT503" s="90" t="s">
        <v>1393</v>
      </c>
      <c r="BU503" s="92">
        <f t="shared" si="2"/>
        <v>1023</v>
      </c>
      <c r="BV503" s="92">
        <v>2</v>
      </c>
      <c r="BW503" s="68"/>
      <c r="BX503" s="92"/>
      <c r="BY503" s="92"/>
      <c r="BZ503" s="92"/>
      <c r="CA503" s="90">
        <v>14.6</v>
      </c>
      <c r="CB503" s="90">
        <v>0.28999999999999998</v>
      </c>
      <c r="CC503" s="92">
        <v>14.2</v>
      </c>
      <c r="CD503" s="90"/>
      <c r="CE503" s="90"/>
      <c r="CF503" s="90" t="s">
        <v>1552</v>
      </c>
      <c r="CG503" s="90">
        <v>350</v>
      </c>
      <c r="CH503" s="92"/>
      <c r="CI503" s="68"/>
      <c r="CJ503" s="68"/>
      <c r="CK503" s="125">
        <v>153000</v>
      </c>
    </row>
    <row r="504" spans="1:89" ht="15" thickBot="1" x14ac:dyDescent="0.35">
      <c r="A504" s="115" t="s">
        <v>3081</v>
      </c>
      <c r="C504" t="s">
        <v>3377</v>
      </c>
      <c r="E504" s="90"/>
      <c r="F504" s="115" t="s">
        <v>3075</v>
      </c>
      <c r="G504" t="s">
        <v>586</v>
      </c>
      <c r="H504" t="s">
        <v>660</v>
      </c>
      <c r="J504" s="73" t="s">
        <v>3485</v>
      </c>
      <c r="K504" s="73" t="s">
        <v>3485</v>
      </c>
      <c r="M504" t="b">
        <v>1</v>
      </c>
      <c r="N504" t="b">
        <v>1</v>
      </c>
      <c r="O504" t="b">
        <v>0</v>
      </c>
      <c r="P504" t="b">
        <v>0</v>
      </c>
      <c r="Q504" t="s">
        <v>3756</v>
      </c>
      <c r="R504" t="s">
        <v>3757</v>
      </c>
      <c r="AB504" s="122"/>
      <c r="BT504" s="90" t="s">
        <v>1393</v>
      </c>
      <c r="BU504" s="92">
        <f t="shared" si="2"/>
        <v>1023</v>
      </c>
      <c r="BV504" s="92">
        <v>2</v>
      </c>
      <c r="BW504" s="68"/>
      <c r="BX504" s="92"/>
      <c r="BY504" s="92"/>
      <c r="BZ504" s="92"/>
      <c r="CA504" s="90">
        <v>16.3</v>
      </c>
      <c r="CB504" s="90">
        <v>0.28999999999999998</v>
      </c>
      <c r="CC504" s="92">
        <v>14.2</v>
      </c>
      <c r="CD504" s="90"/>
      <c r="CE504" s="90"/>
      <c r="CF504" s="90" t="s">
        <v>1552</v>
      </c>
      <c r="CG504" s="90">
        <v>350</v>
      </c>
      <c r="CH504" s="92"/>
      <c r="CI504" s="68"/>
      <c r="CJ504" s="68"/>
      <c r="CK504" s="125">
        <v>163000</v>
      </c>
    </row>
    <row r="505" spans="1:89" ht="15" thickBot="1" x14ac:dyDescent="0.35">
      <c r="A505" s="115" t="s">
        <v>3078</v>
      </c>
      <c r="C505" t="s">
        <v>3377</v>
      </c>
      <c r="E505" s="90"/>
      <c r="F505" s="115" t="s">
        <v>3075</v>
      </c>
      <c r="G505" t="s">
        <v>586</v>
      </c>
      <c r="H505" t="s">
        <v>660</v>
      </c>
      <c r="J505" s="73" t="s">
        <v>3482</v>
      </c>
      <c r="K505" s="73" t="s">
        <v>3482</v>
      </c>
      <c r="M505" t="b">
        <v>1</v>
      </c>
      <c r="N505" t="b">
        <v>1</v>
      </c>
      <c r="O505" t="b">
        <v>0</v>
      </c>
      <c r="P505" t="b">
        <v>0</v>
      </c>
      <c r="Q505" t="s">
        <v>3758</v>
      </c>
      <c r="R505" t="s">
        <v>3759</v>
      </c>
      <c r="AB505" s="122"/>
      <c r="BT505" s="90" t="s">
        <v>1393</v>
      </c>
      <c r="BU505" s="92">
        <f t="shared" si="2"/>
        <v>1023</v>
      </c>
      <c r="BV505" s="92">
        <v>2</v>
      </c>
      <c r="BW505" s="68"/>
      <c r="BX505" s="92"/>
      <c r="BY505" s="92"/>
      <c r="BZ505" s="92"/>
      <c r="CA505" s="90">
        <v>21.3</v>
      </c>
      <c r="CB505" s="90">
        <v>0.28999999999999998</v>
      </c>
      <c r="CC505" s="92">
        <v>14.2</v>
      </c>
      <c r="CD505" s="90"/>
      <c r="CE505" s="90"/>
      <c r="CF505" s="90" t="s">
        <v>1552</v>
      </c>
      <c r="CG505" s="90">
        <v>350</v>
      </c>
      <c r="CH505" s="92"/>
      <c r="CI505" s="68"/>
      <c r="CJ505" s="68"/>
      <c r="CK505" s="125">
        <v>199000</v>
      </c>
    </row>
    <row r="506" spans="1:89" ht="15" thickBot="1" x14ac:dyDescent="0.35">
      <c r="A506" s="115" t="s">
        <v>3082</v>
      </c>
      <c r="C506" t="s">
        <v>3377</v>
      </c>
      <c r="E506" s="90"/>
      <c r="F506" s="115" t="s">
        <v>3075</v>
      </c>
      <c r="G506" t="s">
        <v>586</v>
      </c>
      <c r="H506" t="s">
        <v>660</v>
      </c>
      <c r="J506" s="73" t="s">
        <v>3486</v>
      </c>
      <c r="K506" s="73" t="s">
        <v>3486</v>
      </c>
      <c r="M506" t="b">
        <v>1</v>
      </c>
      <c r="N506" t="b">
        <v>1</v>
      </c>
      <c r="O506" t="b">
        <v>0</v>
      </c>
      <c r="P506" t="b">
        <v>0</v>
      </c>
      <c r="Q506" t="s">
        <v>3760</v>
      </c>
      <c r="R506" t="s">
        <v>3761</v>
      </c>
      <c r="AB506" s="122"/>
      <c r="BT506" s="90" t="s">
        <v>1393</v>
      </c>
      <c r="BU506" s="92">
        <f t="shared" si="2"/>
        <v>1023</v>
      </c>
      <c r="BV506" s="92">
        <v>2</v>
      </c>
      <c r="BW506" s="68"/>
      <c r="BX506" s="92"/>
      <c r="BY506" s="92"/>
      <c r="BZ506" s="92"/>
      <c r="CA506" s="90">
        <v>19.100000000000001</v>
      </c>
      <c r="CB506" s="90">
        <v>0.28999999999999998</v>
      </c>
      <c r="CC506" s="92">
        <v>14.2</v>
      </c>
      <c r="CD506" s="90"/>
      <c r="CE506" s="90"/>
      <c r="CF506" s="90" t="s">
        <v>1552</v>
      </c>
      <c r="CG506" s="90">
        <v>350</v>
      </c>
      <c r="CH506" s="92"/>
      <c r="CI506" s="68"/>
      <c r="CJ506" s="68"/>
      <c r="CK506" s="125">
        <v>185000</v>
      </c>
    </row>
    <row r="507" spans="1:89" ht="15" thickBot="1" x14ac:dyDescent="0.35">
      <c r="A507" s="115" t="s">
        <v>3079</v>
      </c>
      <c r="C507" t="s">
        <v>3377</v>
      </c>
      <c r="E507" s="90"/>
      <c r="F507" s="115" t="s">
        <v>3075</v>
      </c>
      <c r="G507" t="s">
        <v>586</v>
      </c>
      <c r="H507" t="s">
        <v>660</v>
      </c>
      <c r="J507" s="73" t="s">
        <v>3483</v>
      </c>
      <c r="K507" s="73" t="s">
        <v>3483</v>
      </c>
      <c r="M507" t="b">
        <v>1</v>
      </c>
      <c r="N507" t="b">
        <v>1</v>
      </c>
      <c r="O507" t="b">
        <v>0</v>
      </c>
      <c r="P507" t="b">
        <v>0</v>
      </c>
      <c r="Q507" t="s">
        <v>3762</v>
      </c>
      <c r="R507" t="s">
        <v>3763</v>
      </c>
      <c r="AB507" s="122"/>
      <c r="BT507" s="90" t="s">
        <v>1393</v>
      </c>
      <c r="BU507" s="92">
        <f t="shared" si="2"/>
        <v>1023</v>
      </c>
      <c r="BV507" s="92">
        <v>2</v>
      </c>
      <c r="BW507" s="68"/>
      <c r="BX507" s="92"/>
      <c r="BY507" s="92"/>
      <c r="BZ507" s="92"/>
      <c r="CA507" s="90">
        <v>18.399999999999999</v>
      </c>
      <c r="CB507" s="90">
        <v>0.28999999999999998</v>
      </c>
      <c r="CC507" s="92">
        <v>14.2</v>
      </c>
      <c r="CD507" s="90"/>
      <c r="CE507" s="90"/>
      <c r="CF507" s="90" t="s">
        <v>1552</v>
      </c>
      <c r="CG507" s="90">
        <v>350</v>
      </c>
      <c r="CH507" s="92"/>
      <c r="CI507" s="68"/>
      <c r="CJ507" s="68"/>
      <c r="CK507" s="125">
        <v>169000</v>
      </c>
    </row>
    <row r="508" spans="1:89" ht="15" thickBot="1" x14ac:dyDescent="0.35">
      <c r="A508" s="115" t="s">
        <v>28</v>
      </c>
      <c r="C508" t="s">
        <v>805</v>
      </c>
      <c r="E508" s="90"/>
      <c r="F508" s="115" t="s">
        <v>3075</v>
      </c>
      <c r="G508" t="s">
        <v>586</v>
      </c>
      <c r="H508" t="s">
        <v>660</v>
      </c>
      <c r="M508" t="b">
        <v>1</v>
      </c>
      <c r="N508" t="b">
        <v>1</v>
      </c>
      <c r="O508" t="b">
        <v>0</v>
      </c>
      <c r="P508" t="b">
        <v>0</v>
      </c>
      <c r="Q508" t="s">
        <v>586</v>
      </c>
      <c r="R508">
        <v>1521385</v>
      </c>
      <c r="AB508" s="122"/>
      <c r="BT508" s="90" t="s">
        <v>1393</v>
      </c>
      <c r="BU508" s="92">
        <f t="shared" si="2"/>
        <v>1023</v>
      </c>
      <c r="BV508" s="92">
        <v>2</v>
      </c>
      <c r="BW508" s="68"/>
      <c r="BX508" s="92"/>
      <c r="BY508" s="92"/>
      <c r="BZ508" s="92"/>
      <c r="CA508" s="90">
        <v>4.3</v>
      </c>
      <c r="CB508" s="90">
        <v>0.28999999999999998</v>
      </c>
      <c r="CC508" s="92">
        <v>14.2</v>
      </c>
      <c r="CD508" s="90"/>
      <c r="CE508" s="90"/>
      <c r="CF508" s="90" t="s">
        <v>1552</v>
      </c>
      <c r="CG508" s="90">
        <v>350</v>
      </c>
      <c r="CH508" s="92"/>
      <c r="CI508" s="68"/>
      <c r="CJ508" s="68"/>
      <c r="CK508" s="125">
        <v>9000</v>
      </c>
    </row>
    <row r="509" spans="1:89" ht="15" thickBot="1" x14ac:dyDescent="0.35">
      <c r="A509" s="115" t="s">
        <v>27</v>
      </c>
      <c r="C509" t="s">
        <v>742</v>
      </c>
      <c r="E509" s="90"/>
      <c r="F509" s="115" t="s">
        <v>3075</v>
      </c>
      <c r="G509" t="s">
        <v>563</v>
      </c>
      <c r="H509" t="s">
        <v>641</v>
      </c>
      <c r="M509" t="b">
        <v>1</v>
      </c>
      <c r="N509" t="b">
        <v>1</v>
      </c>
      <c r="O509" t="b">
        <v>0</v>
      </c>
      <c r="P509" t="b">
        <v>0</v>
      </c>
      <c r="Q509" t="s">
        <v>563</v>
      </c>
      <c r="R509">
        <v>2102087</v>
      </c>
      <c r="AB509" s="122"/>
      <c r="BT509" s="90" t="s">
        <v>1393</v>
      </c>
      <c r="BU509" s="92">
        <f t="shared" si="2"/>
        <v>1023</v>
      </c>
      <c r="BV509" s="92">
        <v>2</v>
      </c>
      <c r="BW509" s="68"/>
      <c r="BX509" s="92"/>
      <c r="BY509" s="92"/>
      <c r="BZ509" s="92"/>
      <c r="CA509" s="90">
        <v>6.3</v>
      </c>
      <c r="CB509" s="90">
        <v>0.28999999999999998</v>
      </c>
      <c r="CC509" s="92">
        <v>14.2</v>
      </c>
      <c r="CD509" s="90"/>
      <c r="CE509" s="90"/>
      <c r="CF509" s="90" t="s">
        <v>1552</v>
      </c>
      <c r="CG509" s="90">
        <v>350</v>
      </c>
      <c r="CH509" s="92"/>
      <c r="CI509" s="68"/>
      <c r="CJ509" s="68"/>
      <c r="CK509" s="125">
        <v>3000</v>
      </c>
    </row>
    <row r="510" spans="1:89" ht="15" thickBot="1" x14ac:dyDescent="0.35">
      <c r="A510" s="115" t="s">
        <v>3076</v>
      </c>
      <c r="C510" t="s">
        <v>3377</v>
      </c>
      <c r="E510" s="90"/>
      <c r="F510" s="115" t="s">
        <v>3075</v>
      </c>
      <c r="G510" t="s">
        <v>586</v>
      </c>
      <c r="H510" t="s">
        <v>660</v>
      </c>
      <c r="J510" s="73" t="s">
        <v>3480</v>
      </c>
      <c r="K510" s="73" t="s">
        <v>3480</v>
      </c>
      <c r="M510" t="b">
        <v>1</v>
      </c>
      <c r="N510" t="b">
        <v>1</v>
      </c>
      <c r="O510" t="b">
        <v>0</v>
      </c>
      <c r="P510" t="b">
        <v>0</v>
      </c>
      <c r="Q510" t="s">
        <v>3764</v>
      </c>
      <c r="R510" t="s">
        <v>3765</v>
      </c>
      <c r="AB510" s="122"/>
      <c r="BT510" s="90" t="s">
        <v>1393</v>
      </c>
      <c r="BU510" s="92">
        <f>750+273</f>
        <v>1023</v>
      </c>
      <c r="BV510" s="92">
        <v>2</v>
      </c>
      <c r="BW510" s="68"/>
      <c r="BX510" s="92"/>
      <c r="BY510" s="92"/>
      <c r="BZ510" s="92"/>
      <c r="CA510" s="90">
        <v>18.600000000000001</v>
      </c>
      <c r="CB510" s="90">
        <v>0.28999999999999998</v>
      </c>
      <c r="CC510" s="92">
        <v>0</v>
      </c>
      <c r="CD510" s="90"/>
      <c r="CE510" s="90"/>
      <c r="CF510" s="90" t="s">
        <v>1552</v>
      </c>
      <c r="CG510" s="90">
        <v>350</v>
      </c>
      <c r="CH510" s="92"/>
      <c r="CI510" s="68"/>
      <c r="CJ510" s="68"/>
      <c r="CK510" s="125">
        <v>11600</v>
      </c>
    </row>
    <row r="511" spans="1:89" ht="15" thickBot="1" x14ac:dyDescent="0.35">
      <c r="A511" s="115" t="s">
        <v>3077</v>
      </c>
      <c r="C511" t="s">
        <v>3377</v>
      </c>
      <c r="E511" s="90"/>
      <c r="F511" s="115" t="s">
        <v>3075</v>
      </c>
      <c r="G511" t="s">
        <v>586</v>
      </c>
      <c r="H511" t="s">
        <v>660</v>
      </c>
      <c r="J511" s="73" t="s">
        <v>3481</v>
      </c>
      <c r="K511" s="73" t="s">
        <v>3481</v>
      </c>
      <c r="M511" t="b">
        <v>1</v>
      </c>
      <c r="N511" t="b">
        <v>1</v>
      </c>
      <c r="O511" t="b">
        <v>0</v>
      </c>
      <c r="P511" t="b">
        <v>0</v>
      </c>
      <c r="Q511" t="s">
        <v>3766</v>
      </c>
      <c r="R511" t="s">
        <v>3767</v>
      </c>
      <c r="AB511" s="122"/>
      <c r="BT511" s="90" t="s">
        <v>1393</v>
      </c>
      <c r="BU511" s="92">
        <f t="shared" si="2"/>
        <v>1023</v>
      </c>
      <c r="BV511" s="92">
        <v>2</v>
      </c>
      <c r="BW511" s="68"/>
      <c r="BX511" s="92"/>
      <c r="BY511" s="92"/>
      <c r="BZ511" s="92"/>
      <c r="CA511" s="90">
        <v>19.5</v>
      </c>
      <c r="CB511" s="90">
        <v>0.28999999999999998</v>
      </c>
      <c r="CC511" s="92">
        <v>0</v>
      </c>
      <c r="CD511" s="90"/>
      <c r="CE511" s="90"/>
      <c r="CF511" s="90" t="s">
        <v>1552</v>
      </c>
      <c r="CG511" s="90">
        <v>350</v>
      </c>
      <c r="CH511" s="92"/>
      <c r="CI511" s="68"/>
      <c r="CJ511" s="68"/>
      <c r="CK511" s="125">
        <v>18000</v>
      </c>
    </row>
    <row r="512" spans="1:89" ht="15" thickBot="1" x14ac:dyDescent="0.35">
      <c r="A512" s="115" t="s">
        <v>3078</v>
      </c>
      <c r="C512" t="s">
        <v>3377</v>
      </c>
      <c r="E512" s="90"/>
      <c r="F512" s="115" t="s">
        <v>3075</v>
      </c>
      <c r="G512" t="s">
        <v>586</v>
      </c>
      <c r="H512" t="s">
        <v>660</v>
      </c>
      <c r="J512" s="73" t="s">
        <v>3482</v>
      </c>
      <c r="K512" s="73" t="s">
        <v>3482</v>
      </c>
      <c r="M512" t="b">
        <v>1</v>
      </c>
      <c r="N512" t="b">
        <v>1</v>
      </c>
      <c r="O512" t="b">
        <v>0</v>
      </c>
      <c r="P512" t="b">
        <v>0</v>
      </c>
      <c r="Q512" t="s">
        <v>3768</v>
      </c>
      <c r="R512" t="s">
        <v>3769</v>
      </c>
      <c r="AB512" s="122"/>
      <c r="BT512" s="90" t="s">
        <v>1393</v>
      </c>
      <c r="BU512" s="92">
        <f t="shared" si="2"/>
        <v>1023</v>
      </c>
      <c r="BV512" s="92">
        <v>2</v>
      </c>
      <c r="BW512" s="68"/>
      <c r="BX512" s="92"/>
      <c r="BY512" s="92"/>
      <c r="BZ512" s="92"/>
      <c r="CA512" s="90">
        <v>21.3</v>
      </c>
      <c r="CB512" s="90">
        <v>0.28999999999999998</v>
      </c>
      <c r="CC512" s="92">
        <v>0</v>
      </c>
      <c r="CD512" s="90"/>
      <c r="CE512" s="90"/>
      <c r="CF512" s="90" t="s">
        <v>1552</v>
      </c>
      <c r="CG512" s="90">
        <v>350</v>
      </c>
      <c r="CH512" s="92"/>
      <c r="CI512" s="68"/>
      <c r="CJ512" s="68"/>
      <c r="CK512" s="125">
        <v>25099.999999999996</v>
      </c>
    </row>
    <row r="513" spans="1:89" ht="15" thickBot="1" x14ac:dyDescent="0.35">
      <c r="A513" s="115" t="s">
        <v>3079</v>
      </c>
      <c r="C513" t="s">
        <v>3377</v>
      </c>
      <c r="E513" s="90"/>
      <c r="F513" s="115" t="s">
        <v>3075</v>
      </c>
      <c r="G513" t="s">
        <v>586</v>
      </c>
      <c r="H513" t="s">
        <v>660</v>
      </c>
      <c r="J513" s="73" t="s">
        <v>3483</v>
      </c>
      <c r="K513" s="73" t="s">
        <v>3483</v>
      </c>
      <c r="M513" t="b">
        <v>1</v>
      </c>
      <c r="N513" t="b">
        <v>1</v>
      </c>
      <c r="O513" t="b">
        <v>0</v>
      </c>
      <c r="P513" t="b">
        <v>0</v>
      </c>
      <c r="Q513" t="s">
        <v>3770</v>
      </c>
      <c r="R513" t="s">
        <v>3771</v>
      </c>
      <c r="AB513" s="122"/>
      <c r="BT513" s="90" t="s">
        <v>1393</v>
      </c>
      <c r="BU513" s="92">
        <f t="shared" si="2"/>
        <v>1023</v>
      </c>
      <c r="BV513" s="92">
        <v>2</v>
      </c>
      <c r="BW513" s="68"/>
      <c r="BX513" s="92"/>
      <c r="BY513" s="92"/>
      <c r="BZ513" s="92"/>
      <c r="CA513" s="90">
        <v>20.8</v>
      </c>
      <c r="CB513" s="90">
        <v>0.28999999999999998</v>
      </c>
      <c r="CC513" s="92">
        <v>0</v>
      </c>
      <c r="CD513" s="90"/>
      <c r="CE513" s="90"/>
      <c r="CF513" s="90" t="s">
        <v>1552</v>
      </c>
      <c r="CG513" s="90">
        <v>350</v>
      </c>
      <c r="CH513" s="92"/>
      <c r="CI513" s="68"/>
      <c r="CJ513" s="68"/>
      <c r="CK513" s="125">
        <v>22100</v>
      </c>
    </row>
    <row r="514" spans="1:89" ht="15" thickBot="1" x14ac:dyDescent="0.35">
      <c r="A514" s="115" t="s">
        <v>3080</v>
      </c>
      <c r="C514" t="s">
        <v>3377</v>
      </c>
      <c r="E514" s="90"/>
      <c r="F514" s="115" t="s">
        <v>3075</v>
      </c>
      <c r="G514" t="s">
        <v>586</v>
      </c>
      <c r="H514" t="s">
        <v>660</v>
      </c>
      <c r="J514" s="73" t="s">
        <v>3484</v>
      </c>
      <c r="K514" s="73" t="s">
        <v>3484</v>
      </c>
      <c r="M514" t="b">
        <v>1</v>
      </c>
      <c r="N514" t="b">
        <v>1</v>
      </c>
      <c r="O514" t="b">
        <v>0</v>
      </c>
      <c r="P514" t="b">
        <v>0</v>
      </c>
      <c r="Q514" t="s">
        <v>3772</v>
      </c>
      <c r="R514" t="s">
        <v>3773</v>
      </c>
      <c r="AB514" s="122"/>
      <c r="BT514" s="90" t="s">
        <v>1393</v>
      </c>
      <c r="BU514" s="92">
        <f t="shared" si="2"/>
        <v>1023</v>
      </c>
      <c r="BV514" s="92">
        <v>2</v>
      </c>
      <c r="BW514" s="68"/>
      <c r="BX514" s="92"/>
      <c r="BY514" s="92"/>
      <c r="BZ514" s="92"/>
      <c r="CA514" s="90">
        <v>20.100000000000001</v>
      </c>
      <c r="CB514" s="90">
        <v>0.28999999999999998</v>
      </c>
      <c r="CC514" s="92">
        <v>0</v>
      </c>
      <c r="CD514" s="90"/>
      <c r="CE514" s="90"/>
      <c r="CF514" s="90" t="s">
        <v>1552</v>
      </c>
      <c r="CG514" s="90">
        <v>350</v>
      </c>
      <c r="CH514" s="92"/>
      <c r="CI514" s="68"/>
      <c r="CJ514" s="68"/>
      <c r="CK514" s="125">
        <v>22400.000000000004</v>
      </c>
    </row>
    <row r="515" spans="1:89" ht="15" thickBot="1" x14ac:dyDescent="0.35">
      <c r="A515" s="115" t="s">
        <v>3077</v>
      </c>
      <c r="C515" t="s">
        <v>3377</v>
      </c>
      <c r="E515" s="90"/>
      <c r="F515" s="115" t="s">
        <v>3075</v>
      </c>
      <c r="G515" t="s">
        <v>586</v>
      </c>
      <c r="H515" t="s">
        <v>660</v>
      </c>
      <c r="J515" s="73" t="s">
        <v>3481</v>
      </c>
      <c r="K515" s="73" t="s">
        <v>3481</v>
      </c>
      <c r="M515" t="b">
        <v>1</v>
      </c>
      <c r="N515" t="b">
        <v>1</v>
      </c>
      <c r="O515" t="b">
        <v>0</v>
      </c>
      <c r="P515" t="b">
        <v>0</v>
      </c>
      <c r="Q515" t="s">
        <v>3774</v>
      </c>
      <c r="R515" t="s">
        <v>3775</v>
      </c>
      <c r="AB515" s="122"/>
      <c r="BT515" s="90" t="s">
        <v>1393</v>
      </c>
      <c r="BU515" s="92">
        <f t="shared" si="2"/>
        <v>1023</v>
      </c>
      <c r="BV515" s="92">
        <v>2</v>
      </c>
      <c r="BW515" s="68"/>
      <c r="BX515" s="92"/>
      <c r="BY515" s="92"/>
      <c r="BZ515" s="92"/>
      <c r="CA515" s="90">
        <v>14.6</v>
      </c>
      <c r="CB515" s="90">
        <v>0.28999999999999998</v>
      </c>
      <c r="CC515" s="92">
        <v>0</v>
      </c>
      <c r="CD515" s="90"/>
      <c r="CE515" s="90"/>
      <c r="CF515" s="90" t="s">
        <v>1552</v>
      </c>
      <c r="CG515" s="90">
        <v>350</v>
      </c>
      <c r="CH515" s="92"/>
      <c r="CI515" s="68"/>
      <c r="CJ515" s="68"/>
      <c r="CK515" s="125">
        <v>11200.000000000002</v>
      </c>
    </row>
    <row r="516" spans="1:89" ht="15" thickBot="1" x14ac:dyDescent="0.35">
      <c r="A516" s="115" t="s">
        <v>3081</v>
      </c>
      <c r="C516" t="s">
        <v>3377</v>
      </c>
      <c r="E516" s="90"/>
      <c r="F516" s="115" t="s">
        <v>3075</v>
      </c>
      <c r="G516" t="s">
        <v>586</v>
      </c>
      <c r="H516" t="s">
        <v>660</v>
      </c>
      <c r="J516" s="73" t="s">
        <v>3485</v>
      </c>
      <c r="K516" s="73" t="s">
        <v>3485</v>
      </c>
      <c r="M516" t="b">
        <v>1</v>
      </c>
      <c r="N516" t="b">
        <v>1</v>
      </c>
      <c r="O516" t="b">
        <v>0</v>
      </c>
      <c r="P516" t="b">
        <v>0</v>
      </c>
      <c r="Q516" t="s">
        <v>3776</v>
      </c>
      <c r="R516" t="s">
        <v>3777</v>
      </c>
      <c r="AB516" s="122"/>
      <c r="BT516" s="90" t="s">
        <v>1393</v>
      </c>
      <c r="BU516" s="92">
        <f t="shared" si="2"/>
        <v>1023</v>
      </c>
      <c r="BV516" s="92">
        <v>2</v>
      </c>
      <c r="BW516" s="68"/>
      <c r="BX516" s="92"/>
      <c r="BY516" s="92"/>
      <c r="BZ516" s="92"/>
      <c r="CA516" s="90">
        <v>16.3</v>
      </c>
      <c r="CB516" s="90">
        <v>0.28999999999999998</v>
      </c>
      <c r="CC516" s="92">
        <v>0</v>
      </c>
      <c r="CD516" s="90"/>
      <c r="CE516" s="90"/>
      <c r="CF516" s="90" t="s">
        <v>1552</v>
      </c>
      <c r="CG516" s="90">
        <v>350</v>
      </c>
      <c r="CH516" s="92"/>
      <c r="CI516" s="68"/>
      <c r="CJ516" s="68"/>
      <c r="CK516" s="125">
        <v>13899.999999999998</v>
      </c>
    </row>
    <row r="517" spans="1:89" ht="15" thickBot="1" x14ac:dyDescent="0.35">
      <c r="A517" s="115" t="s">
        <v>3078</v>
      </c>
      <c r="C517" t="s">
        <v>3377</v>
      </c>
      <c r="E517" s="90"/>
      <c r="F517" s="115" t="s">
        <v>3075</v>
      </c>
      <c r="G517" t="s">
        <v>586</v>
      </c>
      <c r="H517" t="s">
        <v>660</v>
      </c>
      <c r="J517" s="73" t="s">
        <v>3482</v>
      </c>
      <c r="K517" s="73" t="s">
        <v>3482</v>
      </c>
      <c r="M517" t="b">
        <v>1</v>
      </c>
      <c r="N517" t="b">
        <v>1</v>
      </c>
      <c r="O517" t="b">
        <v>0</v>
      </c>
      <c r="P517" t="b">
        <v>0</v>
      </c>
      <c r="Q517" t="s">
        <v>3778</v>
      </c>
      <c r="R517" t="s">
        <v>3779</v>
      </c>
      <c r="AB517" s="122"/>
      <c r="BT517" s="90" t="s">
        <v>1393</v>
      </c>
      <c r="BU517" s="92">
        <f t="shared" si="2"/>
        <v>1023</v>
      </c>
      <c r="BV517" s="92">
        <v>2</v>
      </c>
      <c r="BW517" s="68"/>
      <c r="BX517" s="92"/>
      <c r="BY517" s="92"/>
      <c r="BZ517" s="92"/>
      <c r="CA517" s="90">
        <v>21.3</v>
      </c>
      <c r="CB517" s="90">
        <v>0.28999999999999998</v>
      </c>
      <c r="CC517" s="92">
        <v>0</v>
      </c>
      <c r="CD517" s="90"/>
      <c r="CE517" s="90"/>
      <c r="CF517" s="90" t="s">
        <v>1552</v>
      </c>
      <c r="CG517" s="90">
        <v>350</v>
      </c>
      <c r="CH517" s="92"/>
      <c r="CI517" s="68"/>
      <c r="CJ517" s="68"/>
      <c r="CK517" s="125">
        <v>25099.999999999996</v>
      </c>
    </row>
    <row r="518" spans="1:89" ht="15" thickBot="1" x14ac:dyDescent="0.35">
      <c r="A518" s="115" t="s">
        <v>3082</v>
      </c>
      <c r="C518" t="s">
        <v>3377</v>
      </c>
      <c r="E518" s="90"/>
      <c r="F518" s="115" t="s">
        <v>3075</v>
      </c>
      <c r="G518" t="s">
        <v>586</v>
      </c>
      <c r="H518" t="s">
        <v>660</v>
      </c>
      <c r="J518" s="73" t="s">
        <v>3486</v>
      </c>
      <c r="K518" s="73" t="s">
        <v>3486</v>
      </c>
      <c r="M518" t="b">
        <v>1</v>
      </c>
      <c r="N518" t="b">
        <v>1</v>
      </c>
      <c r="O518" t="b">
        <v>0</v>
      </c>
      <c r="P518" t="b">
        <v>0</v>
      </c>
      <c r="Q518" t="s">
        <v>3780</v>
      </c>
      <c r="R518" t="s">
        <v>3781</v>
      </c>
      <c r="AB518" s="122"/>
      <c r="BT518" s="90" t="s">
        <v>1393</v>
      </c>
      <c r="BU518" s="92">
        <f t="shared" si="2"/>
        <v>1023</v>
      </c>
      <c r="BV518" s="92">
        <v>2</v>
      </c>
      <c r="BW518" s="68"/>
      <c r="BX518" s="92"/>
      <c r="BY518" s="92"/>
      <c r="BZ518" s="92"/>
      <c r="CA518" s="90">
        <v>19.100000000000001</v>
      </c>
      <c r="CB518" s="90">
        <v>0.28999999999999998</v>
      </c>
      <c r="CC518" s="92">
        <v>0</v>
      </c>
      <c r="CD518" s="90"/>
      <c r="CE518" s="90"/>
      <c r="CF518" s="90" t="s">
        <v>1552</v>
      </c>
      <c r="CG518" s="90">
        <v>350</v>
      </c>
      <c r="CH518" s="92"/>
      <c r="CI518" s="68"/>
      <c r="CJ518" s="68"/>
      <c r="CK518" s="125">
        <v>20200</v>
      </c>
    </row>
    <row r="519" spans="1:89" ht="15" thickBot="1" x14ac:dyDescent="0.35">
      <c r="A519" s="115" t="s">
        <v>3079</v>
      </c>
      <c r="C519" t="s">
        <v>3377</v>
      </c>
      <c r="E519" s="90"/>
      <c r="F519" s="115" t="s">
        <v>3075</v>
      </c>
      <c r="G519" t="s">
        <v>586</v>
      </c>
      <c r="H519" t="s">
        <v>660</v>
      </c>
      <c r="J519" s="73" t="s">
        <v>3483</v>
      </c>
      <c r="K519" s="73" t="s">
        <v>3483</v>
      </c>
      <c r="M519" t="b">
        <v>1</v>
      </c>
      <c r="N519" t="b">
        <v>1</v>
      </c>
      <c r="O519" t="b">
        <v>0</v>
      </c>
      <c r="P519" t="b">
        <v>0</v>
      </c>
      <c r="Q519" t="s">
        <v>3782</v>
      </c>
      <c r="R519" t="s">
        <v>3783</v>
      </c>
      <c r="AB519" s="122"/>
      <c r="BT519" s="90" t="s">
        <v>1393</v>
      </c>
      <c r="BU519" s="92">
        <f t="shared" si="2"/>
        <v>1023</v>
      </c>
      <c r="BV519" s="92">
        <v>2</v>
      </c>
      <c r="BW519" s="68"/>
      <c r="BX519" s="92"/>
      <c r="BY519" s="92"/>
      <c r="BZ519" s="92"/>
      <c r="CA519" s="90">
        <v>18.399999999999999</v>
      </c>
      <c r="CB519" s="90">
        <v>0.28999999999999998</v>
      </c>
      <c r="CC519" s="92">
        <v>0</v>
      </c>
      <c r="CD519" s="90"/>
      <c r="CE519" s="90"/>
      <c r="CF519" s="90" t="s">
        <v>1552</v>
      </c>
      <c r="CG519" s="90">
        <v>350</v>
      </c>
      <c r="CH519" s="92"/>
      <c r="CI519" s="68"/>
      <c r="CJ519" s="68"/>
      <c r="CK519" s="125">
        <v>17800</v>
      </c>
    </row>
    <row r="520" spans="1:89" ht="15" thickBot="1" x14ac:dyDescent="0.35">
      <c r="A520" s="115" t="s">
        <v>28</v>
      </c>
      <c r="C520" t="s">
        <v>805</v>
      </c>
      <c r="E520" s="90"/>
      <c r="F520" s="115" t="s">
        <v>3075</v>
      </c>
      <c r="G520" t="s">
        <v>586</v>
      </c>
      <c r="H520" t="s">
        <v>660</v>
      </c>
      <c r="M520" t="b">
        <v>1</v>
      </c>
      <c r="N520" t="b">
        <v>1</v>
      </c>
      <c r="O520" t="b">
        <v>0</v>
      </c>
      <c r="P520" t="b">
        <v>0</v>
      </c>
      <c r="Q520" t="s">
        <v>586</v>
      </c>
      <c r="R520">
        <v>1521385</v>
      </c>
      <c r="AB520" s="122"/>
      <c r="BT520" s="90" t="s">
        <v>1393</v>
      </c>
      <c r="BU520" s="92">
        <f t="shared" si="2"/>
        <v>1023</v>
      </c>
      <c r="BV520" s="92">
        <v>2</v>
      </c>
      <c r="BW520" s="68"/>
      <c r="BX520" s="92"/>
      <c r="BY520" s="92"/>
      <c r="BZ520" s="92"/>
      <c r="CA520" s="90">
        <v>4.3</v>
      </c>
      <c r="CB520" s="90">
        <v>0.28999999999999998</v>
      </c>
      <c r="CC520" s="92">
        <v>0</v>
      </c>
      <c r="CD520" s="90"/>
      <c r="CE520" s="90"/>
      <c r="CF520" s="90" t="s">
        <v>1552</v>
      </c>
      <c r="CG520" s="90">
        <v>350</v>
      </c>
      <c r="CH520" s="92"/>
      <c r="CI520" s="68"/>
      <c r="CJ520" s="68"/>
      <c r="CK520" s="125">
        <v>2000</v>
      </c>
    </row>
    <row r="521" spans="1:89" ht="15" thickBot="1" x14ac:dyDescent="0.35">
      <c r="A521" s="115" t="s">
        <v>27</v>
      </c>
      <c r="C521" t="s">
        <v>742</v>
      </c>
      <c r="E521" s="90"/>
      <c r="F521" s="115" t="s">
        <v>3075</v>
      </c>
      <c r="G521" t="s">
        <v>563</v>
      </c>
      <c r="H521" t="s">
        <v>641</v>
      </c>
      <c r="M521" t="b">
        <v>1</v>
      </c>
      <c r="N521" t="b">
        <v>1</v>
      </c>
      <c r="O521" t="b">
        <v>0</v>
      </c>
      <c r="P521" t="b">
        <v>0</v>
      </c>
      <c r="Q521" t="s">
        <v>563</v>
      </c>
      <c r="R521">
        <v>2102087</v>
      </c>
      <c r="AB521" s="122"/>
      <c r="BT521" s="90" t="s">
        <v>1393</v>
      </c>
      <c r="BU521" s="92">
        <f t="shared" si="2"/>
        <v>1023</v>
      </c>
      <c r="BV521" s="92">
        <v>2</v>
      </c>
      <c r="BW521" s="68"/>
      <c r="BX521" s="92"/>
      <c r="BY521" s="92"/>
      <c r="BZ521" s="92"/>
      <c r="CA521" s="90">
        <v>6.3</v>
      </c>
      <c r="CB521" s="90">
        <v>0.28999999999999998</v>
      </c>
      <c r="CC521" s="92">
        <v>0</v>
      </c>
      <c r="CD521" s="90"/>
      <c r="CE521" s="90"/>
      <c r="CF521" s="90" t="s">
        <v>1552</v>
      </c>
      <c r="CG521" s="90">
        <v>350</v>
      </c>
      <c r="CH521" s="92"/>
      <c r="CI521" s="68"/>
      <c r="CJ521" s="68"/>
      <c r="CK521" s="125">
        <v>200</v>
      </c>
    </row>
    <row r="522" spans="1:89" ht="15" thickBot="1" x14ac:dyDescent="0.35">
      <c r="A522" s="115" t="s">
        <v>3084</v>
      </c>
      <c r="C522" t="s">
        <v>3378</v>
      </c>
      <c r="E522" s="92">
        <v>2.25</v>
      </c>
      <c r="F522" s="115" t="s">
        <v>3083</v>
      </c>
      <c r="G522" t="s">
        <v>3154</v>
      </c>
      <c r="H522">
        <v>-1</v>
      </c>
      <c r="M522" t="b">
        <v>0</v>
      </c>
      <c r="N522" t="b">
        <v>0</v>
      </c>
      <c r="O522" t="b">
        <v>0</v>
      </c>
      <c r="P522" t="b">
        <v>1</v>
      </c>
      <c r="Q522" t="s">
        <v>3154</v>
      </c>
      <c r="R522">
        <v>-1</v>
      </c>
      <c r="AB522" s="122"/>
      <c r="BT522" s="90" t="s">
        <v>1336</v>
      </c>
      <c r="BU522" s="92"/>
      <c r="BV522" s="92"/>
      <c r="BW522" s="68"/>
      <c r="BX522" s="92" t="s">
        <v>1268</v>
      </c>
      <c r="BY522" s="92" t="s">
        <v>863</v>
      </c>
      <c r="BZ522" s="92">
        <v>1</v>
      </c>
      <c r="CA522" s="92"/>
      <c r="CB522" s="92">
        <v>1.1100000000000001</v>
      </c>
      <c r="CC522" s="92">
        <v>18.5</v>
      </c>
      <c r="CD522" s="90"/>
      <c r="CE522" s="90"/>
      <c r="CF522" s="90" t="s">
        <v>1534</v>
      </c>
      <c r="CG522" s="90">
        <v>300</v>
      </c>
      <c r="CH522" s="92">
        <v>420</v>
      </c>
      <c r="CI522" s="68"/>
      <c r="CJ522" s="68"/>
      <c r="CK522" s="125">
        <v>8.1999999999999993</v>
      </c>
    </row>
    <row r="523" spans="1:89" ht="15" thickBot="1" x14ac:dyDescent="0.35">
      <c r="A523" s="115" t="s">
        <v>3086</v>
      </c>
      <c r="C523" t="s">
        <v>3379</v>
      </c>
      <c r="E523" s="92">
        <v>3.34</v>
      </c>
      <c r="F523" s="115" t="s">
        <v>3085</v>
      </c>
      <c r="G523" t="s">
        <v>3155</v>
      </c>
      <c r="H523" t="s">
        <v>3156</v>
      </c>
      <c r="J523" s="73" t="s">
        <v>3487</v>
      </c>
      <c r="K523" s="73" t="s">
        <v>3487</v>
      </c>
      <c r="M523" t="b">
        <v>1</v>
      </c>
      <c r="N523" t="b">
        <v>1</v>
      </c>
      <c r="O523" t="b">
        <v>0</v>
      </c>
      <c r="P523" t="b">
        <v>0</v>
      </c>
      <c r="Q523" t="s">
        <v>3784</v>
      </c>
      <c r="R523" t="s">
        <v>3785</v>
      </c>
      <c r="AB523" s="122"/>
      <c r="BT523" s="90" t="s">
        <v>1305</v>
      </c>
      <c r="BU523" s="92">
        <v>1373</v>
      </c>
      <c r="BV523" s="92">
        <v>24</v>
      </c>
      <c r="BW523" s="68"/>
      <c r="BX523" s="92" t="s">
        <v>1268</v>
      </c>
      <c r="BY523" s="92" t="s">
        <v>863</v>
      </c>
      <c r="BZ523" s="92">
        <v>0.6</v>
      </c>
      <c r="CA523" s="92">
        <v>23.2</v>
      </c>
      <c r="CB523" s="92">
        <v>0.92500000000000004</v>
      </c>
      <c r="CC523" s="92">
        <v>18.5</v>
      </c>
      <c r="CD523" s="90"/>
      <c r="CE523" s="90"/>
      <c r="CF523" s="90" t="s">
        <v>1534</v>
      </c>
      <c r="CG523" s="90">
        <v>300</v>
      </c>
      <c r="CH523" s="92">
        <v>420</v>
      </c>
      <c r="CI523" s="68"/>
      <c r="CJ523" s="68"/>
      <c r="CK523" s="125">
        <v>330.4</v>
      </c>
    </row>
    <row r="524" spans="1:89" ht="15" thickBot="1" x14ac:dyDescent="0.35">
      <c r="A524" s="115" t="s">
        <v>2881</v>
      </c>
      <c r="C524" t="s">
        <v>3280</v>
      </c>
      <c r="E524" s="92">
        <v>4</v>
      </c>
      <c r="F524" s="115" t="s">
        <v>3089</v>
      </c>
      <c r="G524" t="s">
        <v>586</v>
      </c>
      <c r="H524" t="s">
        <v>660</v>
      </c>
      <c r="M524" t="b">
        <v>1</v>
      </c>
      <c r="N524" t="b">
        <v>1</v>
      </c>
      <c r="O524" t="b">
        <v>0</v>
      </c>
      <c r="P524" t="b">
        <v>0</v>
      </c>
      <c r="Q524" t="s">
        <v>586</v>
      </c>
      <c r="R524">
        <v>1521385</v>
      </c>
      <c r="AB524" s="122"/>
      <c r="BT524" s="90" t="s">
        <v>1336</v>
      </c>
      <c r="BU524" s="92">
        <v>1173</v>
      </c>
      <c r="BV524" s="92">
        <v>12</v>
      </c>
      <c r="BW524" s="68"/>
      <c r="BX524" s="92" t="s">
        <v>1533</v>
      </c>
      <c r="BY524" s="92" t="s">
        <v>56</v>
      </c>
      <c r="BZ524" s="92">
        <v>0.6</v>
      </c>
      <c r="CA524" s="92">
        <v>4.54</v>
      </c>
      <c r="CB524" s="92">
        <v>0.33300000000000002</v>
      </c>
      <c r="CC524" s="92">
        <v>10</v>
      </c>
      <c r="CD524" s="90"/>
      <c r="CE524" s="90"/>
      <c r="CF524" s="90" t="s">
        <v>1552</v>
      </c>
      <c r="CG524" s="90">
        <v>400</v>
      </c>
      <c r="CH524" s="92">
        <v>250</v>
      </c>
      <c r="CI524" s="68"/>
      <c r="CJ524" s="68"/>
      <c r="CK524" s="125">
        <v>3450</v>
      </c>
    </row>
    <row r="525" spans="1:89" ht="15" thickBot="1" x14ac:dyDescent="0.35">
      <c r="A525" s="115" t="s">
        <v>3088</v>
      </c>
      <c r="C525" t="s">
        <v>3380</v>
      </c>
      <c r="E525" s="92">
        <v>4.13</v>
      </c>
      <c r="F525" s="115" t="s">
        <v>3087</v>
      </c>
      <c r="G525" t="s">
        <v>3238</v>
      </c>
      <c r="H525" t="s">
        <v>3239</v>
      </c>
      <c r="M525" t="b">
        <v>1</v>
      </c>
      <c r="N525" t="b">
        <v>1</v>
      </c>
      <c r="O525" t="b">
        <v>0</v>
      </c>
      <c r="P525" t="b">
        <v>0</v>
      </c>
      <c r="Q525" t="s">
        <v>3238</v>
      </c>
      <c r="R525">
        <v>1521772</v>
      </c>
      <c r="AB525" s="122"/>
      <c r="BT525" s="90" t="s">
        <v>1407</v>
      </c>
      <c r="BU525" s="92">
        <v>773</v>
      </c>
      <c r="BV525" s="92">
        <v>5</v>
      </c>
      <c r="BW525" s="68"/>
      <c r="BX525" s="92" t="s">
        <v>1533</v>
      </c>
      <c r="BY525" s="92" t="s">
        <v>1313</v>
      </c>
      <c r="BZ525" s="92">
        <v>0.5</v>
      </c>
      <c r="CA525" s="92">
        <v>12</v>
      </c>
      <c r="CB525" s="92">
        <v>0.83299999999999996</v>
      </c>
      <c r="CC525" s="92">
        <v>10</v>
      </c>
      <c r="CD525" s="90"/>
      <c r="CE525" s="90"/>
      <c r="CF525" s="90" t="s">
        <v>1552</v>
      </c>
      <c r="CG525" s="90">
        <v>400</v>
      </c>
      <c r="CH525" s="92">
        <v>365</v>
      </c>
      <c r="CI525" s="68"/>
      <c r="CJ525" s="68"/>
      <c r="CK525" s="125">
        <v>103.33</v>
      </c>
    </row>
    <row r="526" spans="1:89" ht="15" thickBot="1" x14ac:dyDescent="0.35">
      <c r="A526" s="115" t="s">
        <v>28</v>
      </c>
      <c r="C526" t="s">
        <v>805</v>
      </c>
      <c r="E526" s="92">
        <v>4.03</v>
      </c>
      <c r="F526" s="115" t="s">
        <v>3090</v>
      </c>
      <c r="G526" t="s">
        <v>586</v>
      </c>
      <c r="H526" t="s">
        <v>660</v>
      </c>
      <c r="M526" t="b">
        <v>1</v>
      </c>
      <c r="N526" t="b">
        <v>1</v>
      </c>
      <c r="O526" t="b">
        <v>0</v>
      </c>
      <c r="P526" t="b">
        <v>0</v>
      </c>
      <c r="Q526" t="s">
        <v>586</v>
      </c>
      <c r="R526">
        <v>1521385</v>
      </c>
      <c r="AB526" s="122"/>
      <c r="BT526" s="90" t="s">
        <v>1336</v>
      </c>
      <c r="BU526" s="92">
        <v>1173</v>
      </c>
      <c r="BV526" s="92">
        <v>12</v>
      </c>
      <c r="BW526" s="68"/>
      <c r="BX526" s="92"/>
      <c r="BY526" s="92"/>
      <c r="BZ526" s="92"/>
      <c r="CA526" s="92">
        <v>2.25</v>
      </c>
      <c r="CB526" s="92">
        <v>0.33300000000000002</v>
      </c>
      <c r="CC526" s="92">
        <v>10</v>
      </c>
      <c r="CD526" s="90"/>
      <c r="CE526" s="90"/>
      <c r="CF526" s="90" t="s">
        <v>1552</v>
      </c>
      <c r="CG526" s="90">
        <v>400</v>
      </c>
      <c r="CH526" s="92">
        <v>250</v>
      </c>
      <c r="CI526" s="68"/>
      <c r="CJ526" s="68"/>
      <c r="CK526" s="125">
        <v>1600</v>
      </c>
    </row>
    <row r="527" spans="1:89" ht="15" thickBot="1" x14ac:dyDescent="0.35">
      <c r="A527" s="115" t="s">
        <v>3091</v>
      </c>
      <c r="C527" t="s">
        <v>3280</v>
      </c>
      <c r="E527" s="92">
        <v>4.01</v>
      </c>
      <c r="F527" s="115" t="s">
        <v>3090</v>
      </c>
      <c r="G527" t="s">
        <v>586</v>
      </c>
      <c r="H527" t="s">
        <v>660</v>
      </c>
      <c r="M527" t="b">
        <v>1</v>
      </c>
      <c r="N527" t="b">
        <v>1</v>
      </c>
      <c r="O527" t="b">
        <v>0</v>
      </c>
      <c r="P527" t="b">
        <v>0</v>
      </c>
      <c r="Q527" t="s">
        <v>586</v>
      </c>
      <c r="R527">
        <v>1521385</v>
      </c>
      <c r="AB527" s="122"/>
      <c r="BT527" s="90" t="s">
        <v>1336</v>
      </c>
      <c r="BU527" s="92">
        <v>1173</v>
      </c>
      <c r="BV527" s="92">
        <v>12</v>
      </c>
      <c r="BW527" s="68"/>
      <c r="BX527" s="92"/>
      <c r="BY527" s="92"/>
      <c r="BZ527" s="92"/>
      <c r="CA527" s="92">
        <v>3.83</v>
      </c>
      <c r="CB527" s="92">
        <v>0.33300000000000002</v>
      </c>
      <c r="CC527" s="92">
        <v>10</v>
      </c>
      <c r="CD527" s="90"/>
      <c r="CE527" s="90"/>
      <c r="CF527" s="90" t="s">
        <v>1552</v>
      </c>
      <c r="CG527" s="90">
        <v>400</v>
      </c>
      <c r="CH527" s="92">
        <v>250</v>
      </c>
      <c r="CI527" s="68"/>
      <c r="CJ527" s="68"/>
      <c r="CK527" s="125">
        <v>1900</v>
      </c>
    </row>
    <row r="528" spans="1:89" ht="15" thickBot="1" x14ac:dyDescent="0.35">
      <c r="A528" s="115" t="s">
        <v>2881</v>
      </c>
      <c r="C528" t="s">
        <v>3280</v>
      </c>
      <c r="E528" s="92">
        <v>4</v>
      </c>
      <c r="F528" s="115" t="s">
        <v>3090</v>
      </c>
      <c r="G528" t="s">
        <v>586</v>
      </c>
      <c r="H528" t="s">
        <v>660</v>
      </c>
      <c r="M528" t="b">
        <v>1</v>
      </c>
      <c r="N528" t="b">
        <v>1</v>
      </c>
      <c r="O528" t="b">
        <v>0</v>
      </c>
      <c r="P528" t="b">
        <v>0</v>
      </c>
      <c r="Q528" t="s">
        <v>586</v>
      </c>
      <c r="R528">
        <v>1521385</v>
      </c>
      <c r="AB528" s="122"/>
      <c r="BT528" s="90" t="s">
        <v>1336</v>
      </c>
      <c r="BU528" s="92">
        <v>1173</v>
      </c>
      <c r="BV528" s="92">
        <v>12</v>
      </c>
      <c r="BW528" s="68"/>
      <c r="BX528" s="92"/>
      <c r="BY528" s="92"/>
      <c r="BZ528" s="92"/>
      <c r="CA528" s="92">
        <v>4.54</v>
      </c>
      <c r="CB528" s="92">
        <v>0.33300000000000002</v>
      </c>
      <c r="CC528" s="92">
        <v>10</v>
      </c>
      <c r="CD528" s="90"/>
      <c r="CE528" s="90"/>
      <c r="CF528" s="90" t="s">
        <v>1552</v>
      </c>
      <c r="CG528" s="90">
        <v>400</v>
      </c>
      <c r="CH528" s="92">
        <v>250</v>
      </c>
      <c r="CI528" s="68"/>
      <c r="CJ528" s="68"/>
      <c r="CK528" s="125">
        <v>2840</v>
      </c>
    </row>
    <row r="529" spans="1:89" ht="15" thickBot="1" x14ac:dyDescent="0.35">
      <c r="A529" s="115" t="s">
        <v>3092</v>
      </c>
      <c r="C529" t="s">
        <v>3280</v>
      </c>
      <c r="E529" s="92">
        <v>4</v>
      </c>
      <c r="F529" s="115" t="s">
        <v>3090</v>
      </c>
      <c r="G529" t="s">
        <v>586</v>
      </c>
      <c r="H529" t="s">
        <v>660</v>
      </c>
      <c r="M529" t="b">
        <v>1</v>
      </c>
      <c r="N529" t="b">
        <v>1</v>
      </c>
      <c r="O529" t="b">
        <v>0</v>
      </c>
      <c r="P529" t="b">
        <v>0</v>
      </c>
      <c r="Q529" t="s">
        <v>586</v>
      </c>
      <c r="R529">
        <v>1521385</v>
      </c>
      <c r="AB529" s="122"/>
      <c r="BT529" s="90" t="s">
        <v>1336</v>
      </c>
      <c r="BU529" s="92">
        <v>1173</v>
      </c>
      <c r="BV529" s="92">
        <v>12</v>
      </c>
      <c r="BW529" s="68"/>
      <c r="BX529" s="92"/>
      <c r="BY529" s="92"/>
      <c r="BZ529" s="92"/>
      <c r="CA529" s="92">
        <v>4.3600000000000003</v>
      </c>
      <c r="CB529" s="92">
        <v>0.33300000000000002</v>
      </c>
      <c r="CC529" s="92">
        <v>10</v>
      </c>
      <c r="CD529" s="90"/>
      <c r="CE529" s="90"/>
      <c r="CF529" s="90" t="s">
        <v>1552</v>
      </c>
      <c r="CG529" s="90">
        <v>400</v>
      </c>
      <c r="CH529" s="92">
        <v>250</v>
      </c>
      <c r="CI529" s="68"/>
      <c r="CJ529" s="68"/>
      <c r="CK529" s="125">
        <v>900</v>
      </c>
    </row>
    <row r="530" spans="1:89" ht="15" thickBot="1" x14ac:dyDescent="0.35">
      <c r="A530" s="115" t="s">
        <v>3093</v>
      </c>
      <c r="C530" t="s">
        <v>3280</v>
      </c>
      <c r="E530" s="92">
        <v>4</v>
      </c>
      <c r="F530" s="115" t="s">
        <v>3090</v>
      </c>
      <c r="G530" t="s">
        <v>586</v>
      </c>
      <c r="H530" t="s">
        <v>660</v>
      </c>
      <c r="M530" t="b">
        <v>1</v>
      </c>
      <c r="N530" t="b">
        <v>1</v>
      </c>
      <c r="O530" t="b">
        <v>0</v>
      </c>
      <c r="P530" t="b">
        <v>0</v>
      </c>
      <c r="Q530" t="s">
        <v>586</v>
      </c>
      <c r="R530">
        <v>1521385</v>
      </c>
      <c r="AB530" s="122"/>
      <c r="BT530" s="90" t="s">
        <v>1336</v>
      </c>
      <c r="BU530" s="92">
        <v>1173</v>
      </c>
      <c r="BV530" s="92">
        <v>12</v>
      </c>
      <c r="BW530" s="68"/>
      <c r="BX530" s="92"/>
      <c r="BY530" s="92"/>
      <c r="BZ530" s="92"/>
      <c r="CA530" s="92">
        <v>4.21</v>
      </c>
      <c r="CB530" s="92">
        <v>0.33300000000000002</v>
      </c>
      <c r="CC530" s="92">
        <v>10</v>
      </c>
      <c r="CD530" s="90"/>
      <c r="CE530" s="90"/>
      <c r="CF530" s="90" t="s">
        <v>1552</v>
      </c>
      <c r="CG530" s="90">
        <v>400</v>
      </c>
      <c r="CH530" s="92">
        <v>250</v>
      </c>
      <c r="CI530" s="68"/>
      <c r="CJ530" s="68"/>
      <c r="CK530" s="125">
        <v>400</v>
      </c>
    </row>
    <row r="531" spans="1:89" ht="15" thickBot="1" x14ac:dyDescent="0.35">
      <c r="A531" s="115" t="s">
        <v>3094</v>
      </c>
      <c r="C531" t="s">
        <v>3381</v>
      </c>
      <c r="E531" s="92">
        <v>2.1</v>
      </c>
      <c r="F531" s="115" t="s">
        <v>3095</v>
      </c>
      <c r="G531" t="s">
        <v>3240</v>
      </c>
      <c r="H531" t="s">
        <v>3241</v>
      </c>
      <c r="M531" t="b">
        <v>1</v>
      </c>
      <c r="N531" t="b">
        <v>1</v>
      </c>
      <c r="O531" t="b">
        <v>0</v>
      </c>
      <c r="P531" t="b">
        <v>0</v>
      </c>
      <c r="Q531" t="s">
        <v>3240</v>
      </c>
      <c r="R531">
        <v>4125730</v>
      </c>
      <c r="AB531" s="122"/>
      <c r="BT531" s="90" t="s">
        <v>1538</v>
      </c>
      <c r="BU531" s="92">
        <v>1623</v>
      </c>
      <c r="BV531" s="92">
        <v>8</v>
      </c>
      <c r="BW531" s="68"/>
      <c r="BX531" s="92"/>
      <c r="BY531" s="92"/>
      <c r="BZ531" s="92"/>
      <c r="CA531" s="92">
        <v>56</v>
      </c>
      <c r="CB531" s="92">
        <v>3.33</v>
      </c>
      <c r="CC531" s="92">
        <v>0</v>
      </c>
      <c r="CD531" s="90"/>
      <c r="CE531" s="90"/>
      <c r="CF531" s="90" t="s">
        <v>1534</v>
      </c>
      <c r="CG531" s="90">
        <v>300</v>
      </c>
      <c r="CH531" s="90">
        <v>420</v>
      </c>
      <c r="CI531" s="68"/>
      <c r="CJ531" s="68"/>
      <c r="CK531" s="125">
        <v>722</v>
      </c>
    </row>
    <row r="532" spans="1:89" ht="15" thickBot="1" x14ac:dyDescent="0.35">
      <c r="A532" s="115" t="s">
        <v>3033</v>
      </c>
      <c r="C532" t="s">
        <v>3366</v>
      </c>
      <c r="E532" s="92">
        <v>2.4</v>
      </c>
      <c r="F532" s="115" t="s">
        <v>3096</v>
      </c>
      <c r="G532" t="s">
        <v>3230</v>
      </c>
      <c r="H532" t="s">
        <v>3231</v>
      </c>
      <c r="M532" t="b">
        <v>1</v>
      </c>
      <c r="N532" t="b">
        <v>1</v>
      </c>
      <c r="O532" t="b">
        <v>0</v>
      </c>
      <c r="P532" t="b">
        <v>0</v>
      </c>
      <c r="Q532" t="s">
        <v>3230</v>
      </c>
      <c r="R532">
        <v>1011279</v>
      </c>
      <c r="AB532" s="122"/>
      <c r="BT532" s="90" t="s">
        <v>1336</v>
      </c>
      <c r="BU532" s="92">
        <v>1173</v>
      </c>
      <c r="BV532" s="92">
        <v>16</v>
      </c>
      <c r="BW532" s="68"/>
      <c r="BX532" s="92"/>
      <c r="BY532" s="92"/>
      <c r="BZ532" s="92"/>
      <c r="CA532" s="92"/>
      <c r="CB532" s="92">
        <v>1.1100000000000001</v>
      </c>
      <c r="CC532" s="92">
        <v>0</v>
      </c>
      <c r="CD532" s="92" t="s">
        <v>1637</v>
      </c>
      <c r="CE532" s="92"/>
      <c r="CF532" s="92" t="s">
        <v>1534</v>
      </c>
      <c r="CG532" s="92">
        <v>300</v>
      </c>
      <c r="CH532" s="92">
        <v>420</v>
      </c>
      <c r="CI532" s="68"/>
      <c r="CJ532" s="68"/>
      <c r="CK532" s="125">
        <v>276</v>
      </c>
    </row>
    <row r="533" spans="1:89" ht="15" thickBot="1" x14ac:dyDescent="0.35">
      <c r="A533" t="s">
        <v>3098</v>
      </c>
      <c r="C533" t="s">
        <v>3371</v>
      </c>
      <c r="E533" s="92">
        <v>2.91</v>
      </c>
      <c r="F533" s="115" t="s">
        <v>3097</v>
      </c>
      <c r="G533" t="s">
        <v>586</v>
      </c>
      <c r="H533" t="s">
        <v>660</v>
      </c>
      <c r="J533" s="73" t="s">
        <v>3488</v>
      </c>
      <c r="K533" s="73" t="s">
        <v>3488</v>
      </c>
      <c r="M533" t="b">
        <v>1</v>
      </c>
      <c r="N533" t="b">
        <v>1</v>
      </c>
      <c r="O533" t="b">
        <v>0</v>
      </c>
      <c r="P533" t="b">
        <v>0</v>
      </c>
      <c r="Q533" t="s">
        <v>3786</v>
      </c>
      <c r="R533" t="s">
        <v>3787</v>
      </c>
      <c r="AB533" s="122"/>
      <c r="BT533" s="90" t="s">
        <v>1305</v>
      </c>
      <c r="BU533" s="92">
        <v>1173</v>
      </c>
      <c r="BV533" s="92"/>
      <c r="BW533" s="68"/>
      <c r="BX533" s="92"/>
      <c r="BY533" s="92"/>
      <c r="BZ533" s="92">
        <v>0</v>
      </c>
      <c r="CA533" s="92"/>
      <c r="CB533" s="92">
        <v>5</v>
      </c>
      <c r="CC533" s="92">
        <v>20</v>
      </c>
      <c r="CD533" s="92"/>
      <c r="CE533" s="92"/>
      <c r="CF533" s="92" t="s">
        <v>1534</v>
      </c>
      <c r="CG533" s="92">
        <v>300</v>
      </c>
      <c r="CH533" s="92">
        <v>415</v>
      </c>
      <c r="CI533" s="68"/>
      <c r="CJ533" s="68"/>
      <c r="CK533" s="125">
        <v>224</v>
      </c>
    </row>
    <row r="534" spans="1:89" ht="15" thickBot="1" x14ac:dyDescent="0.35">
      <c r="A534" t="s">
        <v>3050</v>
      </c>
      <c r="C534" t="s">
        <v>3371</v>
      </c>
      <c r="E534" s="92">
        <v>2.88</v>
      </c>
      <c r="F534" s="115" t="s">
        <v>3097</v>
      </c>
      <c r="G534" t="s">
        <v>586</v>
      </c>
      <c r="H534" t="s">
        <v>660</v>
      </c>
      <c r="J534" s="73" t="s">
        <v>3468</v>
      </c>
      <c r="K534" s="73" t="s">
        <v>3468</v>
      </c>
      <c r="M534" t="b">
        <v>1</v>
      </c>
      <c r="N534" t="b">
        <v>1</v>
      </c>
      <c r="O534" t="b">
        <v>0</v>
      </c>
      <c r="P534" t="b">
        <v>0</v>
      </c>
      <c r="Q534" t="s">
        <v>3788</v>
      </c>
      <c r="R534" t="s">
        <v>3789</v>
      </c>
      <c r="AB534" s="122"/>
      <c r="BT534" s="90" t="s">
        <v>1305</v>
      </c>
      <c r="BU534" s="92">
        <v>1173</v>
      </c>
      <c r="BV534" s="92"/>
      <c r="BW534" s="68"/>
      <c r="BX534" s="92"/>
      <c r="BY534" s="92"/>
      <c r="BZ534" s="92">
        <v>0</v>
      </c>
      <c r="CA534" s="92">
        <v>24.5</v>
      </c>
      <c r="CB534" s="92">
        <v>5</v>
      </c>
      <c r="CC534" s="92">
        <v>20</v>
      </c>
      <c r="CD534" s="92"/>
      <c r="CE534" s="92"/>
      <c r="CF534" s="92" t="s">
        <v>1534</v>
      </c>
      <c r="CG534" s="92">
        <v>300</v>
      </c>
      <c r="CH534" s="92">
        <v>415</v>
      </c>
      <c r="CI534" s="68"/>
      <c r="CJ534" s="68"/>
      <c r="CK534" s="125">
        <v>216</v>
      </c>
    </row>
    <row r="535" spans="1:89" ht="15" thickBot="1" x14ac:dyDescent="0.35">
      <c r="A535" t="s">
        <v>3098</v>
      </c>
      <c r="C535" t="s">
        <v>3371</v>
      </c>
      <c r="E535" s="92">
        <v>2.91</v>
      </c>
      <c r="F535" s="115" t="s">
        <v>3097</v>
      </c>
      <c r="G535" t="s">
        <v>586</v>
      </c>
      <c r="H535" t="s">
        <v>660</v>
      </c>
      <c r="J535" s="73" t="s">
        <v>3488</v>
      </c>
      <c r="K535" s="73" t="s">
        <v>3488</v>
      </c>
      <c r="M535" t="b">
        <v>1</v>
      </c>
      <c r="N535" t="b">
        <v>1</v>
      </c>
      <c r="O535" t="b">
        <v>0</v>
      </c>
      <c r="P535" t="b">
        <v>0</v>
      </c>
      <c r="Q535" t="s">
        <v>3790</v>
      </c>
      <c r="R535" t="s">
        <v>3791</v>
      </c>
      <c r="AB535" s="122"/>
      <c r="BT535" s="90" t="s">
        <v>1305</v>
      </c>
      <c r="BU535" s="92">
        <v>1173</v>
      </c>
      <c r="BV535" s="92"/>
      <c r="BW535" s="68"/>
      <c r="BX535" s="92"/>
      <c r="BY535" s="92"/>
      <c r="BZ535" s="92">
        <v>0</v>
      </c>
      <c r="CA535" s="92">
        <v>22.7</v>
      </c>
      <c r="CB535" s="92">
        <v>5</v>
      </c>
      <c r="CC535" s="92">
        <v>20</v>
      </c>
      <c r="CD535" s="92"/>
      <c r="CE535" s="92"/>
      <c r="CF535" s="92" t="s">
        <v>1534</v>
      </c>
      <c r="CG535" s="92">
        <v>300</v>
      </c>
      <c r="CH535" s="92">
        <v>415</v>
      </c>
      <c r="CI535" s="68"/>
      <c r="CJ535" s="68"/>
      <c r="CK535" s="125">
        <v>876</v>
      </c>
    </row>
    <row r="536" spans="1:89" ht="15" thickBot="1" x14ac:dyDescent="0.35">
      <c r="A536" t="s">
        <v>3098</v>
      </c>
      <c r="C536" t="s">
        <v>3371</v>
      </c>
      <c r="E536" s="92">
        <v>2.91</v>
      </c>
      <c r="F536" s="115" t="s">
        <v>3097</v>
      </c>
      <c r="G536" t="s">
        <v>586</v>
      </c>
      <c r="H536" t="s">
        <v>660</v>
      </c>
      <c r="J536" s="73" t="s">
        <v>3488</v>
      </c>
      <c r="K536" s="73" t="s">
        <v>3488</v>
      </c>
      <c r="M536" t="b">
        <v>1</v>
      </c>
      <c r="N536" t="b">
        <v>1</v>
      </c>
      <c r="O536" t="b">
        <v>0</v>
      </c>
      <c r="P536" t="b">
        <v>0</v>
      </c>
      <c r="Q536" t="s">
        <v>3792</v>
      </c>
      <c r="R536" t="s">
        <v>3793</v>
      </c>
      <c r="AB536" s="122"/>
      <c r="BT536" s="90" t="s">
        <v>1305</v>
      </c>
      <c r="BU536" s="92">
        <v>1173</v>
      </c>
      <c r="BV536" s="92"/>
      <c r="BW536" s="68"/>
      <c r="BX536" s="92"/>
      <c r="BY536" s="92"/>
      <c r="BZ536" s="92">
        <v>0</v>
      </c>
      <c r="CA536" s="92">
        <v>45.1</v>
      </c>
      <c r="CB536" s="92">
        <v>5</v>
      </c>
      <c r="CC536" s="92">
        <v>20</v>
      </c>
      <c r="CD536" s="92"/>
      <c r="CE536" s="92"/>
      <c r="CF536" s="92" t="s">
        <v>1534</v>
      </c>
      <c r="CG536" s="92">
        <v>300</v>
      </c>
      <c r="CH536" s="92">
        <v>415</v>
      </c>
      <c r="CI536" s="68"/>
      <c r="CJ536" s="68"/>
      <c r="CK536" s="125">
        <v>1108</v>
      </c>
    </row>
    <row r="537" spans="1:89" ht="15" thickBot="1" x14ac:dyDescent="0.35">
      <c r="A537" t="s">
        <v>3098</v>
      </c>
      <c r="C537" t="s">
        <v>3371</v>
      </c>
      <c r="E537" s="92">
        <v>2.91</v>
      </c>
      <c r="F537" s="115" t="s">
        <v>3097</v>
      </c>
      <c r="G537" t="s">
        <v>586</v>
      </c>
      <c r="H537" t="s">
        <v>660</v>
      </c>
      <c r="J537" s="73" t="s">
        <v>3488</v>
      </c>
      <c r="K537" s="73" t="s">
        <v>3488</v>
      </c>
      <c r="M537" t="b">
        <v>1</v>
      </c>
      <c r="N537" t="b">
        <v>1</v>
      </c>
      <c r="O537" t="b">
        <v>0</v>
      </c>
      <c r="P537" t="b">
        <v>0</v>
      </c>
      <c r="Q537" t="s">
        <v>3794</v>
      </c>
      <c r="R537" t="s">
        <v>3795</v>
      </c>
      <c r="AB537" s="122"/>
      <c r="BT537" s="90" t="s">
        <v>1305</v>
      </c>
      <c r="BU537" s="92">
        <v>1173</v>
      </c>
      <c r="BV537" s="92"/>
      <c r="BW537" s="68"/>
      <c r="BX537" s="92"/>
      <c r="BY537" s="92"/>
      <c r="BZ537" s="92">
        <v>0</v>
      </c>
      <c r="CA537" s="92"/>
      <c r="CB537" s="92">
        <v>5</v>
      </c>
      <c r="CC537" s="92">
        <v>20</v>
      </c>
      <c r="CD537" s="92"/>
      <c r="CE537" s="92"/>
      <c r="CF537" s="92" t="s">
        <v>1534</v>
      </c>
      <c r="CG537" s="92">
        <v>300</v>
      </c>
      <c r="CH537" s="92">
        <v>415</v>
      </c>
      <c r="CI537" s="68"/>
      <c r="CJ537" s="68"/>
      <c r="CK537" s="125">
        <v>1355</v>
      </c>
    </row>
    <row r="538" spans="1:89" ht="15" thickBot="1" x14ac:dyDescent="0.35">
      <c r="A538" t="s">
        <v>3050</v>
      </c>
      <c r="C538" t="s">
        <v>3371</v>
      </c>
      <c r="E538" s="92">
        <v>2.88</v>
      </c>
      <c r="F538" s="115" t="s">
        <v>3097</v>
      </c>
      <c r="G538" t="s">
        <v>586</v>
      </c>
      <c r="H538" t="s">
        <v>660</v>
      </c>
      <c r="J538" s="73" t="s">
        <v>3468</v>
      </c>
      <c r="K538" s="73" t="s">
        <v>3468</v>
      </c>
      <c r="M538" t="b">
        <v>1</v>
      </c>
      <c r="N538" t="b">
        <v>1</v>
      </c>
      <c r="O538" t="b">
        <v>0</v>
      </c>
      <c r="P538" t="b">
        <v>0</v>
      </c>
      <c r="Q538" t="s">
        <v>3796</v>
      </c>
      <c r="R538" t="s">
        <v>3797</v>
      </c>
      <c r="AB538" s="122"/>
      <c r="BT538" s="90" t="s">
        <v>1407</v>
      </c>
      <c r="BU538" s="92"/>
      <c r="BV538" s="92"/>
      <c r="BW538" s="68"/>
      <c r="BX538" s="92"/>
      <c r="BY538" s="92"/>
      <c r="BZ538" s="92">
        <v>0</v>
      </c>
      <c r="CA538" s="92"/>
      <c r="CB538" s="92">
        <v>5</v>
      </c>
      <c r="CC538" s="92">
        <v>20</v>
      </c>
      <c r="CD538" s="92"/>
      <c r="CE538" s="92"/>
      <c r="CF538" s="92" t="s">
        <v>1534</v>
      </c>
      <c r="CG538" s="92">
        <v>300</v>
      </c>
      <c r="CH538" s="92">
        <v>415</v>
      </c>
      <c r="CI538" s="68"/>
      <c r="CJ538" s="68"/>
      <c r="CK538" s="125">
        <v>59.48</v>
      </c>
    </row>
    <row r="539" spans="1:89" ht="15" thickBot="1" x14ac:dyDescent="0.35">
      <c r="A539" t="s">
        <v>3050</v>
      </c>
      <c r="C539" t="s">
        <v>3371</v>
      </c>
      <c r="E539" s="92">
        <v>2.88</v>
      </c>
      <c r="F539" s="115" t="s">
        <v>3097</v>
      </c>
      <c r="G539" t="s">
        <v>586</v>
      </c>
      <c r="H539" t="s">
        <v>660</v>
      </c>
      <c r="J539" s="73" t="s">
        <v>3468</v>
      </c>
      <c r="K539" s="73" t="s">
        <v>3468</v>
      </c>
      <c r="M539" t="b">
        <v>1</v>
      </c>
      <c r="N539" t="b">
        <v>1</v>
      </c>
      <c r="O539" t="b">
        <v>0</v>
      </c>
      <c r="P539" t="b">
        <v>0</v>
      </c>
      <c r="Q539" t="s">
        <v>3798</v>
      </c>
      <c r="R539" t="s">
        <v>3799</v>
      </c>
      <c r="AB539" s="122"/>
      <c r="BT539" s="90" t="s">
        <v>1407</v>
      </c>
      <c r="BU539" s="92"/>
      <c r="BV539" s="92"/>
      <c r="BW539" s="68"/>
      <c r="BX539" s="92"/>
      <c r="BY539" s="92"/>
      <c r="BZ539" s="92">
        <v>0</v>
      </c>
      <c r="CA539" s="92">
        <v>9.44</v>
      </c>
      <c r="CB539" s="92">
        <v>5</v>
      </c>
      <c r="CC539" s="92">
        <v>20</v>
      </c>
      <c r="CD539" s="92"/>
      <c r="CE539" s="92"/>
      <c r="CF539" s="92" t="s">
        <v>1534</v>
      </c>
      <c r="CG539" s="92">
        <v>300</v>
      </c>
      <c r="CH539" s="92">
        <v>415</v>
      </c>
      <c r="CI539" s="68"/>
      <c r="CJ539" s="68"/>
      <c r="CK539" s="125">
        <v>74</v>
      </c>
    </row>
    <row r="540" spans="1:89" ht="15" thickBot="1" x14ac:dyDescent="0.35">
      <c r="A540" t="s">
        <v>3050</v>
      </c>
      <c r="C540" t="s">
        <v>3371</v>
      </c>
      <c r="E540" s="92">
        <v>2.88</v>
      </c>
      <c r="F540" s="115" t="s">
        <v>3097</v>
      </c>
      <c r="G540" t="s">
        <v>586</v>
      </c>
      <c r="H540" t="s">
        <v>660</v>
      </c>
      <c r="J540" s="73" t="s">
        <v>3468</v>
      </c>
      <c r="K540" s="73" t="s">
        <v>3468</v>
      </c>
      <c r="M540" t="b">
        <v>1</v>
      </c>
      <c r="N540" t="b">
        <v>1</v>
      </c>
      <c r="O540" t="b">
        <v>0</v>
      </c>
      <c r="P540" t="b">
        <v>0</v>
      </c>
      <c r="Q540" t="s">
        <v>3800</v>
      </c>
      <c r="R540" t="s">
        <v>3801</v>
      </c>
      <c r="AB540" s="122"/>
      <c r="BT540" s="90" t="s">
        <v>1407</v>
      </c>
      <c r="BU540" s="92"/>
      <c r="BV540" s="92"/>
      <c r="BW540" s="68"/>
      <c r="BX540" s="92"/>
      <c r="BY540" s="92"/>
      <c r="BZ540" s="92">
        <v>0</v>
      </c>
      <c r="CA540" s="92"/>
      <c r="CB540" s="92">
        <v>5</v>
      </c>
      <c r="CC540" s="92">
        <v>20</v>
      </c>
      <c r="CD540" s="92"/>
      <c r="CE540" s="92"/>
      <c r="CF540" s="92" t="s">
        <v>1534</v>
      </c>
      <c r="CG540" s="92">
        <v>300</v>
      </c>
      <c r="CH540" s="92">
        <v>415</v>
      </c>
      <c r="CI540" s="68"/>
      <c r="CJ540" s="68"/>
      <c r="CK540" s="125">
        <v>61</v>
      </c>
    </row>
    <row r="541" spans="1:89" ht="15" thickBot="1" x14ac:dyDescent="0.35">
      <c r="A541" t="s">
        <v>3049</v>
      </c>
      <c r="C541" t="s">
        <v>3371</v>
      </c>
      <c r="E541" s="92">
        <v>2.96</v>
      </c>
      <c r="F541" s="115" t="s">
        <v>3097</v>
      </c>
      <c r="G541" t="s">
        <v>586</v>
      </c>
      <c r="H541" t="s">
        <v>660</v>
      </c>
      <c r="J541" s="73" t="s">
        <v>3467</v>
      </c>
      <c r="K541" s="73" t="s">
        <v>3467</v>
      </c>
      <c r="M541" t="b">
        <v>1</v>
      </c>
      <c r="N541" t="b">
        <v>1</v>
      </c>
      <c r="O541" t="b">
        <v>0</v>
      </c>
      <c r="P541" t="b">
        <v>0</v>
      </c>
      <c r="Q541" t="s">
        <v>3802</v>
      </c>
      <c r="R541" t="s">
        <v>3803</v>
      </c>
      <c r="AB541" s="122"/>
      <c r="BT541" s="90"/>
      <c r="BU541" s="92"/>
      <c r="BV541" s="92"/>
      <c r="BW541" s="68"/>
      <c r="BX541" s="92"/>
      <c r="BY541" s="92"/>
      <c r="BZ541" s="92">
        <v>0</v>
      </c>
      <c r="CA541" s="92"/>
      <c r="CB541" s="92">
        <v>5</v>
      </c>
      <c r="CC541" s="92">
        <v>20</v>
      </c>
      <c r="CD541" s="92"/>
      <c r="CE541" s="92"/>
      <c r="CF541" s="92" t="s">
        <v>1534</v>
      </c>
      <c r="CG541" s="92">
        <v>300</v>
      </c>
      <c r="CH541" s="92">
        <v>415</v>
      </c>
      <c r="CI541" s="68"/>
      <c r="CJ541" s="68"/>
      <c r="CK541" s="125">
        <v>210</v>
      </c>
    </row>
    <row r="542" spans="1:89" ht="15" thickBot="1" x14ac:dyDescent="0.35">
      <c r="A542" t="s">
        <v>3099</v>
      </c>
      <c r="C542" t="s">
        <v>3371</v>
      </c>
      <c r="E542" s="92">
        <v>2.83</v>
      </c>
      <c r="F542" s="115" t="s">
        <v>3097</v>
      </c>
      <c r="G542" t="s">
        <v>586</v>
      </c>
      <c r="H542" t="s">
        <v>660</v>
      </c>
      <c r="J542" s="73" t="s">
        <v>3489</v>
      </c>
      <c r="K542" s="73" t="s">
        <v>3489</v>
      </c>
      <c r="M542" t="b">
        <v>1</v>
      </c>
      <c r="N542" t="b">
        <v>1</v>
      </c>
      <c r="O542" t="b">
        <v>0</v>
      </c>
      <c r="P542" t="b">
        <v>0</v>
      </c>
      <c r="Q542" t="s">
        <v>3804</v>
      </c>
      <c r="R542" t="s">
        <v>3805</v>
      </c>
      <c r="AB542" s="122"/>
      <c r="BT542" s="90"/>
      <c r="BU542" s="92"/>
      <c r="BV542" s="92"/>
      <c r="BW542" s="68"/>
      <c r="BX542" s="92"/>
      <c r="BY542" s="92"/>
      <c r="BZ542" s="92">
        <v>0</v>
      </c>
      <c r="CA542" s="92"/>
      <c r="CB542" s="92">
        <v>5</v>
      </c>
      <c r="CC542" s="92">
        <v>20</v>
      </c>
      <c r="CD542" s="92"/>
      <c r="CE542" s="92"/>
      <c r="CF542" s="92" t="s">
        <v>1534</v>
      </c>
      <c r="CG542" s="92">
        <v>300</v>
      </c>
      <c r="CH542" s="92">
        <v>415</v>
      </c>
      <c r="CI542" s="68"/>
      <c r="CJ542" s="68"/>
      <c r="CK542" s="125">
        <v>210</v>
      </c>
    </row>
    <row r="543" spans="1:89" ht="15" thickBot="1" x14ac:dyDescent="0.35">
      <c r="A543" t="s">
        <v>3051</v>
      </c>
      <c r="C543" t="s">
        <v>3371</v>
      </c>
      <c r="E543" s="92">
        <v>2.79</v>
      </c>
      <c r="F543" s="115" t="s">
        <v>3097</v>
      </c>
      <c r="G543" t="s">
        <v>586</v>
      </c>
      <c r="H543" t="s">
        <v>660</v>
      </c>
      <c r="J543" s="73" t="s">
        <v>3469</v>
      </c>
      <c r="K543" s="73" t="s">
        <v>3469</v>
      </c>
      <c r="M543" t="b">
        <v>1</v>
      </c>
      <c r="N543" t="b">
        <v>1</v>
      </c>
      <c r="O543" t="b">
        <v>0</v>
      </c>
      <c r="P543" t="b">
        <v>0</v>
      </c>
      <c r="Q543" t="s">
        <v>3806</v>
      </c>
      <c r="R543" t="s">
        <v>3807</v>
      </c>
      <c r="AB543" s="122"/>
      <c r="BT543" s="90"/>
      <c r="BU543" s="92"/>
      <c r="BV543" s="92"/>
      <c r="BW543" s="68"/>
      <c r="BX543" s="92"/>
      <c r="BY543" s="92"/>
      <c r="BZ543" s="92">
        <v>0</v>
      </c>
      <c r="CA543" s="92"/>
      <c r="CB543" s="92">
        <v>5</v>
      </c>
      <c r="CC543" s="92">
        <v>20</v>
      </c>
      <c r="CD543" s="92"/>
      <c r="CE543" s="92"/>
      <c r="CF543" s="92" t="s">
        <v>1534</v>
      </c>
      <c r="CG543" s="92">
        <v>300</v>
      </c>
      <c r="CH543" s="92">
        <v>415</v>
      </c>
      <c r="CI543" s="68"/>
      <c r="CJ543" s="68"/>
      <c r="CK543" s="125">
        <v>205</v>
      </c>
    </row>
    <row r="544" spans="1:89" ht="15" thickBot="1" x14ac:dyDescent="0.35">
      <c r="A544" t="s">
        <v>3098</v>
      </c>
      <c r="C544" t="s">
        <v>3371</v>
      </c>
      <c r="E544" s="92">
        <v>2.91</v>
      </c>
      <c r="F544" s="115" t="s">
        <v>3097</v>
      </c>
      <c r="G544" t="s">
        <v>586</v>
      </c>
      <c r="H544" t="s">
        <v>660</v>
      </c>
      <c r="J544" s="73" t="s">
        <v>3488</v>
      </c>
      <c r="K544" s="73" t="s">
        <v>3488</v>
      </c>
      <c r="M544" t="b">
        <v>1</v>
      </c>
      <c r="N544" t="b">
        <v>1</v>
      </c>
      <c r="O544" t="b">
        <v>0</v>
      </c>
      <c r="P544" t="b">
        <v>0</v>
      </c>
      <c r="Q544" t="s">
        <v>3808</v>
      </c>
      <c r="R544" t="s">
        <v>3809</v>
      </c>
      <c r="AB544" s="122"/>
      <c r="BT544" s="90" t="s">
        <v>1305</v>
      </c>
      <c r="BU544" s="92">
        <v>1173</v>
      </c>
      <c r="BV544" s="92"/>
      <c r="BW544" s="68"/>
      <c r="BX544" s="92" t="s">
        <v>1533</v>
      </c>
      <c r="BY544" s="92" t="s">
        <v>56</v>
      </c>
      <c r="BZ544" s="92">
        <v>0.05</v>
      </c>
      <c r="CA544" s="92">
        <v>22.7</v>
      </c>
      <c r="CB544" s="92">
        <v>5</v>
      </c>
      <c r="CC544" s="92">
        <v>20</v>
      </c>
      <c r="CD544" s="92"/>
      <c r="CE544" s="92"/>
      <c r="CF544" s="92" t="s">
        <v>1534</v>
      </c>
      <c r="CG544" s="92">
        <v>300</v>
      </c>
      <c r="CH544" s="92">
        <v>415</v>
      </c>
      <c r="CI544" s="68"/>
      <c r="CJ544" s="68"/>
      <c r="CK544" s="125">
        <v>950</v>
      </c>
    </row>
    <row r="545" spans="1:89" ht="15" thickBot="1" x14ac:dyDescent="0.35">
      <c r="A545" t="s">
        <v>3098</v>
      </c>
      <c r="C545" t="s">
        <v>3371</v>
      </c>
      <c r="E545" s="92">
        <v>2.91</v>
      </c>
      <c r="F545" s="115" t="s">
        <v>3097</v>
      </c>
      <c r="G545" t="s">
        <v>586</v>
      </c>
      <c r="H545" t="s">
        <v>660</v>
      </c>
      <c r="J545" s="73" t="s">
        <v>3488</v>
      </c>
      <c r="K545" s="73" t="s">
        <v>3488</v>
      </c>
      <c r="M545" t="b">
        <v>1</v>
      </c>
      <c r="N545" t="b">
        <v>1</v>
      </c>
      <c r="O545" t="b">
        <v>0</v>
      </c>
      <c r="P545" t="b">
        <v>0</v>
      </c>
      <c r="Q545" t="s">
        <v>3810</v>
      </c>
      <c r="R545" t="s">
        <v>3811</v>
      </c>
      <c r="AB545" s="122"/>
      <c r="BT545" s="90" t="s">
        <v>1305</v>
      </c>
      <c r="BU545" s="92">
        <v>1173</v>
      </c>
      <c r="BV545" s="92"/>
      <c r="BW545" s="68"/>
      <c r="BX545" s="92" t="s">
        <v>1533</v>
      </c>
      <c r="BY545" s="92" t="s">
        <v>56</v>
      </c>
      <c r="BZ545" s="92">
        <v>0.1</v>
      </c>
      <c r="CA545" s="92">
        <v>22.7</v>
      </c>
      <c r="CB545" s="92">
        <v>5</v>
      </c>
      <c r="CC545" s="92">
        <v>20</v>
      </c>
      <c r="CD545" s="92"/>
      <c r="CE545" s="92"/>
      <c r="CF545" s="92" t="s">
        <v>1534</v>
      </c>
      <c r="CG545" s="92">
        <v>300</v>
      </c>
      <c r="CH545" s="92">
        <v>415</v>
      </c>
      <c r="CI545" s="68"/>
      <c r="CJ545" s="68"/>
      <c r="CK545" s="125">
        <v>1100</v>
      </c>
    </row>
    <row r="546" spans="1:89" ht="15" thickBot="1" x14ac:dyDescent="0.35">
      <c r="A546" t="s">
        <v>3098</v>
      </c>
      <c r="C546" t="s">
        <v>3371</v>
      </c>
      <c r="E546" s="92">
        <v>2.91</v>
      </c>
      <c r="F546" s="115" t="s">
        <v>3097</v>
      </c>
      <c r="G546" t="s">
        <v>586</v>
      </c>
      <c r="H546" t="s">
        <v>660</v>
      </c>
      <c r="J546" s="73" t="s">
        <v>3488</v>
      </c>
      <c r="K546" s="73" t="s">
        <v>3488</v>
      </c>
      <c r="M546" t="b">
        <v>1</v>
      </c>
      <c r="N546" t="b">
        <v>1</v>
      </c>
      <c r="O546" t="b">
        <v>0</v>
      </c>
      <c r="P546" t="b">
        <v>0</v>
      </c>
      <c r="Q546" t="s">
        <v>3812</v>
      </c>
      <c r="R546" t="s">
        <v>3813</v>
      </c>
      <c r="AB546" s="122"/>
      <c r="BT546" s="90" t="s">
        <v>1305</v>
      </c>
      <c r="BU546" s="92">
        <v>1173</v>
      </c>
      <c r="BV546" s="92"/>
      <c r="BW546" s="68"/>
      <c r="BX546" s="92" t="s">
        <v>1533</v>
      </c>
      <c r="BY546" s="92" t="s">
        <v>56</v>
      </c>
      <c r="BZ546" s="92">
        <v>0.2</v>
      </c>
      <c r="CA546" s="92">
        <v>22.7</v>
      </c>
      <c r="CB546" s="92">
        <v>5</v>
      </c>
      <c r="CC546" s="92">
        <v>20</v>
      </c>
      <c r="CD546" s="92"/>
      <c r="CE546" s="92"/>
      <c r="CF546" s="92" t="s">
        <v>1534</v>
      </c>
      <c r="CG546" s="92">
        <v>300</v>
      </c>
      <c r="CH546" s="92">
        <v>415</v>
      </c>
      <c r="CI546" s="68"/>
      <c r="CJ546" s="68"/>
      <c r="CK546" s="125">
        <v>1350</v>
      </c>
    </row>
    <row r="547" spans="1:89" ht="15" thickBot="1" x14ac:dyDescent="0.35">
      <c r="A547" t="s">
        <v>3098</v>
      </c>
      <c r="C547" t="s">
        <v>3371</v>
      </c>
      <c r="E547" s="92">
        <v>2.91</v>
      </c>
      <c r="F547" s="115" t="s">
        <v>3097</v>
      </c>
      <c r="G547" t="s">
        <v>586</v>
      </c>
      <c r="H547" t="s">
        <v>660</v>
      </c>
      <c r="J547" s="73" t="s">
        <v>3488</v>
      </c>
      <c r="K547" s="73" t="s">
        <v>3488</v>
      </c>
      <c r="M547" t="b">
        <v>1</v>
      </c>
      <c r="N547" t="b">
        <v>1</v>
      </c>
      <c r="O547" t="b">
        <v>0</v>
      </c>
      <c r="P547" t="b">
        <v>0</v>
      </c>
      <c r="Q547" t="s">
        <v>3814</v>
      </c>
      <c r="R547" t="s">
        <v>3815</v>
      </c>
      <c r="AB547" s="122"/>
      <c r="BT547" s="90" t="s">
        <v>1305</v>
      </c>
      <c r="BU547" s="92">
        <v>1173</v>
      </c>
      <c r="BV547" s="92"/>
      <c r="BW547" s="68"/>
      <c r="BX547" s="92" t="s">
        <v>1533</v>
      </c>
      <c r="BY547" s="92" t="s">
        <v>56</v>
      </c>
      <c r="BZ547" s="92">
        <v>0.3</v>
      </c>
      <c r="CA547" s="92">
        <v>22.7</v>
      </c>
      <c r="CB547" s="92">
        <v>5</v>
      </c>
      <c r="CC547" s="92">
        <v>20</v>
      </c>
      <c r="CD547" s="92"/>
      <c r="CE547" s="92"/>
      <c r="CF547" s="92" t="s">
        <v>1534</v>
      </c>
      <c r="CG547" s="92">
        <v>300</v>
      </c>
      <c r="CH547" s="92">
        <v>415</v>
      </c>
      <c r="CI547" s="68"/>
      <c r="CJ547" s="68"/>
      <c r="CK547" s="125">
        <v>820</v>
      </c>
    </row>
    <row r="548" spans="1:89" ht="15" thickBot="1" x14ac:dyDescent="0.35">
      <c r="A548" s="115" t="s">
        <v>3490</v>
      </c>
      <c r="C548" t="s">
        <v>3382</v>
      </c>
      <c r="E548" s="92">
        <v>3.02</v>
      </c>
      <c r="F548" s="115" t="s">
        <v>3101</v>
      </c>
      <c r="G548" t="s">
        <v>3155</v>
      </c>
      <c r="H548" t="s">
        <v>3156</v>
      </c>
      <c r="J548" s="73" t="s">
        <v>3491</v>
      </c>
      <c r="K548" s="73" t="s">
        <v>3491</v>
      </c>
      <c r="M548" t="b">
        <v>1</v>
      </c>
      <c r="N548" t="b">
        <v>1</v>
      </c>
      <c r="O548" t="b">
        <v>0</v>
      </c>
      <c r="P548" t="b">
        <v>0</v>
      </c>
      <c r="Q548" t="s">
        <v>3816</v>
      </c>
      <c r="R548" t="s">
        <v>3817</v>
      </c>
      <c r="AB548" s="122"/>
      <c r="BT548" s="90" t="s">
        <v>1538</v>
      </c>
      <c r="BU548" s="92"/>
      <c r="BV548" s="92"/>
      <c r="BW548" s="68"/>
      <c r="BX548" s="92" t="s">
        <v>1268</v>
      </c>
      <c r="BY548" s="92" t="s">
        <v>863</v>
      </c>
      <c r="BZ548" s="92">
        <v>3</v>
      </c>
      <c r="CA548" s="92">
        <v>17.399999999999999</v>
      </c>
      <c r="CB548" s="92">
        <v>0.75</v>
      </c>
      <c r="CC548" s="92">
        <v>20</v>
      </c>
      <c r="CD548" s="92"/>
      <c r="CE548" s="92"/>
      <c r="CF548" s="92" t="s">
        <v>1534</v>
      </c>
      <c r="CG548" s="92">
        <v>500</v>
      </c>
      <c r="CH548" s="92">
        <v>420</v>
      </c>
      <c r="CI548" s="68"/>
      <c r="CJ548" s="68"/>
      <c r="CK548" s="125">
        <v>369.8</v>
      </c>
    </row>
    <row r="549" spans="1:89" ht="15" thickBot="1" x14ac:dyDescent="0.35">
      <c r="A549" s="115" t="s">
        <v>3103</v>
      </c>
      <c r="C549" t="s">
        <v>3371</v>
      </c>
      <c r="E549" s="92">
        <v>2.64</v>
      </c>
      <c r="F549" s="115" t="s">
        <v>3102</v>
      </c>
      <c r="G549" t="s">
        <v>586</v>
      </c>
      <c r="H549" t="s">
        <v>660</v>
      </c>
      <c r="J549" s="73" t="s">
        <v>3492</v>
      </c>
      <c r="K549" s="73" t="s">
        <v>3492</v>
      </c>
      <c r="M549" t="b">
        <v>1</v>
      </c>
      <c r="N549" t="b">
        <v>1</v>
      </c>
      <c r="O549" t="b">
        <v>0</v>
      </c>
      <c r="P549" t="b">
        <v>0</v>
      </c>
      <c r="Q549" t="s">
        <v>3818</v>
      </c>
      <c r="R549" t="s">
        <v>3819</v>
      </c>
      <c r="AB549" s="122"/>
      <c r="BT549" s="90" t="s">
        <v>1264</v>
      </c>
      <c r="BU549" s="92">
        <v>1173</v>
      </c>
      <c r="BV549" s="92">
        <v>10</v>
      </c>
      <c r="BW549" s="68"/>
      <c r="BX549" s="92" t="s">
        <v>1268</v>
      </c>
      <c r="BY549" s="92" t="s">
        <v>863</v>
      </c>
      <c r="BZ549" s="92">
        <v>0</v>
      </c>
      <c r="CA549" s="92">
        <v>1.22</v>
      </c>
      <c r="CB549" s="92">
        <v>0.5</v>
      </c>
      <c r="CC549" s="92">
        <v>20</v>
      </c>
      <c r="CD549" s="92"/>
      <c r="CE549" s="92"/>
      <c r="CF549" s="92" t="s">
        <v>1534</v>
      </c>
      <c r="CG549" s="92">
        <v>800</v>
      </c>
      <c r="CH549" s="92">
        <v>390</v>
      </c>
      <c r="CI549" s="68"/>
      <c r="CJ549" s="68"/>
      <c r="CK549" s="125">
        <v>0.06</v>
      </c>
    </row>
    <row r="550" spans="1:89" ht="15" thickBot="1" x14ac:dyDescent="0.35">
      <c r="A550" s="115" t="s">
        <v>3103</v>
      </c>
      <c r="C550" t="s">
        <v>3371</v>
      </c>
      <c r="E550" s="92">
        <v>2.64</v>
      </c>
      <c r="F550" s="115" t="s">
        <v>3102</v>
      </c>
      <c r="G550" t="s">
        <v>586</v>
      </c>
      <c r="H550" t="s">
        <v>660</v>
      </c>
      <c r="J550" s="73" t="s">
        <v>3492</v>
      </c>
      <c r="K550" s="73" t="s">
        <v>3492</v>
      </c>
      <c r="M550" t="b">
        <v>1</v>
      </c>
      <c r="N550" t="b">
        <v>1</v>
      </c>
      <c r="O550" t="b">
        <v>0</v>
      </c>
      <c r="P550" t="b">
        <v>0</v>
      </c>
      <c r="Q550" t="s">
        <v>3820</v>
      </c>
      <c r="R550" t="s">
        <v>3821</v>
      </c>
      <c r="AB550" s="122"/>
      <c r="BT550" s="90" t="s">
        <v>1264</v>
      </c>
      <c r="BU550" s="92">
        <v>1173</v>
      </c>
      <c r="BV550" s="92">
        <v>10</v>
      </c>
      <c r="BW550" s="68"/>
      <c r="BX550" s="92" t="s">
        <v>1268</v>
      </c>
      <c r="BY550" s="92" t="s">
        <v>863</v>
      </c>
      <c r="BZ550" s="92">
        <v>0.03</v>
      </c>
      <c r="CA550" s="92">
        <v>1.22</v>
      </c>
      <c r="CB550" s="92">
        <v>0.5</v>
      </c>
      <c r="CC550" s="92">
        <v>20</v>
      </c>
      <c r="CD550" s="92"/>
      <c r="CE550" s="92"/>
      <c r="CF550" s="92" t="s">
        <v>1534</v>
      </c>
      <c r="CG550" s="92">
        <v>800</v>
      </c>
      <c r="CH550" s="92">
        <v>390</v>
      </c>
      <c r="CI550" s="68"/>
      <c r="CJ550" s="68"/>
      <c r="CK550" s="125">
        <v>0.57999999999999996</v>
      </c>
    </row>
    <row r="551" spans="1:89" ht="15" thickBot="1" x14ac:dyDescent="0.35">
      <c r="A551" s="115" t="s">
        <v>3103</v>
      </c>
      <c r="C551" t="s">
        <v>3371</v>
      </c>
      <c r="E551" s="92">
        <v>2.64</v>
      </c>
      <c r="F551" s="115" t="s">
        <v>3102</v>
      </c>
      <c r="G551" t="s">
        <v>586</v>
      </c>
      <c r="H551" t="s">
        <v>660</v>
      </c>
      <c r="J551" s="73" t="s">
        <v>3492</v>
      </c>
      <c r="K551" s="73" t="s">
        <v>3492</v>
      </c>
      <c r="M551" t="b">
        <v>1</v>
      </c>
      <c r="N551" t="b">
        <v>1</v>
      </c>
      <c r="O551" t="b">
        <v>0</v>
      </c>
      <c r="P551" t="b">
        <v>0</v>
      </c>
      <c r="Q551" t="s">
        <v>3822</v>
      </c>
      <c r="R551" t="s">
        <v>3823</v>
      </c>
      <c r="AB551" s="122"/>
      <c r="BT551" s="90" t="s">
        <v>1264</v>
      </c>
      <c r="BU551" s="92">
        <v>1173</v>
      </c>
      <c r="BV551" s="92">
        <v>10</v>
      </c>
      <c r="BW551" s="68"/>
      <c r="BX551" s="92" t="s">
        <v>1268</v>
      </c>
      <c r="BY551" s="92" t="s">
        <v>863</v>
      </c>
      <c r="BZ551" s="92">
        <v>0.06</v>
      </c>
      <c r="CA551" s="92">
        <v>1.22</v>
      </c>
      <c r="CB551" s="92">
        <v>0.5</v>
      </c>
      <c r="CC551" s="92">
        <v>20</v>
      </c>
      <c r="CD551" s="92"/>
      <c r="CE551" s="92"/>
      <c r="CF551" s="92" t="s">
        <v>1534</v>
      </c>
      <c r="CG551" s="92">
        <v>800</v>
      </c>
      <c r="CH551" s="92">
        <v>390</v>
      </c>
      <c r="CI551" s="68"/>
      <c r="CJ551" s="68"/>
      <c r="CK551" s="125">
        <v>0.83</v>
      </c>
    </row>
    <row r="552" spans="1:89" ht="15" thickBot="1" x14ac:dyDescent="0.35">
      <c r="A552" s="115" t="s">
        <v>3103</v>
      </c>
      <c r="C552" t="s">
        <v>3371</v>
      </c>
      <c r="E552" s="92">
        <v>2.64</v>
      </c>
      <c r="F552" s="115" t="s">
        <v>3102</v>
      </c>
      <c r="G552" t="s">
        <v>586</v>
      </c>
      <c r="H552" t="s">
        <v>660</v>
      </c>
      <c r="J552" s="73" t="s">
        <v>3492</v>
      </c>
      <c r="K552" s="73" t="s">
        <v>3492</v>
      </c>
      <c r="M552" t="b">
        <v>1</v>
      </c>
      <c r="N552" t="b">
        <v>1</v>
      </c>
      <c r="O552" t="b">
        <v>0</v>
      </c>
      <c r="P552" t="b">
        <v>0</v>
      </c>
      <c r="Q552" t="s">
        <v>3824</v>
      </c>
      <c r="R552" t="s">
        <v>3825</v>
      </c>
      <c r="AB552" s="122"/>
      <c r="BT552" s="90" t="s">
        <v>1264</v>
      </c>
      <c r="BU552" s="92">
        <v>1173</v>
      </c>
      <c r="BV552" s="92">
        <v>10</v>
      </c>
      <c r="BW552" s="68"/>
      <c r="BX552" s="92" t="s">
        <v>1268</v>
      </c>
      <c r="BY552" s="92" t="s">
        <v>863</v>
      </c>
      <c r="BZ552" s="92">
        <v>0.1</v>
      </c>
      <c r="CA552" s="92">
        <v>1.22</v>
      </c>
      <c r="CB552" s="92">
        <v>0.5</v>
      </c>
      <c r="CC552" s="92">
        <v>20</v>
      </c>
      <c r="CD552" s="92"/>
      <c r="CE552" s="92"/>
      <c r="CF552" s="92" t="s">
        <v>1534</v>
      </c>
      <c r="CG552" s="92">
        <v>800</v>
      </c>
      <c r="CH552" s="92">
        <v>390</v>
      </c>
      <c r="CI552" s="68"/>
      <c r="CJ552" s="68"/>
      <c r="CK552" s="125">
        <v>0.25</v>
      </c>
    </row>
    <row r="553" spans="1:89" ht="15" thickBot="1" x14ac:dyDescent="0.35">
      <c r="A553" s="115" t="s">
        <v>3103</v>
      </c>
      <c r="C553" t="s">
        <v>3371</v>
      </c>
      <c r="E553" s="92">
        <v>2.64</v>
      </c>
      <c r="F553" s="115" t="s">
        <v>3102</v>
      </c>
      <c r="G553" t="s">
        <v>586</v>
      </c>
      <c r="H553" t="s">
        <v>660</v>
      </c>
      <c r="J553" s="73" t="s">
        <v>3492</v>
      </c>
      <c r="K553" s="73" t="s">
        <v>3492</v>
      </c>
      <c r="M553" t="b">
        <v>1</v>
      </c>
      <c r="N553" t="b">
        <v>1</v>
      </c>
      <c r="O553" t="b">
        <v>0</v>
      </c>
      <c r="P553" t="b">
        <v>0</v>
      </c>
      <c r="Q553" t="s">
        <v>3826</v>
      </c>
      <c r="R553" t="s">
        <v>3827</v>
      </c>
      <c r="AB553" s="122"/>
      <c r="BT553" s="90" t="s">
        <v>1264</v>
      </c>
      <c r="BU553" s="92">
        <v>1173</v>
      </c>
      <c r="BV553" s="92">
        <v>10</v>
      </c>
      <c r="BW553" s="68"/>
      <c r="BX553" s="92" t="s">
        <v>1268</v>
      </c>
      <c r="BY553" s="92" t="s">
        <v>863</v>
      </c>
      <c r="BZ553" s="92">
        <v>0.13</v>
      </c>
      <c r="CA553" s="92">
        <v>1.22</v>
      </c>
      <c r="CB553" s="92">
        <v>0.5</v>
      </c>
      <c r="CC553" s="92">
        <v>20</v>
      </c>
      <c r="CD553" s="92"/>
      <c r="CE553" s="92"/>
      <c r="CF553" s="92" t="s">
        <v>1534</v>
      </c>
      <c r="CG553" s="92">
        <v>800</v>
      </c>
      <c r="CH553" s="92">
        <v>390</v>
      </c>
      <c r="CI553" s="68"/>
      <c r="CJ553" s="68"/>
      <c r="CK553" s="125">
        <v>0.17</v>
      </c>
    </row>
    <row r="554" spans="1:89" ht="15" thickBot="1" x14ac:dyDescent="0.35">
      <c r="A554" s="115" t="s">
        <v>28</v>
      </c>
      <c r="C554" t="s">
        <v>805</v>
      </c>
      <c r="E554" s="92">
        <v>2.64</v>
      </c>
      <c r="F554" s="115" t="s">
        <v>3102</v>
      </c>
      <c r="G554" t="s">
        <v>586</v>
      </c>
      <c r="H554" t="s">
        <v>660</v>
      </c>
      <c r="M554" t="b">
        <v>1</v>
      </c>
      <c r="N554" t="b">
        <v>1</v>
      </c>
      <c r="O554" t="b">
        <v>0</v>
      </c>
      <c r="P554" t="b">
        <v>0</v>
      </c>
      <c r="Q554" t="s">
        <v>586</v>
      </c>
      <c r="R554">
        <v>1521385</v>
      </c>
      <c r="AB554" s="122"/>
      <c r="BT554" s="90" t="s">
        <v>1264</v>
      </c>
      <c r="BU554" s="92">
        <v>1173</v>
      </c>
      <c r="BV554" s="92">
        <v>10</v>
      </c>
      <c r="BW554" s="68"/>
      <c r="BX554" s="92" t="s">
        <v>1268</v>
      </c>
      <c r="BY554" s="92" t="s">
        <v>863</v>
      </c>
      <c r="BZ554" s="92">
        <v>0.06</v>
      </c>
      <c r="CA554" s="92">
        <v>1.22</v>
      </c>
      <c r="CB554" s="92">
        <v>0.5</v>
      </c>
      <c r="CC554" s="92">
        <v>20</v>
      </c>
      <c r="CD554" s="92"/>
      <c r="CE554" s="92"/>
      <c r="CF554" s="92" t="s">
        <v>1534</v>
      </c>
      <c r="CG554" s="92">
        <v>800</v>
      </c>
      <c r="CH554" s="92">
        <v>390</v>
      </c>
      <c r="CI554" s="68"/>
      <c r="CJ554" s="68"/>
      <c r="CK554" s="125">
        <v>0.05</v>
      </c>
    </row>
    <row r="555" spans="1:89" ht="15" thickBot="1" x14ac:dyDescent="0.35">
      <c r="A555" s="115" t="s">
        <v>3104</v>
      </c>
      <c r="C555" t="s">
        <v>3371</v>
      </c>
      <c r="E555" s="92">
        <v>2.64</v>
      </c>
      <c r="F555" s="115" t="s">
        <v>3102</v>
      </c>
      <c r="G555" t="s">
        <v>586</v>
      </c>
      <c r="H555" t="s">
        <v>660</v>
      </c>
      <c r="J555" s="73" t="s">
        <v>3493</v>
      </c>
      <c r="K555" s="73" t="s">
        <v>3493</v>
      </c>
      <c r="M555" t="b">
        <v>1</v>
      </c>
      <c r="N555" t="b">
        <v>1</v>
      </c>
      <c r="O555" t="b">
        <v>0</v>
      </c>
      <c r="P555" t="b">
        <v>0</v>
      </c>
      <c r="Q555" t="s">
        <v>3828</v>
      </c>
      <c r="R555" t="s">
        <v>3829</v>
      </c>
      <c r="AB555" s="122"/>
      <c r="BT555" s="90" t="s">
        <v>1264</v>
      </c>
      <c r="BU555" s="92">
        <v>1173</v>
      </c>
      <c r="BV555" s="92">
        <v>10</v>
      </c>
      <c r="BW555" s="68"/>
      <c r="BX555" s="92" t="s">
        <v>1268</v>
      </c>
      <c r="BY555" s="92" t="s">
        <v>863</v>
      </c>
      <c r="BZ555" s="92">
        <v>0.06</v>
      </c>
      <c r="CA555" s="92">
        <v>1.22</v>
      </c>
      <c r="CB555" s="92">
        <v>0.5</v>
      </c>
      <c r="CC555" s="92">
        <v>20</v>
      </c>
      <c r="CD555" s="92"/>
      <c r="CE555" s="92"/>
      <c r="CF555" s="92" t="s">
        <v>1534</v>
      </c>
      <c r="CG555" s="92">
        <v>800</v>
      </c>
      <c r="CH555" s="92">
        <v>390</v>
      </c>
      <c r="CI555" s="68"/>
      <c r="CJ555" s="68"/>
      <c r="CK555" s="125">
        <v>0.1</v>
      </c>
    </row>
    <row r="556" spans="1:89" ht="15" thickBot="1" x14ac:dyDescent="0.35">
      <c r="A556" s="115" t="s">
        <v>3105</v>
      </c>
      <c r="C556" t="s">
        <v>3371</v>
      </c>
      <c r="E556" s="92">
        <v>2.64</v>
      </c>
      <c r="F556" s="115" t="s">
        <v>3102</v>
      </c>
      <c r="G556" t="s">
        <v>586</v>
      </c>
      <c r="H556" t="s">
        <v>660</v>
      </c>
      <c r="J556" s="73" t="s">
        <v>3494</v>
      </c>
      <c r="K556" s="73" t="s">
        <v>3494</v>
      </c>
      <c r="M556" t="b">
        <v>0</v>
      </c>
      <c r="N556" t="b">
        <v>0</v>
      </c>
      <c r="O556" t="b">
        <v>0</v>
      </c>
      <c r="P556" t="b">
        <v>1</v>
      </c>
      <c r="Q556" t="s">
        <v>3830</v>
      </c>
      <c r="R556" t="s">
        <v>3831</v>
      </c>
      <c r="AB556" s="122"/>
      <c r="BT556" s="90" t="s">
        <v>1264</v>
      </c>
      <c r="BU556" s="92">
        <v>1173</v>
      </c>
      <c r="BV556" s="92">
        <v>10</v>
      </c>
      <c r="BW556" s="68"/>
      <c r="BX556" s="92" t="s">
        <v>1268</v>
      </c>
      <c r="BY556" s="92" t="s">
        <v>863</v>
      </c>
      <c r="BZ556" s="92">
        <v>0.06</v>
      </c>
      <c r="CA556" s="92">
        <v>1.22</v>
      </c>
      <c r="CB556" s="92">
        <v>0.5</v>
      </c>
      <c r="CC556" s="92">
        <v>20</v>
      </c>
      <c r="CD556" s="92"/>
      <c r="CE556" s="92"/>
      <c r="CF556" s="92" t="s">
        <v>1534</v>
      </c>
      <c r="CG556" s="92">
        <v>800</v>
      </c>
      <c r="CH556" s="92">
        <v>390</v>
      </c>
      <c r="CI556" s="68"/>
      <c r="CJ556" s="68"/>
      <c r="CK556" s="125">
        <v>0.625</v>
      </c>
    </row>
    <row r="557" spans="1:89" ht="15" thickBot="1" x14ac:dyDescent="0.35">
      <c r="A557" s="115" t="s">
        <v>2902</v>
      </c>
      <c r="C557" t="s">
        <v>3297</v>
      </c>
      <c r="E557" s="92">
        <v>3.29</v>
      </c>
      <c r="F557" s="115" t="s">
        <v>3106</v>
      </c>
      <c r="G557" t="s">
        <v>3185</v>
      </c>
      <c r="H557" t="s">
        <v>3186</v>
      </c>
      <c r="M557" t="b">
        <v>1</v>
      </c>
      <c r="N557" t="b">
        <v>1</v>
      </c>
      <c r="O557" t="b">
        <v>0</v>
      </c>
      <c r="P557" t="b">
        <v>0</v>
      </c>
      <c r="Q557" t="s">
        <v>3185</v>
      </c>
      <c r="R557">
        <v>1011064</v>
      </c>
      <c r="AB557" s="122"/>
      <c r="BT557" s="90" t="s">
        <v>1538</v>
      </c>
      <c r="BU557" s="92">
        <v>873</v>
      </c>
      <c r="BV557" s="92">
        <v>2</v>
      </c>
      <c r="BW557" s="68"/>
      <c r="BX557" s="92" t="s">
        <v>1268</v>
      </c>
      <c r="BY557" s="92" t="s">
        <v>863</v>
      </c>
      <c r="BZ557" s="92">
        <v>0.5</v>
      </c>
      <c r="CA557" s="92">
        <v>28.6</v>
      </c>
      <c r="CB557" s="92">
        <v>1.1100000000000001</v>
      </c>
      <c r="CC557" s="92">
        <v>18.5</v>
      </c>
      <c r="CD557" s="92"/>
      <c r="CE557" s="92"/>
      <c r="CF557" s="92" t="s">
        <v>1534</v>
      </c>
      <c r="CG557" s="92">
        <v>300</v>
      </c>
      <c r="CH557" s="92">
        <v>300</v>
      </c>
      <c r="CI557" s="68"/>
      <c r="CJ557" s="68"/>
      <c r="CK557" s="125">
        <v>520.33000000000004</v>
      </c>
    </row>
    <row r="558" spans="1:89" ht="15" thickBot="1" x14ac:dyDescent="0.35">
      <c r="A558" s="115" t="s">
        <v>1376</v>
      </c>
      <c r="C558" t="s">
        <v>3249</v>
      </c>
      <c r="E558" s="92">
        <v>3.17</v>
      </c>
      <c r="F558" s="115" t="s">
        <v>3107</v>
      </c>
      <c r="G558" t="s">
        <v>3155</v>
      </c>
      <c r="H558" t="s">
        <v>3156</v>
      </c>
      <c r="M558" t="b">
        <v>1</v>
      </c>
      <c r="N558" t="b">
        <v>1</v>
      </c>
      <c r="O558" t="b">
        <v>0</v>
      </c>
      <c r="P558" t="b">
        <v>0</v>
      </c>
      <c r="Q558" t="s">
        <v>3155</v>
      </c>
      <c r="R558">
        <v>1512124</v>
      </c>
      <c r="AB558" s="122"/>
      <c r="BT558" s="90" t="s">
        <v>1407</v>
      </c>
      <c r="BU558" s="92">
        <v>823</v>
      </c>
      <c r="BV558" s="92">
        <v>1</v>
      </c>
      <c r="BW558" s="68"/>
      <c r="BX558" s="92"/>
      <c r="BY558" s="92"/>
      <c r="BZ558" s="92"/>
      <c r="CA558" s="92">
        <v>98.26</v>
      </c>
      <c r="CB558" s="92">
        <v>0.5</v>
      </c>
      <c r="CC558" s="92">
        <v>18.5</v>
      </c>
      <c r="CD558" s="92"/>
      <c r="CE558" s="92"/>
      <c r="CF558" s="92" t="s">
        <v>1552</v>
      </c>
      <c r="CG558" s="92">
        <v>400</v>
      </c>
      <c r="CH558" s="92">
        <v>365</v>
      </c>
      <c r="CI558" s="68"/>
      <c r="CJ558" s="68"/>
      <c r="CK558" s="125">
        <v>1100</v>
      </c>
    </row>
    <row r="559" spans="1:89" ht="15" thickBot="1" x14ac:dyDescent="0.35">
      <c r="A559" s="115" t="s">
        <v>2902</v>
      </c>
      <c r="C559" t="s">
        <v>3297</v>
      </c>
      <c r="E559" s="92">
        <v>2.98</v>
      </c>
      <c r="F559" s="115" t="s">
        <v>3108</v>
      </c>
      <c r="G559" t="s">
        <v>3185</v>
      </c>
      <c r="H559" t="s">
        <v>3186</v>
      </c>
      <c r="M559" t="b">
        <v>1</v>
      </c>
      <c r="N559" t="b">
        <v>1</v>
      </c>
      <c r="O559" t="b">
        <v>0</v>
      </c>
      <c r="P559" t="b">
        <v>0</v>
      </c>
      <c r="Q559" t="s">
        <v>3185</v>
      </c>
      <c r="R559">
        <v>1011064</v>
      </c>
      <c r="AB559" s="122"/>
      <c r="BT559" s="90" t="s">
        <v>1264</v>
      </c>
      <c r="BU559" s="92">
        <v>673</v>
      </c>
      <c r="BV559" s="92">
        <v>12</v>
      </c>
      <c r="BW559" s="68"/>
      <c r="BX559" s="92" t="s">
        <v>1533</v>
      </c>
      <c r="BY559" s="92" t="s">
        <v>863</v>
      </c>
      <c r="BZ559" s="92">
        <v>0.5</v>
      </c>
      <c r="CA559" s="92"/>
      <c r="CB559" s="92">
        <v>1</v>
      </c>
      <c r="CC559" s="92">
        <v>20</v>
      </c>
      <c r="CD559" s="92"/>
      <c r="CE559" s="92"/>
      <c r="CF559" s="92" t="s">
        <v>1534</v>
      </c>
      <c r="CG559" s="92">
        <v>400</v>
      </c>
      <c r="CH559" s="92">
        <v>300</v>
      </c>
      <c r="CI559" s="68"/>
      <c r="CJ559" s="68"/>
      <c r="CK559" s="125">
        <v>103.3</v>
      </c>
    </row>
    <row r="560" spans="1:89" ht="15" thickBot="1" x14ac:dyDescent="0.35">
      <c r="A560" s="115" t="s">
        <v>2902</v>
      </c>
      <c r="C560" t="s">
        <v>3297</v>
      </c>
      <c r="E560" s="92">
        <v>2.99</v>
      </c>
      <c r="F560" s="115" t="s">
        <v>3108</v>
      </c>
      <c r="G560" t="s">
        <v>3185</v>
      </c>
      <c r="H560" t="s">
        <v>3186</v>
      </c>
      <c r="M560" t="b">
        <v>1</v>
      </c>
      <c r="N560" t="b">
        <v>1</v>
      </c>
      <c r="O560" t="b">
        <v>0</v>
      </c>
      <c r="P560" t="b">
        <v>0</v>
      </c>
      <c r="Q560" t="s">
        <v>3185</v>
      </c>
      <c r="R560">
        <v>1011064</v>
      </c>
      <c r="AB560" s="122"/>
      <c r="BT560" s="90" t="s">
        <v>1305</v>
      </c>
      <c r="BU560" s="92">
        <v>773</v>
      </c>
      <c r="BV560" s="92">
        <v>12</v>
      </c>
      <c r="BW560" s="68"/>
      <c r="BX560" s="92" t="s">
        <v>1533</v>
      </c>
      <c r="BY560" s="92" t="s">
        <v>863</v>
      </c>
      <c r="BZ560" s="92">
        <v>1.5</v>
      </c>
      <c r="CA560" s="92"/>
      <c r="CB560" s="92">
        <v>1</v>
      </c>
      <c r="CC560" s="92">
        <v>20</v>
      </c>
      <c r="CD560" s="92"/>
      <c r="CE560" s="92"/>
      <c r="CF560" s="92" t="s">
        <v>1534</v>
      </c>
      <c r="CG560" s="92">
        <v>400</v>
      </c>
      <c r="CH560" s="92">
        <v>300</v>
      </c>
      <c r="CI560" s="68"/>
      <c r="CJ560" s="68"/>
      <c r="CK560" s="125">
        <v>330.3</v>
      </c>
    </row>
    <row r="561" spans="1:89" ht="15" thickBot="1" x14ac:dyDescent="0.35">
      <c r="A561" s="115" t="s">
        <v>2902</v>
      </c>
      <c r="C561" t="s">
        <v>3297</v>
      </c>
      <c r="E561" s="92">
        <v>3.06</v>
      </c>
      <c r="F561" s="115" t="s">
        <v>3108</v>
      </c>
      <c r="G561" t="s">
        <v>3185</v>
      </c>
      <c r="H561" t="s">
        <v>3186</v>
      </c>
      <c r="M561" t="b">
        <v>1</v>
      </c>
      <c r="N561" t="b">
        <v>1</v>
      </c>
      <c r="O561" t="b">
        <v>0</v>
      </c>
      <c r="P561" t="b">
        <v>0</v>
      </c>
      <c r="Q561" t="s">
        <v>3185</v>
      </c>
      <c r="R561">
        <v>1011064</v>
      </c>
      <c r="AB561" s="122"/>
      <c r="BT561" s="90" t="s">
        <v>1336</v>
      </c>
      <c r="BU561" s="92">
        <v>873</v>
      </c>
      <c r="BV561" s="92">
        <v>12</v>
      </c>
      <c r="BW561" s="68"/>
      <c r="BX561" s="92" t="s">
        <v>1533</v>
      </c>
      <c r="BY561" s="92" t="s">
        <v>863</v>
      </c>
      <c r="BZ561" s="92">
        <v>2.5</v>
      </c>
      <c r="CA561" s="92"/>
      <c r="CB561" s="92">
        <v>1</v>
      </c>
      <c r="CC561" s="92">
        <v>20</v>
      </c>
      <c r="CD561" s="92"/>
      <c r="CE561" s="92"/>
      <c r="CF561" s="92" t="s">
        <v>1534</v>
      </c>
      <c r="CG561" s="92">
        <v>400</v>
      </c>
      <c r="CH561" s="92">
        <v>300</v>
      </c>
      <c r="CI561" s="68"/>
      <c r="CJ561" s="68"/>
      <c r="CK561" s="125">
        <v>261.10000000000002</v>
      </c>
    </row>
    <row r="562" spans="1:89" ht="15" thickBot="1" x14ac:dyDescent="0.35">
      <c r="A562" s="115" t="s">
        <v>2902</v>
      </c>
      <c r="C562" t="s">
        <v>3297</v>
      </c>
      <c r="E562" s="92">
        <v>3.09</v>
      </c>
      <c r="F562" s="115" t="s">
        <v>3108</v>
      </c>
      <c r="G562" t="s">
        <v>3185</v>
      </c>
      <c r="H562" t="s">
        <v>3186</v>
      </c>
      <c r="M562" t="b">
        <v>1</v>
      </c>
      <c r="N562" t="b">
        <v>1</v>
      </c>
      <c r="O562" t="b">
        <v>0</v>
      </c>
      <c r="P562" t="b">
        <v>0</v>
      </c>
      <c r="Q562" t="s">
        <v>3185</v>
      </c>
      <c r="R562">
        <v>1011064</v>
      </c>
      <c r="AB562" s="122"/>
      <c r="BT562" s="90" t="s">
        <v>1407</v>
      </c>
      <c r="BU562" s="92"/>
      <c r="BV562" s="92"/>
      <c r="BW562" s="68"/>
      <c r="BX562" s="92" t="s">
        <v>1533</v>
      </c>
      <c r="BY562" s="92" t="s">
        <v>863</v>
      </c>
      <c r="BZ562" s="92">
        <v>3.5</v>
      </c>
      <c r="CA562" s="92"/>
      <c r="CB562" s="92">
        <v>1</v>
      </c>
      <c r="CC562" s="92">
        <v>20</v>
      </c>
      <c r="CD562" s="92"/>
      <c r="CE562" s="92"/>
      <c r="CF562" s="92" t="s">
        <v>1534</v>
      </c>
      <c r="CG562" s="92">
        <v>400</v>
      </c>
      <c r="CH562" s="92">
        <v>300</v>
      </c>
      <c r="CI562" s="68"/>
      <c r="CJ562" s="68"/>
      <c r="CK562" s="125">
        <v>7.5</v>
      </c>
    </row>
    <row r="563" spans="1:89" ht="15" thickBot="1" x14ac:dyDescent="0.35">
      <c r="A563" s="115" t="s">
        <v>1273</v>
      </c>
      <c r="C563" t="s">
        <v>3260</v>
      </c>
      <c r="E563" s="92">
        <v>3.21</v>
      </c>
      <c r="F563" s="115" t="s">
        <v>3109</v>
      </c>
      <c r="G563" t="s">
        <v>3163</v>
      </c>
      <c r="H563" t="s">
        <v>3164</v>
      </c>
      <c r="M563" t="b">
        <v>1</v>
      </c>
      <c r="N563" t="b">
        <v>1</v>
      </c>
      <c r="O563" t="b">
        <v>0</v>
      </c>
      <c r="P563" t="b">
        <v>0</v>
      </c>
      <c r="Q563" t="s">
        <v>3163</v>
      </c>
      <c r="R563">
        <v>1531431</v>
      </c>
      <c r="AB563" s="92"/>
      <c r="BT563" s="90" t="s">
        <v>1407</v>
      </c>
      <c r="BU563" s="92">
        <v>973</v>
      </c>
      <c r="BV563" s="92"/>
      <c r="BW563" s="68"/>
      <c r="BX563" s="92"/>
      <c r="BY563" s="92" t="s">
        <v>863</v>
      </c>
      <c r="BZ563" s="92">
        <v>1</v>
      </c>
      <c r="CA563" s="92">
        <v>1.5</v>
      </c>
      <c r="CB563" s="92">
        <v>2</v>
      </c>
      <c r="CC563" s="92">
        <v>10</v>
      </c>
      <c r="CD563" s="92"/>
      <c r="CE563" s="92"/>
      <c r="CF563" s="92" t="s">
        <v>1534</v>
      </c>
      <c r="CG563" s="92">
        <v>450</v>
      </c>
      <c r="CH563" s="92"/>
      <c r="CI563" s="68"/>
      <c r="CJ563" s="68"/>
      <c r="CK563" s="125">
        <v>29</v>
      </c>
    </row>
    <row r="564" spans="1:89" ht="15" thickBot="1" x14ac:dyDescent="0.35">
      <c r="A564" s="115" t="s">
        <v>3110</v>
      </c>
      <c r="C564" t="s">
        <v>3383</v>
      </c>
      <c r="E564" s="92">
        <v>3.2</v>
      </c>
      <c r="F564" s="115" t="s">
        <v>3109</v>
      </c>
      <c r="G564" t="s">
        <v>3154</v>
      </c>
      <c r="H564">
        <v>-1</v>
      </c>
      <c r="M564" t="b">
        <v>0</v>
      </c>
      <c r="N564" t="b">
        <v>0</v>
      </c>
      <c r="O564" t="b">
        <v>0</v>
      </c>
      <c r="P564" t="b">
        <v>1</v>
      </c>
      <c r="Q564" t="s">
        <v>3154</v>
      </c>
      <c r="R564">
        <v>-1</v>
      </c>
      <c r="AB564" s="92"/>
      <c r="BT564" s="90" t="s">
        <v>1407</v>
      </c>
      <c r="BU564" s="92">
        <v>973</v>
      </c>
      <c r="BV564" s="92"/>
      <c r="BW564" s="68"/>
      <c r="BX564" s="92"/>
      <c r="BY564" s="92" t="s">
        <v>863</v>
      </c>
      <c r="BZ564" s="92">
        <v>1</v>
      </c>
      <c r="CA564" s="92">
        <v>1.83</v>
      </c>
      <c r="CB564" s="92">
        <v>2</v>
      </c>
      <c r="CC564" s="92">
        <v>10</v>
      </c>
      <c r="CD564" s="92"/>
      <c r="CE564" s="92"/>
      <c r="CF564" s="92" t="s">
        <v>1534</v>
      </c>
      <c r="CG564" s="92">
        <v>450</v>
      </c>
      <c r="CH564" s="92"/>
      <c r="CI564" s="68"/>
      <c r="CJ564" s="68"/>
      <c r="CK564" s="125">
        <v>175.41</v>
      </c>
    </row>
    <row r="565" spans="1:89" ht="15" thickBot="1" x14ac:dyDescent="0.35">
      <c r="A565" s="115" t="s">
        <v>3111</v>
      </c>
      <c r="C565" t="s">
        <v>3383</v>
      </c>
      <c r="E565" s="92">
        <v>3.16</v>
      </c>
      <c r="F565" s="115" t="s">
        <v>3109</v>
      </c>
      <c r="G565" t="s">
        <v>3154</v>
      </c>
      <c r="H565">
        <v>-1</v>
      </c>
      <c r="M565" t="b">
        <v>0</v>
      </c>
      <c r="N565" t="b">
        <v>0</v>
      </c>
      <c r="O565" t="b">
        <v>0</v>
      </c>
      <c r="P565" t="b">
        <v>1</v>
      </c>
      <c r="Q565" t="s">
        <v>3154</v>
      </c>
      <c r="R565">
        <v>-1</v>
      </c>
      <c r="AB565" s="92"/>
      <c r="BT565" s="90" t="s">
        <v>1407</v>
      </c>
      <c r="BU565" s="92">
        <v>973</v>
      </c>
      <c r="BV565" s="92"/>
      <c r="BW565" s="68"/>
      <c r="BX565" s="92"/>
      <c r="BY565" s="92" t="s">
        <v>863</v>
      </c>
      <c r="BZ565" s="92">
        <v>1</v>
      </c>
      <c r="CA565" s="92">
        <v>2.96</v>
      </c>
      <c r="CB565" s="92">
        <v>2</v>
      </c>
      <c r="CC565" s="92">
        <v>10</v>
      </c>
      <c r="CD565" s="92"/>
      <c r="CE565" s="92"/>
      <c r="CF565" s="92" t="s">
        <v>1534</v>
      </c>
      <c r="CG565" s="92">
        <v>450</v>
      </c>
      <c r="CH565" s="92"/>
      <c r="CI565" s="68"/>
      <c r="CJ565" s="68"/>
      <c r="CK565" s="125">
        <v>886.87</v>
      </c>
    </row>
    <row r="566" spans="1:89" ht="15" thickBot="1" x14ac:dyDescent="0.35">
      <c r="A566" s="115" t="s">
        <v>3112</v>
      </c>
      <c r="C566" t="s">
        <v>3383</v>
      </c>
      <c r="E566" s="92">
        <v>3.08</v>
      </c>
      <c r="F566" s="115" t="s">
        <v>3109</v>
      </c>
      <c r="G566" t="s">
        <v>3154</v>
      </c>
      <c r="H566">
        <v>-1</v>
      </c>
      <c r="M566" t="b">
        <v>0</v>
      </c>
      <c r="N566" t="b">
        <v>0</v>
      </c>
      <c r="O566" t="b">
        <v>0</v>
      </c>
      <c r="P566" t="b">
        <v>1</v>
      </c>
      <c r="Q566" t="s">
        <v>3154</v>
      </c>
      <c r="R566">
        <v>-1</v>
      </c>
      <c r="AB566" s="92"/>
      <c r="BT566" s="90" t="s">
        <v>1407</v>
      </c>
      <c r="BU566" s="92">
        <v>973</v>
      </c>
      <c r="BV566" s="92"/>
      <c r="BW566" s="68"/>
      <c r="BX566" s="92"/>
      <c r="BY566" s="92" t="s">
        <v>863</v>
      </c>
      <c r="BZ566" s="92">
        <v>1</v>
      </c>
      <c r="CA566" s="92">
        <v>8.5500000000000007</v>
      </c>
      <c r="CB566" s="92">
        <v>2</v>
      </c>
      <c r="CC566" s="92">
        <v>10</v>
      </c>
      <c r="CD566" s="92"/>
      <c r="CE566" s="92"/>
      <c r="CF566" s="92" t="s">
        <v>1534</v>
      </c>
      <c r="CG566" s="92">
        <v>450</v>
      </c>
      <c r="CH566" s="92"/>
      <c r="CI566" s="68"/>
      <c r="CJ566" s="68"/>
      <c r="CK566" s="125">
        <v>517.95000000000005</v>
      </c>
    </row>
    <row r="567" spans="1:89" ht="15" thickBot="1" x14ac:dyDescent="0.35">
      <c r="A567" s="115" t="s">
        <v>3113</v>
      </c>
      <c r="C567" t="s">
        <v>3383</v>
      </c>
      <c r="E567" s="92">
        <v>3.01</v>
      </c>
      <c r="F567" s="115" t="s">
        <v>3109</v>
      </c>
      <c r="G567" t="s">
        <v>3154</v>
      </c>
      <c r="H567">
        <v>-1</v>
      </c>
      <c r="M567" t="b">
        <v>0</v>
      </c>
      <c r="N567" t="b">
        <v>0</v>
      </c>
      <c r="O567" t="b">
        <v>0</v>
      </c>
      <c r="P567" t="b">
        <v>1</v>
      </c>
      <c r="Q567" t="s">
        <v>3154</v>
      </c>
      <c r="R567">
        <v>-1</v>
      </c>
      <c r="AB567" s="92"/>
      <c r="BT567" s="90" t="s">
        <v>1407</v>
      </c>
      <c r="BU567" s="92">
        <v>973</v>
      </c>
      <c r="BV567" s="92"/>
      <c r="BW567" s="68"/>
      <c r="BX567" s="92"/>
      <c r="BY567" s="92" t="s">
        <v>863</v>
      </c>
      <c r="BZ567" s="92">
        <v>1</v>
      </c>
      <c r="CA567" s="92">
        <v>14.55</v>
      </c>
      <c r="CB567" s="92">
        <v>2</v>
      </c>
      <c r="CC567" s="92">
        <v>10</v>
      </c>
      <c r="CD567" s="92"/>
      <c r="CE567" s="92"/>
      <c r="CF567" s="92" t="s">
        <v>1534</v>
      </c>
      <c r="CG567" s="92">
        <v>450</v>
      </c>
      <c r="CH567" s="92"/>
      <c r="CI567" s="68"/>
      <c r="CJ567" s="68"/>
      <c r="CK567" s="125">
        <v>520.79999999999995</v>
      </c>
    </row>
    <row r="568" spans="1:89" ht="15" thickBot="1" x14ac:dyDescent="0.35">
      <c r="A568" s="115" t="s">
        <v>3112</v>
      </c>
      <c r="C568" t="s">
        <v>3383</v>
      </c>
      <c r="E568" s="92">
        <v>3.08</v>
      </c>
      <c r="F568" s="115" t="s">
        <v>3109</v>
      </c>
      <c r="G568" t="s">
        <v>3154</v>
      </c>
      <c r="H568">
        <v>-1</v>
      </c>
      <c r="M568" t="b">
        <v>0</v>
      </c>
      <c r="N568" t="b">
        <v>0</v>
      </c>
      <c r="O568" t="b">
        <v>0</v>
      </c>
      <c r="P568" t="b">
        <v>1</v>
      </c>
      <c r="Q568" t="s">
        <v>3154</v>
      </c>
      <c r="R568">
        <v>-1</v>
      </c>
      <c r="AB568" s="92"/>
      <c r="BT568" s="90" t="s">
        <v>1407</v>
      </c>
      <c r="BU568" s="92">
        <v>973</v>
      </c>
      <c r="BV568" s="92"/>
      <c r="BW568" s="68"/>
      <c r="BX568" s="92"/>
      <c r="BY568" s="92" t="s">
        <v>863</v>
      </c>
      <c r="BZ568" s="92">
        <v>0.5</v>
      </c>
      <c r="CA568" s="92">
        <v>8.5500000000000007</v>
      </c>
      <c r="CB568" s="92">
        <v>2</v>
      </c>
      <c r="CC568" s="92">
        <v>10</v>
      </c>
      <c r="CD568" s="92"/>
      <c r="CE568" s="92"/>
      <c r="CF568" s="92" t="s">
        <v>1534</v>
      </c>
      <c r="CG568" s="92">
        <v>450</v>
      </c>
      <c r="CH568" s="92"/>
      <c r="CI568" s="68"/>
      <c r="CJ568" s="68"/>
      <c r="CK568" s="125">
        <v>895</v>
      </c>
    </row>
    <row r="569" spans="1:89" ht="15" thickBot="1" x14ac:dyDescent="0.35">
      <c r="A569" s="115" t="s">
        <v>3112</v>
      </c>
      <c r="C569" t="s">
        <v>3383</v>
      </c>
      <c r="E569" s="92">
        <v>3.08</v>
      </c>
      <c r="F569" s="115" t="s">
        <v>3109</v>
      </c>
      <c r="G569" t="s">
        <v>3154</v>
      </c>
      <c r="H569">
        <v>-1</v>
      </c>
      <c r="M569" t="b">
        <v>0</v>
      </c>
      <c r="N569" t="b">
        <v>0</v>
      </c>
      <c r="O569" t="b">
        <v>0</v>
      </c>
      <c r="P569" t="b">
        <v>1</v>
      </c>
      <c r="Q569" t="s">
        <v>3154</v>
      </c>
      <c r="R569">
        <v>-1</v>
      </c>
      <c r="AB569" s="92"/>
      <c r="BT569" s="90" t="s">
        <v>1407</v>
      </c>
      <c r="BU569" s="92">
        <v>973</v>
      </c>
      <c r="BV569" s="92"/>
      <c r="BW569" s="68"/>
      <c r="BX569" s="92"/>
      <c r="BY569" s="92" t="s">
        <v>863</v>
      </c>
      <c r="BZ569" s="92">
        <v>2</v>
      </c>
      <c r="CA569" s="92">
        <v>8.5500000000000007</v>
      </c>
      <c r="CB569" s="92">
        <v>2</v>
      </c>
      <c r="CC569" s="92">
        <v>10</v>
      </c>
      <c r="CD569" s="92"/>
      <c r="CE569" s="92"/>
      <c r="CF569" s="92" t="s">
        <v>1534</v>
      </c>
      <c r="CG569" s="92">
        <v>450</v>
      </c>
      <c r="CH569" s="92"/>
      <c r="CI569" s="68"/>
      <c r="CJ569" s="68"/>
      <c r="CK569" s="125">
        <v>458.33</v>
      </c>
    </row>
    <row r="570" spans="1:89" ht="15" thickBot="1" x14ac:dyDescent="0.35">
      <c r="A570" s="115" t="s">
        <v>1376</v>
      </c>
      <c r="C570" t="s">
        <v>3249</v>
      </c>
      <c r="E570" s="92">
        <v>3.2</v>
      </c>
      <c r="F570" s="115" t="s">
        <v>3114</v>
      </c>
      <c r="G570" t="s">
        <v>3155</v>
      </c>
      <c r="H570" t="s">
        <v>3156</v>
      </c>
      <c r="M570" t="b">
        <v>1</v>
      </c>
      <c r="N570" t="b">
        <v>1</v>
      </c>
      <c r="O570" t="b">
        <v>0</v>
      </c>
      <c r="P570" t="b">
        <v>0</v>
      </c>
      <c r="Q570" t="s">
        <v>3155</v>
      </c>
      <c r="R570">
        <v>1512124</v>
      </c>
      <c r="AB570" s="122"/>
      <c r="BT570" s="90" t="s">
        <v>1407</v>
      </c>
      <c r="BU570" s="92">
        <v>1373</v>
      </c>
      <c r="BV570" s="92">
        <v>10</v>
      </c>
      <c r="BW570" s="68"/>
      <c r="BX570" s="92"/>
      <c r="BY570" s="92"/>
      <c r="BZ570" s="92"/>
      <c r="CA570" s="92"/>
      <c r="CB570" s="92">
        <v>1</v>
      </c>
      <c r="CC570" s="92">
        <v>0</v>
      </c>
      <c r="CD570" s="92"/>
      <c r="CE570" s="92"/>
      <c r="CF570" s="92" t="s">
        <v>1370</v>
      </c>
      <c r="CG570" s="92">
        <v>420</v>
      </c>
      <c r="CH570" s="92">
        <v>420</v>
      </c>
      <c r="CI570" s="68"/>
      <c r="CJ570" s="68"/>
      <c r="CK570" s="125">
        <v>0.6</v>
      </c>
    </row>
    <row r="571" spans="1:89" ht="15" thickBot="1" x14ac:dyDescent="0.35">
      <c r="A571" s="115" t="s">
        <v>1376</v>
      </c>
      <c r="C571" t="s">
        <v>3249</v>
      </c>
      <c r="E571" s="92">
        <v>3.2</v>
      </c>
      <c r="F571" s="115" t="s">
        <v>3114</v>
      </c>
      <c r="G571" t="s">
        <v>3155</v>
      </c>
      <c r="H571" t="s">
        <v>3156</v>
      </c>
      <c r="M571" t="b">
        <v>1</v>
      </c>
      <c r="N571" t="b">
        <v>1</v>
      </c>
      <c r="O571" t="b">
        <v>0</v>
      </c>
      <c r="P571" t="b">
        <v>0</v>
      </c>
      <c r="Q571" t="s">
        <v>3155</v>
      </c>
      <c r="R571">
        <v>1512124</v>
      </c>
      <c r="AB571" s="122"/>
      <c r="BT571" s="90" t="s">
        <v>1407</v>
      </c>
      <c r="BU571" s="92">
        <v>1373</v>
      </c>
      <c r="BV571" s="92">
        <v>10</v>
      </c>
      <c r="BW571" s="68"/>
      <c r="BX571" s="92"/>
      <c r="BY571" s="92" t="s">
        <v>56</v>
      </c>
      <c r="BZ571" s="92">
        <v>0.5</v>
      </c>
      <c r="CA571" s="92"/>
      <c r="CB571" s="92">
        <v>1</v>
      </c>
      <c r="CC571" s="92">
        <v>0</v>
      </c>
      <c r="CD571" s="92"/>
      <c r="CE571" s="92"/>
      <c r="CF571" s="92" t="s">
        <v>1370</v>
      </c>
      <c r="CG571" s="92">
        <v>420</v>
      </c>
      <c r="CH571" s="92">
        <v>420</v>
      </c>
      <c r="CI571" s="68"/>
      <c r="CJ571" s="68"/>
      <c r="CK571" s="125">
        <v>3</v>
      </c>
    </row>
    <row r="572" spans="1:89" ht="15" thickBot="1" x14ac:dyDescent="0.35">
      <c r="A572" s="115" t="s">
        <v>1376</v>
      </c>
      <c r="C572" t="s">
        <v>3249</v>
      </c>
      <c r="E572" s="92">
        <v>3.2</v>
      </c>
      <c r="F572" s="115" t="s">
        <v>3114</v>
      </c>
      <c r="G572" t="s">
        <v>3155</v>
      </c>
      <c r="H572" t="s">
        <v>3156</v>
      </c>
      <c r="M572" t="b">
        <v>1</v>
      </c>
      <c r="N572" t="b">
        <v>1</v>
      </c>
      <c r="O572" t="b">
        <v>0</v>
      </c>
      <c r="P572" t="b">
        <v>0</v>
      </c>
      <c r="Q572" t="s">
        <v>3155</v>
      </c>
      <c r="R572">
        <v>1512124</v>
      </c>
      <c r="AB572" s="122"/>
      <c r="BT572" s="90" t="s">
        <v>1407</v>
      </c>
      <c r="BU572" s="92">
        <v>1373</v>
      </c>
      <c r="BV572" s="92">
        <v>10</v>
      </c>
      <c r="BW572" s="68"/>
      <c r="BX572" s="92"/>
      <c r="BY572" s="92" t="s">
        <v>56</v>
      </c>
      <c r="BZ572" s="92">
        <v>1</v>
      </c>
      <c r="CA572" s="92"/>
      <c r="CB572" s="92">
        <v>1</v>
      </c>
      <c r="CC572" s="92">
        <v>0</v>
      </c>
      <c r="CD572" s="92"/>
      <c r="CE572" s="92"/>
      <c r="CF572" s="92" t="s">
        <v>1370</v>
      </c>
      <c r="CG572" s="92">
        <v>420</v>
      </c>
      <c r="CH572" s="92">
        <v>420</v>
      </c>
      <c r="CI572" s="68"/>
      <c r="CJ572" s="68"/>
      <c r="CK572" s="125">
        <v>12</v>
      </c>
    </row>
    <row r="573" spans="1:89" ht="15" thickBot="1" x14ac:dyDescent="0.35">
      <c r="A573" s="115" t="s">
        <v>1376</v>
      </c>
      <c r="C573" t="s">
        <v>3249</v>
      </c>
      <c r="E573" s="92">
        <v>3.2</v>
      </c>
      <c r="F573" s="115" t="s">
        <v>3114</v>
      </c>
      <c r="G573" t="s">
        <v>3155</v>
      </c>
      <c r="H573" t="s">
        <v>3156</v>
      </c>
      <c r="M573" t="b">
        <v>1</v>
      </c>
      <c r="N573" t="b">
        <v>1</v>
      </c>
      <c r="O573" t="b">
        <v>0</v>
      </c>
      <c r="P573" t="b">
        <v>0</v>
      </c>
      <c r="Q573" t="s">
        <v>3155</v>
      </c>
      <c r="R573">
        <v>1512124</v>
      </c>
      <c r="AB573" s="122"/>
      <c r="BT573" s="90" t="s">
        <v>1264</v>
      </c>
      <c r="BU573" s="92">
        <v>1373</v>
      </c>
      <c r="BV573" s="92">
        <v>10</v>
      </c>
      <c r="BW573" s="68"/>
      <c r="BX573" s="92"/>
      <c r="BY573" s="92" t="s">
        <v>56</v>
      </c>
      <c r="BZ573" s="92">
        <v>3</v>
      </c>
      <c r="CA573" s="92"/>
      <c r="CB573" s="92">
        <v>1</v>
      </c>
      <c r="CC573" s="92">
        <v>0</v>
      </c>
      <c r="CD573" s="92"/>
      <c r="CE573" s="92"/>
      <c r="CF573" s="92" t="s">
        <v>1370</v>
      </c>
      <c r="CG573" s="92">
        <v>420</v>
      </c>
      <c r="CH573" s="92">
        <v>420</v>
      </c>
      <c r="CI573" s="68"/>
      <c r="CJ573" s="68"/>
      <c r="CK573" s="125">
        <v>3</v>
      </c>
    </row>
    <row r="574" spans="1:89" ht="15" thickBot="1" x14ac:dyDescent="0.35">
      <c r="A574" s="115" t="s">
        <v>28</v>
      </c>
      <c r="C574" t="s">
        <v>805</v>
      </c>
      <c r="E574" s="92">
        <v>3.97</v>
      </c>
      <c r="F574" s="115" t="s">
        <v>3115</v>
      </c>
      <c r="G574" t="s">
        <v>586</v>
      </c>
      <c r="H574" t="s">
        <v>660</v>
      </c>
      <c r="M574" t="b">
        <v>1</v>
      </c>
      <c r="N574" t="b">
        <v>1</v>
      </c>
      <c r="O574" t="b">
        <v>0</v>
      </c>
      <c r="P574" t="b">
        <v>0</v>
      </c>
      <c r="Q574" t="s">
        <v>586</v>
      </c>
      <c r="R574">
        <v>1521385</v>
      </c>
      <c r="AB574" s="122"/>
      <c r="BT574" s="90" t="s">
        <v>1264</v>
      </c>
      <c r="BU574" s="92">
        <v>1023</v>
      </c>
      <c r="BV574" s="92">
        <v>2</v>
      </c>
      <c r="BW574" s="68"/>
      <c r="BX574" s="92"/>
      <c r="BY574" s="92"/>
      <c r="BZ574" s="92"/>
      <c r="CA574" s="92"/>
      <c r="CB574" s="92">
        <v>1</v>
      </c>
      <c r="CC574" s="92">
        <v>10</v>
      </c>
      <c r="CD574" s="92"/>
      <c r="CE574" s="92"/>
      <c r="CF574" s="92" t="s">
        <v>1534</v>
      </c>
      <c r="CG574" s="92">
        <v>300</v>
      </c>
      <c r="CH574" s="92">
        <v>400</v>
      </c>
      <c r="CI574" s="68"/>
      <c r="CJ574" s="68"/>
      <c r="CK574" s="125">
        <v>633</v>
      </c>
    </row>
    <row r="575" spans="1:89" ht="15" thickBot="1" x14ac:dyDescent="0.35">
      <c r="A575" s="115" t="s">
        <v>3116</v>
      </c>
      <c r="C575" t="s">
        <v>3384</v>
      </c>
      <c r="E575" s="92">
        <v>3.9</v>
      </c>
      <c r="F575" s="115" t="s">
        <v>3115</v>
      </c>
      <c r="G575" t="s">
        <v>586</v>
      </c>
      <c r="H575" t="s">
        <v>660</v>
      </c>
      <c r="J575" s="73" t="s">
        <v>3444</v>
      </c>
      <c r="K575" s="73" t="s">
        <v>3444</v>
      </c>
      <c r="M575" t="b">
        <v>1</v>
      </c>
      <c r="N575" t="b">
        <v>1</v>
      </c>
      <c r="O575" t="b">
        <v>0</v>
      </c>
      <c r="P575" t="b">
        <v>0</v>
      </c>
      <c r="Q575" t="s">
        <v>3832</v>
      </c>
      <c r="R575" t="s">
        <v>3833</v>
      </c>
      <c r="AB575" s="122"/>
      <c r="BT575" s="90" t="s">
        <v>1264</v>
      </c>
      <c r="BU575" s="92">
        <v>1023</v>
      </c>
      <c r="BV575" s="92">
        <v>2</v>
      </c>
      <c r="BW575" s="68"/>
      <c r="BX575" s="92"/>
      <c r="BY575" s="92"/>
      <c r="BZ575" s="92"/>
      <c r="CA575" s="92"/>
      <c r="CB575" s="92">
        <v>1</v>
      </c>
      <c r="CC575" s="92">
        <v>10</v>
      </c>
      <c r="CD575" s="92"/>
      <c r="CE575" s="92"/>
      <c r="CF575" s="92" t="s">
        <v>1534</v>
      </c>
      <c r="CG575" s="92">
        <v>300</v>
      </c>
      <c r="CH575" s="92">
        <v>400</v>
      </c>
      <c r="CI575" s="68"/>
      <c r="CJ575" s="68"/>
      <c r="CK575" s="125">
        <v>717</v>
      </c>
    </row>
    <row r="576" spans="1:89" ht="15" thickBot="1" x14ac:dyDescent="0.35">
      <c r="A576" s="115" t="s">
        <v>3117</v>
      </c>
      <c r="C576" t="s">
        <v>3384</v>
      </c>
      <c r="E576" s="92">
        <v>3.83</v>
      </c>
      <c r="F576" s="115" t="s">
        <v>3115</v>
      </c>
      <c r="G576" t="s">
        <v>586</v>
      </c>
      <c r="H576" t="s">
        <v>660</v>
      </c>
      <c r="J576" s="73" t="s">
        <v>3495</v>
      </c>
      <c r="K576" s="73" t="s">
        <v>3495</v>
      </c>
      <c r="M576" t="b">
        <v>1</v>
      </c>
      <c r="N576" t="b">
        <v>1</v>
      </c>
      <c r="O576" t="b">
        <v>0</v>
      </c>
      <c r="P576" t="b">
        <v>0</v>
      </c>
      <c r="Q576" t="s">
        <v>3834</v>
      </c>
      <c r="R576" t="s">
        <v>3835</v>
      </c>
      <c r="AB576" s="122"/>
      <c r="BT576" s="90" t="s">
        <v>1264</v>
      </c>
      <c r="BU576" s="92">
        <v>1023</v>
      </c>
      <c r="BV576" s="92">
        <v>2</v>
      </c>
      <c r="BW576" s="68"/>
      <c r="BX576" s="92"/>
      <c r="BY576" s="92"/>
      <c r="BZ576" s="92"/>
      <c r="CA576" s="92"/>
      <c r="CB576" s="92">
        <v>1</v>
      </c>
      <c r="CC576" s="92">
        <v>10</v>
      </c>
      <c r="CD576" s="92"/>
      <c r="CE576" s="92"/>
      <c r="CF576" s="92" t="s">
        <v>1534</v>
      </c>
      <c r="CG576" s="92">
        <v>300</v>
      </c>
      <c r="CH576" s="92">
        <v>400</v>
      </c>
      <c r="CI576" s="68"/>
      <c r="CJ576" s="68"/>
      <c r="CK576" s="125">
        <v>1333</v>
      </c>
    </row>
    <row r="577" spans="1:89" ht="15" thickBot="1" x14ac:dyDescent="0.35">
      <c r="A577" s="115" t="s">
        <v>3118</v>
      </c>
      <c r="C577" t="s">
        <v>3384</v>
      </c>
      <c r="E577" s="92">
        <v>3.76</v>
      </c>
      <c r="F577" s="115" t="s">
        <v>3115</v>
      </c>
      <c r="G577" t="s">
        <v>586</v>
      </c>
      <c r="H577" t="s">
        <v>660</v>
      </c>
      <c r="J577" s="73" t="s">
        <v>3496</v>
      </c>
      <c r="K577" s="73" t="s">
        <v>3496</v>
      </c>
      <c r="M577" t="b">
        <v>1</v>
      </c>
      <c r="N577" t="b">
        <v>1</v>
      </c>
      <c r="O577" t="b">
        <v>0</v>
      </c>
      <c r="P577" t="b">
        <v>0</v>
      </c>
      <c r="Q577" t="s">
        <v>3836</v>
      </c>
      <c r="R577" t="s">
        <v>3837</v>
      </c>
      <c r="AB577" s="122"/>
      <c r="BT577" s="90" t="s">
        <v>1538</v>
      </c>
      <c r="BU577" s="92">
        <v>1023</v>
      </c>
      <c r="BV577" s="92">
        <v>2</v>
      </c>
      <c r="BW577" s="68"/>
      <c r="BX577" s="92"/>
      <c r="BY577" s="92"/>
      <c r="BZ577" s="92"/>
      <c r="CA577" s="92"/>
      <c r="CB577" s="92">
        <v>1</v>
      </c>
      <c r="CC577" s="92">
        <v>10</v>
      </c>
      <c r="CD577" s="92"/>
      <c r="CE577" s="92"/>
      <c r="CF577" s="92" t="s">
        <v>1534</v>
      </c>
      <c r="CG577" s="92">
        <v>300</v>
      </c>
      <c r="CH577" s="92">
        <v>400</v>
      </c>
      <c r="CI577" s="68"/>
      <c r="CJ577" s="68"/>
      <c r="CK577" s="125">
        <v>2000</v>
      </c>
    </row>
    <row r="578" spans="1:89" ht="15" thickBot="1" x14ac:dyDescent="0.35">
      <c r="A578" s="115" t="s">
        <v>3120</v>
      </c>
      <c r="C578" t="s">
        <v>3384</v>
      </c>
      <c r="E578" s="92">
        <v>3.69</v>
      </c>
      <c r="F578" s="115" t="s">
        <v>3115</v>
      </c>
      <c r="G578" t="s">
        <v>586</v>
      </c>
      <c r="H578" t="s">
        <v>660</v>
      </c>
      <c r="J578" s="73" t="s">
        <v>3497</v>
      </c>
      <c r="K578" s="73" t="s">
        <v>3497</v>
      </c>
      <c r="M578" t="b">
        <v>1</v>
      </c>
      <c r="N578" t="b">
        <v>1</v>
      </c>
      <c r="O578" t="b">
        <v>0</v>
      </c>
      <c r="P578" t="b">
        <v>0</v>
      </c>
      <c r="Q578" t="s">
        <v>3838</v>
      </c>
      <c r="R578" t="s">
        <v>3839</v>
      </c>
      <c r="AB578" s="122"/>
      <c r="BT578" s="90" t="s">
        <v>1538</v>
      </c>
      <c r="BU578" s="92">
        <v>1023</v>
      </c>
      <c r="BV578" s="92">
        <v>2</v>
      </c>
      <c r="BW578" s="68"/>
      <c r="BX578" s="92"/>
      <c r="BY578" s="92"/>
      <c r="BZ578" s="92"/>
      <c r="CA578" s="92"/>
      <c r="CB578" s="92">
        <v>1</v>
      </c>
      <c r="CC578" s="92">
        <v>10</v>
      </c>
      <c r="CD578" s="92"/>
      <c r="CE578" s="92"/>
      <c r="CF578" s="92" t="s">
        <v>1534</v>
      </c>
      <c r="CG578" s="92">
        <v>300</v>
      </c>
      <c r="CH578" s="92">
        <v>400</v>
      </c>
      <c r="CI578" s="68"/>
      <c r="CJ578" s="68"/>
      <c r="CK578" s="125">
        <v>2416</v>
      </c>
    </row>
    <row r="579" spans="1:89" ht="15" thickBot="1" x14ac:dyDescent="0.35">
      <c r="A579" s="115" t="s">
        <v>3119</v>
      </c>
      <c r="C579" t="s">
        <v>3384</v>
      </c>
      <c r="E579" s="92">
        <v>3.62</v>
      </c>
      <c r="F579" s="115" t="s">
        <v>3115</v>
      </c>
      <c r="G579" t="s">
        <v>586</v>
      </c>
      <c r="H579" t="s">
        <v>660</v>
      </c>
      <c r="J579" s="73" t="s">
        <v>3498</v>
      </c>
      <c r="K579" s="73" t="s">
        <v>3498</v>
      </c>
      <c r="M579" t="b">
        <v>1</v>
      </c>
      <c r="N579" t="b">
        <v>1</v>
      </c>
      <c r="O579" t="b">
        <v>0</v>
      </c>
      <c r="P579" t="b">
        <v>0</v>
      </c>
      <c r="Q579" t="s">
        <v>3840</v>
      </c>
      <c r="R579" t="s">
        <v>3841</v>
      </c>
      <c r="AB579" s="122"/>
      <c r="BT579" s="90" t="s">
        <v>1538</v>
      </c>
      <c r="BU579" s="92">
        <v>1023</v>
      </c>
      <c r="BV579" s="92">
        <v>2</v>
      </c>
      <c r="BW579" s="68"/>
      <c r="BX579" s="92"/>
      <c r="BY579" s="92"/>
      <c r="BZ579" s="92"/>
      <c r="CA579" s="92"/>
      <c r="CB579" s="92">
        <v>1</v>
      </c>
      <c r="CC579" s="92">
        <v>10</v>
      </c>
      <c r="CD579" s="92"/>
      <c r="CE579" s="92"/>
      <c r="CF579" s="92" t="s">
        <v>1534</v>
      </c>
      <c r="CG579" s="92">
        <v>300</v>
      </c>
      <c r="CH579" s="92">
        <v>400</v>
      </c>
      <c r="CI579" s="68"/>
      <c r="CJ579" s="68"/>
      <c r="CK579" s="125">
        <v>1583</v>
      </c>
    </row>
    <row r="580" spans="1:89" ht="15" thickBot="1" x14ac:dyDescent="0.35">
      <c r="A580" s="115" t="s">
        <v>3121</v>
      </c>
      <c r="C580" t="s">
        <v>3384</v>
      </c>
      <c r="E580" s="92">
        <v>3.55</v>
      </c>
      <c r="F580" s="115" t="s">
        <v>3115</v>
      </c>
      <c r="G580" t="s">
        <v>586</v>
      </c>
      <c r="H580" t="s">
        <v>660</v>
      </c>
      <c r="J580" s="73" t="s">
        <v>3499</v>
      </c>
      <c r="K580" s="73" t="s">
        <v>3499</v>
      </c>
      <c r="M580" t="b">
        <v>1</v>
      </c>
      <c r="N580" t="b">
        <v>1</v>
      </c>
      <c r="O580" t="b">
        <v>0</v>
      </c>
      <c r="P580" t="b">
        <v>0</v>
      </c>
      <c r="Q580" t="s">
        <v>3842</v>
      </c>
      <c r="R580" t="s">
        <v>3843</v>
      </c>
      <c r="AB580" s="122"/>
      <c r="BT580" s="90" t="s">
        <v>1538</v>
      </c>
      <c r="BU580" s="92">
        <v>1023</v>
      </c>
      <c r="BV580" s="92">
        <v>2</v>
      </c>
      <c r="BW580" s="68"/>
      <c r="BX580" s="92"/>
      <c r="BY580" s="92"/>
      <c r="BZ580" s="92"/>
      <c r="CA580" s="92"/>
      <c r="CB580" s="92">
        <v>1</v>
      </c>
      <c r="CC580" s="92">
        <v>10</v>
      </c>
      <c r="CD580" s="92"/>
      <c r="CE580" s="92"/>
      <c r="CF580" s="92" t="s">
        <v>1534</v>
      </c>
      <c r="CG580" s="92">
        <v>300</v>
      </c>
      <c r="CH580" s="92">
        <v>400</v>
      </c>
      <c r="CI580" s="68"/>
      <c r="CJ580" s="68"/>
      <c r="CK580" s="125">
        <v>1366</v>
      </c>
    </row>
    <row r="581" spans="1:89" ht="15" thickBot="1" x14ac:dyDescent="0.35">
      <c r="A581" s="115" t="s">
        <v>2902</v>
      </c>
      <c r="C581" t="s">
        <v>3297</v>
      </c>
      <c r="E581" s="92">
        <v>3.43</v>
      </c>
      <c r="F581" s="115" t="s">
        <v>3115</v>
      </c>
      <c r="G581" t="s">
        <v>3185</v>
      </c>
      <c r="H581" t="s">
        <v>3186</v>
      </c>
      <c r="M581" t="b">
        <v>1</v>
      </c>
      <c r="N581" t="b">
        <v>1</v>
      </c>
      <c r="O581" t="b">
        <v>0</v>
      </c>
      <c r="P581" t="b">
        <v>0</v>
      </c>
      <c r="Q581" t="s">
        <v>3185</v>
      </c>
      <c r="R581">
        <v>1011064</v>
      </c>
      <c r="AB581" s="122"/>
      <c r="BT581" s="90" t="s">
        <v>1538</v>
      </c>
      <c r="BU581" s="92">
        <v>1023</v>
      </c>
      <c r="BV581" s="92">
        <v>2</v>
      </c>
      <c r="BW581" s="68"/>
      <c r="BX581" s="92"/>
      <c r="BY581" s="92"/>
      <c r="BZ581" s="92"/>
      <c r="CA581" s="92"/>
      <c r="CB581" s="92">
        <v>1</v>
      </c>
      <c r="CC581" s="92">
        <v>10</v>
      </c>
      <c r="CD581" s="92"/>
      <c r="CE581" s="92"/>
      <c r="CF581" s="92" t="s">
        <v>1534</v>
      </c>
      <c r="CG581" s="92">
        <v>300</v>
      </c>
      <c r="CH581" s="92">
        <v>400</v>
      </c>
      <c r="CI581" s="68"/>
      <c r="CJ581" s="68"/>
      <c r="CK581" s="125">
        <v>950</v>
      </c>
    </row>
    <row r="582" spans="1:89" ht="15" thickBot="1" x14ac:dyDescent="0.35">
      <c r="A582" s="115" t="s">
        <v>3028</v>
      </c>
      <c r="C582" t="s">
        <v>839</v>
      </c>
      <c r="E582" s="92">
        <v>3.51</v>
      </c>
      <c r="F582" s="115" t="s">
        <v>3122</v>
      </c>
      <c r="G582" t="s">
        <v>602</v>
      </c>
      <c r="H582" t="s">
        <v>674</v>
      </c>
      <c r="M582" t="b">
        <v>1</v>
      </c>
      <c r="N582" t="b">
        <v>1</v>
      </c>
      <c r="O582" t="b">
        <v>0</v>
      </c>
      <c r="P582" t="b">
        <v>0</v>
      </c>
      <c r="Q582" t="s">
        <v>602</v>
      </c>
      <c r="R582">
        <v>1000022</v>
      </c>
      <c r="AB582" s="92"/>
      <c r="BT582" s="90" t="s">
        <v>1538</v>
      </c>
      <c r="BU582" s="92">
        <v>453</v>
      </c>
      <c r="BV582" s="92">
        <v>15</v>
      </c>
      <c r="BW582" s="68"/>
      <c r="BX582" s="92" t="s">
        <v>1533</v>
      </c>
      <c r="BY582" s="92" t="s">
        <v>863</v>
      </c>
      <c r="BZ582" s="92">
        <v>1</v>
      </c>
      <c r="CA582" s="92">
        <v>5.37</v>
      </c>
      <c r="CB582" s="92">
        <v>1</v>
      </c>
      <c r="CC582" s="92">
        <v>0</v>
      </c>
      <c r="CD582" s="92" t="s">
        <v>1551</v>
      </c>
      <c r="CE582" s="92"/>
      <c r="CF582" s="92" t="s">
        <v>1552</v>
      </c>
      <c r="CG582" s="92">
        <v>500</v>
      </c>
      <c r="CH582" s="92">
        <v>400</v>
      </c>
      <c r="CI582" s="68"/>
      <c r="CJ582" s="68"/>
      <c r="CK582" s="125">
        <v>156</v>
      </c>
    </row>
    <row r="583" spans="1:89" ht="15" thickBot="1" x14ac:dyDescent="0.35">
      <c r="A583" s="115" t="s">
        <v>3123</v>
      </c>
      <c r="C583" t="s">
        <v>3385</v>
      </c>
      <c r="E583" s="92">
        <v>2.4900000000000002</v>
      </c>
      <c r="F583" s="115" t="s">
        <v>3122</v>
      </c>
      <c r="G583" t="s">
        <v>602</v>
      </c>
      <c r="H583" t="s">
        <v>674</v>
      </c>
      <c r="J583" s="73" t="s">
        <v>3500</v>
      </c>
      <c r="K583" s="73" t="s">
        <v>3500</v>
      </c>
      <c r="M583" t="b">
        <v>1</v>
      </c>
      <c r="N583" t="b">
        <v>1</v>
      </c>
      <c r="O583" t="b">
        <v>0</v>
      </c>
      <c r="P583" t="b">
        <v>0</v>
      </c>
      <c r="Q583" t="s">
        <v>3844</v>
      </c>
      <c r="R583" t="s">
        <v>3845</v>
      </c>
      <c r="AB583" s="92"/>
      <c r="BT583" s="90" t="s">
        <v>1538</v>
      </c>
      <c r="BU583" s="92">
        <v>453</v>
      </c>
      <c r="BV583" s="92">
        <v>15</v>
      </c>
      <c r="BW583" s="68"/>
      <c r="BX583" s="92" t="s">
        <v>1533</v>
      </c>
      <c r="BY583" s="92" t="s">
        <v>863</v>
      </c>
      <c r="BZ583" s="92">
        <v>1</v>
      </c>
      <c r="CA583" s="92">
        <v>14.69</v>
      </c>
      <c r="CB583" s="92">
        <v>1</v>
      </c>
      <c r="CC583" s="92">
        <v>0</v>
      </c>
      <c r="CD583" s="92" t="s">
        <v>1551</v>
      </c>
      <c r="CE583" s="92"/>
      <c r="CF583" s="92" t="s">
        <v>1552</v>
      </c>
      <c r="CG583" s="92">
        <v>500</v>
      </c>
      <c r="CH583" s="92">
        <v>250</v>
      </c>
      <c r="CI583" s="68"/>
      <c r="CJ583" s="68"/>
      <c r="CK583" s="125">
        <v>495</v>
      </c>
    </row>
    <row r="584" spans="1:89" ht="15" thickBot="1" x14ac:dyDescent="0.35">
      <c r="A584" s="115" t="s">
        <v>3123</v>
      </c>
      <c r="C584" t="s">
        <v>3385</v>
      </c>
      <c r="E584" s="92">
        <v>2.4900000000000002</v>
      </c>
      <c r="F584" s="115" t="s">
        <v>3122</v>
      </c>
      <c r="G584" t="s">
        <v>602</v>
      </c>
      <c r="H584" t="s">
        <v>674</v>
      </c>
      <c r="J584" s="73" t="s">
        <v>3500</v>
      </c>
      <c r="K584" s="73" t="s">
        <v>3500</v>
      </c>
      <c r="M584" t="b">
        <v>1</v>
      </c>
      <c r="N584" t="b">
        <v>1</v>
      </c>
      <c r="O584" t="b">
        <v>0</v>
      </c>
      <c r="P584" t="b">
        <v>0</v>
      </c>
      <c r="Q584" t="s">
        <v>3846</v>
      </c>
      <c r="R584" t="s">
        <v>3847</v>
      </c>
      <c r="AB584" s="92"/>
      <c r="BT584" s="90" t="s">
        <v>1538</v>
      </c>
      <c r="BU584" s="92">
        <v>453</v>
      </c>
      <c r="BV584" s="92">
        <v>15</v>
      </c>
      <c r="BW584" s="68"/>
      <c r="BX584" s="92" t="s">
        <v>1533</v>
      </c>
      <c r="BY584" s="92" t="s">
        <v>863</v>
      </c>
      <c r="BZ584" s="92">
        <v>1</v>
      </c>
      <c r="CA584" s="92">
        <v>14.69</v>
      </c>
      <c r="CB584" s="92">
        <v>1</v>
      </c>
      <c r="CC584" s="92">
        <v>0</v>
      </c>
      <c r="CD584" s="92" t="s">
        <v>1551</v>
      </c>
      <c r="CE584" s="92"/>
      <c r="CF584" s="92" t="s">
        <v>1552</v>
      </c>
      <c r="CG584" s="92">
        <v>500</v>
      </c>
      <c r="CH584" s="92">
        <v>400</v>
      </c>
      <c r="CI584" s="68"/>
      <c r="CJ584" s="68"/>
      <c r="CK584" s="125">
        <v>98.1</v>
      </c>
    </row>
    <row r="585" spans="1:89" ht="15" thickBot="1" x14ac:dyDescent="0.35">
      <c r="A585" s="115" t="s">
        <v>3124</v>
      </c>
      <c r="C585" t="s">
        <v>3385</v>
      </c>
      <c r="E585" s="92">
        <v>2.48</v>
      </c>
      <c r="F585" s="115" t="s">
        <v>3122</v>
      </c>
      <c r="G585" t="s">
        <v>602</v>
      </c>
      <c r="H585" t="s">
        <v>674</v>
      </c>
      <c r="J585" s="73" t="s">
        <v>3501</v>
      </c>
      <c r="K585" s="73" t="s">
        <v>3501</v>
      </c>
      <c r="M585" t="b">
        <v>1</v>
      </c>
      <c r="N585" t="b">
        <v>1</v>
      </c>
      <c r="O585" t="b">
        <v>0</v>
      </c>
      <c r="P585" t="b">
        <v>0</v>
      </c>
      <c r="Q585" t="s">
        <v>3848</v>
      </c>
      <c r="R585" t="s">
        <v>3849</v>
      </c>
      <c r="AB585" s="92"/>
      <c r="BT585" s="90" t="s">
        <v>1407</v>
      </c>
      <c r="BU585" s="92">
        <v>453</v>
      </c>
      <c r="BV585" s="92">
        <v>15</v>
      </c>
      <c r="BW585" s="68"/>
      <c r="BX585" s="92" t="s">
        <v>1533</v>
      </c>
      <c r="BY585" s="92" t="s">
        <v>863</v>
      </c>
      <c r="BZ585" s="92">
        <v>1</v>
      </c>
      <c r="CA585" s="92">
        <v>9.7200000000000006</v>
      </c>
      <c r="CB585" s="92">
        <v>1</v>
      </c>
      <c r="CC585" s="92">
        <v>0</v>
      </c>
      <c r="CD585" s="92" t="s">
        <v>1551</v>
      </c>
      <c r="CE585" s="92"/>
      <c r="CF585" s="92" t="s">
        <v>1552</v>
      </c>
      <c r="CG585" s="92">
        <v>500</v>
      </c>
      <c r="CH585" s="92">
        <v>250</v>
      </c>
      <c r="CI585" s="68"/>
      <c r="CJ585" s="68"/>
      <c r="CK585" s="125">
        <v>268</v>
      </c>
    </row>
    <row r="586" spans="1:89" ht="15" thickBot="1" x14ac:dyDescent="0.35">
      <c r="A586" s="115" t="s">
        <v>3124</v>
      </c>
      <c r="C586" t="s">
        <v>3385</v>
      </c>
      <c r="E586" s="92">
        <v>2.48</v>
      </c>
      <c r="F586" s="115" t="s">
        <v>3122</v>
      </c>
      <c r="G586" t="s">
        <v>602</v>
      </c>
      <c r="H586" t="s">
        <v>674</v>
      </c>
      <c r="J586" s="73" t="s">
        <v>3501</v>
      </c>
      <c r="K586" s="73" t="s">
        <v>3501</v>
      </c>
      <c r="M586" t="b">
        <v>1</v>
      </c>
      <c r="N586" t="b">
        <v>1</v>
      </c>
      <c r="O586" t="b">
        <v>0</v>
      </c>
      <c r="P586" t="b">
        <v>0</v>
      </c>
      <c r="Q586" t="s">
        <v>3850</v>
      </c>
      <c r="R586" t="s">
        <v>3851</v>
      </c>
      <c r="AB586" s="92"/>
      <c r="BT586" s="90" t="s">
        <v>1407</v>
      </c>
      <c r="BU586" s="92">
        <v>453</v>
      </c>
      <c r="BV586" s="92">
        <v>15</v>
      </c>
      <c r="BW586" s="68"/>
      <c r="BX586" s="92" t="s">
        <v>1533</v>
      </c>
      <c r="BY586" s="92" t="s">
        <v>863</v>
      </c>
      <c r="BZ586" s="92">
        <v>1</v>
      </c>
      <c r="CA586" s="92">
        <v>9.7200000000000006</v>
      </c>
      <c r="CB586" s="92">
        <v>1</v>
      </c>
      <c r="CC586" s="92">
        <v>0</v>
      </c>
      <c r="CD586" s="92" t="s">
        <v>1551</v>
      </c>
      <c r="CE586" s="92"/>
      <c r="CF586" s="92" t="s">
        <v>1552</v>
      </c>
      <c r="CG586" s="92">
        <v>500</v>
      </c>
      <c r="CH586" s="92">
        <v>400</v>
      </c>
      <c r="CI586" s="68"/>
      <c r="CJ586" s="68"/>
      <c r="CK586" s="125">
        <v>116</v>
      </c>
    </row>
    <row r="587" spans="1:89" ht="15" thickBot="1" x14ac:dyDescent="0.35">
      <c r="A587" s="115" t="s">
        <v>3125</v>
      </c>
      <c r="C587" t="s">
        <v>3385</v>
      </c>
      <c r="E587" s="92">
        <v>2.5</v>
      </c>
      <c r="F587" s="115" t="s">
        <v>3122</v>
      </c>
      <c r="G587" t="s">
        <v>602</v>
      </c>
      <c r="H587" t="s">
        <v>674</v>
      </c>
      <c r="J587" s="73" t="s">
        <v>3502</v>
      </c>
      <c r="K587" s="73" t="s">
        <v>3502</v>
      </c>
      <c r="M587" t="b">
        <v>1</v>
      </c>
      <c r="N587" t="b">
        <v>1</v>
      </c>
      <c r="O587" t="b">
        <v>0</v>
      </c>
      <c r="P587" t="b">
        <v>0</v>
      </c>
      <c r="Q587" t="s">
        <v>3852</v>
      </c>
      <c r="R587" t="s">
        <v>3853</v>
      </c>
      <c r="AB587" s="92"/>
      <c r="BT587" s="90" t="s">
        <v>1407</v>
      </c>
      <c r="BU587" s="92">
        <v>453</v>
      </c>
      <c r="BV587" s="92">
        <v>15</v>
      </c>
      <c r="BW587" s="68"/>
      <c r="BX587" s="92" t="s">
        <v>1533</v>
      </c>
      <c r="BY587" s="92" t="s">
        <v>863</v>
      </c>
      <c r="BZ587" s="92">
        <v>1</v>
      </c>
      <c r="CA587" s="92">
        <v>9.51</v>
      </c>
      <c r="CB587" s="92">
        <v>1</v>
      </c>
      <c r="CC587" s="92">
        <v>0</v>
      </c>
      <c r="CD587" s="92" t="s">
        <v>1551</v>
      </c>
      <c r="CE587" s="92"/>
      <c r="CF587" s="92" t="s">
        <v>1552</v>
      </c>
      <c r="CG587" s="92">
        <v>500</v>
      </c>
      <c r="CH587" s="92">
        <v>250</v>
      </c>
      <c r="CI587" s="68"/>
      <c r="CJ587" s="68"/>
      <c r="CK587" s="125">
        <v>324</v>
      </c>
    </row>
    <row r="588" spans="1:89" ht="15" thickBot="1" x14ac:dyDescent="0.35">
      <c r="A588" s="115" t="s">
        <v>3125</v>
      </c>
      <c r="C588" t="s">
        <v>3385</v>
      </c>
      <c r="E588" s="92">
        <v>2.5</v>
      </c>
      <c r="F588" s="115" t="s">
        <v>3122</v>
      </c>
      <c r="G588" t="s">
        <v>602</v>
      </c>
      <c r="H588" t="s">
        <v>674</v>
      </c>
      <c r="J588" s="73" t="s">
        <v>3502</v>
      </c>
      <c r="K588" s="73" t="s">
        <v>3502</v>
      </c>
      <c r="M588" t="b">
        <v>1</v>
      </c>
      <c r="N588" t="b">
        <v>1</v>
      </c>
      <c r="O588" t="b">
        <v>0</v>
      </c>
      <c r="P588" t="b">
        <v>0</v>
      </c>
      <c r="Q588" t="s">
        <v>3854</v>
      </c>
      <c r="R588" t="s">
        <v>3855</v>
      </c>
      <c r="AB588" s="92"/>
      <c r="BT588" s="90" t="s">
        <v>1407</v>
      </c>
      <c r="BU588" s="92">
        <v>453</v>
      </c>
      <c r="BV588" s="92">
        <v>15</v>
      </c>
      <c r="BW588" s="68"/>
      <c r="BX588" s="92" t="s">
        <v>1533</v>
      </c>
      <c r="BY588" s="92" t="s">
        <v>863</v>
      </c>
      <c r="BZ588" s="92">
        <v>1</v>
      </c>
      <c r="CA588" s="92">
        <v>9.51</v>
      </c>
      <c r="CB588" s="92">
        <v>1</v>
      </c>
      <c r="CC588" s="92">
        <v>0</v>
      </c>
      <c r="CD588" s="92" t="s">
        <v>1551</v>
      </c>
      <c r="CE588" s="92"/>
      <c r="CF588" s="92" t="s">
        <v>1552</v>
      </c>
      <c r="CG588" s="92">
        <v>500</v>
      </c>
      <c r="CH588" s="92">
        <v>400</v>
      </c>
      <c r="CI588" s="68"/>
      <c r="CJ588" s="68"/>
      <c r="CK588" s="125">
        <v>163</v>
      </c>
    </row>
    <row r="589" spans="1:89" ht="15" thickBot="1" x14ac:dyDescent="0.35">
      <c r="A589" s="92" t="s">
        <v>251</v>
      </c>
      <c r="C589" t="s">
        <v>3261</v>
      </c>
      <c r="E589" s="92">
        <v>2.4700000000000002</v>
      </c>
      <c r="F589" s="115" t="s">
        <v>3126</v>
      </c>
      <c r="G589" s="8" t="s">
        <v>593</v>
      </c>
      <c r="H589" t="s">
        <v>667</v>
      </c>
      <c r="J589" s="73" t="s">
        <v>3503</v>
      </c>
      <c r="K589" s="73" t="s">
        <v>3503</v>
      </c>
      <c r="M589" t="b">
        <v>1</v>
      </c>
      <c r="N589" t="b">
        <v>1</v>
      </c>
      <c r="O589" t="b">
        <v>0</v>
      </c>
      <c r="P589" t="b">
        <v>0</v>
      </c>
      <c r="Q589" t="s">
        <v>3856</v>
      </c>
      <c r="R589" t="s">
        <v>3857</v>
      </c>
      <c r="AB589" s="92"/>
      <c r="BT589" s="90" t="s">
        <v>1407</v>
      </c>
      <c r="BU589" s="92">
        <v>413</v>
      </c>
      <c r="BV589" s="92">
        <v>12</v>
      </c>
      <c r="BW589" s="68"/>
      <c r="BX589" s="92"/>
      <c r="BY589" s="92"/>
      <c r="BZ589" s="92"/>
      <c r="CA589" s="92">
        <v>162</v>
      </c>
      <c r="CB589" s="92">
        <v>0.33300000000000002</v>
      </c>
      <c r="CC589" s="92">
        <v>0</v>
      </c>
      <c r="CD589" s="92" t="s">
        <v>1550</v>
      </c>
      <c r="CE589" s="92" t="s">
        <v>1551</v>
      </c>
      <c r="CF589" s="92" t="s">
        <v>1534</v>
      </c>
      <c r="CG589" s="92">
        <v>300</v>
      </c>
      <c r="CH589" s="92">
        <v>420</v>
      </c>
      <c r="CI589" s="68"/>
      <c r="CJ589" s="68"/>
      <c r="CK589" s="125">
        <v>7582</v>
      </c>
    </row>
    <row r="590" spans="1:89" ht="15" thickBot="1" x14ac:dyDescent="0.35">
      <c r="A590" s="92" t="s">
        <v>3127</v>
      </c>
      <c r="C590" t="s">
        <v>3386</v>
      </c>
      <c r="E590" s="92">
        <v>2.4500000000000002</v>
      </c>
      <c r="F590" s="115" t="s">
        <v>3126</v>
      </c>
      <c r="G590" s="8" t="s">
        <v>593</v>
      </c>
      <c r="H590" t="s">
        <v>667</v>
      </c>
      <c r="J590" s="73" t="s">
        <v>3504</v>
      </c>
      <c r="K590" s="73" t="s">
        <v>3504</v>
      </c>
      <c r="M590" t="b">
        <v>1</v>
      </c>
      <c r="N590" t="b">
        <v>1</v>
      </c>
      <c r="O590" t="b">
        <v>0</v>
      </c>
      <c r="P590" t="b">
        <v>0</v>
      </c>
      <c r="Q590" t="s">
        <v>3858</v>
      </c>
      <c r="R590" t="s">
        <v>3859</v>
      </c>
      <c r="AB590" s="92"/>
      <c r="BT590" s="90" t="s">
        <v>1407</v>
      </c>
      <c r="BU590" s="92">
        <v>413</v>
      </c>
      <c r="BV590" s="92">
        <v>12</v>
      </c>
      <c r="BW590" s="68"/>
      <c r="BX590" s="92"/>
      <c r="BY590" s="92"/>
      <c r="BZ590" s="92"/>
      <c r="CA590" s="92">
        <v>202.2</v>
      </c>
      <c r="CB590" s="92">
        <v>0.33300000000000002</v>
      </c>
      <c r="CC590" s="92">
        <v>0</v>
      </c>
      <c r="CD590" s="92" t="s">
        <v>1550</v>
      </c>
      <c r="CE590" s="92" t="s">
        <v>1551</v>
      </c>
      <c r="CF590" s="92" t="s">
        <v>1534</v>
      </c>
      <c r="CG590" s="92">
        <v>300</v>
      </c>
      <c r="CH590" s="92">
        <v>420</v>
      </c>
      <c r="CI590" s="68"/>
      <c r="CJ590" s="68"/>
      <c r="CK590" s="125">
        <v>12934</v>
      </c>
    </row>
    <row r="591" spans="1:89" ht="15" thickBot="1" x14ac:dyDescent="0.35">
      <c r="A591" s="92" t="s">
        <v>3128</v>
      </c>
      <c r="C591" t="s">
        <v>3386</v>
      </c>
      <c r="E591" s="92">
        <v>2.4300000000000002</v>
      </c>
      <c r="F591" s="115" t="s">
        <v>3126</v>
      </c>
      <c r="G591" s="8" t="s">
        <v>593</v>
      </c>
      <c r="H591" t="s">
        <v>667</v>
      </c>
      <c r="J591" s="73" t="s">
        <v>3505</v>
      </c>
      <c r="K591" s="73" t="s">
        <v>3505</v>
      </c>
      <c r="M591" t="b">
        <v>1</v>
      </c>
      <c r="N591" t="b">
        <v>1</v>
      </c>
      <c r="O591" t="b">
        <v>0</v>
      </c>
      <c r="P591" t="b">
        <v>0</v>
      </c>
      <c r="Q591" t="s">
        <v>3860</v>
      </c>
      <c r="R591" t="s">
        <v>3861</v>
      </c>
      <c r="AB591" s="92"/>
      <c r="BT591" s="90" t="s">
        <v>1407</v>
      </c>
      <c r="BU591" s="92">
        <v>413</v>
      </c>
      <c r="BV591" s="92">
        <v>12</v>
      </c>
      <c r="BW591" s="68"/>
      <c r="BX591" s="92"/>
      <c r="BY591" s="92"/>
      <c r="BZ591" s="92"/>
      <c r="CA591" s="92">
        <v>206.5</v>
      </c>
      <c r="CB591" s="92">
        <v>0.33300000000000002</v>
      </c>
      <c r="CC591" s="92">
        <v>0</v>
      </c>
      <c r="CD591" s="92" t="s">
        <v>1550</v>
      </c>
      <c r="CE591" s="92" t="s">
        <v>1551</v>
      </c>
      <c r="CF591" s="92" t="s">
        <v>1534</v>
      </c>
      <c r="CG591" s="92">
        <v>300</v>
      </c>
      <c r="CH591" s="92">
        <v>420</v>
      </c>
      <c r="CI591" s="68"/>
      <c r="CJ591" s="68"/>
      <c r="CK591" s="125">
        <v>21318.799999999999</v>
      </c>
    </row>
    <row r="592" spans="1:89" ht="15" thickBot="1" x14ac:dyDescent="0.35">
      <c r="A592" s="92" t="s">
        <v>3129</v>
      </c>
      <c r="C592" t="s">
        <v>3386</v>
      </c>
      <c r="E592" s="92">
        <v>2.41</v>
      </c>
      <c r="F592" s="115" t="s">
        <v>3126</v>
      </c>
      <c r="G592" s="8" t="s">
        <v>593</v>
      </c>
      <c r="H592" t="s">
        <v>667</v>
      </c>
      <c r="J592" s="73" t="s">
        <v>3506</v>
      </c>
      <c r="K592" s="73" t="s">
        <v>3506</v>
      </c>
      <c r="M592" t="b">
        <v>1</v>
      </c>
      <c r="N592" t="b">
        <v>1</v>
      </c>
      <c r="O592" t="b">
        <v>0</v>
      </c>
      <c r="P592" t="b">
        <v>0</v>
      </c>
      <c r="Q592" t="s">
        <v>3862</v>
      </c>
      <c r="R592" t="s">
        <v>3863</v>
      </c>
      <c r="AB592" s="92"/>
      <c r="BT592" s="90" t="s">
        <v>1407</v>
      </c>
      <c r="BU592" s="92">
        <v>413</v>
      </c>
      <c r="BV592" s="92">
        <v>12</v>
      </c>
      <c r="BW592" s="68"/>
      <c r="BX592" s="92"/>
      <c r="BY592" s="92"/>
      <c r="BZ592" s="92"/>
      <c r="CA592" s="92">
        <v>197.7</v>
      </c>
      <c r="CB592" s="92">
        <v>0.33300000000000002</v>
      </c>
      <c r="CC592" s="92">
        <v>0</v>
      </c>
      <c r="CD592" s="92" t="s">
        <v>1550</v>
      </c>
      <c r="CE592" s="92" t="s">
        <v>1551</v>
      </c>
      <c r="CF592" s="92" t="s">
        <v>1534</v>
      </c>
      <c r="CG592" s="92">
        <v>300</v>
      </c>
      <c r="CH592" s="92">
        <v>420</v>
      </c>
      <c r="CI592" s="68"/>
      <c r="CJ592" s="68"/>
      <c r="CK592" s="125">
        <v>13870.6</v>
      </c>
    </row>
    <row r="593" spans="1:89" ht="15" thickBot="1" x14ac:dyDescent="0.35">
      <c r="A593" s="92" t="s">
        <v>3130</v>
      </c>
      <c r="C593" t="s">
        <v>3386</v>
      </c>
      <c r="E593" s="90">
        <v>2.39</v>
      </c>
      <c r="F593" s="114" t="s">
        <v>3126</v>
      </c>
      <c r="G593" s="8" t="s">
        <v>593</v>
      </c>
      <c r="H593" t="s">
        <v>667</v>
      </c>
      <c r="J593" s="73" t="s">
        <v>3507</v>
      </c>
      <c r="K593" s="73" t="s">
        <v>3507</v>
      </c>
      <c r="M593" t="b">
        <v>1</v>
      </c>
      <c r="N593" t="b">
        <v>1</v>
      </c>
      <c r="O593" t="b">
        <v>0</v>
      </c>
      <c r="P593" t="b">
        <v>0</v>
      </c>
      <c r="Q593" t="s">
        <v>3864</v>
      </c>
      <c r="R593" t="s">
        <v>3865</v>
      </c>
      <c r="AB593" s="90"/>
      <c r="BT593" s="90" t="s">
        <v>1407</v>
      </c>
      <c r="BU593" s="90">
        <v>413</v>
      </c>
      <c r="BV593" s="90">
        <v>12</v>
      </c>
      <c r="BW593" s="68"/>
      <c r="BX593" s="90"/>
      <c r="BY593" s="90"/>
      <c r="BZ593" s="90"/>
      <c r="CA593" s="90">
        <v>167.1</v>
      </c>
      <c r="CB593" s="90">
        <v>0.33300000000000002</v>
      </c>
      <c r="CC593" s="90">
        <v>0</v>
      </c>
      <c r="CD593" s="90" t="s">
        <v>1550</v>
      </c>
      <c r="CE593" s="90" t="s">
        <v>1551</v>
      </c>
      <c r="CF593" s="90" t="s">
        <v>1534</v>
      </c>
      <c r="CG593" s="90">
        <v>300</v>
      </c>
      <c r="CH593" s="90">
        <v>420</v>
      </c>
      <c r="CI593" s="68"/>
      <c r="CJ593" s="68"/>
      <c r="CK593" s="125">
        <v>13870.6</v>
      </c>
    </row>
    <row r="594" spans="1:89" ht="15" thickBot="1" x14ac:dyDescent="0.35">
      <c r="A594" s="92" t="s">
        <v>3131</v>
      </c>
      <c r="C594" t="s">
        <v>3386</v>
      </c>
      <c r="E594" s="90">
        <v>2.38</v>
      </c>
      <c r="F594" s="114" t="s">
        <v>3126</v>
      </c>
      <c r="G594" s="8" t="s">
        <v>593</v>
      </c>
      <c r="H594" t="s">
        <v>667</v>
      </c>
      <c r="J594" s="73" t="s">
        <v>3508</v>
      </c>
      <c r="K594" s="73" t="s">
        <v>3508</v>
      </c>
      <c r="M594" t="b">
        <v>1</v>
      </c>
      <c r="N594" t="b">
        <v>1</v>
      </c>
      <c r="O594" t="b">
        <v>0</v>
      </c>
      <c r="P594" t="b">
        <v>0</v>
      </c>
      <c r="Q594" t="s">
        <v>3866</v>
      </c>
      <c r="R594" t="s">
        <v>3867</v>
      </c>
      <c r="AB594" s="90"/>
      <c r="BT594" s="90" t="s">
        <v>1407</v>
      </c>
      <c r="BU594" s="90">
        <v>413</v>
      </c>
      <c r="BV594" s="90">
        <v>12</v>
      </c>
      <c r="BW594" s="68"/>
      <c r="BX594" s="90"/>
      <c r="BY594" s="90"/>
      <c r="BZ594" s="90"/>
      <c r="CA594" s="90">
        <v>163</v>
      </c>
      <c r="CB594" s="90">
        <v>0.33300000000000002</v>
      </c>
      <c r="CC594" s="90">
        <v>0</v>
      </c>
      <c r="CD594" s="90" t="s">
        <v>1550</v>
      </c>
      <c r="CE594" s="90" t="s">
        <v>1551</v>
      </c>
      <c r="CF594" s="90" t="s">
        <v>1534</v>
      </c>
      <c r="CG594" s="90">
        <v>300</v>
      </c>
      <c r="CH594" s="90">
        <v>420</v>
      </c>
      <c r="CI594" s="68"/>
      <c r="CJ594" s="68"/>
      <c r="CK594" s="125">
        <v>10927</v>
      </c>
    </row>
    <row r="595" spans="1:89" ht="15" thickBot="1" x14ac:dyDescent="0.35">
      <c r="A595" s="114" t="s">
        <v>3133</v>
      </c>
      <c r="C595" t="s">
        <v>3387</v>
      </c>
      <c r="E595" s="90">
        <v>2.31</v>
      </c>
      <c r="F595" s="114" t="s">
        <v>3132</v>
      </c>
      <c r="G595" t="s">
        <v>3155</v>
      </c>
      <c r="H595" t="s">
        <v>3156</v>
      </c>
      <c r="J595" s="73" t="s">
        <v>3509</v>
      </c>
      <c r="K595" s="73" t="s">
        <v>3509</v>
      </c>
      <c r="M595" t="b">
        <v>1</v>
      </c>
      <c r="N595" t="b">
        <v>1</v>
      </c>
      <c r="O595" t="b">
        <v>0</v>
      </c>
      <c r="P595" t="b">
        <v>0</v>
      </c>
      <c r="Q595" t="s">
        <v>3868</v>
      </c>
      <c r="R595" t="s">
        <v>3869</v>
      </c>
      <c r="AB595" s="120"/>
      <c r="BT595" s="90" t="s">
        <v>1407</v>
      </c>
      <c r="BU595" s="90">
        <v>473</v>
      </c>
      <c r="BV595" s="90">
        <v>48</v>
      </c>
      <c r="BW595" s="68"/>
      <c r="BX595" s="90" t="s">
        <v>1533</v>
      </c>
      <c r="BY595" s="90" t="s">
        <v>863</v>
      </c>
      <c r="BZ595" s="90">
        <v>1</v>
      </c>
      <c r="CA595" s="90">
        <v>7.0301</v>
      </c>
      <c r="CB595" s="90">
        <v>1</v>
      </c>
      <c r="CC595" s="90">
        <v>10</v>
      </c>
      <c r="CD595" s="90" t="s">
        <v>1575</v>
      </c>
      <c r="CE595" s="90"/>
      <c r="CF595" s="90" t="s">
        <v>1534</v>
      </c>
      <c r="CG595" s="90">
        <v>300</v>
      </c>
      <c r="CH595" s="90">
        <v>250</v>
      </c>
      <c r="CI595" s="68"/>
      <c r="CJ595" s="68"/>
      <c r="CK595" s="125">
        <v>64</v>
      </c>
    </row>
    <row r="596" spans="1:89" ht="15" thickBot="1" x14ac:dyDescent="0.35">
      <c r="A596" s="114" t="s">
        <v>3133</v>
      </c>
      <c r="C596" t="s">
        <v>3387</v>
      </c>
      <c r="E596" s="90">
        <v>2.31</v>
      </c>
      <c r="F596" s="114" t="s">
        <v>3132</v>
      </c>
      <c r="G596" t="s">
        <v>3155</v>
      </c>
      <c r="H596" t="s">
        <v>3156</v>
      </c>
      <c r="J596" s="73" t="s">
        <v>3509</v>
      </c>
      <c r="K596" s="73" t="s">
        <v>3509</v>
      </c>
      <c r="M596" t="b">
        <v>1</v>
      </c>
      <c r="N596" t="b">
        <v>1</v>
      </c>
      <c r="O596" t="b">
        <v>0</v>
      </c>
      <c r="P596" t="b">
        <v>0</v>
      </c>
      <c r="Q596" t="s">
        <v>3870</v>
      </c>
      <c r="R596" t="s">
        <v>3871</v>
      </c>
      <c r="AB596" s="120"/>
      <c r="BT596" s="90" t="s">
        <v>1407</v>
      </c>
      <c r="BU596" s="90">
        <v>473</v>
      </c>
      <c r="BV596" s="90">
        <v>48</v>
      </c>
      <c r="BW596" s="68"/>
      <c r="BX596" s="90" t="s">
        <v>1533</v>
      </c>
      <c r="BY596" s="90" t="s">
        <v>863</v>
      </c>
      <c r="BZ596" s="90">
        <v>1</v>
      </c>
      <c r="CA596" s="90">
        <v>7.0301</v>
      </c>
      <c r="CB596" s="90">
        <v>1</v>
      </c>
      <c r="CC596" s="90">
        <v>10</v>
      </c>
      <c r="CD596" s="90" t="s">
        <v>1575</v>
      </c>
      <c r="CE596" s="90"/>
      <c r="CF596" s="90" t="s">
        <v>1534</v>
      </c>
      <c r="CG596" s="90">
        <v>300</v>
      </c>
      <c r="CH596" s="90">
        <v>400</v>
      </c>
      <c r="CI596" s="68"/>
      <c r="CJ596" s="68"/>
      <c r="CK596" s="125">
        <v>28.8</v>
      </c>
    </row>
    <row r="597" spans="1:89" ht="15" thickBot="1" x14ac:dyDescent="0.35">
      <c r="A597" s="114" t="s">
        <v>3124</v>
      </c>
      <c r="C597" t="s">
        <v>3385</v>
      </c>
      <c r="E597" s="90">
        <v>2.52</v>
      </c>
      <c r="F597" s="114" t="s">
        <v>3132</v>
      </c>
      <c r="G597" t="s">
        <v>3155</v>
      </c>
      <c r="H597" t="s">
        <v>3156</v>
      </c>
      <c r="J597" s="73" t="s">
        <v>3510</v>
      </c>
      <c r="K597" s="73" t="s">
        <v>3510</v>
      </c>
      <c r="M597" t="b">
        <v>1</v>
      </c>
      <c r="N597" t="b">
        <v>1</v>
      </c>
      <c r="O597" t="b">
        <v>0</v>
      </c>
      <c r="P597" t="b">
        <v>0</v>
      </c>
      <c r="Q597" t="s">
        <v>3872</v>
      </c>
      <c r="R597" t="s">
        <v>3873</v>
      </c>
      <c r="AB597" s="120"/>
      <c r="BT597" s="90" t="s">
        <v>1407</v>
      </c>
      <c r="BU597" s="90">
        <v>473</v>
      </c>
      <c r="BV597" s="90">
        <v>48</v>
      </c>
      <c r="BW597" s="68"/>
      <c r="BX597" s="90" t="s">
        <v>1533</v>
      </c>
      <c r="BY597" s="90" t="s">
        <v>863</v>
      </c>
      <c r="BZ597" s="90">
        <v>1</v>
      </c>
      <c r="CA597" s="90">
        <v>3.3447</v>
      </c>
      <c r="CB597" s="90">
        <v>1</v>
      </c>
      <c r="CC597" s="90">
        <v>10</v>
      </c>
      <c r="CD597" s="90" t="s">
        <v>1575</v>
      </c>
      <c r="CE597" s="90"/>
      <c r="CF597" s="90" t="s">
        <v>1534</v>
      </c>
      <c r="CG597" s="90">
        <v>300</v>
      </c>
      <c r="CH597" s="90">
        <v>250</v>
      </c>
      <c r="CI597" s="68"/>
      <c r="CJ597" s="68"/>
      <c r="CK597" s="125">
        <v>32</v>
      </c>
    </row>
    <row r="598" spans="1:89" ht="15" thickBot="1" x14ac:dyDescent="0.35">
      <c r="A598" s="114" t="s">
        <v>3124</v>
      </c>
      <c r="C598" t="s">
        <v>3385</v>
      </c>
      <c r="E598" s="90">
        <v>2.52</v>
      </c>
      <c r="F598" s="114" t="s">
        <v>3132</v>
      </c>
      <c r="G598" t="s">
        <v>3155</v>
      </c>
      <c r="H598" t="s">
        <v>3156</v>
      </c>
      <c r="J598" s="73" t="s">
        <v>3510</v>
      </c>
      <c r="K598" s="73" t="s">
        <v>3510</v>
      </c>
      <c r="M598" t="b">
        <v>1</v>
      </c>
      <c r="N598" t="b">
        <v>1</v>
      </c>
      <c r="O598" t="b">
        <v>0</v>
      </c>
      <c r="P598" t="b">
        <v>0</v>
      </c>
      <c r="Q598" t="s">
        <v>3874</v>
      </c>
      <c r="R598" t="s">
        <v>3875</v>
      </c>
      <c r="AB598" s="120"/>
      <c r="BT598" s="90" t="s">
        <v>1407</v>
      </c>
      <c r="BU598" s="90">
        <v>473</v>
      </c>
      <c r="BV598" s="90">
        <v>48</v>
      </c>
      <c r="BW598" s="68"/>
      <c r="BX598" s="90" t="s">
        <v>1533</v>
      </c>
      <c r="BY598" s="90" t="s">
        <v>863</v>
      </c>
      <c r="BZ598" s="90">
        <v>1</v>
      </c>
      <c r="CA598" s="90">
        <v>3.3447</v>
      </c>
      <c r="CB598" s="90">
        <v>1</v>
      </c>
      <c r="CC598" s="90">
        <v>10</v>
      </c>
      <c r="CD598" s="90" t="s">
        <v>1575</v>
      </c>
      <c r="CE598" s="90"/>
      <c r="CF598" s="90" t="s">
        <v>1534</v>
      </c>
      <c r="CG598" s="90">
        <v>300</v>
      </c>
      <c r="CH598" s="90">
        <v>400</v>
      </c>
      <c r="CI598" s="68"/>
      <c r="CJ598" s="68"/>
      <c r="CK598" s="125">
        <v>6</v>
      </c>
    </row>
    <row r="599" spans="1:89" ht="15" thickBot="1" x14ac:dyDescent="0.35">
      <c r="A599" s="114" t="s">
        <v>3134</v>
      </c>
      <c r="C599" t="s">
        <v>3388</v>
      </c>
      <c r="E599" s="90">
        <v>2.4900000000000002</v>
      </c>
      <c r="F599" s="114" t="s">
        <v>3132</v>
      </c>
      <c r="G599" t="s">
        <v>3155</v>
      </c>
      <c r="H599" t="s">
        <v>3156</v>
      </c>
      <c r="J599" s="73" t="s">
        <v>3511</v>
      </c>
      <c r="K599" s="73" t="s">
        <v>3511</v>
      </c>
      <c r="M599" t="b">
        <v>1</v>
      </c>
      <c r="N599" t="b">
        <v>1</v>
      </c>
      <c r="O599" t="b">
        <v>0</v>
      </c>
      <c r="P599" t="b">
        <v>0</v>
      </c>
      <c r="Q599" t="s">
        <v>3876</v>
      </c>
      <c r="R599" t="s">
        <v>3877</v>
      </c>
      <c r="AB599" s="120"/>
      <c r="BT599" s="90" t="s">
        <v>1407</v>
      </c>
      <c r="BU599" s="90">
        <v>473</v>
      </c>
      <c r="BV599" s="90">
        <v>48</v>
      </c>
      <c r="BW599" s="68"/>
      <c r="BX599" s="90" t="s">
        <v>1533</v>
      </c>
      <c r="BY599" s="90" t="s">
        <v>863</v>
      </c>
      <c r="BZ599" s="90">
        <v>1</v>
      </c>
      <c r="CA599" s="90">
        <v>22.463100000000001</v>
      </c>
      <c r="CB599" s="90">
        <v>1</v>
      </c>
      <c r="CC599" s="90">
        <v>10</v>
      </c>
      <c r="CD599" s="90" t="s">
        <v>1575</v>
      </c>
      <c r="CE599" s="90"/>
      <c r="CF599" s="90" t="s">
        <v>1534</v>
      </c>
      <c r="CG599" s="90">
        <v>300</v>
      </c>
      <c r="CH599" s="90">
        <v>250</v>
      </c>
      <c r="CI599" s="68"/>
      <c r="CJ599" s="68"/>
      <c r="CK599" s="125">
        <v>5.83</v>
      </c>
    </row>
    <row r="600" spans="1:89" ht="15" thickBot="1" x14ac:dyDescent="0.35">
      <c r="A600" s="114" t="s">
        <v>3134</v>
      </c>
      <c r="C600" t="s">
        <v>3388</v>
      </c>
      <c r="E600" s="90">
        <v>2.4900000000000002</v>
      </c>
      <c r="F600" s="114" t="s">
        <v>3132</v>
      </c>
      <c r="G600" t="s">
        <v>3155</v>
      </c>
      <c r="H600" t="s">
        <v>3156</v>
      </c>
      <c r="J600" s="73" t="s">
        <v>3511</v>
      </c>
      <c r="K600" s="73" t="s">
        <v>3511</v>
      </c>
      <c r="M600" t="b">
        <v>1</v>
      </c>
      <c r="N600" t="b">
        <v>1</v>
      </c>
      <c r="O600" t="b">
        <v>0</v>
      </c>
      <c r="P600" t="b">
        <v>0</v>
      </c>
      <c r="Q600" t="s">
        <v>3878</v>
      </c>
      <c r="R600" t="s">
        <v>3879</v>
      </c>
      <c r="AB600" s="120"/>
      <c r="BT600" s="90" t="s">
        <v>1407</v>
      </c>
      <c r="BU600" s="90">
        <v>473</v>
      </c>
      <c r="BV600" s="90">
        <v>48</v>
      </c>
      <c r="BW600" s="68"/>
      <c r="BX600" s="90" t="s">
        <v>1533</v>
      </c>
      <c r="BY600" s="90" t="s">
        <v>863</v>
      </c>
      <c r="BZ600" s="90">
        <v>1</v>
      </c>
      <c r="CA600" s="90">
        <v>22.463100000000001</v>
      </c>
      <c r="CB600" s="90">
        <v>1</v>
      </c>
      <c r="CC600" s="90">
        <v>10</v>
      </c>
      <c r="CD600" s="90" t="s">
        <v>1575</v>
      </c>
      <c r="CE600" s="90"/>
      <c r="CF600" s="90" t="s">
        <v>1534</v>
      </c>
      <c r="CG600" s="90">
        <v>300</v>
      </c>
      <c r="CH600" s="90">
        <v>400</v>
      </c>
      <c r="CI600" s="68"/>
      <c r="CJ600" s="68"/>
      <c r="CK600" s="125">
        <v>2</v>
      </c>
    </row>
    <row r="601" spans="1:89" ht="15" thickBot="1" x14ac:dyDescent="0.35">
      <c r="A601" s="114" t="s">
        <v>51</v>
      </c>
      <c r="C601" t="s">
        <v>703</v>
      </c>
      <c r="E601" s="90">
        <v>4.21</v>
      </c>
      <c r="F601" s="114" t="s">
        <v>3135</v>
      </c>
      <c r="G601" t="s">
        <v>536</v>
      </c>
      <c r="H601" t="s">
        <v>617</v>
      </c>
      <c r="M601" t="b">
        <v>1</v>
      </c>
      <c r="N601" t="b">
        <v>1</v>
      </c>
      <c r="O601" t="b">
        <v>0</v>
      </c>
      <c r="P601" t="b">
        <v>0</v>
      </c>
      <c r="Q601" t="s">
        <v>536</v>
      </c>
      <c r="R601">
        <v>1521923</v>
      </c>
      <c r="AB601" s="90"/>
      <c r="BT601" s="90" t="s">
        <v>1407</v>
      </c>
      <c r="BU601" s="90">
        <v>1273</v>
      </c>
      <c r="BV601" s="90">
        <v>2</v>
      </c>
      <c r="BW601" s="68"/>
      <c r="BX601" s="90"/>
      <c r="BY601" s="90"/>
      <c r="BZ601" s="90"/>
      <c r="CA601" s="90"/>
      <c r="CB601" s="90">
        <v>0.5</v>
      </c>
      <c r="CC601" s="90">
        <v>12.5</v>
      </c>
      <c r="CD601" s="90" t="s">
        <v>1637</v>
      </c>
      <c r="CE601" s="90"/>
      <c r="CF601" s="90" t="s">
        <v>1552</v>
      </c>
      <c r="CG601" s="90">
        <v>350</v>
      </c>
      <c r="CH601" s="90"/>
      <c r="CI601" s="68"/>
      <c r="CJ601" s="68"/>
      <c r="CK601" s="125">
        <v>2640</v>
      </c>
    </row>
    <row r="602" spans="1:89" ht="15" thickBot="1" x14ac:dyDescent="0.35">
      <c r="A602" s="114" t="s">
        <v>3136</v>
      </c>
      <c r="C602" t="s">
        <v>3389</v>
      </c>
      <c r="E602" s="90">
        <v>4.6100000000000003</v>
      </c>
      <c r="F602" s="114" t="s">
        <v>3135</v>
      </c>
      <c r="G602" t="s">
        <v>536</v>
      </c>
      <c r="H602" t="s">
        <v>617</v>
      </c>
      <c r="J602" s="73" t="s">
        <v>3512</v>
      </c>
      <c r="K602" s="73" t="s">
        <v>3512</v>
      </c>
      <c r="M602" t="b">
        <v>1</v>
      </c>
      <c r="N602" t="b">
        <v>1</v>
      </c>
      <c r="O602" t="b">
        <v>0</v>
      </c>
      <c r="P602" t="b">
        <v>0</v>
      </c>
      <c r="Q602" t="s">
        <v>3880</v>
      </c>
      <c r="R602" t="s">
        <v>3881</v>
      </c>
      <c r="AB602" s="90"/>
      <c r="BT602" s="90" t="s">
        <v>1407</v>
      </c>
      <c r="BU602" s="90">
        <v>1273</v>
      </c>
      <c r="BV602" s="90">
        <v>2</v>
      </c>
      <c r="BW602" s="68"/>
      <c r="BX602" s="90"/>
      <c r="BY602" s="90"/>
      <c r="BZ602" s="90"/>
      <c r="CA602" s="90"/>
      <c r="CB602" s="90">
        <v>0.5</v>
      </c>
      <c r="CC602" s="90">
        <v>12.5</v>
      </c>
      <c r="CD602" s="90" t="s">
        <v>1637</v>
      </c>
      <c r="CE602" s="90"/>
      <c r="CF602" s="90" t="s">
        <v>1552</v>
      </c>
      <c r="CG602" s="90">
        <v>350</v>
      </c>
      <c r="CH602" s="90"/>
      <c r="CI602" s="68"/>
      <c r="CJ602" s="68"/>
      <c r="CK602" s="125">
        <v>2470</v>
      </c>
    </row>
    <row r="603" spans="1:89" ht="15" thickBot="1" x14ac:dyDescent="0.35">
      <c r="A603" s="114" t="s">
        <v>3137</v>
      </c>
      <c r="C603" t="s">
        <v>3389</v>
      </c>
      <c r="E603" s="90">
        <v>4.78</v>
      </c>
      <c r="F603" s="114" t="s">
        <v>3135</v>
      </c>
      <c r="G603" t="s">
        <v>536</v>
      </c>
      <c r="H603" t="s">
        <v>617</v>
      </c>
      <c r="J603" s="73" t="s">
        <v>3513</v>
      </c>
      <c r="K603" s="73" t="s">
        <v>3513</v>
      </c>
      <c r="M603" t="b">
        <v>1</v>
      </c>
      <c r="N603" t="b">
        <v>1</v>
      </c>
      <c r="O603" t="b">
        <v>0</v>
      </c>
      <c r="P603" t="b">
        <v>0</v>
      </c>
      <c r="Q603" t="s">
        <v>3882</v>
      </c>
      <c r="R603" t="s">
        <v>3883</v>
      </c>
      <c r="AB603" s="90"/>
      <c r="BT603" s="90" t="s">
        <v>1407</v>
      </c>
      <c r="BU603" s="90">
        <v>1273</v>
      </c>
      <c r="BV603" s="90">
        <v>2</v>
      </c>
      <c r="BW603" s="68"/>
      <c r="BX603" s="90"/>
      <c r="BY603" s="90"/>
      <c r="BZ603" s="90"/>
      <c r="CA603" s="90"/>
      <c r="CB603" s="90">
        <v>0.5</v>
      </c>
      <c r="CC603" s="90">
        <v>12.5</v>
      </c>
      <c r="CD603" s="90" t="s">
        <v>1637</v>
      </c>
      <c r="CE603" s="90"/>
      <c r="CF603" s="90" t="s">
        <v>1552</v>
      </c>
      <c r="CG603" s="90">
        <v>350</v>
      </c>
      <c r="CH603" s="90"/>
      <c r="CI603" s="68"/>
      <c r="CJ603" s="68"/>
      <c r="CK603" s="125">
        <v>3000</v>
      </c>
    </row>
    <row r="604" spans="1:89" ht="15" thickBot="1" x14ac:dyDescent="0.35">
      <c r="A604" s="114" t="s">
        <v>3138</v>
      </c>
      <c r="C604" t="s">
        <v>3389</v>
      </c>
      <c r="E604" s="90">
        <v>5.0599999999999996</v>
      </c>
      <c r="F604" s="114" t="s">
        <v>3135</v>
      </c>
      <c r="G604" t="s">
        <v>536</v>
      </c>
      <c r="H604" t="s">
        <v>617</v>
      </c>
      <c r="J604" s="73" t="s">
        <v>3514</v>
      </c>
      <c r="K604" s="73" t="s">
        <v>3514</v>
      </c>
      <c r="M604" t="b">
        <v>1</v>
      </c>
      <c r="N604" t="b">
        <v>1</v>
      </c>
      <c r="O604" t="b">
        <v>0</v>
      </c>
      <c r="P604" t="b">
        <v>0</v>
      </c>
      <c r="Q604" t="s">
        <v>3884</v>
      </c>
      <c r="R604" t="s">
        <v>3885</v>
      </c>
      <c r="AB604" s="90"/>
      <c r="BT604" s="90" t="s">
        <v>1264</v>
      </c>
      <c r="BU604" s="90">
        <v>1273</v>
      </c>
      <c r="BV604" s="90">
        <v>2</v>
      </c>
      <c r="BW604" s="68"/>
      <c r="BX604" s="90"/>
      <c r="BY604" s="90"/>
      <c r="BZ604" s="90"/>
      <c r="CA604" s="90"/>
      <c r="CB604" s="90">
        <v>0.5</v>
      </c>
      <c r="CC604" s="90">
        <v>12.5</v>
      </c>
      <c r="CD604" s="90" t="s">
        <v>1637</v>
      </c>
      <c r="CE604" s="90"/>
      <c r="CF604" s="90" t="s">
        <v>1552</v>
      </c>
      <c r="CG604" s="90">
        <v>350</v>
      </c>
      <c r="CH604" s="90"/>
      <c r="CI604" s="68"/>
      <c r="CJ604" s="68"/>
      <c r="CK604" s="125">
        <v>3460</v>
      </c>
    </row>
    <row r="605" spans="1:89" ht="15" thickBot="1" x14ac:dyDescent="0.35">
      <c r="A605" s="114" t="s">
        <v>3139</v>
      </c>
      <c r="C605" t="s">
        <v>3389</v>
      </c>
      <c r="E605" s="90">
        <v>5.85</v>
      </c>
      <c r="F605" s="114" t="s">
        <v>3135</v>
      </c>
      <c r="G605" t="s">
        <v>536</v>
      </c>
      <c r="H605" t="s">
        <v>617</v>
      </c>
      <c r="J605" s="73" t="s">
        <v>3515</v>
      </c>
      <c r="K605" s="73" t="s">
        <v>3515</v>
      </c>
      <c r="M605" t="b">
        <v>1</v>
      </c>
      <c r="N605" t="b">
        <v>1</v>
      </c>
      <c r="O605" t="b">
        <v>0</v>
      </c>
      <c r="P605" t="b">
        <v>0</v>
      </c>
      <c r="Q605" t="s">
        <v>3886</v>
      </c>
      <c r="R605" t="s">
        <v>3887</v>
      </c>
      <c r="AB605" s="90"/>
      <c r="BT605" s="90" t="s">
        <v>1264</v>
      </c>
      <c r="BU605" s="90">
        <v>1273</v>
      </c>
      <c r="BV605" s="90">
        <v>2</v>
      </c>
      <c r="BW605" s="68"/>
      <c r="BX605" s="90"/>
      <c r="BY605" s="90"/>
      <c r="BZ605" s="90"/>
      <c r="CA605" s="90"/>
      <c r="CB605" s="90">
        <v>0.5</v>
      </c>
      <c r="CC605" s="90">
        <v>12.5</v>
      </c>
      <c r="CD605" s="90" t="s">
        <v>1637</v>
      </c>
      <c r="CE605" s="90"/>
      <c r="CF605" s="90" t="s">
        <v>1552</v>
      </c>
      <c r="CG605" s="90">
        <v>350</v>
      </c>
      <c r="CH605" s="90"/>
      <c r="CI605" s="68"/>
      <c r="CJ605" s="68"/>
      <c r="CK605" s="125">
        <v>4640</v>
      </c>
    </row>
    <row r="606" spans="1:89" ht="15" thickBot="1" x14ac:dyDescent="0.35">
      <c r="A606" s="114" t="s">
        <v>3141</v>
      </c>
      <c r="C606" t="s">
        <v>3390</v>
      </c>
      <c r="E606" s="90">
        <v>3.58</v>
      </c>
      <c r="F606" s="114" t="s">
        <v>3140</v>
      </c>
      <c r="G606" t="s">
        <v>3242</v>
      </c>
      <c r="H606" t="s">
        <v>3243</v>
      </c>
      <c r="M606" t="b">
        <v>1</v>
      </c>
      <c r="N606" t="b">
        <v>1</v>
      </c>
      <c r="O606" t="b">
        <v>0</v>
      </c>
      <c r="P606" t="b">
        <v>0</v>
      </c>
      <c r="Q606" t="s">
        <v>3242</v>
      </c>
      <c r="R606">
        <v>4000748</v>
      </c>
      <c r="AB606" s="90"/>
      <c r="BT606" s="90" t="s">
        <v>1264</v>
      </c>
      <c r="BU606" s="90">
        <v>453</v>
      </c>
      <c r="BV606" s="90">
        <v>4</v>
      </c>
      <c r="BW606" s="68"/>
      <c r="BX606" s="90"/>
      <c r="BY606" s="90"/>
      <c r="BZ606" s="90"/>
      <c r="CA606" s="90">
        <v>48</v>
      </c>
      <c r="CB606" s="90">
        <v>0.5</v>
      </c>
      <c r="CC606" s="90">
        <v>0</v>
      </c>
      <c r="CD606" s="90"/>
      <c r="CE606" s="90"/>
      <c r="CF606" s="90" t="s">
        <v>1572</v>
      </c>
      <c r="CG606" s="90">
        <v>300</v>
      </c>
      <c r="CH606" s="90">
        <v>254</v>
      </c>
      <c r="CI606" s="68"/>
      <c r="CJ606" s="68"/>
      <c r="CK606" s="125">
        <v>85</v>
      </c>
    </row>
    <row r="607" spans="1:89" ht="15" thickBot="1" x14ac:dyDescent="0.35">
      <c r="A607" s="114" t="s">
        <v>3141</v>
      </c>
      <c r="C607" t="s">
        <v>3390</v>
      </c>
      <c r="E607" s="90">
        <v>3.58</v>
      </c>
      <c r="F607" s="114" t="s">
        <v>3140</v>
      </c>
      <c r="G607" t="s">
        <v>3242</v>
      </c>
      <c r="H607" t="s">
        <v>3243</v>
      </c>
      <c r="M607" t="b">
        <v>1</v>
      </c>
      <c r="N607" t="b">
        <v>1</v>
      </c>
      <c r="O607" t="b">
        <v>0</v>
      </c>
      <c r="P607" t="b">
        <v>0</v>
      </c>
      <c r="Q607" t="s">
        <v>3242</v>
      </c>
      <c r="R607">
        <v>4000748</v>
      </c>
      <c r="AB607" s="90"/>
      <c r="BT607" s="90" t="s">
        <v>1264</v>
      </c>
      <c r="BU607" s="90">
        <v>673</v>
      </c>
      <c r="BV607" s="90">
        <v>4</v>
      </c>
      <c r="BW607" s="68"/>
      <c r="BX607" s="90"/>
      <c r="BY607" s="90"/>
      <c r="BZ607" s="90"/>
      <c r="CA607" s="90">
        <v>29</v>
      </c>
      <c r="CB607" s="90">
        <v>0.5</v>
      </c>
      <c r="CC607" s="90">
        <v>0</v>
      </c>
      <c r="CD607" s="90"/>
      <c r="CE607" s="90"/>
      <c r="CF607" s="90" t="s">
        <v>1572</v>
      </c>
      <c r="CG607" s="90">
        <v>300</v>
      </c>
      <c r="CH607" s="90">
        <v>254</v>
      </c>
      <c r="CI607" s="68"/>
      <c r="CJ607" s="68"/>
      <c r="CK607" s="125">
        <v>128</v>
      </c>
    </row>
    <row r="608" spans="1:89" ht="15" thickBot="1" x14ac:dyDescent="0.35">
      <c r="A608" s="114" t="s">
        <v>3141</v>
      </c>
      <c r="C608" t="s">
        <v>3390</v>
      </c>
      <c r="E608" s="90">
        <v>3.58</v>
      </c>
      <c r="F608" s="114" t="s">
        <v>3140</v>
      </c>
      <c r="G608" t="s">
        <v>3242</v>
      </c>
      <c r="H608" t="s">
        <v>3243</v>
      </c>
      <c r="M608" t="b">
        <v>1</v>
      </c>
      <c r="N608" t="b">
        <v>1</v>
      </c>
      <c r="O608" t="b">
        <v>0</v>
      </c>
      <c r="P608" t="b">
        <v>0</v>
      </c>
      <c r="Q608" t="s">
        <v>3242</v>
      </c>
      <c r="R608">
        <v>4000748</v>
      </c>
      <c r="AB608" s="90"/>
      <c r="BT608" s="90" t="s">
        <v>1264</v>
      </c>
      <c r="BU608" s="90">
        <v>873</v>
      </c>
      <c r="BV608" s="90">
        <v>4</v>
      </c>
      <c r="BW608" s="68"/>
      <c r="BX608" s="90"/>
      <c r="BY608" s="90"/>
      <c r="BZ608" s="90"/>
      <c r="CA608" s="90">
        <v>22</v>
      </c>
      <c r="CB608" s="90">
        <v>0.5</v>
      </c>
      <c r="CC608" s="90">
        <v>0</v>
      </c>
      <c r="CD608" s="90"/>
      <c r="CE608" s="90"/>
      <c r="CF608" s="90" t="s">
        <v>1572</v>
      </c>
      <c r="CG608" s="90">
        <v>300</v>
      </c>
      <c r="CH608" s="90">
        <v>254</v>
      </c>
      <c r="CI608" s="68"/>
      <c r="CJ608" s="68"/>
      <c r="CK608" s="125">
        <v>213</v>
      </c>
    </row>
    <row r="609" spans="1:89" ht="15" thickBot="1" x14ac:dyDescent="0.35">
      <c r="A609" s="114" t="s">
        <v>3141</v>
      </c>
      <c r="C609" t="s">
        <v>3390</v>
      </c>
      <c r="E609" s="90">
        <v>3.58</v>
      </c>
      <c r="F609" s="114" t="s">
        <v>3140</v>
      </c>
      <c r="G609" t="s">
        <v>3242</v>
      </c>
      <c r="H609" t="s">
        <v>3243</v>
      </c>
      <c r="M609" t="b">
        <v>1</v>
      </c>
      <c r="N609" t="b">
        <v>1</v>
      </c>
      <c r="O609" t="b">
        <v>0</v>
      </c>
      <c r="P609" t="b">
        <v>0</v>
      </c>
      <c r="Q609" t="s">
        <v>3242</v>
      </c>
      <c r="R609">
        <v>4000748</v>
      </c>
      <c r="AB609" s="90"/>
      <c r="BT609" s="90" t="s">
        <v>1538</v>
      </c>
      <c r="BU609" s="90">
        <v>1073</v>
      </c>
      <c r="BV609" s="90">
        <v>4</v>
      </c>
      <c r="BW609" s="68"/>
      <c r="BX609" s="90"/>
      <c r="BY609" s="90"/>
      <c r="BZ609" s="90"/>
      <c r="CA609" s="90">
        <v>12</v>
      </c>
      <c r="CB609" s="90">
        <v>0.5</v>
      </c>
      <c r="CC609" s="90">
        <v>0</v>
      </c>
      <c r="CD609" s="90"/>
      <c r="CE609" s="90"/>
      <c r="CF609" s="90" t="s">
        <v>1572</v>
      </c>
      <c r="CG609" s="90">
        <v>300</v>
      </c>
      <c r="CH609" s="90">
        <v>254</v>
      </c>
      <c r="CI609" s="68"/>
      <c r="CJ609" s="68"/>
      <c r="CK609" s="125">
        <v>179</v>
      </c>
    </row>
    <row r="610" spans="1:89" ht="15" thickBot="1" x14ac:dyDescent="0.35">
      <c r="A610" s="114" t="s">
        <v>3141</v>
      </c>
      <c r="C610" t="s">
        <v>3390</v>
      </c>
      <c r="E610" s="90">
        <v>3.59</v>
      </c>
      <c r="F610" s="114" t="s">
        <v>3140</v>
      </c>
      <c r="G610" t="s">
        <v>3242</v>
      </c>
      <c r="H610" t="s">
        <v>3243</v>
      </c>
      <c r="M610" t="b">
        <v>1</v>
      </c>
      <c r="N610" t="b">
        <v>1</v>
      </c>
      <c r="O610" t="b">
        <v>0</v>
      </c>
      <c r="P610" t="b">
        <v>0</v>
      </c>
      <c r="Q610" t="s">
        <v>3242</v>
      </c>
      <c r="R610">
        <v>4000748</v>
      </c>
      <c r="AB610" s="90"/>
      <c r="BT610" s="90" t="s">
        <v>1538</v>
      </c>
      <c r="BU610" s="90">
        <v>873</v>
      </c>
      <c r="BV610" s="90">
        <v>4</v>
      </c>
      <c r="BW610" s="68"/>
      <c r="BX610" s="90" t="s">
        <v>1533</v>
      </c>
      <c r="BY610" s="90" t="s">
        <v>56</v>
      </c>
      <c r="BZ610" s="90">
        <v>2</v>
      </c>
      <c r="CA610" s="90">
        <v>22</v>
      </c>
      <c r="CB610" s="90">
        <v>0.5</v>
      </c>
      <c r="CC610" s="90">
        <v>0</v>
      </c>
      <c r="CD610" s="90"/>
      <c r="CE610" s="90"/>
      <c r="CF610" s="90" t="s">
        <v>1572</v>
      </c>
      <c r="CG610" s="90">
        <v>300</v>
      </c>
      <c r="CH610" s="90">
        <v>254</v>
      </c>
      <c r="CI610" s="68"/>
      <c r="CJ610" s="68"/>
      <c r="CK610" s="125">
        <v>389</v>
      </c>
    </row>
    <row r="611" spans="1:89" ht="15" thickBot="1" x14ac:dyDescent="0.35">
      <c r="A611" s="114" t="s">
        <v>3142</v>
      </c>
      <c r="C611" t="s">
        <v>3391</v>
      </c>
      <c r="E611" s="90">
        <v>3.62</v>
      </c>
      <c r="F611" s="114" t="s">
        <v>3140</v>
      </c>
      <c r="G611" t="s">
        <v>3242</v>
      </c>
      <c r="H611" t="s">
        <v>3243</v>
      </c>
      <c r="J611" s="73" t="s">
        <v>3422</v>
      </c>
      <c r="K611" s="73" t="s">
        <v>3422</v>
      </c>
      <c r="M611" t="b">
        <v>1</v>
      </c>
      <c r="N611" t="b">
        <v>1</v>
      </c>
      <c r="O611" t="b">
        <v>0</v>
      </c>
      <c r="P611" t="b">
        <v>0</v>
      </c>
      <c r="Q611" t="s">
        <v>3888</v>
      </c>
      <c r="R611" t="s">
        <v>3889</v>
      </c>
      <c r="AB611" s="90"/>
      <c r="BT611" s="90" t="s">
        <v>1538</v>
      </c>
      <c r="BU611" s="90">
        <v>673</v>
      </c>
      <c r="BV611" s="90">
        <v>2</v>
      </c>
      <c r="BW611" s="68"/>
      <c r="BX611" s="90"/>
      <c r="BY611" s="90"/>
      <c r="BZ611" s="90"/>
      <c r="CA611" s="90">
        <v>21</v>
      </c>
      <c r="CB611" s="90">
        <v>0.5</v>
      </c>
      <c r="CC611" s="90">
        <v>0</v>
      </c>
      <c r="CD611" s="90"/>
      <c r="CE611" s="90"/>
      <c r="CF611" s="90" t="s">
        <v>1572</v>
      </c>
      <c r="CG611" s="90">
        <v>300</v>
      </c>
      <c r="CH611" s="90">
        <v>254</v>
      </c>
      <c r="CI611" s="68"/>
      <c r="CJ611" s="68"/>
      <c r="CK611" s="125">
        <v>1896</v>
      </c>
    </row>
    <row r="612" spans="1:89" ht="15" thickBot="1" x14ac:dyDescent="0.35">
      <c r="A612" s="114" t="s">
        <v>3142</v>
      </c>
      <c r="C612" t="s">
        <v>3391</v>
      </c>
      <c r="E612" s="90">
        <v>3.61</v>
      </c>
      <c r="F612" s="114" t="s">
        <v>3140</v>
      </c>
      <c r="G612" t="s">
        <v>3242</v>
      </c>
      <c r="H612" t="s">
        <v>3243</v>
      </c>
      <c r="J612" s="73" t="s">
        <v>3422</v>
      </c>
      <c r="K612" s="73" t="s">
        <v>3422</v>
      </c>
      <c r="M612" t="b">
        <v>1</v>
      </c>
      <c r="N612" t="b">
        <v>1</v>
      </c>
      <c r="O612" t="b">
        <v>0</v>
      </c>
      <c r="P612" t="b">
        <v>0</v>
      </c>
      <c r="Q612" t="s">
        <v>3890</v>
      </c>
      <c r="R612" t="s">
        <v>3891</v>
      </c>
      <c r="AB612" s="90"/>
      <c r="BT612" s="90" t="s">
        <v>1538</v>
      </c>
      <c r="BU612" s="90">
        <v>673</v>
      </c>
      <c r="BV612" s="90">
        <v>2</v>
      </c>
      <c r="BW612" s="68"/>
      <c r="BX612" s="90" t="s">
        <v>1533</v>
      </c>
      <c r="BY612" s="90" t="s">
        <v>56</v>
      </c>
      <c r="BZ612" s="90">
        <v>2</v>
      </c>
      <c r="CA612" s="90">
        <v>21</v>
      </c>
      <c r="CB612" s="90">
        <v>0.5</v>
      </c>
      <c r="CC612" s="90">
        <v>0</v>
      </c>
      <c r="CD612" s="90"/>
      <c r="CE612" s="90"/>
      <c r="CF612" s="90" t="s">
        <v>1572</v>
      </c>
      <c r="CG612" s="90">
        <v>300</v>
      </c>
      <c r="CH612" s="90">
        <v>254</v>
      </c>
      <c r="CI612" s="68"/>
      <c r="CJ612" s="68"/>
      <c r="CK612" s="125">
        <v>2482</v>
      </c>
    </row>
    <row r="613" spans="1:89" ht="15" thickBot="1" x14ac:dyDescent="0.35">
      <c r="A613" s="114" t="s">
        <v>3071</v>
      </c>
      <c r="C613" t="s">
        <v>3375</v>
      </c>
      <c r="E613" s="90">
        <v>2.2000000000000002</v>
      </c>
      <c r="F613" s="114" t="s">
        <v>3143</v>
      </c>
      <c r="G613" t="s">
        <v>3236</v>
      </c>
      <c r="H613" t="s">
        <v>3237</v>
      </c>
      <c r="M613" t="b">
        <v>1</v>
      </c>
      <c r="N613" t="b">
        <v>1</v>
      </c>
      <c r="O613" t="b">
        <v>0</v>
      </c>
      <c r="P613" t="b">
        <v>0</v>
      </c>
      <c r="Q613" t="s">
        <v>3236</v>
      </c>
      <c r="R613">
        <v>1526450</v>
      </c>
      <c r="AB613" s="90"/>
      <c r="BT613" s="90" t="s">
        <v>1538</v>
      </c>
      <c r="BU613" s="90">
        <v>1273</v>
      </c>
      <c r="BV613" s="90">
        <v>10</v>
      </c>
      <c r="BW613" s="68"/>
      <c r="BX613" s="90" t="s">
        <v>1268</v>
      </c>
      <c r="BY613" s="90" t="s">
        <v>863</v>
      </c>
      <c r="BZ613" s="90">
        <v>0.5</v>
      </c>
      <c r="CA613" s="90"/>
      <c r="CB613" s="90">
        <v>1</v>
      </c>
      <c r="CC613" s="90">
        <v>10</v>
      </c>
      <c r="CD613" s="90"/>
      <c r="CE613" s="90"/>
      <c r="CF613" s="90" t="s">
        <v>1534</v>
      </c>
      <c r="CG613" s="90">
        <v>300</v>
      </c>
      <c r="CH613" s="90">
        <v>420</v>
      </c>
      <c r="CI613" s="68"/>
      <c r="CJ613" s="68"/>
      <c r="CK613" s="125">
        <v>133</v>
      </c>
    </row>
    <row r="614" spans="1:89" ht="15" thickBot="1" x14ac:dyDescent="0.35">
      <c r="A614" s="114" t="s">
        <v>3146</v>
      </c>
      <c r="C614" t="s">
        <v>3392</v>
      </c>
      <c r="E614" s="90">
        <v>2.1</v>
      </c>
      <c r="F614" s="114" t="s">
        <v>3143</v>
      </c>
      <c r="G614" t="s">
        <v>3236</v>
      </c>
      <c r="H614" t="s">
        <v>3237</v>
      </c>
      <c r="J614" s="73" t="s">
        <v>3516</v>
      </c>
      <c r="K614" s="73" t="s">
        <v>3516</v>
      </c>
      <c r="M614" t="b">
        <v>1</v>
      </c>
      <c r="N614" t="b">
        <v>1</v>
      </c>
      <c r="O614" t="b">
        <v>0</v>
      </c>
      <c r="P614" t="b">
        <v>0</v>
      </c>
      <c r="Q614" t="s">
        <v>3892</v>
      </c>
      <c r="R614" t="s">
        <v>3893</v>
      </c>
      <c r="AB614" s="90"/>
      <c r="BT614" s="90" t="s">
        <v>1538</v>
      </c>
      <c r="BU614" s="90">
        <v>1273</v>
      </c>
      <c r="BV614" s="90">
        <v>10</v>
      </c>
      <c r="BW614" s="68"/>
      <c r="BX614" s="90" t="s">
        <v>1268</v>
      </c>
      <c r="BY614" s="90" t="s">
        <v>863</v>
      </c>
      <c r="BZ614" s="90">
        <v>0.5</v>
      </c>
      <c r="CA614" s="90"/>
      <c r="CB614" s="90">
        <v>1</v>
      </c>
      <c r="CC614" s="90">
        <v>10</v>
      </c>
      <c r="CD614" s="90"/>
      <c r="CE614" s="90"/>
      <c r="CF614" s="90" t="s">
        <v>1534</v>
      </c>
      <c r="CG614" s="90">
        <v>300</v>
      </c>
      <c r="CH614" s="90">
        <v>420</v>
      </c>
      <c r="CI614" s="68"/>
      <c r="CJ614" s="68"/>
      <c r="CK614" s="125">
        <v>300</v>
      </c>
    </row>
    <row r="615" spans="1:89" ht="15" thickBot="1" x14ac:dyDescent="0.35">
      <c r="A615" s="114" t="s">
        <v>3148</v>
      </c>
      <c r="C615" t="s">
        <v>3393</v>
      </c>
      <c r="E615" s="90">
        <v>1.5</v>
      </c>
      <c r="F615" s="114" t="s">
        <v>3143</v>
      </c>
      <c r="G615" t="s">
        <v>3236</v>
      </c>
      <c r="H615" t="s">
        <v>3237</v>
      </c>
      <c r="J615" s="73" t="s">
        <v>3517</v>
      </c>
      <c r="K615" s="73" t="s">
        <v>3517</v>
      </c>
      <c r="M615" t="b">
        <v>1</v>
      </c>
      <c r="N615" t="b">
        <v>1</v>
      </c>
      <c r="O615" t="b">
        <v>0</v>
      </c>
      <c r="P615" t="b">
        <v>0</v>
      </c>
      <c r="Q615" t="s">
        <v>3894</v>
      </c>
      <c r="R615" t="s">
        <v>3895</v>
      </c>
      <c r="AB615" s="90"/>
      <c r="BT615" s="90" t="s">
        <v>1538</v>
      </c>
      <c r="BU615" s="90">
        <v>1273</v>
      </c>
      <c r="BV615" s="90">
        <v>10</v>
      </c>
      <c r="BW615" s="68"/>
      <c r="BX615" s="90" t="s">
        <v>1268</v>
      </c>
      <c r="BY615" s="90" t="s">
        <v>863</v>
      </c>
      <c r="BZ615" s="90">
        <v>0.5</v>
      </c>
      <c r="CA615" s="90"/>
      <c r="CB615" s="90">
        <v>1</v>
      </c>
      <c r="CC615" s="90">
        <v>10</v>
      </c>
      <c r="CD615" s="90"/>
      <c r="CE615" s="90"/>
      <c r="CF615" s="90" t="s">
        <v>1534</v>
      </c>
      <c r="CG615" s="90">
        <v>300</v>
      </c>
      <c r="CH615" s="90">
        <v>420</v>
      </c>
      <c r="CI615" s="68"/>
      <c r="CJ615" s="68"/>
      <c r="CK615" s="125">
        <v>33.33</v>
      </c>
    </row>
    <row r="616" spans="1:89" ht="15" thickBot="1" x14ac:dyDescent="0.35">
      <c r="A616" s="114" t="s">
        <v>3147</v>
      </c>
      <c r="C616" t="s">
        <v>3394</v>
      </c>
      <c r="E616" s="90">
        <v>1.5</v>
      </c>
      <c r="F616" s="114" t="s">
        <v>3143</v>
      </c>
      <c r="G616" t="s">
        <v>3236</v>
      </c>
      <c r="H616" t="s">
        <v>3237</v>
      </c>
      <c r="J616" s="73" t="s">
        <v>3518</v>
      </c>
      <c r="K616" s="73" t="s">
        <v>3518</v>
      </c>
      <c r="M616" t="b">
        <v>0</v>
      </c>
      <c r="N616" t="b">
        <v>0</v>
      </c>
      <c r="O616" t="b">
        <v>0</v>
      </c>
      <c r="P616" t="b">
        <v>1</v>
      </c>
      <c r="Q616" t="s">
        <v>3896</v>
      </c>
      <c r="R616" t="s">
        <v>3897</v>
      </c>
      <c r="AB616" s="90"/>
      <c r="BT616" s="90" t="s">
        <v>1532</v>
      </c>
      <c r="BU616" s="90">
        <v>1273</v>
      </c>
      <c r="BV616" s="90">
        <v>10</v>
      </c>
      <c r="BW616" s="68"/>
      <c r="BX616" s="90" t="s">
        <v>1268</v>
      </c>
      <c r="BY616" s="90" t="s">
        <v>863</v>
      </c>
      <c r="BZ616" s="90">
        <v>0.5</v>
      </c>
      <c r="CA616" s="90"/>
      <c r="CB616" s="90">
        <v>1</v>
      </c>
      <c r="CC616" s="90">
        <v>10</v>
      </c>
      <c r="CD616" s="90"/>
      <c r="CE616" s="90"/>
      <c r="CF616" s="90" t="s">
        <v>1534</v>
      </c>
      <c r="CG616" s="90">
        <v>300</v>
      </c>
      <c r="CH616" s="90">
        <v>420</v>
      </c>
      <c r="CI616" s="68"/>
      <c r="CJ616" s="68"/>
      <c r="CK616" s="125">
        <v>53.33</v>
      </c>
    </row>
    <row r="617" spans="1:89" ht="15" thickBot="1" x14ac:dyDescent="0.35">
      <c r="A617" s="114" t="s">
        <v>3145</v>
      </c>
      <c r="C617" t="s">
        <v>3394</v>
      </c>
      <c r="E617" s="90">
        <v>1.5</v>
      </c>
      <c r="F617" s="114" t="s">
        <v>3143</v>
      </c>
      <c r="G617" t="s">
        <v>3236</v>
      </c>
      <c r="H617" t="s">
        <v>3237</v>
      </c>
      <c r="J617" s="73" t="s">
        <v>3519</v>
      </c>
      <c r="K617" s="73" t="s">
        <v>3519</v>
      </c>
      <c r="M617" t="b">
        <v>0</v>
      </c>
      <c r="N617" t="b">
        <v>0</v>
      </c>
      <c r="O617" t="b">
        <v>0</v>
      </c>
      <c r="P617" t="b">
        <v>1</v>
      </c>
      <c r="Q617" t="s">
        <v>3898</v>
      </c>
      <c r="R617" t="s">
        <v>3899</v>
      </c>
      <c r="AB617" s="90"/>
      <c r="BT617" s="90" t="s">
        <v>1532</v>
      </c>
      <c r="BU617" s="90">
        <v>1273</v>
      </c>
      <c r="BV617" s="90">
        <v>10</v>
      </c>
      <c r="BW617" s="68"/>
      <c r="BX617" s="90" t="s">
        <v>1268</v>
      </c>
      <c r="BY617" s="90" t="s">
        <v>863</v>
      </c>
      <c r="BZ617" s="90">
        <v>0.5</v>
      </c>
      <c r="CA617" s="90"/>
      <c r="CB617" s="90">
        <v>1</v>
      </c>
      <c r="CC617" s="90">
        <v>10</v>
      </c>
      <c r="CD617" s="90"/>
      <c r="CE617" s="90"/>
      <c r="CF617" s="90" t="s">
        <v>1534</v>
      </c>
      <c r="CG617" s="90">
        <v>300</v>
      </c>
      <c r="CH617" s="90">
        <v>420</v>
      </c>
      <c r="CI617" s="68"/>
      <c r="CJ617" s="68"/>
      <c r="CK617" s="125">
        <v>426.67</v>
      </c>
    </row>
    <row r="618" spans="1:89" ht="15" thickBot="1" x14ac:dyDescent="0.35">
      <c r="A618" s="114" t="s">
        <v>3144</v>
      </c>
      <c r="C618" t="s">
        <v>3394</v>
      </c>
      <c r="E618" s="90">
        <v>2</v>
      </c>
      <c r="F618" s="114" t="s">
        <v>3143</v>
      </c>
      <c r="G618" t="s">
        <v>3236</v>
      </c>
      <c r="H618" t="s">
        <v>3237</v>
      </c>
      <c r="J618" s="73" t="s">
        <v>3520</v>
      </c>
      <c r="K618" s="73" t="s">
        <v>3520</v>
      </c>
      <c r="M618" t="b">
        <v>0</v>
      </c>
      <c r="N618" t="b">
        <v>0</v>
      </c>
      <c r="O618" t="b">
        <v>0</v>
      </c>
      <c r="P618" t="b">
        <v>1</v>
      </c>
      <c r="Q618" t="s">
        <v>3900</v>
      </c>
      <c r="R618" t="s">
        <v>3901</v>
      </c>
      <c r="AB618" s="90"/>
      <c r="BT618" s="90" t="s">
        <v>1532</v>
      </c>
      <c r="BU618" s="90">
        <v>1273</v>
      </c>
      <c r="BV618" s="90">
        <v>10</v>
      </c>
      <c r="BW618" s="68"/>
      <c r="BX618" s="90" t="s">
        <v>1268</v>
      </c>
      <c r="BY618" s="90" t="s">
        <v>863</v>
      </c>
      <c r="BZ618" s="90">
        <v>0.5</v>
      </c>
      <c r="CA618" s="90"/>
      <c r="CB618" s="90">
        <v>1</v>
      </c>
      <c r="CC618" s="90">
        <v>10</v>
      </c>
      <c r="CD618" s="90"/>
      <c r="CE618" s="90"/>
      <c r="CF618" s="90" t="s">
        <v>1534</v>
      </c>
      <c r="CG618" s="90">
        <v>300</v>
      </c>
      <c r="CH618" s="90">
        <v>420</v>
      </c>
      <c r="CI618" s="68"/>
      <c r="CJ618" s="68"/>
      <c r="CK618" s="125">
        <v>560</v>
      </c>
    </row>
    <row r="619" spans="1:89" ht="15" thickBot="1" x14ac:dyDescent="0.35">
      <c r="A619" s="114" t="s">
        <v>2784</v>
      </c>
      <c r="C619" t="s">
        <v>3246</v>
      </c>
      <c r="E619" s="90">
        <v>3.3</v>
      </c>
      <c r="F619" s="114" t="s">
        <v>3149</v>
      </c>
      <c r="G619" t="s">
        <v>3155</v>
      </c>
      <c r="H619" t="s">
        <v>3156</v>
      </c>
      <c r="M619" t="b">
        <v>1</v>
      </c>
      <c r="N619" t="b">
        <v>1</v>
      </c>
      <c r="O619" t="b">
        <v>0</v>
      </c>
      <c r="P619" t="b">
        <v>0</v>
      </c>
      <c r="Q619" t="s">
        <v>3155</v>
      </c>
      <c r="R619">
        <v>1512124</v>
      </c>
      <c r="AB619" s="90"/>
      <c r="BT619" s="90" t="s">
        <v>1532</v>
      </c>
      <c r="BU619" s="90">
        <v>1273</v>
      </c>
      <c r="BV619" s="90">
        <v>10</v>
      </c>
      <c r="BW619" s="68"/>
      <c r="BX619" s="90"/>
      <c r="BY619" s="90" t="s">
        <v>1560</v>
      </c>
      <c r="BZ619" s="90">
        <v>0.1</v>
      </c>
      <c r="CA619" s="90"/>
      <c r="CB619" s="90">
        <v>2.5</v>
      </c>
      <c r="CC619" s="90">
        <v>20</v>
      </c>
      <c r="CD619" s="90"/>
      <c r="CE619" s="90"/>
      <c r="CF619" s="90" t="s">
        <v>1534</v>
      </c>
      <c r="CG619" s="90">
        <v>150</v>
      </c>
      <c r="CH619" s="90"/>
      <c r="CI619" s="68"/>
      <c r="CJ619" s="68"/>
      <c r="CK619" s="125">
        <v>200</v>
      </c>
    </row>
    <row r="620" spans="1:89" ht="15" thickBot="1" x14ac:dyDescent="0.35">
      <c r="A620" s="114" t="s">
        <v>2784</v>
      </c>
      <c r="C620" t="s">
        <v>3246</v>
      </c>
      <c r="E620" s="90">
        <v>3.3</v>
      </c>
      <c r="F620" s="114" t="s">
        <v>3149</v>
      </c>
      <c r="G620" t="s">
        <v>3155</v>
      </c>
      <c r="H620" t="s">
        <v>3156</v>
      </c>
      <c r="M620" t="b">
        <v>1</v>
      </c>
      <c r="N620" t="b">
        <v>1</v>
      </c>
      <c r="O620" t="b">
        <v>0</v>
      </c>
      <c r="P620" t="b">
        <v>0</v>
      </c>
      <c r="Q620" t="s">
        <v>3155</v>
      </c>
      <c r="R620">
        <v>1512124</v>
      </c>
      <c r="AB620" s="90"/>
      <c r="BT620" s="90" t="s">
        <v>1532</v>
      </c>
      <c r="BU620" s="90">
        <v>1273</v>
      </c>
      <c r="BV620" s="90">
        <v>10</v>
      </c>
      <c r="BW620" s="68"/>
      <c r="BX620" s="90"/>
      <c r="BY620" s="90" t="s">
        <v>1560</v>
      </c>
      <c r="BZ620" s="90">
        <v>0.1</v>
      </c>
      <c r="CA620" s="90"/>
      <c r="CB620" s="90">
        <v>2.5</v>
      </c>
      <c r="CC620" s="90">
        <v>0</v>
      </c>
      <c r="CD620" s="90" t="s">
        <v>1672</v>
      </c>
      <c r="CE620" s="90"/>
      <c r="CF620" s="90" t="s">
        <v>1534</v>
      </c>
      <c r="CG620" s="90">
        <v>150</v>
      </c>
      <c r="CH620" s="90"/>
      <c r="CI620" s="68"/>
      <c r="CJ620" s="68"/>
      <c r="CK620" s="125">
        <v>200</v>
      </c>
    </row>
    <row r="621" spans="1:89" ht="15" thickBot="1" x14ac:dyDescent="0.35">
      <c r="A621" s="114" t="s">
        <v>2784</v>
      </c>
      <c r="C621" t="s">
        <v>3246</v>
      </c>
      <c r="E621" s="90">
        <v>3.3</v>
      </c>
      <c r="F621" s="114" t="s">
        <v>3149</v>
      </c>
      <c r="G621" t="s">
        <v>3155</v>
      </c>
      <c r="H621" t="s">
        <v>3156</v>
      </c>
      <c r="M621" t="b">
        <v>1</v>
      </c>
      <c r="N621" t="b">
        <v>1</v>
      </c>
      <c r="O621" t="b">
        <v>0</v>
      </c>
      <c r="P621" t="b">
        <v>0</v>
      </c>
      <c r="Q621" t="s">
        <v>3155</v>
      </c>
      <c r="R621">
        <v>1512124</v>
      </c>
      <c r="AB621" s="90"/>
      <c r="BT621" s="90" t="s">
        <v>1532</v>
      </c>
      <c r="BU621" s="90">
        <v>1273</v>
      </c>
      <c r="BV621" s="90">
        <v>10</v>
      </c>
      <c r="BW621" s="68"/>
      <c r="BX621" s="90"/>
      <c r="BY621" s="90" t="s">
        <v>1560</v>
      </c>
      <c r="BZ621" s="90">
        <v>0.25</v>
      </c>
      <c r="CA621" s="90"/>
      <c r="CB621" s="90">
        <v>2.5</v>
      </c>
      <c r="CC621" s="90">
        <v>20</v>
      </c>
      <c r="CD621" s="90"/>
      <c r="CE621" s="90"/>
      <c r="CF621" s="90" t="s">
        <v>1534</v>
      </c>
      <c r="CG621" s="90">
        <v>150</v>
      </c>
      <c r="CH621" s="90"/>
      <c r="CI621" s="68"/>
      <c r="CJ621" s="68"/>
      <c r="CK621" s="125">
        <v>270</v>
      </c>
    </row>
    <row r="622" spans="1:89" ht="15" thickBot="1" x14ac:dyDescent="0.35">
      <c r="A622" s="114" t="s">
        <v>2784</v>
      </c>
      <c r="C622" t="s">
        <v>3246</v>
      </c>
      <c r="E622" s="90">
        <v>3.3</v>
      </c>
      <c r="F622" s="114" t="s">
        <v>3149</v>
      </c>
      <c r="G622" t="s">
        <v>3155</v>
      </c>
      <c r="H622" t="s">
        <v>3156</v>
      </c>
      <c r="M622" t="b">
        <v>1</v>
      </c>
      <c r="N622" t="b">
        <v>1</v>
      </c>
      <c r="O622" t="b">
        <v>0</v>
      </c>
      <c r="P622" t="b">
        <v>0</v>
      </c>
      <c r="Q622" t="s">
        <v>3155</v>
      </c>
      <c r="R622">
        <v>1512124</v>
      </c>
      <c r="AB622" s="90"/>
      <c r="BT622" s="90" t="s">
        <v>1264</v>
      </c>
      <c r="BU622" s="90">
        <v>1273</v>
      </c>
      <c r="BV622" s="90">
        <v>10</v>
      </c>
      <c r="BW622" s="68"/>
      <c r="BX622" s="90"/>
      <c r="BY622" s="90" t="s">
        <v>1560</v>
      </c>
      <c r="BZ622" s="90">
        <v>0.25</v>
      </c>
      <c r="CA622" s="90"/>
      <c r="CB622" s="90">
        <v>2.5</v>
      </c>
      <c r="CC622" s="90">
        <v>0</v>
      </c>
      <c r="CD622" s="90" t="s">
        <v>1672</v>
      </c>
      <c r="CE622" s="90"/>
      <c r="CF622" s="90" t="s">
        <v>1534</v>
      </c>
      <c r="CG622" s="90">
        <v>150</v>
      </c>
      <c r="CH622" s="90"/>
      <c r="CI622" s="68"/>
      <c r="CJ622" s="68"/>
      <c r="CK622" s="125">
        <v>230</v>
      </c>
    </row>
    <row r="623" spans="1:89" ht="15" thickBot="1" x14ac:dyDescent="0.35">
      <c r="A623" s="114" t="s">
        <v>2784</v>
      </c>
      <c r="C623" t="s">
        <v>3246</v>
      </c>
      <c r="E623" s="90">
        <v>3.3</v>
      </c>
      <c r="F623" s="114" t="s">
        <v>3149</v>
      </c>
      <c r="G623" t="s">
        <v>3155</v>
      </c>
      <c r="H623" t="s">
        <v>3156</v>
      </c>
      <c r="M623" t="b">
        <v>1</v>
      </c>
      <c r="N623" t="b">
        <v>1</v>
      </c>
      <c r="O623" t="b">
        <v>0</v>
      </c>
      <c r="P623" t="b">
        <v>0</v>
      </c>
      <c r="Q623" t="s">
        <v>3155</v>
      </c>
      <c r="R623">
        <v>1512124</v>
      </c>
      <c r="AB623" s="90"/>
      <c r="BT623" s="90" t="s">
        <v>1264</v>
      </c>
      <c r="BU623" s="90">
        <v>1273</v>
      </c>
      <c r="BV623" s="90">
        <v>10</v>
      </c>
      <c r="BW623" s="68"/>
      <c r="BX623" s="90"/>
      <c r="BY623" s="90" t="s">
        <v>1560</v>
      </c>
      <c r="BZ623" s="90">
        <v>0.5</v>
      </c>
      <c r="CA623" s="90"/>
      <c r="CB623" s="90">
        <v>2.5</v>
      </c>
      <c r="CC623" s="90">
        <v>20</v>
      </c>
      <c r="CD623" s="90"/>
      <c r="CE623" s="90"/>
      <c r="CF623" s="90" t="s">
        <v>1534</v>
      </c>
      <c r="CG623" s="90">
        <v>150</v>
      </c>
      <c r="CH623" s="90"/>
      <c r="CI623" s="68"/>
      <c r="CJ623" s="68"/>
      <c r="CK623" s="125">
        <v>255</v>
      </c>
    </row>
    <row r="624" spans="1:89" ht="15" thickBot="1" x14ac:dyDescent="0.35">
      <c r="A624" s="114" t="s">
        <v>2784</v>
      </c>
      <c r="C624" t="s">
        <v>3246</v>
      </c>
      <c r="E624" s="90">
        <v>3.3</v>
      </c>
      <c r="F624" s="114" t="s">
        <v>3149</v>
      </c>
      <c r="G624" t="s">
        <v>3155</v>
      </c>
      <c r="H624" t="s">
        <v>3156</v>
      </c>
      <c r="M624" t="b">
        <v>1</v>
      </c>
      <c r="N624" t="b">
        <v>1</v>
      </c>
      <c r="O624" t="b">
        <v>0</v>
      </c>
      <c r="P624" t="b">
        <v>0</v>
      </c>
      <c r="Q624" t="s">
        <v>3155</v>
      </c>
      <c r="R624">
        <v>1512124</v>
      </c>
      <c r="AB624" s="90"/>
      <c r="BT624" s="90" t="s">
        <v>1264</v>
      </c>
      <c r="BU624" s="90">
        <v>1273</v>
      </c>
      <c r="BV624" s="90">
        <v>10</v>
      </c>
      <c r="BW624" s="68"/>
      <c r="BX624" s="90"/>
      <c r="BY624" s="90" t="s">
        <v>1560</v>
      </c>
      <c r="BZ624" s="90">
        <v>0.5</v>
      </c>
      <c r="CA624" s="90"/>
      <c r="CB624" s="90">
        <v>2.5</v>
      </c>
      <c r="CC624" s="90">
        <v>0</v>
      </c>
      <c r="CD624" s="90" t="s">
        <v>1672</v>
      </c>
      <c r="CE624" s="90"/>
      <c r="CF624" s="90" t="s">
        <v>1534</v>
      </c>
      <c r="CG624" s="90">
        <v>150</v>
      </c>
      <c r="CH624" s="90"/>
      <c r="CI624" s="68"/>
      <c r="CJ624" s="68"/>
      <c r="CK624" s="125">
        <v>250</v>
      </c>
    </row>
    <row r="625" spans="1:89" ht="15" thickBot="1" x14ac:dyDescent="0.35">
      <c r="A625" s="114" t="s">
        <v>1376</v>
      </c>
      <c r="C625" t="s">
        <v>3249</v>
      </c>
      <c r="E625" s="90">
        <v>3.4</v>
      </c>
      <c r="F625" s="114" t="s">
        <v>3149</v>
      </c>
      <c r="G625" t="s">
        <v>3155</v>
      </c>
      <c r="H625" t="s">
        <v>3156</v>
      </c>
      <c r="M625" t="b">
        <v>1</v>
      </c>
      <c r="N625" t="b">
        <v>1</v>
      </c>
      <c r="O625" t="b">
        <v>0</v>
      </c>
      <c r="P625" t="b">
        <v>0</v>
      </c>
      <c r="Q625" t="s">
        <v>3155</v>
      </c>
      <c r="R625">
        <v>1512124</v>
      </c>
      <c r="AB625" s="90"/>
      <c r="BT625" s="90" t="s">
        <v>1264</v>
      </c>
      <c r="BU625" s="90">
        <v>1273</v>
      </c>
      <c r="BV625" s="90">
        <v>10</v>
      </c>
      <c r="BW625" s="68"/>
      <c r="BX625" s="90"/>
      <c r="BY625" s="90" t="s">
        <v>1560</v>
      </c>
      <c r="BZ625" s="90">
        <v>0.25</v>
      </c>
      <c r="CA625" s="90"/>
      <c r="CB625" s="90">
        <v>2.5</v>
      </c>
      <c r="CC625" s="90">
        <v>20</v>
      </c>
      <c r="CD625" s="90"/>
      <c r="CE625" s="90"/>
      <c r="CF625" s="90" t="s">
        <v>1534</v>
      </c>
      <c r="CG625" s="90">
        <v>150</v>
      </c>
      <c r="CH625" s="90"/>
      <c r="CI625" s="68"/>
      <c r="CJ625" s="68"/>
      <c r="CK625" s="125">
        <v>10</v>
      </c>
    </row>
    <row r="626" spans="1:89" ht="15" thickBot="1" x14ac:dyDescent="0.35">
      <c r="A626" s="114" t="s">
        <v>1376</v>
      </c>
      <c r="C626" t="s">
        <v>3249</v>
      </c>
      <c r="E626" s="90">
        <v>3.4</v>
      </c>
      <c r="F626" s="114" t="s">
        <v>3149</v>
      </c>
      <c r="G626" t="s">
        <v>3155</v>
      </c>
      <c r="H626" t="s">
        <v>3156</v>
      </c>
      <c r="M626" t="b">
        <v>1</v>
      </c>
      <c r="N626" t="b">
        <v>1</v>
      </c>
      <c r="O626" t="b">
        <v>0</v>
      </c>
      <c r="P626" t="b">
        <v>0</v>
      </c>
      <c r="Q626" t="s">
        <v>3155</v>
      </c>
      <c r="R626">
        <v>1512124</v>
      </c>
      <c r="AB626" s="90"/>
      <c r="BT626" s="90" t="s">
        <v>1264</v>
      </c>
      <c r="BU626" s="90">
        <v>1273</v>
      </c>
      <c r="BV626" s="90">
        <v>10</v>
      </c>
      <c r="BW626" s="68"/>
      <c r="BX626" s="90"/>
      <c r="BY626" s="90" t="s">
        <v>1560</v>
      </c>
      <c r="BZ626" s="90">
        <v>0.25</v>
      </c>
      <c r="CA626" s="90"/>
      <c r="CB626" s="90">
        <v>2.5</v>
      </c>
      <c r="CC626" s="90">
        <v>0</v>
      </c>
      <c r="CD626" s="90" t="s">
        <v>1672</v>
      </c>
      <c r="CE626" s="90"/>
      <c r="CF626" s="90" t="s">
        <v>1534</v>
      </c>
      <c r="CG626" s="90">
        <v>150</v>
      </c>
      <c r="CH626" s="90"/>
      <c r="CI626" s="68"/>
      <c r="CJ626" s="68"/>
      <c r="CK626" s="125">
        <v>150</v>
      </c>
    </row>
    <row r="627" spans="1:89" ht="15" thickBot="1" x14ac:dyDescent="0.35">
      <c r="A627" s="114" t="s">
        <v>3150</v>
      </c>
      <c r="C627" t="s">
        <v>3246</v>
      </c>
      <c r="E627" s="90">
        <v>3.45</v>
      </c>
      <c r="F627" s="114" t="s">
        <v>3149</v>
      </c>
      <c r="G627" t="s">
        <v>3155</v>
      </c>
      <c r="H627" t="s">
        <v>3156</v>
      </c>
      <c r="M627" t="b">
        <v>1</v>
      </c>
      <c r="N627" t="b">
        <v>1</v>
      </c>
      <c r="O627" t="b">
        <v>0</v>
      </c>
      <c r="P627" t="b">
        <v>0</v>
      </c>
      <c r="Q627" t="s">
        <v>3155</v>
      </c>
      <c r="R627">
        <v>1512124</v>
      </c>
      <c r="AB627" s="90"/>
      <c r="BT627" s="90" t="s">
        <v>1264</v>
      </c>
      <c r="BU627" s="90">
        <v>1273</v>
      </c>
      <c r="BV627" s="90">
        <v>10</v>
      </c>
      <c r="BW627" s="68"/>
      <c r="BX627" s="90"/>
      <c r="BY627" s="90" t="s">
        <v>1560</v>
      </c>
      <c r="BZ627" s="90">
        <v>0.25</v>
      </c>
      <c r="CA627" s="90"/>
      <c r="CB627" s="90">
        <v>2.5</v>
      </c>
      <c r="CC627" s="90">
        <v>20</v>
      </c>
      <c r="CD627" s="90"/>
      <c r="CE627" s="90"/>
      <c r="CF627" s="90" t="s">
        <v>1534</v>
      </c>
      <c r="CG627" s="90">
        <v>150</v>
      </c>
      <c r="CH627" s="90"/>
      <c r="CI627" s="68"/>
      <c r="CJ627" s="68"/>
      <c r="CK627" s="125">
        <v>40</v>
      </c>
    </row>
    <row r="628" spans="1:89" ht="15" thickBot="1" x14ac:dyDescent="0.35">
      <c r="A628" s="114" t="s">
        <v>3150</v>
      </c>
      <c r="C628" t="s">
        <v>3246</v>
      </c>
      <c r="E628" s="90">
        <v>3.45</v>
      </c>
      <c r="F628" s="114" t="s">
        <v>3149</v>
      </c>
      <c r="G628" t="s">
        <v>3155</v>
      </c>
      <c r="H628" t="s">
        <v>3156</v>
      </c>
      <c r="M628" t="b">
        <v>1</v>
      </c>
      <c r="N628" t="b">
        <v>1</v>
      </c>
      <c r="O628" t="b">
        <v>0</v>
      </c>
      <c r="P628" t="b">
        <v>0</v>
      </c>
      <c r="Q628" t="s">
        <v>3155</v>
      </c>
      <c r="R628">
        <v>1512124</v>
      </c>
      <c r="AB628" s="90"/>
      <c r="BT628" s="90" t="s">
        <v>1264</v>
      </c>
      <c r="BU628" s="90">
        <v>1273</v>
      </c>
      <c r="BV628" s="90">
        <v>10</v>
      </c>
      <c r="BW628" s="68"/>
      <c r="BX628" s="90"/>
      <c r="BY628" s="90" t="s">
        <v>1560</v>
      </c>
      <c r="BZ628" s="90">
        <v>0.25</v>
      </c>
      <c r="CA628" s="90"/>
      <c r="CB628" s="90">
        <v>2.5</v>
      </c>
      <c r="CC628" s="90">
        <v>0</v>
      </c>
      <c r="CD628" s="90" t="s">
        <v>1672</v>
      </c>
      <c r="CE628" s="90"/>
      <c r="CF628" s="90" t="s">
        <v>1534</v>
      </c>
      <c r="CG628" s="90">
        <v>150</v>
      </c>
      <c r="CH628" s="90"/>
      <c r="CI628" s="68"/>
      <c r="CJ628" s="68"/>
      <c r="CK628" s="125">
        <v>210</v>
      </c>
    </row>
    <row r="629" spans="1:89" ht="15" thickBot="1" x14ac:dyDescent="0.35">
      <c r="A629" s="114" t="s">
        <v>3151</v>
      </c>
      <c r="C629" t="s">
        <v>3246</v>
      </c>
      <c r="E629" s="90">
        <v>3.45</v>
      </c>
      <c r="F629" s="114" t="s">
        <v>3149</v>
      </c>
      <c r="G629" t="s">
        <v>3155</v>
      </c>
      <c r="H629" t="s">
        <v>3156</v>
      </c>
      <c r="M629" t="b">
        <v>1</v>
      </c>
      <c r="N629" t="b">
        <v>1</v>
      </c>
      <c r="O629" t="b">
        <v>0</v>
      </c>
      <c r="P629" t="b">
        <v>0</v>
      </c>
      <c r="Q629" t="s">
        <v>3155</v>
      </c>
      <c r="R629">
        <v>1512124</v>
      </c>
      <c r="AB629" s="90"/>
      <c r="BT629" s="90" t="s">
        <v>1264</v>
      </c>
      <c r="BU629" s="90">
        <v>1273</v>
      </c>
      <c r="BV629" s="90">
        <v>10</v>
      </c>
      <c r="BW629" s="68"/>
      <c r="BX629" s="90"/>
      <c r="BY629" s="90" t="s">
        <v>1560</v>
      </c>
      <c r="BZ629" s="90">
        <v>0.25</v>
      </c>
      <c r="CA629" s="90"/>
      <c r="CB629" s="90">
        <v>2.5</v>
      </c>
      <c r="CC629" s="90">
        <v>20</v>
      </c>
      <c r="CD629" s="90"/>
      <c r="CE629" s="90"/>
      <c r="CF629" s="90" t="s">
        <v>1534</v>
      </c>
      <c r="CG629" s="90">
        <v>150</v>
      </c>
      <c r="CH629" s="90"/>
      <c r="CI629" s="68"/>
      <c r="CJ629" s="68"/>
      <c r="CK629" s="125">
        <v>275</v>
      </c>
    </row>
    <row r="630" spans="1:89" ht="15" thickBot="1" x14ac:dyDescent="0.35">
      <c r="A630" s="114" t="s">
        <v>3151</v>
      </c>
      <c r="C630" t="s">
        <v>3246</v>
      </c>
      <c r="E630" s="90">
        <v>3.45</v>
      </c>
      <c r="F630" s="114" t="s">
        <v>3149</v>
      </c>
      <c r="G630" t="s">
        <v>3155</v>
      </c>
      <c r="H630" t="s">
        <v>3156</v>
      </c>
      <c r="M630" t="b">
        <v>1</v>
      </c>
      <c r="N630" t="b">
        <v>1</v>
      </c>
      <c r="O630" t="b">
        <v>0</v>
      </c>
      <c r="P630" t="b">
        <v>0</v>
      </c>
      <c r="Q630" t="s">
        <v>3155</v>
      </c>
      <c r="R630">
        <v>1512124</v>
      </c>
      <c r="AB630" s="90"/>
      <c r="BT630" s="90" t="s">
        <v>1264</v>
      </c>
      <c r="BU630" s="90">
        <v>1273</v>
      </c>
      <c r="BV630" s="90">
        <v>10</v>
      </c>
      <c r="BW630" s="68"/>
      <c r="BX630" s="90"/>
      <c r="BY630" s="90" t="s">
        <v>1560</v>
      </c>
      <c r="BZ630" s="90">
        <v>0.25</v>
      </c>
      <c r="CA630" s="90"/>
      <c r="CB630" s="90">
        <v>2.5</v>
      </c>
      <c r="CC630" s="90">
        <v>0</v>
      </c>
      <c r="CD630" s="90" t="s">
        <v>1672</v>
      </c>
      <c r="CE630" s="90"/>
      <c r="CF630" s="90" t="s">
        <v>1534</v>
      </c>
      <c r="CG630" s="90">
        <v>150</v>
      </c>
      <c r="CH630" s="90"/>
      <c r="CI630" s="68"/>
      <c r="CJ630" s="68"/>
      <c r="CK630" s="125">
        <v>345</v>
      </c>
    </row>
    <row r="631" spans="1:89" ht="15" thickBot="1" x14ac:dyDescent="0.35">
      <c r="A631" s="114" t="s">
        <v>3153</v>
      </c>
      <c r="C631" t="s">
        <v>3395</v>
      </c>
      <c r="E631" s="90">
        <v>1.42</v>
      </c>
      <c r="F631" s="114" t="s">
        <v>3152</v>
      </c>
      <c r="G631" t="s">
        <v>3244</v>
      </c>
      <c r="H631" t="s">
        <v>3245</v>
      </c>
      <c r="M631" t="b">
        <v>1</v>
      </c>
      <c r="N631" t="b">
        <v>0</v>
      </c>
      <c r="O631" t="b">
        <v>0</v>
      </c>
      <c r="P631" t="b">
        <v>0</v>
      </c>
      <c r="Q631" t="s">
        <v>3244</v>
      </c>
      <c r="R631">
        <v>1530874</v>
      </c>
      <c r="AB631" s="120"/>
      <c r="BT631" s="90" t="s">
        <v>1264</v>
      </c>
      <c r="BU631" s="90">
        <v>1073</v>
      </c>
      <c r="BV631" s="90">
        <v>2</v>
      </c>
      <c r="BW631" s="68"/>
      <c r="BX631" s="90"/>
      <c r="BY631" s="90"/>
      <c r="BZ631" s="90"/>
      <c r="CA631" s="90"/>
      <c r="CB631" s="90">
        <v>1</v>
      </c>
      <c r="CC631" s="90">
        <v>0</v>
      </c>
      <c r="CD631" s="90" t="s">
        <v>1600</v>
      </c>
      <c r="CE631" s="90"/>
      <c r="CF631" s="90" t="s">
        <v>1534</v>
      </c>
      <c r="CG631" s="90">
        <v>500</v>
      </c>
      <c r="CH631" s="90"/>
      <c r="CI631" s="68"/>
      <c r="CJ631" s="68"/>
      <c r="CK631" s="125">
        <v>14.37</v>
      </c>
    </row>
    <row r="632" spans="1:89" ht="15" thickBot="1" x14ac:dyDescent="0.35">
      <c r="A632" s="114" t="s">
        <v>3153</v>
      </c>
      <c r="C632" t="s">
        <v>3395</v>
      </c>
      <c r="E632" s="90">
        <v>1.42</v>
      </c>
      <c r="F632" s="114" t="s">
        <v>3152</v>
      </c>
      <c r="G632" t="s">
        <v>3244</v>
      </c>
      <c r="H632" t="s">
        <v>3245</v>
      </c>
      <c r="M632" t="b">
        <v>1</v>
      </c>
      <c r="N632" t="b">
        <v>0</v>
      </c>
      <c r="O632" t="b">
        <v>0</v>
      </c>
      <c r="P632" t="b">
        <v>0</v>
      </c>
      <c r="Q632" t="s">
        <v>3244</v>
      </c>
      <c r="R632">
        <v>1530874</v>
      </c>
      <c r="AB632" s="120"/>
      <c r="BT632" s="90" t="s">
        <v>1264</v>
      </c>
      <c r="BU632" s="90">
        <v>773</v>
      </c>
      <c r="BV632" s="90">
        <v>2</v>
      </c>
      <c r="BW632" s="68"/>
      <c r="BX632" s="90"/>
      <c r="BY632" s="90" t="s">
        <v>1560</v>
      </c>
      <c r="BZ632" s="90">
        <v>0.1</v>
      </c>
      <c r="CA632" s="90"/>
      <c r="CB632" s="90">
        <v>1</v>
      </c>
      <c r="CC632" s="90">
        <v>0</v>
      </c>
      <c r="CD632" s="90" t="s">
        <v>1600</v>
      </c>
      <c r="CE632" s="90"/>
      <c r="CF632" s="90" t="s">
        <v>1534</v>
      </c>
      <c r="CG632" s="90">
        <v>500</v>
      </c>
      <c r="CH632" s="90"/>
      <c r="CI632" s="68"/>
      <c r="CJ632" s="68"/>
      <c r="CK632" s="125">
        <v>22.75</v>
      </c>
    </row>
    <row r="633" spans="1:89" ht="15" thickBot="1" x14ac:dyDescent="0.35">
      <c r="A633" s="114" t="s">
        <v>3153</v>
      </c>
      <c r="C633" t="s">
        <v>3395</v>
      </c>
      <c r="E633" s="92">
        <v>1.42</v>
      </c>
      <c r="F633" s="115" t="s">
        <v>3152</v>
      </c>
      <c r="G633" t="s">
        <v>3244</v>
      </c>
      <c r="H633" t="s">
        <v>3245</v>
      </c>
      <c r="M633" t="b">
        <v>1</v>
      </c>
      <c r="N633" t="b">
        <v>0</v>
      </c>
      <c r="O633" t="b">
        <v>0</v>
      </c>
      <c r="P633" t="b">
        <v>0</v>
      </c>
      <c r="Q633" t="s">
        <v>3244</v>
      </c>
      <c r="R633">
        <v>1530874</v>
      </c>
      <c r="AB633" s="122"/>
      <c r="BT633" s="90" t="s">
        <v>1264</v>
      </c>
      <c r="BU633" s="92">
        <v>773</v>
      </c>
      <c r="BV633" s="92">
        <v>2</v>
      </c>
      <c r="BW633" s="68"/>
      <c r="BX633" s="92"/>
      <c r="BY633" s="92" t="s">
        <v>1560</v>
      </c>
      <c r="BZ633" s="92">
        <v>0.5</v>
      </c>
      <c r="CA633" s="92"/>
      <c r="CB633" s="92">
        <v>1</v>
      </c>
      <c r="CC633" s="92">
        <v>0</v>
      </c>
      <c r="CD633" s="92" t="s">
        <v>1600</v>
      </c>
      <c r="CE633" s="92"/>
      <c r="CF633" s="92" t="s">
        <v>1534</v>
      </c>
      <c r="CG633" s="92">
        <v>500</v>
      </c>
      <c r="CH633" s="92"/>
      <c r="CI633" s="68"/>
      <c r="CJ633" s="68"/>
      <c r="CK633" s="125">
        <v>33.53</v>
      </c>
    </row>
    <row r="634" spans="1:89" ht="15" thickBot="1" x14ac:dyDescent="0.35">
      <c r="A634" s="114" t="s">
        <v>3153</v>
      </c>
      <c r="C634" t="s">
        <v>3395</v>
      </c>
      <c r="E634" s="92">
        <v>1.42</v>
      </c>
      <c r="F634" s="115" t="s">
        <v>3152</v>
      </c>
      <c r="G634" t="s">
        <v>3244</v>
      </c>
      <c r="H634" t="s">
        <v>3245</v>
      </c>
      <c r="M634" t="b">
        <v>1</v>
      </c>
      <c r="N634" t="b">
        <v>0</v>
      </c>
      <c r="O634" t="b">
        <v>0</v>
      </c>
      <c r="P634" t="b">
        <v>0</v>
      </c>
      <c r="Q634" t="s">
        <v>3244</v>
      </c>
      <c r="R634">
        <v>1530874</v>
      </c>
      <c r="AB634" s="122"/>
      <c r="BT634" s="90" t="s">
        <v>1336</v>
      </c>
      <c r="BU634" s="92">
        <v>773</v>
      </c>
      <c r="BV634" s="92">
        <v>2</v>
      </c>
      <c r="BW634" s="68"/>
      <c r="BX634" s="92"/>
      <c r="BY634" s="92" t="s">
        <v>1560</v>
      </c>
      <c r="BZ634" s="92">
        <v>1</v>
      </c>
      <c r="CA634" s="92"/>
      <c r="CB634" s="92">
        <v>1</v>
      </c>
      <c r="CC634" s="92">
        <v>0</v>
      </c>
      <c r="CD634" s="92" t="s">
        <v>1600</v>
      </c>
      <c r="CE634" s="92"/>
      <c r="CF634" s="92" t="s">
        <v>1534</v>
      </c>
      <c r="CG634" s="92">
        <v>500</v>
      </c>
      <c r="CH634" s="92"/>
      <c r="CI634" s="68"/>
      <c r="CJ634" s="68"/>
      <c r="CK634" s="125">
        <v>28.74</v>
      </c>
    </row>
    <row r="635" spans="1:89" ht="15" thickBot="1" x14ac:dyDescent="0.35">
      <c r="A635" s="114" t="s">
        <v>3153</v>
      </c>
      <c r="C635" t="s">
        <v>3395</v>
      </c>
      <c r="E635" s="92">
        <v>1.42</v>
      </c>
      <c r="F635" s="115" t="s">
        <v>3152</v>
      </c>
      <c r="G635" t="s">
        <v>3244</v>
      </c>
      <c r="H635" t="s">
        <v>3245</v>
      </c>
      <c r="M635" t="b">
        <v>1</v>
      </c>
      <c r="N635" t="b">
        <v>0</v>
      </c>
      <c r="O635" t="b">
        <v>0</v>
      </c>
      <c r="P635" t="b">
        <v>0</v>
      </c>
      <c r="Q635" t="s">
        <v>3244</v>
      </c>
      <c r="R635">
        <v>1530874</v>
      </c>
      <c r="AB635" s="122"/>
      <c r="BT635" s="90" t="s">
        <v>1336</v>
      </c>
      <c r="BU635" s="92">
        <v>773</v>
      </c>
      <c r="BV635" s="92">
        <v>2</v>
      </c>
      <c r="BW635" s="68"/>
      <c r="BX635" s="92"/>
      <c r="BY635" s="92" t="s">
        <v>1560</v>
      </c>
      <c r="BZ635" s="92">
        <v>2</v>
      </c>
      <c r="CA635" s="92"/>
      <c r="CB635" s="92">
        <v>1</v>
      </c>
      <c r="CC635" s="92">
        <v>0</v>
      </c>
      <c r="CD635" s="92" t="s">
        <v>1600</v>
      </c>
      <c r="CE635" s="92"/>
      <c r="CF635" s="92" t="s">
        <v>1534</v>
      </c>
      <c r="CG635" s="92">
        <v>500</v>
      </c>
      <c r="CH635" s="92"/>
      <c r="CI635" s="68"/>
      <c r="CJ635" s="68"/>
      <c r="CK635" s="125">
        <v>26.94</v>
      </c>
    </row>
  </sheetData>
  <hyperlinks>
    <hyperlink ref="F2" r:id="rId1" xr:uid="{00000000-0004-0000-0900-000000000000}"/>
    <hyperlink ref="F172" r:id="rId2" xr:uid="{00000000-0004-0000-0900-000001000000}"/>
    <hyperlink ref="F9" r:id="rId3" xr:uid="{00000000-0004-0000-0900-000002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0"/>
  <sheetViews>
    <sheetView workbookViewId="0">
      <selection activeCell="L3" sqref="L3"/>
    </sheetView>
  </sheetViews>
  <sheetFormatPr defaultRowHeight="14.4" x14ac:dyDescent="0.3"/>
  <cols>
    <col min="1" max="1" width="23" customWidth="1"/>
    <col min="4" max="4" width="14.33203125" customWidth="1"/>
    <col min="8" max="8" width="8.88671875" style="75"/>
    <col min="9" max="9" width="12.88671875" customWidth="1"/>
    <col min="10" max="10" width="13.33203125" customWidth="1"/>
    <col min="11" max="11" width="8.88671875" style="75"/>
    <col min="12" max="12" width="10.21875" customWidth="1"/>
  </cols>
  <sheetData>
    <row r="1" spans="1:13" x14ac:dyDescent="0.3">
      <c r="A1" t="s">
        <v>1277</v>
      </c>
      <c r="B1">
        <v>0.03</v>
      </c>
      <c r="D1" t="s">
        <v>1329</v>
      </c>
      <c r="E1">
        <v>1</v>
      </c>
      <c r="I1" s="2" t="s">
        <v>1417</v>
      </c>
      <c r="J1" s="2"/>
      <c r="L1" s="76" t="s">
        <v>1441</v>
      </c>
      <c r="M1" s="76"/>
    </row>
    <row r="2" spans="1:13" x14ac:dyDescent="0.3">
      <c r="A2" t="s">
        <v>1278</v>
      </c>
      <c r="B2">
        <f>B1</f>
        <v>0.03</v>
      </c>
      <c r="D2" t="s">
        <v>1330</v>
      </c>
      <c r="E2">
        <f>E1</f>
        <v>1</v>
      </c>
      <c r="I2" t="s">
        <v>1418</v>
      </c>
      <c r="J2">
        <v>500</v>
      </c>
      <c r="L2" t="s">
        <v>1442</v>
      </c>
      <c r="M2" t="s">
        <v>1443</v>
      </c>
    </row>
    <row r="3" spans="1:13" x14ac:dyDescent="0.3">
      <c r="A3" t="s">
        <v>1279</v>
      </c>
      <c r="B3">
        <f>1000/18</f>
        <v>55.555555555555557</v>
      </c>
      <c r="D3" t="s">
        <v>1279</v>
      </c>
      <c r="E3">
        <f>1000/18</f>
        <v>55.555555555555557</v>
      </c>
      <c r="I3" t="s">
        <v>1419</v>
      </c>
      <c r="J3">
        <v>500</v>
      </c>
      <c r="L3">
        <v>400</v>
      </c>
      <c r="M3">
        <f>6.62*10^(-34)*3*10^(8)/(L3*10^(-9)*1.6*10^(-19))</f>
        <v>3.1031249999999995</v>
      </c>
    </row>
    <row r="4" spans="1:13" x14ac:dyDescent="0.3">
      <c r="A4" t="s">
        <v>1280</v>
      </c>
      <c r="B4">
        <v>1</v>
      </c>
      <c r="D4" t="s">
        <v>1280</v>
      </c>
      <c r="E4">
        <v>1</v>
      </c>
      <c r="I4" t="s">
        <v>1420</v>
      </c>
      <c r="J4">
        <v>4</v>
      </c>
    </row>
    <row r="5" spans="1:13" x14ac:dyDescent="0.3">
      <c r="A5" t="s">
        <v>1281</v>
      </c>
      <c r="B5">
        <f>B2*(12+3+17)</f>
        <v>0.96</v>
      </c>
      <c r="D5" t="s">
        <v>1331</v>
      </c>
      <c r="E5">
        <f>E2*(12+3+17+12+12)</f>
        <v>56</v>
      </c>
      <c r="I5" t="s">
        <v>1421</v>
      </c>
      <c r="J5">
        <v>6020</v>
      </c>
    </row>
    <row r="6" spans="1:13" x14ac:dyDescent="0.3">
      <c r="A6" t="s">
        <v>1283</v>
      </c>
      <c r="B6">
        <v>0.79200000000000004</v>
      </c>
      <c r="D6" t="s">
        <v>1332</v>
      </c>
      <c r="E6">
        <v>0.80300000000000005</v>
      </c>
      <c r="I6" t="s">
        <v>1423</v>
      </c>
      <c r="J6">
        <f>J2*J3*J4*10^(-27)</f>
        <v>1.0000000000000001E-21</v>
      </c>
    </row>
    <row r="7" spans="1:13" x14ac:dyDescent="0.3">
      <c r="A7" t="s">
        <v>1282</v>
      </c>
      <c r="B7">
        <f>B5/(1000*B6)</f>
        <v>1.2121212121212121E-3</v>
      </c>
      <c r="D7" t="s">
        <v>1333</v>
      </c>
      <c r="E7">
        <f>E5/(1000*E6)</f>
        <v>6.9738480697384808E-2</v>
      </c>
      <c r="I7" t="s">
        <v>1424</v>
      </c>
      <c r="J7">
        <f>J5*J6</f>
        <v>6.0200000000000003E-18</v>
      </c>
    </row>
    <row r="8" spans="1:13" x14ac:dyDescent="0.3">
      <c r="I8" t="s">
        <v>1422</v>
      </c>
      <c r="J8">
        <f>J7*1000</f>
        <v>6.02E-15</v>
      </c>
    </row>
    <row r="9" spans="1:13" x14ac:dyDescent="0.3">
      <c r="A9" t="s">
        <v>1284</v>
      </c>
      <c r="B9">
        <f>100*B7/B4</f>
        <v>0.12121212121212122</v>
      </c>
      <c r="D9" t="s">
        <v>1284</v>
      </c>
      <c r="E9">
        <f>100*E7/E4</f>
        <v>6.973848069738481</v>
      </c>
      <c r="I9" t="s">
        <v>1425</v>
      </c>
      <c r="J9">
        <f>2*10^(-18)*(J2*J3+J3*J4+J2*J4)</f>
        <v>5.0800000000000006E-13</v>
      </c>
    </row>
    <row r="10" spans="1:13" x14ac:dyDescent="0.3">
      <c r="I10" t="s">
        <v>1426</v>
      </c>
      <c r="J10">
        <f>J9/J8</f>
        <v>84.385382059800676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640"/>
  <sheetViews>
    <sheetView topLeftCell="Y1" workbookViewId="0">
      <pane ySplit="1" topLeftCell="A2" activePane="bottomLeft" state="frozen"/>
      <selection pane="bottomLeft" activeCell="AL640" sqref="AL2:AL640"/>
    </sheetView>
  </sheetViews>
  <sheetFormatPr defaultRowHeight="14.4" x14ac:dyDescent="0.3"/>
  <cols>
    <col min="2" max="2" width="34.6640625" customWidth="1"/>
    <col min="3" max="3" width="33.109375" customWidth="1"/>
    <col min="4" max="4" width="20.33203125" style="124" customWidth="1"/>
    <col min="5" max="5" width="8.88671875" style="124" customWidth="1"/>
    <col min="11" max="11" width="12.21875" bestFit="1" customWidth="1"/>
    <col min="25" max="25" width="13" customWidth="1"/>
    <col min="27" max="27" width="11.5546875" customWidth="1"/>
    <col min="30" max="30" width="16.33203125" customWidth="1"/>
    <col min="37" max="37" width="17.21875" customWidth="1"/>
    <col min="39" max="39" width="21.33203125" customWidth="1"/>
    <col min="40" max="40" width="28.21875" customWidth="1"/>
  </cols>
  <sheetData>
    <row r="1" spans="1:38" ht="15" thickBot="1" x14ac:dyDescent="0.35">
      <c r="A1" s="82" t="s">
        <v>2781</v>
      </c>
      <c r="B1" s="113" t="s">
        <v>50</v>
      </c>
      <c r="C1" s="113" t="s">
        <v>112</v>
      </c>
      <c r="D1" s="119" t="s">
        <v>1132</v>
      </c>
      <c r="E1" s="119" t="s">
        <v>2879</v>
      </c>
      <c r="F1" s="83" t="s">
        <v>1512</v>
      </c>
      <c r="G1" s="83" t="s">
        <v>1513</v>
      </c>
      <c r="H1" s="83" t="s">
        <v>1514</v>
      </c>
      <c r="I1" s="83" t="s">
        <v>1515</v>
      </c>
      <c r="J1" s="83" t="s">
        <v>1516</v>
      </c>
      <c r="K1" s="83" t="s">
        <v>1517</v>
      </c>
      <c r="L1" s="83" t="s">
        <v>1518</v>
      </c>
      <c r="M1" s="83" t="s">
        <v>1519</v>
      </c>
      <c r="N1" s="84" t="s">
        <v>1520</v>
      </c>
      <c r="O1" s="84" t="s">
        <v>1521</v>
      </c>
      <c r="P1" s="84" t="s">
        <v>1522</v>
      </c>
      <c r="Q1" s="84" t="s">
        <v>1523</v>
      </c>
      <c r="R1" s="84" t="s">
        <v>1524</v>
      </c>
      <c r="S1" s="84" t="s">
        <v>1525</v>
      </c>
      <c r="T1" s="84" t="s">
        <v>1526</v>
      </c>
      <c r="U1" s="84" t="s">
        <v>1527</v>
      </c>
      <c r="V1" s="85" t="s">
        <v>1251</v>
      </c>
      <c r="W1" s="85" t="s">
        <v>1252</v>
      </c>
      <c r="X1" s="85" t="s">
        <v>1253</v>
      </c>
      <c r="Y1" s="85" t="s">
        <v>1254</v>
      </c>
      <c r="Z1" s="86" t="s">
        <v>1250</v>
      </c>
      <c r="AA1" s="86" t="s">
        <v>1267</v>
      </c>
      <c r="AB1" s="87" t="s">
        <v>438</v>
      </c>
      <c r="AC1" s="87" t="s">
        <v>113</v>
      </c>
      <c r="AD1" s="85" t="s">
        <v>1256</v>
      </c>
      <c r="AE1" s="85" t="s">
        <v>1257</v>
      </c>
      <c r="AF1" s="85" t="s">
        <v>1258</v>
      </c>
      <c r="AG1" s="85" t="s">
        <v>1259</v>
      </c>
      <c r="AH1" s="85" t="s">
        <v>1260</v>
      </c>
      <c r="AI1" s="85" t="s">
        <v>1261</v>
      </c>
      <c r="AJ1" s="85" t="s">
        <v>1262</v>
      </c>
      <c r="AK1" s="85" t="s">
        <v>1285</v>
      </c>
      <c r="AL1" s="88" t="s">
        <v>1265</v>
      </c>
    </row>
    <row r="2" spans="1:38" ht="15" thickBot="1" x14ac:dyDescent="0.35">
      <c r="A2" s="118" t="s">
        <v>1528</v>
      </c>
      <c r="B2" s="117" t="s">
        <v>2780</v>
      </c>
      <c r="C2" s="114" t="s">
        <v>2782</v>
      </c>
      <c r="D2" s="120"/>
      <c r="E2" s="120"/>
      <c r="F2" s="90" t="s">
        <v>1529</v>
      </c>
      <c r="G2" s="90"/>
      <c r="H2" s="90"/>
      <c r="I2" s="90" t="s">
        <v>1530</v>
      </c>
      <c r="J2" s="90"/>
      <c r="K2" s="90"/>
      <c r="L2" s="90" t="s">
        <v>1531</v>
      </c>
      <c r="M2" s="90"/>
      <c r="N2" s="90">
        <v>0.47799999999999998</v>
      </c>
      <c r="O2" s="90"/>
      <c r="P2" s="90"/>
      <c r="Q2" s="90">
        <v>0.26100000000000001</v>
      </c>
      <c r="R2" s="90"/>
      <c r="S2" s="90"/>
      <c r="T2" s="90">
        <v>0.26200000000000001</v>
      </c>
      <c r="U2" s="90"/>
      <c r="V2" s="90" t="s">
        <v>1264</v>
      </c>
      <c r="W2" s="90">
        <v>1373</v>
      </c>
      <c r="X2" s="90">
        <v>10</v>
      </c>
      <c r="Y2" s="90" t="s">
        <v>1533</v>
      </c>
      <c r="Z2" s="90" t="s">
        <v>890</v>
      </c>
      <c r="AA2" s="90">
        <v>0.1</v>
      </c>
      <c r="AB2" s="90" t="s">
        <v>518</v>
      </c>
      <c r="AC2" s="90">
        <v>3.2</v>
      </c>
      <c r="AD2" s="90">
        <v>0.9</v>
      </c>
      <c r="AE2" s="90">
        <v>1</v>
      </c>
      <c r="AF2" s="90">
        <v>0</v>
      </c>
      <c r="AG2" s="90"/>
      <c r="AH2" s="90"/>
      <c r="AI2" s="90" t="s">
        <v>1534</v>
      </c>
      <c r="AJ2" s="90">
        <v>300</v>
      </c>
      <c r="AK2" s="90">
        <v>300</v>
      </c>
      <c r="AL2" s="90">
        <v>540</v>
      </c>
    </row>
    <row r="3" spans="1:38" ht="15" thickBot="1" x14ac:dyDescent="0.35">
      <c r="A3" s="118" t="s">
        <v>1528</v>
      </c>
      <c r="B3" s="114" t="s">
        <v>2780</v>
      </c>
      <c r="C3" s="114" t="s">
        <v>2782</v>
      </c>
      <c r="D3" s="120"/>
      <c r="E3" s="120"/>
      <c r="F3" s="90" t="s">
        <v>1529</v>
      </c>
      <c r="G3" s="90"/>
      <c r="H3" s="90"/>
      <c r="I3" s="90" t="s">
        <v>1530</v>
      </c>
      <c r="J3" s="90"/>
      <c r="K3" s="90"/>
      <c r="L3" s="90" t="s">
        <v>1531</v>
      </c>
      <c r="M3" s="90"/>
      <c r="N3" s="90">
        <v>0.47799999999999998</v>
      </c>
      <c r="O3" s="90"/>
      <c r="P3" s="90"/>
      <c r="Q3" s="90">
        <v>0.26100000000000001</v>
      </c>
      <c r="R3" s="90"/>
      <c r="S3" s="90"/>
      <c r="T3" s="90">
        <v>0.26200000000000001</v>
      </c>
      <c r="U3" s="90"/>
      <c r="V3" s="90" t="s">
        <v>1264</v>
      </c>
      <c r="W3" s="90">
        <v>1273</v>
      </c>
      <c r="X3" s="90">
        <v>10</v>
      </c>
      <c r="Y3" s="90" t="s">
        <v>1533</v>
      </c>
      <c r="Z3" s="90" t="s">
        <v>890</v>
      </c>
      <c r="AA3" s="90">
        <v>0.1</v>
      </c>
      <c r="AB3" s="90" t="s">
        <v>518</v>
      </c>
      <c r="AC3" s="90">
        <v>3.2</v>
      </c>
      <c r="AD3" s="90">
        <v>1.3</v>
      </c>
      <c r="AE3" s="90">
        <v>1</v>
      </c>
      <c r="AF3" s="90">
        <v>0</v>
      </c>
      <c r="AG3" s="90"/>
      <c r="AH3" s="90"/>
      <c r="AI3" s="90" t="s">
        <v>1534</v>
      </c>
      <c r="AJ3" s="90">
        <v>300</v>
      </c>
      <c r="AK3" s="90">
        <v>300</v>
      </c>
      <c r="AL3" s="90">
        <v>540</v>
      </c>
    </row>
    <row r="4" spans="1:38" ht="15" thickBot="1" x14ac:dyDescent="0.35">
      <c r="A4" s="118" t="s">
        <v>1528</v>
      </c>
      <c r="B4" s="114" t="s">
        <v>2780</v>
      </c>
      <c r="C4" s="114" t="s">
        <v>2782</v>
      </c>
      <c r="D4" s="120"/>
      <c r="E4" s="120"/>
      <c r="F4" s="90" t="s">
        <v>1529</v>
      </c>
      <c r="G4" s="90"/>
      <c r="H4" s="90"/>
      <c r="I4" s="90" t="s">
        <v>1530</v>
      </c>
      <c r="J4" s="90"/>
      <c r="K4" s="90"/>
      <c r="L4" s="90" t="s">
        <v>1531</v>
      </c>
      <c r="M4" s="90"/>
      <c r="N4" s="90">
        <v>0.47799999999999998</v>
      </c>
      <c r="O4" s="90"/>
      <c r="P4" s="90"/>
      <c r="Q4" s="90">
        <v>0.26100000000000001</v>
      </c>
      <c r="R4" s="90"/>
      <c r="S4" s="90"/>
      <c r="T4" s="90">
        <v>0.26200000000000001</v>
      </c>
      <c r="U4" s="90"/>
      <c r="V4" s="90" t="s">
        <v>1264</v>
      </c>
      <c r="W4" s="90">
        <v>1173</v>
      </c>
      <c r="X4" s="90">
        <v>10</v>
      </c>
      <c r="Y4" s="90" t="s">
        <v>1533</v>
      </c>
      <c r="Z4" s="90" t="s">
        <v>890</v>
      </c>
      <c r="AA4" s="90">
        <v>0.1</v>
      </c>
      <c r="AB4" s="90" t="s">
        <v>518</v>
      </c>
      <c r="AC4" s="90">
        <v>3.2</v>
      </c>
      <c r="AD4" s="90">
        <v>1.9</v>
      </c>
      <c r="AE4" s="90">
        <v>1</v>
      </c>
      <c r="AF4" s="90">
        <v>0</v>
      </c>
      <c r="AG4" s="90"/>
      <c r="AH4" s="90"/>
      <c r="AI4" s="90" t="s">
        <v>1534</v>
      </c>
      <c r="AJ4" s="90">
        <v>300</v>
      </c>
      <c r="AK4" s="90">
        <v>300</v>
      </c>
      <c r="AL4" s="90">
        <v>32</v>
      </c>
    </row>
    <row r="5" spans="1:38" ht="15" thickBot="1" x14ac:dyDescent="0.35">
      <c r="A5" s="118" t="s">
        <v>1528</v>
      </c>
      <c r="B5" s="114" t="s">
        <v>2780</v>
      </c>
      <c r="C5" s="114" t="s">
        <v>2782</v>
      </c>
      <c r="D5" s="120"/>
      <c r="E5" s="120"/>
      <c r="F5" s="90" t="s">
        <v>1529</v>
      </c>
      <c r="G5" s="90"/>
      <c r="H5" s="90"/>
      <c r="I5" s="90" t="s">
        <v>1530</v>
      </c>
      <c r="J5" s="90" t="s">
        <v>1535</v>
      </c>
      <c r="K5" s="90"/>
      <c r="L5" s="90" t="s">
        <v>1531</v>
      </c>
      <c r="M5" s="90"/>
      <c r="N5" s="90">
        <v>0.47699999999999998</v>
      </c>
      <c r="O5" s="90"/>
      <c r="P5" s="90"/>
      <c r="Q5" s="90">
        <v>0.26100000000000001</v>
      </c>
      <c r="R5" s="91">
        <v>1E-4</v>
      </c>
      <c r="S5" s="90"/>
      <c r="T5" s="90">
        <v>0.26200000000000001</v>
      </c>
      <c r="U5" s="90"/>
      <c r="V5" s="90" t="s">
        <v>1264</v>
      </c>
      <c r="W5" s="90">
        <v>1273</v>
      </c>
      <c r="X5" s="90">
        <v>10</v>
      </c>
      <c r="Y5" s="90" t="s">
        <v>1533</v>
      </c>
      <c r="Z5" s="90" t="s">
        <v>890</v>
      </c>
      <c r="AA5" s="90">
        <v>0.1</v>
      </c>
      <c r="AB5" s="90" t="s">
        <v>518</v>
      </c>
      <c r="AC5" s="90">
        <v>3.2</v>
      </c>
      <c r="AD5" s="90">
        <v>0.9</v>
      </c>
      <c r="AE5" s="90">
        <v>1</v>
      </c>
      <c r="AF5" s="90">
        <v>0</v>
      </c>
      <c r="AG5" s="90"/>
      <c r="AH5" s="90"/>
      <c r="AI5" s="90" t="s">
        <v>1534</v>
      </c>
      <c r="AJ5" s="90">
        <v>300</v>
      </c>
      <c r="AK5" s="90">
        <v>300</v>
      </c>
      <c r="AL5" s="90">
        <v>40</v>
      </c>
    </row>
    <row r="6" spans="1:38" ht="15" thickBot="1" x14ac:dyDescent="0.35">
      <c r="A6" s="118" t="s">
        <v>1528</v>
      </c>
      <c r="B6" s="114" t="s">
        <v>2780</v>
      </c>
      <c r="C6" s="114" t="s">
        <v>2783</v>
      </c>
      <c r="D6" s="120"/>
      <c r="E6" s="120"/>
      <c r="F6" s="90" t="s">
        <v>1529</v>
      </c>
      <c r="G6" s="90"/>
      <c r="H6" s="90"/>
      <c r="I6" s="90" t="s">
        <v>1530</v>
      </c>
      <c r="J6" s="90" t="s">
        <v>1535</v>
      </c>
      <c r="K6" s="90"/>
      <c r="L6" s="90" t="s">
        <v>1531</v>
      </c>
      <c r="M6" s="90"/>
      <c r="N6" s="90">
        <v>0.47699999999999998</v>
      </c>
      <c r="O6" s="90"/>
      <c r="P6" s="90"/>
      <c r="Q6" s="90">
        <v>0.26</v>
      </c>
      <c r="R6" s="90">
        <v>1E-3</v>
      </c>
      <c r="S6" s="90"/>
      <c r="T6" s="90">
        <v>0.26100000000000001</v>
      </c>
      <c r="U6" s="90"/>
      <c r="V6" s="90" t="s">
        <v>1264</v>
      </c>
      <c r="W6" s="90">
        <v>1273</v>
      </c>
      <c r="X6" s="90">
        <v>10</v>
      </c>
      <c r="Y6" s="90" t="s">
        <v>1533</v>
      </c>
      <c r="Z6" s="90" t="s">
        <v>890</v>
      </c>
      <c r="AA6" s="90">
        <v>0.1</v>
      </c>
      <c r="AB6" s="90" t="s">
        <v>518</v>
      </c>
      <c r="AC6" s="90">
        <v>3.2</v>
      </c>
      <c r="AD6" s="90">
        <v>2.7</v>
      </c>
      <c r="AE6" s="90">
        <v>1</v>
      </c>
      <c r="AF6" s="90">
        <v>0</v>
      </c>
      <c r="AG6" s="90"/>
      <c r="AH6" s="90"/>
      <c r="AI6" s="90" t="s">
        <v>1534</v>
      </c>
      <c r="AJ6" s="90">
        <v>300</v>
      </c>
      <c r="AK6" s="90">
        <v>300</v>
      </c>
      <c r="AL6" s="90">
        <v>380</v>
      </c>
    </row>
    <row r="7" spans="1:38" ht="15" thickBot="1" x14ac:dyDescent="0.35">
      <c r="A7" s="118" t="s">
        <v>1528</v>
      </c>
      <c r="B7" s="114" t="s">
        <v>2780</v>
      </c>
      <c r="C7" s="114" t="s">
        <v>2784</v>
      </c>
      <c r="D7" s="120"/>
      <c r="E7" s="120"/>
      <c r="F7" s="90" t="s">
        <v>1529</v>
      </c>
      <c r="G7" s="90"/>
      <c r="H7" s="90"/>
      <c r="I7" s="90" t="s">
        <v>1530</v>
      </c>
      <c r="J7" s="90" t="s">
        <v>1535</v>
      </c>
      <c r="K7" s="90"/>
      <c r="L7" s="90" t="s">
        <v>1531</v>
      </c>
      <c r="M7" s="90"/>
      <c r="N7" s="90">
        <v>0.47099999999999997</v>
      </c>
      <c r="O7" s="90"/>
      <c r="P7" s="90"/>
      <c r="Q7" s="90">
        <v>0.25700000000000001</v>
      </c>
      <c r="R7" s="90">
        <v>1.4E-2</v>
      </c>
      <c r="S7" s="90"/>
      <c r="T7" s="90">
        <v>0.25800000000000001</v>
      </c>
      <c r="U7" s="90"/>
      <c r="V7" s="90" t="s">
        <v>1264</v>
      </c>
      <c r="W7" s="90">
        <v>1273</v>
      </c>
      <c r="X7" s="90">
        <v>10</v>
      </c>
      <c r="Y7" s="90" t="s">
        <v>1533</v>
      </c>
      <c r="Z7" s="90" t="s">
        <v>890</v>
      </c>
      <c r="AA7" s="90">
        <v>0.1</v>
      </c>
      <c r="AB7" s="90" t="s">
        <v>518</v>
      </c>
      <c r="AC7" s="90">
        <v>3.2</v>
      </c>
      <c r="AD7" s="90">
        <v>2.4</v>
      </c>
      <c r="AE7" s="90">
        <v>1</v>
      </c>
      <c r="AF7" s="90">
        <v>0</v>
      </c>
      <c r="AG7" s="90"/>
      <c r="AH7" s="90"/>
      <c r="AI7" s="90" t="s">
        <v>1534</v>
      </c>
      <c r="AJ7" s="90">
        <v>300</v>
      </c>
      <c r="AK7" s="90">
        <v>300</v>
      </c>
      <c r="AL7" s="90">
        <v>700</v>
      </c>
    </row>
    <row r="8" spans="1:38" ht="15" thickBot="1" x14ac:dyDescent="0.35">
      <c r="A8" s="118" t="s">
        <v>1536</v>
      </c>
      <c r="B8" s="114" t="s">
        <v>2785</v>
      </c>
      <c r="C8" s="114" t="s">
        <v>2779</v>
      </c>
      <c r="D8" s="120"/>
      <c r="E8" s="120"/>
      <c r="F8" s="90" t="s">
        <v>1537</v>
      </c>
      <c r="G8" s="90"/>
      <c r="H8" s="90"/>
      <c r="I8" s="90" t="s">
        <v>678</v>
      </c>
      <c r="J8" s="90"/>
      <c r="K8" s="90"/>
      <c r="L8" s="90" t="s">
        <v>1531</v>
      </c>
      <c r="M8" s="90"/>
      <c r="N8" s="90">
        <v>0.23200000000000001</v>
      </c>
      <c r="O8" s="90"/>
      <c r="P8" s="90"/>
      <c r="Q8" s="90">
        <v>0.498</v>
      </c>
      <c r="R8" s="90"/>
      <c r="S8" s="90"/>
      <c r="T8" s="90">
        <v>0.27</v>
      </c>
      <c r="U8" s="90"/>
      <c r="V8" s="90" t="s">
        <v>1538</v>
      </c>
      <c r="W8" s="90">
        <v>743</v>
      </c>
      <c r="X8" s="90">
        <v>12</v>
      </c>
      <c r="Y8" s="90"/>
      <c r="Z8" s="90"/>
      <c r="AA8" s="90"/>
      <c r="AB8" s="90" t="s">
        <v>1539</v>
      </c>
      <c r="AC8" s="90">
        <v>2.1</v>
      </c>
      <c r="AD8" s="90"/>
      <c r="AE8" s="90">
        <v>4</v>
      </c>
      <c r="AF8" s="90">
        <v>0</v>
      </c>
      <c r="AG8" s="90"/>
      <c r="AH8" s="90"/>
      <c r="AI8" s="90" t="s">
        <v>1370</v>
      </c>
      <c r="AJ8" s="90">
        <v>64</v>
      </c>
      <c r="AK8" s="90">
        <v>420</v>
      </c>
      <c r="AL8" s="90">
        <v>91.07</v>
      </c>
    </row>
    <row r="9" spans="1:38" ht="15" thickBot="1" x14ac:dyDescent="0.35">
      <c r="A9" s="118" t="s">
        <v>1536</v>
      </c>
      <c r="B9" s="114" t="s">
        <v>2785</v>
      </c>
      <c r="C9" s="114" t="s">
        <v>2779</v>
      </c>
      <c r="D9" s="120"/>
      <c r="E9" s="120"/>
      <c r="F9" s="90" t="s">
        <v>1537</v>
      </c>
      <c r="G9" s="90"/>
      <c r="H9" s="90"/>
      <c r="I9" s="90" t="s">
        <v>678</v>
      </c>
      <c r="J9" s="90"/>
      <c r="K9" s="90"/>
      <c r="L9" s="90" t="s">
        <v>1531</v>
      </c>
      <c r="M9" s="90"/>
      <c r="N9" s="90">
        <v>0.23200000000000001</v>
      </c>
      <c r="O9" s="90"/>
      <c r="P9" s="90"/>
      <c r="Q9" s="90">
        <v>0.498</v>
      </c>
      <c r="R9" s="90"/>
      <c r="S9" s="90"/>
      <c r="T9" s="90">
        <v>0.27</v>
      </c>
      <c r="U9" s="90"/>
      <c r="V9" s="90" t="s">
        <v>1538</v>
      </c>
      <c r="W9" s="90">
        <v>743</v>
      </c>
      <c r="X9" s="90">
        <v>12</v>
      </c>
      <c r="Y9" s="90"/>
      <c r="Z9" s="90"/>
      <c r="AA9" s="90"/>
      <c r="AB9" s="90" t="s">
        <v>1539</v>
      </c>
      <c r="AC9" s="90">
        <v>2.1</v>
      </c>
      <c r="AD9" s="90"/>
      <c r="AE9" s="90">
        <v>4</v>
      </c>
      <c r="AF9" s="90">
        <v>5</v>
      </c>
      <c r="AG9" s="90"/>
      <c r="AH9" s="90"/>
      <c r="AI9" s="90" t="s">
        <v>1370</v>
      </c>
      <c r="AJ9" s="90">
        <v>64</v>
      </c>
      <c r="AK9" s="90">
        <v>420</v>
      </c>
      <c r="AL9" s="90">
        <v>146.19999999999999</v>
      </c>
    </row>
    <row r="10" spans="1:38" ht="15" thickBot="1" x14ac:dyDescent="0.35">
      <c r="A10" s="118" t="s">
        <v>1540</v>
      </c>
      <c r="B10" s="114" t="s">
        <v>2786</v>
      </c>
      <c r="C10" s="114" t="s">
        <v>2787</v>
      </c>
      <c r="D10" s="120"/>
      <c r="E10" s="120"/>
      <c r="F10" s="90" t="s">
        <v>1529</v>
      </c>
      <c r="G10" s="90" t="s">
        <v>1088</v>
      </c>
      <c r="H10" s="90"/>
      <c r="I10" s="90" t="s">
        <v>1530</v>
      </c>
      <c r="J10" s="90" t="s">
        <v>1541</v>
      </c>
      <c r="K10" s="90"/>
      <c r="L10" s="90" t="s">
        <v>1531</v>
      </c>
      <c r="M10" s="90"/>
      <c r="N10" s="90">
        <v>0.47499999999999998</v>
      </c>
      <c r="O10" s="90">
        <v>4.0000000000000001E-3</v>
      </c>
      <c r="P10" s="90"/>
      <c r="Q10" s="90">
        <v>0.26</v>
      </c>
      <c r="R10" s="90">
        <v>1E-3</v>
      </c>
      <c r="S10" s="90"/>
      <c r="T10" s="90">
        <v>0.26</v>
      </c>
      <c r="U10" s="90"/>
      <c r="V10" s="90" t="s">
        <v>1407</v>
      </c>
      <c r="W10" s="90"/>
      <c r="X10" s="90"/>
      <c r="Y10" s="90" t="s">
        <v>1268</v>
      </c>
      <c r="Z10" s="90" t="s">
        <v>863</v>
      </c>
      <c r="AA10" s="90">
        <v>0.5</v>
      </c>
      <c r="AB10" s="90" t="s">
        <v>518</v>
      </c>
      <c r="AC10" s="90">
        <v>2.95</v>
      </c>
      <c r="AD10" s="90"/>
      <c r="AE10" s="90">
        <v>0.5</v>
      </c>
      <c r="AF10" s="90">
        <v>20</v>
      </c>
      <c r="AG10" s="90"/>
      <c r="AH10" s="90"/>
      <c r="AI10" s="90" t="s">
        <v>1534</v>
      </c>
      <c r="AJ10" s="90">
        <v>300</v>
      </c>
      <c r="AK10" s="90">
        <v>420</v>
      </c>
      <c r="AL10" s="90">
        <v>66</v>
      </c>
    </row>
    <row r="11" spans="1:38" ht="15" thickBot="1" x14ac:dyDescent="0.35">
      <c r="A11" s="118" t="s">
        <v>1540</v>
      </c>
      <c r="B11" s="114" t="s">
        <v>2786</v>
      </c>
      <c r="C11" s="114" t="s">
        <v>2788</v>
      </c>
      <c r="D11" s="120"/>
      <c r="E11" s="120"/>
      <c r="F11" s="90" t="s">
        <v>1529</v>
      </c>
      <c r="G11" s="90" t="s">
        <v>1088</v>
      </c>
      <c r="H11" s="90"/>
      <c r="I11" s="90" t="s">
        <v>1530</v>
      </c>
      <c r="J11" s="90" t="s">
        <v>1541</v>
      </c>
      <c r="K11" s="90"/>
      <c r="L11" s="90" t="s">
        <v>1531</v>
      </c>
      <c r="M11" s="90"/>
      <c r="N11" s="90">
        <v>0.47299999999999998</v>
      </c>
      <c r="O11" s="90">
        <v>7.0000000000000001E-3</v>
      </c>
      <c r="P11" s="90"/>
      <c r="Q11" s="90">
        <v>0.25800000000000001</v>
      </c>
      <c r="R11" s="90">
        <v>3.0000000000000001E-3</v>
      </c>
      <c r="S11" s="90"/>
      <c r="T11" s="90">
        <v>0.25900000000000001</v>
      </c>
      <c r="U11" s="90"/>
      <c r="V11" s="90" t="s">
        <v>1407</v>
      </c>
      <c r="W11" s="90"/>
      <c r="X11" s="90"/>
      <c r="Y11" s="90" t="s">
        <v>1268</v>
      </c>
      <c r="Z11" s="90" t="s">
        <v>863</v>
      </c>
      <c r="AA11" s="90">
        <v>0.5</v>
      </c>
      <c r="AB11" s="90" t="s">
        <v>518</v>
      </c>
      <c r="AC11" s="90">
        <v>2.9</v>
      </c>
      <c r="AD11" s="90"/>
      <c r="AE11" s="90">
        <v>0.5</v>
      </c>
      <c r="AF11" s="90">
        <v>20</v>
      </c>
      <c r="AG11" s="90"/>
      <c r="AH11" s="90"/>
      <c r="AI11" s="90" t="s">
        <v>1534</v>
      </c>
      <c r="AJ11" s="90">
        <v>300</v>
      </c>
      <c r="AK11" s="90">
        <v>420</v>
      </c>
      <c r="AL11" s="90">
        <v>75</v>
      </c>
    </row>
    <row r="12" spans="1:38" ht="15" thickBot="1" x14ac:dyDescent="0.35">
      <c r="A12" s="118" t="s">
        <v>1540</v>
      </c>
      <c r="B12" s="114" t="s">
        <v>2786</v>
      </c>
      <c r="C12" s="114" t="s">
        <v>2789</v>
      </c>
      <c r="D12" s="120"/>
      <c r="E12" s="120"/>
      <c r="F12" s="90" t="s">
        <v>1529</v>
      </c>
      <c r="G12" s="90" t="s">
        <v>1088</v>
      </c>
      <c r="H12" s="90"/>
      <c r="I12" s="90" t="s">
        <v>1530</v>
      </c>
      <c r="J12" s="90" t="s">
        <v>1541</v>
      </c>
      <c r="K12" s="90"/>
      <c r="L12" s="90" t="s">
        <v>1531</v>
      </c>
      <c r="M12" s="90"/>
      <c r="N12" s="90">
        <v>0.46800000000000003</v>
      </c>
      <c r="O12" s="90">
        <v>1.4999999999999999E-2</v>
      </c>
      <c r="P12" s="90"/>
      <c r="Q12" s="90">
        <v>0.25600000000000001</v>
      </c>
      <c r="R12" s="90">
        <v>6.0000000000000001E-3</v>
      </c>
      <c r="S12" s="90"/>
      <c r="T12" s="90">
        <v>0.25600000000000001</v>
      </c>
      <c r="U12" s="90"/>
      <c r="V12" s="90" t="s">
        <v>1407</v>
      </c>
      <c r="W12" s="90"/>
      <c r="X12" s="90"/>
      <c r="Y12" s="90" t="s">
        <v>1268</v>
      </c>
      <c r="Z12" s="90" t="s">
        <v>863</v>
      </c>
      <c r="AA12" s="90">
        <v>0.5</v>
      </c>
      <c r="AB12" s="90" t="s">
        <v>518</v>
      </c>
      <c r="AC12" s="90">
        <v>2.92</v>
      </c>
      <c r="AD12" s="90"/>
      <c r="AE12" s="90">
        <v>0.5</v>
      </c>
      <c r="AF12" s="90">
        <v>20</v>
      </c>
      <c r="AG12" s="90"/>
      <c r="AH12" s="90"/>
      <c r="AI12" s="90" t="s">
        <v>1534</v>
      </c>
      <c r="AJ12" s="90">
        <v>300</v>
      </c>
      <c r="AK12" s="90">
        <v>420</v>
      </c>
      <c r="AL12" s="90">
        <v>76</v>
      </c>
    </row>
    <row r="13" spans="1:38" ht="15" thickBot="1" x14ac:dyDescent="0.35">
      <c r="A13" s="118" t="s">
        <v>1540</v>
      </c>
      <c r="B13" s="114" t="s">
        <v>2786</v>
      </c>
      <c r="C13" s="114" t="s">
        <v>2790</v>
      </c>
      <c r="D13" s="120"/>
      <c r="E13" s="120"/>
      <c r="F13" s="90" t="s">
        <v>1529</v>
      </c>
      <c r="G13" s="90" t="s">
        <v>1088</v>
      </c>
      <c r="H13" s="90"/>
      <c r="I13" s="90" t="s">
        <v>1530</v>
      </c>
      <c r="J13" s="90" t="s">
        <v>1541</v>
      </c>
      <c r="K13" s="90"/>
      <c r="L13" s="90" t="s">
        <v>1531</v>
      </c>
      <c r="M13" s="90"/>
      <c r="N13" s="90">
        <v>0.46500000000000002</v>
      </c>
      <c r="O13" s="90">
        <v>1.7999999999999999E-2</v>
      </c>
      <c r="P13" s="90"/>
      <c r="Q13" s="90">
        <v>0.254</v>
      </c>
      <c r="R13" s="90">
        <v>7.0000000000000001E-3</v>
      </c>
      <c r="S13" s="90"/>
      <c r="T13" s="90">
        <v>0.255</v>
      </c>
      <c r="U13" s="90"/>
      <c r="V13" s="90" t="s">
        <v>1407</v>
      </c>
      <c r="W13" s="90"/>
      <c r="X13" s="90"/>
      <c r="Y13" s="90" t="s">
        <v>1268</v>
      </c>
      <c r="Z13" s="90" t="s">
        <v>863</v>
      </c>
      <c r="AA13" s="90">
        <v>0.5</v>
      </c>
      <c r="AB13" s="90" t="s">
        <v>518</v>
      </c>
      <c r="AC13" s="90">
        <v>2.8</v>
      </c>
      <c r="AD13" s="90"/>
      <c r="AE13" s="90">
        <v>0.5</v>
      </c>
      <c r="AF13" s="90">
        <v>20</v>
      </c>
      <c r="AG13" s="90"/>
      <c r="AH13" s="90"/>
      <c r="AI13" s="90" t="s">
        <v>1534</v>
      </c>
      <c r="AJ13" s="90">
        <v>300</v>
      </c>
      <c r="AK13" s="90">
        <v>420</v>
      </c>
      <c r="AL13" s="90">
        <v>90</v>
      </c>
    </row>
    <row r="14" spans="1:38" ht="15" thickBot="1" x14ac:dyDescent="0.35">
      <c r="A14" s="118" t="s">
        <v>1540</v>
      </c>
      <c r="B14" s="114" t="s">
        <v>2786</v>
      </c>
      <c r="C14" s="114" t="s">
        <v>2791</v>
      </c>
      <c r="D14" s="120"/>
      <c r="E14" s="120"/>
      <c r="F14" s="90" t="s">
        <v>1529</v>
      </c>
      <c r="G14" s="90" t="s">
        <v>1088</v>
      </c>
      <c r="H14" s="90"/>
      <c r="I14" s="90" t="s">
        <v>1530</v>
      </c>
      <c r="J14" s="90" t="s">
        <v>1541</v>
      </c>
      <c r="K14" s="90"/>
      <c r="L14" s="90" t="s">
        <v>1531</v>
      </c>
      <c r="M14" s="90"/>
      <c r="N14" s="90">
        <v>0.46300000000000002</v>
      </c>
      <c r="O14" s="90">
        <v>2.1999999999999999E-2</v>
      </c>
      <c r="P14" s="90"/>
      <c r="Q14" s="90">
        <v>0.253</v>
      </c>
      <c r="R14" s="90">
        <v>8.0000000000000002E-3</v>
      </c>
      <c r="S14" s="90"/>
      <c r="T14" s="90">
        <v>0.254</v>
      </c>
      <c r="U14" s="90"/>
      <c r="V14" s="90" t="s">
        <v>1407</v>
      </c>
      <c r="W14" s="90"/>
      <c r="X14" s="90"/>
      <c r="Y14" s="90" t="s">
        <v>1268</v>
      </c>
      <c r="Z14" s="90" t="s">
        <v>863</v>
      </c>
      <c r="AA14" s="90">
        <v>0.5</v>
      </c>
      <c r="AB14" s="90" t="s">
        <v>518</v>
      </c>
      <c r="AC14" s="90">
        <v>2.85</v>
      </c>
      <c r="AD14" s="90"/>
      <c r="AE14" s="90">
        <v>0.5</v>
      </c>
      <c r="AF14" s="90">
        <v>20</v>
      </c>
      <c r="AG14" s="90"/>
      <c r="AH14" s="90"/>
      <c r="AI14" s="90" t="s">
        <v>1534</v>
      </c>
      <c r="AJ14" s="90">
        <v>300</v>
      </c>
      <c r="AK14" s="90">
        <v>420</v>
      </c>
      <c r="AL14" s="90">
        <v>71</v>
      </c>
    </row>
    <row r="15" spans="1:38" ht="15" thickBot="1" x14ac:dyDescent="0.35">
      <c r="A15" s="118" t="s">
        <v>1540</v>
      </c>
      <c r="B15" s="114" t="s">
        <v>2786</v>
      </c>
      <c r="C15" s="114" t="s">
        <v>2792</v>
      </c>
      <c r="D15" s="120"/>
      <c r="E15" s="120"/>
      <c r="F15" s="90" t="s">
        <v>1529</v>
      </c>
      <c r="G15" s="90" t="s">
        <v>1088</v>
      </c>
      <c r="H15" s="90"/>
      <c r="I15" s="90" t="s">
        <v>1530</v>
      </c>
      <c r="J15" s="90" t="s">
        <v>1541</v>
      </c>
      <c r="K15" s="90"/>
      <c r="L15" s="90" t="s">
        <v>1531</v>
      </c>
      <c r="M15" s="90"/>
      <c r="N15" s="90">
        <v>0.45800000000000002</v>
      </c>
      <c r="O15" s="90">
        <v>2.9000000000000001E-2</v>
      </c>
      <c r="P15" s="90"/>
      <c r="Q15" s="90">
        <v>0.25</v>
      </c>
      <c r="R15" s="90">
        <v>1.0999999999999999E-2</v>
      </c>
      <c r="S15" s="90"/>
      <c r="T15" s="90">
        <v>0.251</v>
      </c>
      <c r="U15" s="90"/>
      <c r="V15" s="90" t="s">
        <v>1407</v>
      </c>
      <c r="W15" s="90"/>
      <c r="X15" s="90"/>
      <c r="Y15" s="90" t="s">
        <v>1268</v>
      </c>
      <c r="Z15" s="90" t="s">
        <v>863</v>
      </c>
      <c r="AA15" s="90">
        <v>0.5</v>
      </c>
      <c r="AB15" s="90" t="s">
        <v>518</v>
      </c>
      <c r="AC15" s="90">
        <v>2.9</v>
      </c>
      <c r="AD15" s="90"/>
      <c r="AE15" s="90">
        <v>0.5</v>
      </c>
      <c r="AF15" s="90">
        <v>20</v>
      </c>
      <c r="AG15" s="90"/>
      <c r="AH15" s="90"/>
      <c r="AI15" s="90" t="s">
        <v>1534</v>
      </c>
      <c r="AJ15" s="90">
        <v>300</v>
      </c>
      <c r="AK15" s="90">
        <v>420</v>
      </c>
      <c r="AL15" s="90">
        <v>39</v>
      </c>
    </row>
    <row r="16" spans="1:38" ht="15" thickBot="1" x14ac:dyDescent="0.35">
      <c r="A16" s="118" t="s">
        <v>1542</v>
      </c>
      <c r="B16" s="114" t="s">
        <v>2793</v>
      </c>
      <c r="C16" s="114" t="s">
        <v>1376</v>
      </c>
      <c r="D16" s="120"/>
      <c r="E16" s="120"/>
      <c r="F16" s="90" t="s">
        <v>1529</v>
      </c>
      <c r="G16" s="90"/>
      <c r="H16" s="90"/>
      <c r="I16" s="90" t="s">
        <v>1530</v>
      </c>
      <c r="J16" s="90" t="s">
        <v>890</v>
      </c>
      <c r="K16" s="90" t="s">
        <v>1543</v>
      </c>
      <c r="L16" s="90" t="s">
        <v>1531</v>
      </c>
      <c r="M16" s="90"/>
      <c r="N16" s="90">
        <v>0.47299999999999998</v>
      </c>
      <c r="O16" s="90"/>
      <c r="P16" s="90"/>
      <c r="Q16" s="90">
        <v>0.25800000000000001</v>
      </c>
      <c r="R16" s="90">
        <v>3.0000000000000001E-3</v>
      </c>
      <c r="S16" s="90">
        <v>7.0000000000000001E-3</v>
      </c>
      <c r="T16" s="90">
        <v>0.25900000000000001</v>
      </c>
      <c r="U16" s="90"/>
      <c r="V16" s="90" t="s">
        <v>1264</v>
      </c>
      <c r="W16" s="90">
        <v>1373</v>
      </c>
      <c r="X16" s="90">
        <v>10</v>
      </c>
      <c r="Y16" s="90" t="s">
        <v>1533</v>
      </c>
      <c r="Z16" s="90" t="s">
        <v>1544</v>
      </c>
      <c r="AA16" s="90">
        <v>3</v>
      </c>
      <c r="AB16" s="90" t="s">
        <v>518</v>
      </c>
      <c r="AC16" s="90">
        <v>2.95</v>
      </c>
      <c r="AD16" s="90"/>
      <c r="AE16" s="90">
        <v>1.66</v>
      </c>
      <c r="AF16" s="90">
        <v>0</v>
      </c>
      <c r="AG16" s="90" t="s">
        <v>1545</v>
      </c>
      <c r="AH16" s="90"/>
      <c r="AI16" s="90" t="s">
        <v>1534</v>
      </c>
      <c r="AJ16" s="90">
        <v>300</v>
      </c>
      <c r="AK16" s="90">
        <v>440</v>
      </c>
      <c r="AL16" s="90">
        <v>22</v>
      </c>
    </row>
    <row r="17" spans="1:38" ht="15" thickBot="1" x14ac:dyDescent="0.35">
      <c r="A17" s="118" t="s">
        <v>1542</v>
      </c>
      <c r="B17" s="114" t="s">
        <v>2793</v>
      </c>
      <c r="C17" s="114" t="s">
        <v>1376</v>
      </c>
      <c r="D17" s="120"/>
      <c r="E17" s="120"/>
      <c r="F17" s="90" t="s">
        <v>1529</v>
      </c>
      <c r="G17" s="90"/>
      <c r="H17" s="90"/>
      <c r="I17" s="90" t="s">
        <v>1530</v>
      </c>
      <c r="J17" s="90" t="s">
        <v>890</v>
      </c>
      <c r="K17" s="90" t="s">
        <v>1543</v>
      </c>
      <c r="L17" s="90" t="s">
        <v>1531</v>
      </c>
      <c r="M17" s="90"/>
      <c r="N17" s="90">
        <v>0.47299999999999998</v>
      </c>
      <c r="O17" s="90"/>
      <c r="P17" s="90"/>
      <c r="Q17" s="90">
        <v>0.25800000000000001</v>
      </c>
      <c r="R17" s="90">
        <v>3.0000000000000001E-3</v>
      </c>
      <c r="S17" s="90">
        <v>7.0000000000000001E-3</v>
      </c>
      <c r="T17" s="90">
        <v>0.25900000000000001</v>
      </c>
      <c r="U17" s="90"/>
      <c r="V17" s="90" t="s">
        <v>1264</v>
      </c>
      <c r="W17" s="90">
        <v>1373</v>
      </c>
      <c r="X17" s="90">
        <v>10</v>
      </c>
      <c r="Y17" s="90" t="s">
        <v>1533</v>
      </c>
      <c r="Z17" s="90" t="s">
        <v>1313</v>
      </c>
      <c r="AA17" s="90">
        <v>1</v>
      </c>
      <c r="AB17" s="90" t="s">
        <v>518</v>
      </c>
      <c r="AC17" s="90">
        <v>2.95</v>
      </c>
      <c r="AD17" s="90"/>
      <c r="AE17" s="90">
        <v>1.66</v>
      </c>
      <c r="AF17" s="90">
        <v>0</v>
      </c>
      <c r="AG17" s="90" t="s">
        <v>1545</v>
      </c>
      <c r="AH17" s="90"/>
      <c r="AI17" s="90" t="s">
        <v>1534</v>
      </c>
      <c r="AJ17" s="90">
        <v>300</v>
      </c>
      <c r="AK17" s="90">
        <v>440</v>
      </c>
      <c r="AL17" s="90">
        <v>0.6</v>
      </c>
    </row>
    <row r="18" spans="1:38" ht="15" thickBot="1" x14ac:dyDescent="0.35">
      <c r="A18" s="118" t="s">
        <v>1542</v>
      </c>
      <c r="B18" s="114" t="s">
        <v>2793</v>
      </c>
      <c r="C18" s="114" t="s">
        <v>1376</v>
      </c>
      <c r="D18" s="120"/>
      <c r="E18" s="120"/>
      <c r="F18" s="90" t="s">
        <v>1529</v>
      </c>
      <c r="G18" s="90"/>
      <c r="H18" s="90"/>
      <c r="I18" s="90" t="s">
        <v>1530</v>
      </c>
      <c r="J18" s="90" t="s">
        <v>890</v>
      </c>
      <c r="K18" s="90" t="s">
        <v>1543</v>
      </c>
      <c r="L18" s="90" t="s">
        <v>1531</v>
      </c>
      <c r="M18" s="90"/>
      <c r="N18" s="90">
        <v>0.47299999999999998</v>
      </c>
      <c r="O18" s="90"/>
      <c r="P18" s="90"/>
      <c r="Q18" s="90">
        <v>0.25800000000000001</v>
      </c>
      <c r="R18" s="90">
        <v>3.0000000000000001E-3</v>
      </c>
      <c r="S18" s="90">
        <v>7.0000000000000001E-3</v>
      </c>
      <c r="T18" s="90">
        <v>0.25900000000000001</v>
      </c>
      <c r="U18" s="90"/>
      <c r="V18" s="90" t="s">
        <v>1264</v>
      </c>
      <c r="W18" s="90">
        <v>1373</v>
      </c>
      <c r="X18" s="90">
        <v>10</v>
      </c>
      <c r="Y18" s="90" t="s">
        <v>1268</v>
      </c>
      <c r="Z18" s="90" t="s">
        <v>1415</v>
      </c>
      <c r="AA18" s="90">
        <v>0.5</v>
      </c>
      <c r="AB18" s="90" t="s">
        <v>518</v>
      </c>
      <c r="AC18" s="90">
        <v>2.95</v>
      </c>
      <c r="AD18" s="90"/>
      <c r="AE18" s="90">
        <v>1.66</v>
      </c>
      <c r="AF18" s="90">
        <v>0</v>
      </c>
      <c r="AG18" s="90" t="s">
        <v>1545</v>
      </c>
      <c r="AH18" s="90"/>
      <c r="AI18" s="90" t="s">
        <v>1534</v>
      </c>
      <c r="AJ18" s="90">
        <v>300</v>
      </c>
      <c r="AK18" s="90">
        <v>440</v>
      </c>
      <c r="AL18" s="90">
        <v>2.5</v>
      </c>
    </row>
    <row r="19" spans="1:38" ht="15" thickBot="1" x14ac:dyDescent="0.35">
      <c r="A19" s="118" t="s">
        <v>1542</v>
      </c>
      <c r="B19" s="114" t="s">
        <v>2793</v>
      </c>
      <c r="C19" s="114" t="s">
        <v>1376</v>
      </c>
      <c r="D19" s="120"/>
      <c r="E19" s="120"/>
      <c r="F19" s="90" t="s">
        <v>1529</v>
      </c>
      <c r="G19" s="90"/>
      <c r="H19" s="90"/>
      <c r="I19" s="90" t="s">
        <v>1530</v>
      </c>
      <c r="J19" s="90" t="s">
        <v>890</v>
      </c>
      <c r="K19" s="90" t="s">
        <v>1543</v>
      </c>
      <c r="L19" s="90" t="s">
        <v>1531</v>
      </c>
      <c r="M19" s="90"/>
      <c r="N19" s="90">
        <v>0.47299999999999998</v>
      </c>
      <c r="O19" s="90"/>
      <c r="P19" s="90"/>
      <c r="Q19" s="90">
        <v>0.25800000000000001</v>
      </c>
      <c r="R19" s="90">
        <v>3.0000000000000001E-3</v>
      </c>
      <c r="S19" s="90">
        <v>7.0000000000000001E-3</v>
      </c>
      <c r="T19" s="90">
        <v>0.25900000000000001</v>
      </c>
      <c r="U19" s="90"/>
      <c r="V19" s="90" t="s">
        <v>1264</v>
      </c>
      <c r="W19" s="90">
        <v>1373</v>
      </c>
      <c r="X19" s="90">
        <v>10</v>
      </c>
      <c r="Y19" s="90" t="s">
        <v>1533</v>
      </c>
      <c r="Z19" s="90" t="s">
        <v>1544</v>
      </c>
      <c r="AA19" s="90">
        <v>1</v>
      </c>
      <c r="AB19" s="90" t="s">
        <v>518</v>
      </c>
      <c r="AC19" s="90">
        <v>2.95</v>
      </c>
      <c r="AD19" s="90"/>
      <c r="AE19" s="90">
        <v>1.66</v>
      </c>
      <c r="AF19" s="90">
        <v>0</v>
      </c>
      <c r="AG19" s="90" t="s">
        <v>1545</v>
      </c>
      <c r="AH19" s="90"/>
      <c r="AI19" s="90" t="s">
        <v>1534</v>
      </c>
      <c r="AJ19" s="90">
        <v>300</v>
      </c>
      <c r="AK19" s="90">
        <v>440</v>
      </c>
      <c r="AL19" s="90">
        <v>18.5</v>
      </c>
    </row>
    <row r="20" spans="1:38" ht="15" thickBot="1" x14ac:dyDescent="0.35">
      <c r="A20" s="118" t="s">
        <v>1542</v>
      </c>
      <c r="B20" s="114" t="s">
        <v>2793</v>
      </c>
      <c r="C20" s="114" t="s">
        <v>1376</v>
      </c>
      <c r="D20" s="120"/>
      <c r="E20" s="120"/>
      <c r="F20" s="90" t="s">
        <v>1529</v>
      </c>
      <c r="G20" s="90"/>
      <c r="H20" s="90"/>
      <c r="I20" s="90" t="s">
        <v>1530</v>
      </c>
      <c r="J20" s="90" t="s">
        <v>890</v>
      </c>
      <c r="K20" s="90" t="s">
        <v>1543</v>
      </c>
      <c r="L20" s="90" t="s">
        <v>1531</v>
      </c>
      <c r="M20" s="90"/>
      <c r="N20" s="90">
        <v>0.47299999999999998</v>
      </c>
      <c r="O20" s="90"/>
      <c r="P20" s="90"/>
      <c r="Q20" s="90">
        <v>0.25800000000000001</v>
      </c>
      <c r="R20" s="90">
        <v>3.0000000000000001E-3</v>
      </c>
      <c r="S20" s="90">
        <v>7.0000000000000001E-3</v>
      </c>
      <c r="T20" s="90">
        <v>0.25900000000000001</v>
      </c>
      <c r="U20" s="90"/>
      <c r="V20" s="90" t="s">
        <v>1264</v>
      </c>
      <c r="W20" s="90">
        <v>1373</v>
      </c>
      <c r="X20" s="90">
        <v>10</v>
      </c>
      <c r="Y20" s="90" t="s">
        <v>1533</v>
      </c>
      <c r="Z20" s="90" t="s">
        <v>1544</v>
      </c>
      <c r="AA20" s="90">
        <v>3</v>
      </c>
      <c r="AB20" s="90" t="s">
        <v>518</v>
      </c>
      <c r="AC20" s="90">
        <v>2.95</v>
      </c>
      <c r="AD20" s="90"/>
      <c r="AE20" s="90">
        <v>1.66</v>
      </c>
      <c r="AF20" s="90">
        <v>0</v>
      </c>
      <c r="AG20" s="90" t="s">
        <v>1545</v>
      </c>
      <c r="AH20" s="90"/>
      <c r="AI20" s="90" t="s">
        <v>1534</v>
      </c>
      <c r="AJ20" s="90">
        <v>300</v>
      </c>
      <c r="AK20" s="90">
        <v>300</v>
      </c>
      <c r="AL20" s="90">
        <v>60</v>
      </c>
    </row>
    <row r="21" spans="1:38" ht="15" thickBot="1" x14ac:dyDescent="0.35">
      <c r="A21" s="118" t="s">
        <v>1542</v>
      </c>
      <c r="B21" s="114" t="s">
        <v>2793</v>
      </c>
      <c r="C21" s="114" t="s">
        <v>1376</v>
      </c>
      <c r="D21" s="120"/>
      <c r="E21" s="120"/>
      <c r="F21" s="90" t="s">
        <v>1529</v>
      </c>
      <c r="G21" s="90"/>
      <c r="H21" s="90"/>
      <c r="I21" s="90" t="s">
        <v>1530</v>
      </c>
      <c r="J21" s="90" t="s">
        <v>890</v>
      </c>
      <c r="K21" s="90" t="s">
        <v>1543</v>
      </c>
      <c r="L21" s="90" t="s">
        <v>1531</v>
      </c>
      <c r="M21" s="90"/>
      <c r="N21" s="90">
        <v>0.47299999999999998</v>
      </c>
      <c r="O21" s="90"/>
      <c r="P21" s="90"/>
      <c r="Q21" s="90">
        <v>0.25800000000000001</v>
      </c>
      <c r="R21" s="90">
        <v>3.0000000000000001E-3</v>
      </c>
      <c r="S21" s="90">
        <v>7.0000000000000001E-3</v>
      </c>
      <c r="T21" s="90">
        <v>0.25900000000000001</v>
      </c>
      <c r="U21" s="90"/>
      <c r="V21" s="90" t="s">
        <v>1264</v>
      </c>
      <c r="W21" s="90">
        <v>1373</v>
      </c>
      <c r="X21" s="90">
        <v>10</v>
      </c>
      <c r="Y21" s="90" t="s">
        <v>1533</v>
      </c>
      <c r="Z21" s="90" t="s">
        <v>1544</v>
      </c>
      <c r="AA21" s="90">
        <v>3</v>
      </c>
      <c r="AB21" s="90" t="s">
        <v>518</v>
      </c>
      <c r="AC21" s="90">
        <v>3.26</v>
      </c>
      <c r="AD21" s="90"/>
      <c r="AE21" s="90">
        <v>1.66</v>
      </c>
      <c r="AF21" s="90">
        <v>0</v>
      </c>
      <c r="AG21" s="90" t="s">
        <v>1545</v>
      </c>
      <c r="AH21" s="90"/>
      <c r="AI21" s="90" t="s">
        <v>1534</v>
      </c>
      <c r="AJ21" s="90">
        <v>300</v>
      </c>
      <c r="AK21" s="90">
        <v>440</v>
      </c>
      <c r="AL21" s="90">
        <v>3.15</v>
      </c>
    </row>
    <row r="22" spans="1:38" ht="15" thickBot="1" x14ac:dyDescent="0.35">
      <c r="A22" s="118" t="s">
        <v>1542</v>
      </c>
      <c r="B22" s="114" t="s">
        <v>2793</v>
      </c>
      <c r="C22" s="114" t="s">
        <v>1376</v>
      </c>
      <c r="D22" s="120"/>
      <c r="E22" s="120"/>
      <c r="F22" s="90" t="s">
        <v>1529</v>
      </c>
      <c r="G22" s="90"/>
      <c r="H22" s="90"/>
      <c r="I22" s="90" t="s">
        <v>1530</v>
      </c>
      <c r="J22" s="90" t="s">
        <v>890</v>
      </c>
      <c r="K22" s="90" t="s">
        <v>1543</v>
      </c>
      <c r="L22" s="90" t="s">
        <v>1531</v>
      </c>
      <c r="M22" s="90"/>
      <c r="N22" s="90">
        <v>0.47599999999999998</v>
      </c>
      <c r="O22" s="90"/>
      <c r="P22" s="90"/>
      <c r="Q22" s="90">
        <v>0.26</v>
      </c>
      <c r="R22" s="90">
        <v>3.0000000000000001E-3</v>
      </c>
      <c r="S22" s="90"/>
      <c r="T22" s="90">
        <v>0.26100000000000001</v>
      </c>
      <c r="U22" s="90"/>
      <c r="V22" s="90" t="s">
        <v>1264</v>
      </c>
      <c r="W22" s="90">
        <v>1373</v>
      </c>
      <c r="X22" s="90">
        <v>10</v>
      </c>
      <c r="Y22" s="90" t="s">
        <v>1533</v>
      </c>
      <c r="Z22" s="90" t="s">
        <v>1544</v>
      </c>
      <c r="AA22" s="90">
        <v>3</v>
      </c>
      <c r="AB22" s="90" t="s">
        <v>518</v>
      </c>
      <c r="AC22" s="90">
        <v>3.26</v>
      </c>
      <c r="AD22" s="90"/>
      <c r="AE22" s="90">
        <v>1.66</v>
      </c>
      <c r="AF22" s="90">
        <v>0</v>
      </c>
      <c r="AG22" s="90" t="s">
        <v>1545</v>
      </c>
      <c r="AH22" s="90"/>
      <c r="AI22" s="90" t="s">
        <v>1534</v>
      </c>
      <c r="AJ22" s="90">
        <v>300</v>
      </c>
      <c r="AK22" s="90">
        <v>300</v>
      </c>
      <c r="AL22" s="90">
        <v>3.65</v>
      </c>
    </row>
    <row r="23" spans="1:38" ht="15" thickBot="1" x14ac:dyDescent="0.35">
      <c r="A23" s="118" t="s">
        <v>1546</v>
      </c>
      <c r="B23" s="114" t="s">
        <v>2795</v>
      </c>
      <c r="C23" s="114" t="s">
        <v>2794</v>
      </c>
      <c r="D23" s="120"/>
      <c r="E23" s="120"/>
      <c r="F23" s="90" t="s">
        <v>1547</v>
      </c>
      <c r="G23" s="90"/>
      <c r="H23" s="90"/>
      <c r="I23" s="90" t="s">
        <v>1530</v>
      </c>
      <c r="J23" s="90"/>
      <c r="K23" s="90"/>
      <c r="L23" s="90" t="s">
        <v>1531</v>
      </c>
      <c r="M23" s="90" t="s">
        <v>1548</v>
      </c>
      <c r="N23" s="90">
        <v>0.55600000000000005</v>
      </c>
      <c r="O23" s="90"/>
      <c r="P23" s="90"/>
      <c r="Q23" s="90">
        <v>0.17699999999999999</v>
      </c>
      <c r="R23" s="90"/>
      <c r="S23" s="90"/>
      <c r="T23" s="90">
        <v>0.14799999999999999</v>
      </c>
      <c r="U23" s="90">
        <v>0.11899999999999999</v>
      </c>
      <c r="V23" s="90" t="s">
        <v>1305</v>
      </c>
      <c r="W23" s="90">
        <v>773</v>
      </c>
      <c r="X23" s="90">
        <v>12</v>
      </c>
      <c r="Y23" s="90" t="s">
        <v>1268</v>
      </c>
      <c r="Z23" s="90" t="s">
        <v>890</v>
      </c>
      <c r="AA23" s="90">
        <v>1.5</v>
      </c>
      <c r="AB23" s="90" t="s">
        <v>1549</v>
      </c>
      <c r="AC23" s="90">
        <v>1.9</v>
      </c>
      <c r="AD23" s="90"/>
      <c r="AE23" s="90">
        <v>0.5</v>
      </c>
      <c r="AF23" s="90">
        <v>0</v>
      </c>
      <c r="AG23" s="90" t="s">
        <v>1550</v>
      </c>
      <c r="AH23" s="90" t="s">
        <v>1551</v>
      </c>
      <c r="AI23" s="90" t="s">
        <v>1552</v>
      </c>
      <c r="AJ23" s="90">
        <v>450</v>
      </c>
      <c r="AK23" s="90">
        <v>400</v>
      </c>
      <c r="AL23" s="90">
        <v>312.5</v>
      </c>
    </row>
    <row r="24" spans="1:38" ht="15" thickBot="1" x14ac:dyDescent="0.35">
      <c r="A24" s="118" t="s">
        <v>1553</v>
      </c>
      <c r="B24" s="90" t="s">
        <v>2796</v>
      </c>
      <c r="C24" s="114" t="s">
        <v>2797</v>
      </c>
      <c r="D24" s="120"/>
      <c r="E24" s="120"/>
      <c r="F24" s="90" t="s">
        <v>1554</v>
      </c>
      <c r="G24" s="90"/>
      <c r="H24" s="90"/>
      <c r="I24" s="90" t="s">
        <v>964</v>
      </c>
      <c r="J24" s="90"/>
      <c r="K24" s="90"/>
      <c r="L24" s="90" t="s">
        <v>1548</v>
      </c>
      <c r="M24" s="90"/>
      <c r="N24" s="90">
        <v>0.191</v>
      </c>
      <c r="O24" s="90"/>
      <c r="P24" s="90"/>
      <c r="Q24" s="90">
        <v>0.504</v>
      </c>
      <c r="R24" s="90"/>
      <c r="S24" s="90"/>
      <c r="T24" s="90">
        <v>0.30499999999999999</v>
      </c>
      <c r="U24" s="90"/>
      <c r="V24" s="90" t="s">
        <v>1407</v>
      </c>
      <c r="W24" s="90"/>
      <c r="X24" s="90"/>
      <c r="Y24" s="90" t="s">
        <v>1268</v>
      </c>
      <c r="Z24" s="90" t="s">
        <v>1415</v>
      </c>
      <c r="AA24" s="90">
        <v>0.5</v>
      </c>
      <c r="AB24" s="90" t="s">
        <v>1171</v>
      </c>
      <c r="AC24" s="90">
        <v>2.64</v>
      </c>
      <c r="AD24" s="90"/>
      <c r="AE24" s="90">
        <v>1</v>
      </c>
      <c r="AF24" s="90">
        <v>0</v>
      </c>
      <c r="AG24" s="90" t="s">
        <v>1550</v>
      </c>
      <c r="AH24" s="90" t="s">
        <v>1551</v>
      </c>
      <c r="AI24" s="90" t="s">
        <v>1534</v>
      </c>
      <c r="AJ24" s="90">
        <v>300</v>
      </c>
      <c r="AK24" s="90">
        <v>420</v>
      </c>
      <c r="AL24" s="90">
        <v>1850</v>
      </c>
    </row>
    <row r="25" spans="1:38" ht="15" thickBot="1" x14ac:dyDescent="0.35">
      <c r="A25" s="118" t="s">
        <v>1553</v>
      </c>
      <c r="B25" s="90" t="s">
        <v>2796</v>
      </c>
      <c r="C25" s="114" t="s">
        <v>2799</v>
      </c>
      <c r="D25" s="120"/>
      <c r="E25" s="120"/>
      <c r="F25" s="90" t="s">
        <v>1554</v>
      </c>
      <c r="G25" s="90" t="s">
        <v>1555</v>
      </c>
      <c r="H25" s="90"/>
      <c r="I25" s="90" t="s">
        <v>964</v>
      </c>
      <c r="J25" s="90"/>
      <c r="K25" s="90"/>
      <c r="L25" s="90" t="s">
        <v>1548</v>
      </c>
      <c r="M25" s="90"/>
      <c r="N25" s="90">
        <v>0.191</v>
      </c>
      <c r="O25" s="90">
        <v>2E-3</v>
      </c>
      <c r="P25" s="90"/>
      <c r="Q25" s="90">
        <v>0.503</v>
      </c>
      <c r="R25" s="90"/>
      <c r="S25" s="90"/>
      <c r="T25" s="90">
        <v>0.30499999999999999</v>
      </c>
      <c r="U25" s="90"/>
      <c r="V25" s="90" t="s">
        <v>1407</v>
      </c>
      <c r="W25" s="90"/>
      <c r="X25" s="90"/>
      <c r="Y25" s="90" t="s">
        <v>1268</v>
      </c>
      <c r="Z25" s="90" t="s">
        <v>1415</v>
      </c>
      <c r="AA25" s="90">
        <v>0.5</v>
      </c>
      <c r="AB25" s="90" t="s">
        <v>1171</v>
      </c>
      <c r="AC25" s="90">
        <v>2.57</v>
      </c>
      <c r="AD25" s="90"/>
      <c r="AE25" s="90">
        <v>1</v>
      </c>
      <c r="AF25" s="90">
        <v>0</v>
      </c>
      <c r="AG25" s="90" t="s">
        <v>1550</v>
      </c>
      <c r="AH25" s="90" t="s">
        <v>1551</v>
      </c>
      <c r="AI25" s="90" t="s">
        <v>1534</v>
      </c>
      <c r="AJ25" s="90">
        <v>300</v>
      </c>
      <c r="AK25" s="90">
        <v>420</v>
      </c>
      <c r="AL25" s="90">
        <v>2810</v>
      </c>
    </row>
    <row r="26" spans="1:38" ht="15" thickBot="1" x14ac:dyDescent="0.35">
      <c r="A26" s="118" t="s">
        <v>1553</v>
      </c>
      <c r="B26" s="90" t="s">
        <v>2796</v>
      </c>
      <c r="C26" s="114" t="s">
        <v>2798</v>
      </c>
      <c r="D26" s="120"/>
      <c r="E26" s="120"/>
      <c r="F26" s="90" t="s">
        <v>1554</v>
      </c>
      <c r="G26" s="90" t="s">
        <v>1555</v>
      </c>
      <c r="H26" s="90"/>
      <c r="I26" s="90" t="s">
        <v>964</v>
      </c>
      <c r="J26" s="90"/>
      <c r="K26" s="90"/>
      <c r="L26" s="90" t="s">
        <v>1548</v>
      </c>
      <c r="M26" s="90"/>
      <c r="N26" s="90">
        <v>0.191</v>
      </c>
      <c r="O26" s="90">
        <v>3.0000000000000001E-3</v>
      </c>
      <c r="P26" s="90"/>
      <c r="Q26" s="90">
        <v>0.502</v>
      </c>
      <c r="R26" s="90"/>
      <c r="S26" s="90"/>
      <c r="T26" s="90">
        <v>0.30499999999999999</v>
      </c>
      <c r="U26" s="90"/>
      <c r="V26" s="90" t="s">
        <v>1407</v>
      </c>
      <c r="W26" s="90"/>
      <c r="X26" s="90"/>
      <c r="Y26" s="90" t="s">
        <v>1268</v>
      </c>
      <c r="Z26" s="90" t="s">
        <v>1415</v>
      </c>
      <c r="AA26" s="90">
        <v>0.5</v>
      </c>
      <c r="AB26" s="90" t="s">
        <v>1171</v>
      </c>
      <c r="AC26" s="90">
        <v>2.48</v>
      </c>
      <c r="AD26" s="90"/>
      <c r="AE26" s="90">
        <v>1</v>
      </c>
      <c r="AF26" s="90">
        <v>0</v>
      </c>
      <c r="AG26" s="90" t="s">
        <v>1550</v>
      </c>
      <c r="AH26" s="90" t="s">
        <v>1551</v>
      </c>
      <c r="AI26" s="90" t="s">
        <v>1534</v>
      </c>
      <c r="AJ26" s="90">
        <v>300</v>
      </c>
      <c r="AK26" s="90">
        <v>420</v>
      </c>
      <c r="AL26" s="90">
        <v>2940</v>
      </c>
    </row>
    <row r="27" spans="1:38" ht="15" thickBot="1" x14ac:dyDescent="0.35">
      <c r="A27" s="118" t="s">
        <v>1553</v>
      </c>
      <c r="B27" s="90" t="s">
        <v>2796</v>
      </c>
      <c r="C27" s="114" t="s">
        <v>2800</v>
      </c>
      <c r="D27" s="120"/>
      <c r="E27" s="120"/>
      <c r="F27" s="90" t="s">
        <v>1554</v>
      </c>
      <c r="G27" s="90" t="s">
        <v>1555</v>
      </c>
      <c r="H27" s="90"/>
      <c r="I27" s="90" t="s">
        <v>964</v>
      </c>
      <c r="J27" s="90"/>
      <c r="K27" s="90"/>
      <c r="L27" s="90" t="s">
        <v>1548</v>
      </c>
      <c r="M27" s="90"/>
      <c r="N27" s="90">
        <v>0.191</v>
      </c>
      <c r="O27" s="90">
        <v>5.0000000000000001E-3</v>
      </c>
      <c r="P27" s="90"/>
      <c r="Q27" s="90">
        <v>0.501</v>
      </c>
      <c r="R27" s="90"/>
      <c r="S27" s="90"/>
      <c r="T27" s="90">
        <v>0.30499999999999999</v>
      </c>
      <c r="U27" s="90"/>
      <c r="V27" s="90" t="s">
        <v>1407</v>
      </c>
      <c r="W27" s="90"/>
      <c r="X27" s="90"/>
      <c r="Y27" s="90" t="s">
        <v>1268</v>
      </c>
      <c r="Z27" s="90" t="s">
        <v>1415</v>
      </c>
      <c r="AA27" s="90">
        <v>0.5</v>
      </c>
      <c r="AB27" s="90" t="s">
        <v>1171</v>
      </c>
      <c r="AC27" s="90">
        <v>2.4700000000000002</v>
      </c>
      <c r="AD27" s="90"/>
      <c r="AE27" s="90">
        <v>1</v>
      </c>
      <c r="AF27" s="90">
        <v>0</v>
      </c>
      <c r="AG27" s="90" t="s">
        <v>1550</v>
      </c>
      <c r="AH27" s="90" t="s">
        <v>1551</v>
      </c>
      <c r="AI27" s="90" t="s">
        <v>1534</v>
      </c>
      <c r="AJ27" s="90">
        <v>300</v>
      </c>
      <c r="AK27" s="90">
        <v>420</v>
      </c>
      <c r="AL27" s="90">
        <v>3200</v>
      </c>
    </row>
    <row r="28" spans="1:38" ht="15" thickBot="1" x14ac:dyDescent="0.35">
      <c r="A28" s="118" t="s">
        <v>1553</v>
      </c>
      <c r="B28" s="90" t="s">
        <v>2796</v>
      </c>
      <c r="C28" s="114" t="s">
        <v>2801</v>
      </c>
      <c r="D28" s="120"/>
      <c r="E28" s="120"/>
      <c r="F28" s="90" t="s">
        <v>1554</v>
      </c>
      <c r="G28" s="90" t="s">
        <v>1555</v>
      </c>
      <c r="H28" s="90"/>
      <c r="I28" s="90" t="s">
        <v>964</v>
      </c>
      <c r="J28" s="90"/>
      <c r="K28" s="90"/>
      <c r="L28" s="90" t="s">
        <v>1548</v>
      </c>
      <c r="M28" s="90"/>
      <c r="N28" s="90">
        <v>0.19</v>
      </c>
      <c r="O28" s="90">
        <v>6.0000000000000001E-3</v>
      </c>
      <c r="P28" s="90"/>
      <c r="Q28" s="90">
        <v>0.5</v>
      </c>
      <c r="R28" s="90"/>
      <c r="S28" s="90"/>
      <c r="T28" s="90">
        <v>0.30399999999999999</v>
      </c>
      <c r="U28" s="90"/>
      <c r="V28" s="90" t="s">
        <v>1407</v>
      </c>
      <c r="W28" s="90"/>
      <c r="X28" s="90"/>
      <c r="Y28" s="90" t="s">
        <v>1268</v>
      </c>
      <c r="Z28" s="90" t="s">
        <v>1415</v>
      </c>
      <c r="AA28" s="90">
        <v>0.5</v>
      </c>
      <c r="AB28" s="90" t="s">
        <v>1171</v>
      </c>
      <c r="AC28" s="90">
        <v>2.4500000000000002</v>
      </c>
      <c r="AD28" s="90"/>
      <c r="AE28" s="90">
        <v>1</v>
      </c>
      <c r="AF28" s="90">
        <v>0</v>
      </c>
      <c r="AG28" s="90" t="s">
        <v>1550</v>
      </c>
      <c r="AH28" s="90" t="s">
        <v>1551</v>
      </c>
      <c r="AI28" s="90" t="s">
        <v>1534</v>
      </c>
      <c r="AJ28" s="90">
        <v>300</v>
      </c>
      <c r="AK28" s="90">
        <v>420</v>
      </c>
      <c r="AL28" s="90">
        <v>2580</v>
      </c>
    </row>
    <row r="29" spans="1:38" ht="15" thickBot="1" x14ac:dyDescent="0.35">
      <c r="A29" s="118" t="s">
        <v>1553</v>
      </c>
      <c r="B29" s="90" t="s">
        <v>2796</v>
      </c>
      <c r="C29" s="114" t="s">
        <v>2802</v>
      </c>
      <c r="D29" s="120"/>
      <c r="E29" s="120"/>
      <c r="F29" s="90" t="s">
        <v>1554</v>
      </c>
      <c r="G29" s="90" t="s">
        <v>1555</v>
      </c>
      <c r="H29" s="90"/>
      <c r="I29" s="90" t="s">
        <v>964</v>
      </c>
      <c r="J29" s="90"/>
      <c r="K29" s="90"/>
      <c r="L29" s="90" t="s">
        <v>1548</v>
      </c>
      <c r="M29" s="90"/>
      <c r="N29" s="90">
        <v>0.189</v>
      </c>
      <c r="O29" s="90">
        <v>8.9999999999999993E-3</v>
      </c>
      <c r="P29" s="90"/>
      <c r="Q29" s="90">
        <v>0.498</v>
      </c>
      <c r="R29" s="90"/>
      <c r="S29" s="90"/>
      <c r="T29" s="90">
        <v>0.30399999999999999</v>
      </c>
      <c r="U29" s="90"/>
      <c r="V29" s="90" t="s">
        <v>1407</v>
      </c>
      <c r="W29" s="90"/>
      <c r="X29" s="90"/>
      <c r="Y29" s="90" t="s">
        <v>1268</v>
      </c>
      <c r="Z29" s="90" t="s">
        <v>1415</v>
      </c>
      <c r="AA29" s="90">
        <v>0.5</v>
      </c>
      <c r="AB29" s="90" t="s">
        <v>1171</v>
      </c>
      <c r="AC29" s="90">
        <v>2.41</v>
      </c>
      <c r="AD29" s="90"/>
      <c r="AE29" s="90">
        <v>1</v>
      </c>
      <c r="AF29" s="90">
        <v>0</v>
      </c>
      <c r="AG29" s="90" t="s">
        <v>1550</v>
      </c>
      <c r="AH29" s="90" t="s">
        <v>1551</v>
      </c>
      <c r="AI29" s="90" t="s">
        <v>1534</v>
      </c>
      <c r="AJ29" s="90">
        <v>300</v>
      </c>
      <c r="AK29" s="90">
        <v>420</v>
      </c>
      <c r="AL29" s="90">
        <v>1940</v>
      </c>
    </row>
    <row r="30" spans="1:38" ht="15" thickBot="1" x14ac:dyDescent="0.35">
      <c r="A30" s="118" t="s">
        <v>1556</v>
      </c>
      <c r="B30" s="114" t="s">
        <v>2804</v>
      </c>
      <c r="C30" s="114" t="s">
        <v>2803</v>
      </c>
      <c r="D30" s="120"/>
      <c r="E30" s="120"/>
      <c r="F30" s="90" t="s">
        <v>1557</v>
      </c>
      <c r="G30" s="90" t="s">
        <v>1091</v>
      </c>
      <c r="H30" s="90" t="s">
        <v>1529</v>
      </c>
      <c r="I30" s="90" t="s">
        <v>1558</v>
      </c>
      <c r="J30" s="90"/>
      <c r="K30" s="90"/>
      <c r="L30" s="90" t="s">
        <v>1531</v>
      </c>
      <c r="M30" s="90"/>
      <c r="N30" s="90">
        <v>0.03</v>
      </c>
      <c r="O30" s="90">
        <v>3.1E-2</v>
      </c>
      <c r="P30" s="90">
        <v>6.7000000000000004E-2</v>
      </c>
      <c r="Q30" s="90">
        <v>0.69</v>
      </c>
      <c r="R30" s="90"/>
      <c r="S30" s="90"/>
      <c r="T30" s="90">
        <v>0.183</v>
      </c>
      <c r="U30" s="90"/>
      <c r="V30" s="90" t="s">
        <v>1264</v>
      </c>
      <c r="W30" s="90">
        <v>1173</v>
      </c>
      <c r="X30" s="90">
        <v>10</v>
      </c>
      <c r="Y30" s="90"/>
      <c r="Z30" s="90"/>
      <c r="AA30" s="90">
        <v>0.5</v>
      </c>
      <c r="AB30" s="90" t="s">
        <v>1539</v>
      </c>
      <c r="AC30" s="90">
        <v>3.99</v>
      </c>
      <c r="AD30" s="90"/>
      <c r="AE30" s="90">
        <v>1.42</v>
      </c>
      <c r="AF30" s="90">
        <v>0</v>
      </c>
      <c r="AG30" s="90"/>
      <c r="AH30" s="90"/>
      <c r="AI30" s="90" t="s">
        <v>1552</v>
      </c>
      <c r="AJ30" s="90">
        <v>400</v>
      </c>
      <c r="AK30" s="90">
        <v>285</v>
      </c>
      <c r="AL30" s="90">
        <v>542</v>
      </c>
    </row>
    <row r="31" spans="1:38" ht="15" thickBot="1" x14ac:dyDescent="0.35">
      <c r="A31" s="118" t="s">
        <v>1556</v>
      </c>
      <c r="B31" s="114" t="s">
        <v>2804</v>
      </c>
      <c r="C31" s="114" t="s">
        <v>2803</v>
      </c>
      <c r="D31" s="120"/>
      <c r="E31" s="120"/>
      <c r="F31" s="90" t="s">
        <v>1557</v>
      </c>
      <c r="G31" s="90" t="s">
        <v>1091</v>
      </c>
      <c r="H31" s="90" t="s">
        <v>1529</v>
      </c>
      <c r="I31" s="90" t="s">
        <v>1558</v>
      </c>
      <c r="J31" s="90"/>
      <c r="K31" s="90"/>
      <c r="L31" s="90" t="s">
        <v>1531</v>
      </c>
      <c r="M31" s="90"/>
      <c r="N31" s="90">
        <v>0.03</v>
      </c>
      <c r="O31" s="90">
        <v>3.1E-2</v>
      </c>
      <c r="P31" s="90">
        <v>6.7000000000000004E-2</v>
      </c>
      <c r="Q31" s="90">
        <v>0.69</v>
      </c>
      <c r="R31" s="90"/>
      <c r="S31" s="90"/>
      <c r="T31" s="90">
        <v>0.183</v>
      </c>
      <c r="U31" s="90"/>
      <c r="V31" s="90" t="s">
        <v>1264</v>
      </c>
      <c r="W31" s="90">
        <v>1173</v>
      </c>
      <c r="X31" s="90">
        <v>10</v>
      </c>
      <c r="Y31" s="90" t="s">
        <v>1533</v>
      </c>
      <c r="Z31" s="90" t="s">
        <v>56</v>
      </c>
      <c r="AA31" s="90">
        <v>0.5</v>
      </c>
      <c r="AB31" s="90" t="s">
        <v>1539</v>
      </c>
      <c r="AC31" s="90">
        <v>3.99</v>
      </c>
      <c r="AD31" s="90"/>
      <c r="AE31" s="90">
        <v>1.42</v>
      </c>
      <c r="AF31" s="90">
        <v>0</v>
      </c>
      <c r="AG31" s="90"/>
      <c r="AH31" s="90"/>
      <c r="AI31" s="90" t="s">
        <v>1552</v>
      </c>
      <c r="AJ31" s="90">
        <v>400</v>
      </c>
      <c r="AK31" s="90">
        <v>285</v>
      </c>
      <c r="AL31" s="90">
        <v>1278</v>
      </c>
    </row>
    <row r="32" spans="1:38" ht="15" thickBot="1" x14ac:dyDescent="0.35">
      <c r="A32" s="118" t="s">
        <v>1556</v>
      </c>
      <c r="B32" s="114" t="s">
        <v>2804</v>
      </c>
      <c r="C32" s="114" t="s">
        <v>2803</v>
      </c>
      <c r="D32" s="120"/>
      <c r="E32" s="120"/>
      <c r="F32" s="90" t="s">
        <v>1557</v>
      </c>
      <c r="G32" s="90" t="s">
        <v>1091</v>
      </c>
      <c r="H32" s="90" t="s">
        <v>1529</v>
      </c>
      <c r="I32" s="90" t="s">
        <v>1558</v>
      </c>
      <c r="J32" s="90"/>
      <c r="K32" s="90"/>
      <c r="L32" s="90" t="s">
        <v>1531</v>
      </c>
      <c r="M32" s="90"/>
      <c r="N32" s="90">
        <v>0.03</v>
      </c>
      <c r="O32" s="90">
        <v>3.1E-2</v>
      </c>
      <c r="P32" s="90">
        <v>6.7000000000000004E-2</v>
      </c>
      <c r="Q32" s="90">
        <v>0.69</v>
      </c>
      <c r="R32" s="90"/>
      <c r="S32" s="90"/>
      <c r="T32" s="90">
        <v>0.183</v>
      </c>
      <c r="U32" s="90"/>
      <c r="V32" s="90" t="s">
        <v>1264</v>
      </c>
      <c r="W32" s="90">
        <v>1423</v>
      </c>
      <c r="X32" s="90">
        <v>10</v>
      </c>
      <c r="Y32" s="90"/>
      <c r="Z32" s="90"/>
      <c r="AA32" s="90">
        <v>0.5</v>
      </c>
      <c r="AB32" s="90" t="s">
        <v>1539</v>
      </c>
      <c r="AC32" s="90">
        <v>4.13</v>
      </c>
      <c r="AD32" s="90"/>
      <c r="AE32" s="90">
        <v>1.42</v>
      </c>
      <c r="AF32" s="90">
        <v>0</v>
      </c>
      <c r="AG32" s="90"/>
      <c r="AH32" s="90"/>
      <c r="AI32" s="90" t="s">
        <v>1552</v>
      </c>
      <c r="AJ32" s="90">
        <v>400</v>
      </c>
      <c r="AK32" s="90">
        <v>285</v>
      </c>
      <c r="AL32" s="90">
        <v>204</v>
      </c>
    </row>
    <row r="33" spans="1:38" ht="15" thickBot="1" x14ac:dyDescent="0.35">
      <c r="A33" s="118" t="s">
        <v>1556</v>
      </c>
      <c r="B33" s="114" t="s">
        <v>2804</v>
      </c>
      <c r="C33" s="114" t="s">
        <v>2803</v>
      </c>
      <c r="D33" s="120"/>
      <c r="E33" s="120"/>
      <c r="F33" s="90" t="s">
        <v>1557</v>
      </c>
      <c r="G33" s="90" t="s">
        <v>1091</v>
      </c>
      <c r="H33" s="90" t="s">
        <v>1529</v>
      </c>
      <c r="I33" s="90" t="s">
        <v>1558</v>
      </c>
      <c r="J33" s="90"/>
      <c r="K33" s="90"/>
      <c r="L33" s="90" t="s">
        <v>1531</v>
      </c>
      <c r="M33" s="90"/>
      <c r="N33" s="90">
        <v>0.03</v>
      </c>
      <c r="O33" s="90">
        <v>3.1E-2</v>
      </c>
      <c r="P33" s="90">
        <v>6.7000000000000004E-2</v>
      </c>
      <c r="Q33" s="90">
        <v>0.69</v>
      </c>
      <c r="R33" s="90"/>
      <c r="S33" s="90"/>
      <c r="T33" s="90">
        <v>0.183</v>
      </c>
      <c r="U33" s="90"/>
      <c r="V33" s="90" t="s">
        <v>1264</v>
      </c>
      <c r="W33" s="90">
        <v>1423</v>
      </c>
      <c r="X33" s="90">
        <v>10</v>
      </c>
      <c r="Y33" s="90" t="s">
        <v>1533</v>
      </c>
      <c r="Z33" s="90" t="s">
        <v>56</v>
      </c>
      <c r="AA33" s="90">
        <v>0.5</v>
      </c>
      <c r="AB33" s="90" t="s">
        <v>1539</v>
      </c>
      <c r="AC33" s="90">
        <v>4.13</v>
      </c>
      <c r="AD33" s="90"/>
      <c r="AE33" s="90">
        <v>1.42</v>
      </c>
      <c r="AF33" s="90">
        <v>0</v>
      </c>
      <c r="AG33" s="90"/>
      <c r="AH33" s="90"/>
      <c r="AI33" s="90" t="s">
        <v>1552</v>
      </c>
      <c r="AJ33" s="90">
        <v>400</v>
      </c>
      <c r="AK33" s="90">
        <v>285</v>
      </c>
      <c r="AL33" s="90">
        <v>2678</v>
      </c>
    </row>
    <row r="34" spans="1:38" ht="15" thickBot="1" x14ac:dyDescent="0.35">
      <c r="A34" s="118" t="s">
        <v>1556</v>
      </c>
      <c r="B34" s="114" t="s">
        <v>2804</v>
      </c>
      <c r="C34" s="114" t="s">
        <v>2803</v>
      </c>
      <c r="D34" s="120"/>
      <c r="E34" s="120"/>
      <c r="F34" s="90" t="s">
        <v>1557</v>
      </c>
      <c r="G34" s="90" t="s">
        <v>1091</v>
      </c>
      <c r="H34" s="90" t="s">
        <v>1529</v>
      </c>
      <c r="I34" s="90" t="s">
        <v>1558</v>
      </c>
      <c r="J34" s="90"/>
      <c r="K34" s="90"/>
      <c r="L34" s="90" t="s">
        <v>1531</v>
      </c>
      <c r="M34" s="90"/>
      <c r="N34" s="90">
        <v>0.03</v>
      </c>
      <c r="O34" s="90">
        <v>3.1E-2</v>
      </c>
      <c r="P34" s="90">
        <v>6.7000000000000004E-2</v>
      </c>
      <c r="Q34" s="90">
        <v>0.69</v>
      </c>
      <c r="R34" s="90"/>
      <c r="S34" s="90"/>
      <c r="T34" s="90">
        <v>0.183</v>
      </c>
      <c r="U34" s="90"/>
      <c r="V34" s="90" t="s">
        <v>1264</v>
      </c>
      <c r="W34" s="90">
        <v>1423</v>
      </c>
      <c r="X34" s="90">
        <v>10</v>
      </c>
      <c r="Y34" s="90" t="s">
        <v>1268</v>
      </c>
      <c r="Z34" s="90" t="s">
        <v>1499</v>
      </c>
      <c r="AA34" s="90">
        <v>0.5</v>
      </c>
      <c r="AB34" s="90" t="s">
        <v>1539</v>
      </c>
      <c r="AC34" s="90">
        <v>4.13</v>
      </c>
      <c r="AD34" s="90"/>
      <c r="AE34" s="90">
        <v>1.42</v>
      </c>
      <c r="AF34" s="90">
        <v>0</v>
      </c>
      <c r="AG34" s="90"/>
      <c r="AH34" s="90"/>
      <c r="AI34" s="90" t="s">
        <v>1552</v>
      </c>
      <c r="AJ34" s="90">
        <v>400</v>
      </c>
      <c r="AK34" s="90">
        <v>285</v>
      </c>
      <c r="AL34" s="90">
        <v>50</v>
      </c>
    </row>
    <row r="35" spans="1:38" ht="15" thickBot="1" x14ac:dyDescent="0.35">
      <c r="A35" s="118" t="s">
        <v>1556</v>
      </c>
      <c r="B35" s="114" t="s">
        <v>2804</v>
      </c>
      <c r="C35" s="114" t="s">
        <v>2803</v>
      </c>
      <c r="D35" s="120"/>
      <c r="E35" s="120"/>
      <c r="F35" s="90" t="s">
        <v>1557</v>
      </c>
      <c r="G35" s="90" t="s">
        <v>1091</v>
      </c>
      <c r="H35" s="90" t="s">
        <v>1529</v>
      </c>
      <c r="I35" s="90" t="s">
        <v>1558</v>
      </c>
      <c r="J35" s="90"/>
      <c r="K35" s="90"/>
      <c r="L35" s="90" t="s">
        <v>1531</v>
      </c>
      <c r="M35" s="90"/>
      <c r="N35" s="90">
        <v>0.03</v>
      </c>
      <c r="O35" s="90">
        <v>3.1E-2</v>
      </c>
      <c r="P35" s="90">
        <v>6.7000000000000004E-2</v>
      </c>
      <c r="Q35" s="90">
        <v>0.69</v>
      </c>
      <c r="R35" s="90"/>
      <c r="S35" s="90"/>
      <c r="T35" s="90">
        <v>0.183</v>
      </c>
      <c r="U35" s="90"/>
      <c r="V35" s="90" t="s">
        <v>1264</v>
      </c>
      <c r="W35" s="90">
        <v>1423</v>
      </c>
      <c r="X35" s="90">
        <v>10</v>
      </c>
      <c r="Y35" s="90" t="s">
        <v>1533</v>
      </c>
      <c r="Z35" s="90" t="s">
        <v>1499</v>
      </c>
      <c r="AA35" s="90">
        <v>0.5</v>
      </c>
      <c r="AB35" s="90" t="s">
        <v>1539</v>
      </c>
      <c r="AC35" s="90">
        <v>4.13</v>
      </c>
      <c r="AD35" s="90"/>
      <c r="AE35" s="90">
        <v>1.42</v>
      </c>
      <c r="AF35" s="90">
        <v>0</v>
      </c>
      <c r="AG35" s="90"/>
      <c r="AH35" s="90"/>
      <c r="AI35" s="90" t="s">
        <v>1552</v>
      </c>
      <c r="AJ35" s="90">
        <v>400</v>
      </c>
      <c r="AK35" s="90">
        <v>285</v>
      </c>
      <c r="AL35" s="90">
        <v>230</v>
      </c>
    </row>
    <row r="36" spans="1:38" ht="15" thickBot="1" x14ac:dyDescent="0.35">
      <c r="A36" s="118" t="s">
        <v>1556</v>
      </c>
      <c r="B36" s="114" t="s">
        <v>2804</v>
      </c>
      <c r="C36" s="114" t="s">
        <v>2803</v>
      </c>
      <c r="D36" s="120"/>
      <c r="E36" s="120"/>
      <c r="F36" s="90" t="s">
        <v>1557</v>
      </c>
      <c r="G36" s="90" t="s">
        <v>1091</v>
      </c>
      <c r="H36" s="90" t="s">
        <v>1529</v>
      </c>
      <c r="I36" s="90" t="s">
        <v>1558</v>
      </c>
      <c r="J36" s="90"/>
      <c r="K36" s="90"/>
      <c r="L36" s="90" t="s">
        <v>1531</v>
      </c>
      <c r="M36" s="90"/>
      <c r="N36" s="90">
        <v>0.03</v>
      </c>
      <c r="O36" s="90">
        <v>3.1E-2</v>
      </c>
      <c r="P36" s="90">
        <v>6.7000000000000004E-2</v>
      </c>
      <c r="Q36" s="90">
        <v>0.69</v>
      </c>
      <c r="R36" s="90"/>
      <c r="S36" s="90"/>
      <c r="T36" s="90">
        <v>0.183</v>
      </c>
      <c r="U36" s="90"/>
      <c r="V36" s="90" t="s">
        <v>1264</v>
      </c>
      <c r="W36" s="90">
        <v>1573</v>
      </c>
      <c r="X36" s="90">
        <v>10</v>
      </c>
      <c r="Y36" s="90"/>
      <c r="Z36" s="90"/>
      <c r="AA36" s="90">
        <v>0.5</v>
      </c>
      <c r="AB36" s="90" t="s">
        <v>1539</v>
      </c>
      <c r="AC36" s="90">
        <v>4.2699999999999996</v>
      </c>
      <c r="AD36" s="90"/>
      <c r="AE36" s="90">
        <v>1.42</v>
      </c>
      <c r="AF36" s="90">
        <v>0</v>
      </c>
      <c r="AG36" s="90"/>
      <c r="AH36" s="90"/>
      <c r="AI36" s="90" t="s">
        <v>1552</v>
      </c>
      <c r="AJ36" s="90">
        <v>400</v>
      </c>
      <c r="AK36" s="90">
        <v>285</v>
      </c>
      <c r="AL36" s="90">
        <v>212</v>
      </c>
    </row>
    <row r="37" spans="1:38" ht="15" thickBot="1" x14ac:dyDescent="0.35">
      <c r="A37" s="118" t="s">
        <v>1556</v>
      </c>
      <c r="B37" s="114" t="s">
        <v>2804</v>
      </c>
      <c r="C37" s="114" t="s">
        <v>2803</v>
      </c>
      <c r="D37" s="120"/>
      <c r="E37" s="120"/>
      <c r="F37" s="90" t="s">
        <v>1557</v>
      </c>
      <c r="G37" s="90" t="s">
        <v>1091</v>
      </c>
      <c r="H37" s="90" t="s">
        <v>1529</v>
      </c>
      <c r="I37" s="90" t="s">
        <v>1558</v>
      </c>
      <c r="J37" s="90"/>
      <c r="K37" s="90"/>
      <c r="L37" s="90" t="s">
        <v>1531</v>
      </c>
      <c r="M37" s="90"/>
      <c r="N37" s="90">
        <v>0.03</v>
      </c>
      <c r="O37" s="90">
        <v>3.1E-2</v>
      </c>
      <c r="P37" s="90">
        <v>6.7000000000000004E-2</v>
      </c>
      <c r="Q37" s="90">
        <v>0.69</v>
      </c>
      <c r="R37" s="90"/>
      <c r="S37" s="90"/>
      <c r="T37" s="90">
        <v>0.183</v>
      </c>
      <c r="U37" s="90"/>
      <c r="V37" s="90" t="s">
        <v>1264</v>
      </c>
      <c r="W37" s="90">
        <v>1573</v>
      </c>
      <c r="X37" s="90">
        <v>10</v>
      </c>
      <c r="Y37" s="90" t="s">
        <v>1533</v>
      </c>
      <c r="Z37" s="90" t="s">
        <v>56</v>
      </c>
      <c r="AA37" s="90">
        <v>0.5</v>
      </c>
      <c r="AB37" s="90" t="s">
        <v>1539</v>
      </c>
      <c r="AC37" s="90">
        <v>4.2699999999999996</v>
      </c>
      <c r="AD37" s="90"/>
      <c r="AE37" s="90">
        <v>1.42</v>
      </c>
      <c r="AF37" s="90">
        <v>0</v>
      </c>
      <c r="AG37" s="90"/>
      <c r="AH37" s="90"/>
      <c r="AI37" s="90" t="s">
        <v>1552</v>
      </c>
      <c r="AJ37" s="90">
        <v>400</v>
      </c>
      <c r="AK37" s="90">
        <v>285</v>
      </c>
      <c r="AL37" s="90">
        <v>2540</v>
      </c>
    </row>
    <row r="38" spans="1:38" ht="15" thickBot="1" x14ac:dyDescent="0.35">
      <c r="A38" s="118" t="s">
        <v>1556</v>
      </c>
      <c r="B38" s="114" t="s">
        <v>2804</v>
      </c>
      <c r="C38" s="114" t="s">
        <v>2803</v>
      </c>
      <c r="D38" s="120"/>
      <c r="E38" s="120"/>
      <c r="F38" s="90" t="s">
        <v>1557</v>
      </c>
      <c r="G38" s="90" t="s">
        <v>1091</v>
      </c>
      <c r="H38" s="90" t="s">
        <v>1529</v>
      </c>
      <c r="I38" s="90" t="s">
        <v>1558</v>
      </c>
      <c r="J38" s="90"/>
      <c r="K38" s="90"/>
      <c r="L38" s="90" t="s">
        <v>1531</v>
      </c>
      <c r="M38" s="90"/>
      <c r="N38" s="90">
        <v>0.03</v>
      </c>
      <c r="O38" s="90">
        <v>3.1E-2</v>
      </c>
      <c r="P38" s="90">
        <v>6.7000000000000004E-2</v>
      </c>
      <c r="Q38" s="90">
        <v>0.69</v>
      </c>
      <c r="R38" s="90"/>
      <c r="S38" s="90"/>
      <c r="T38" s="90">
        <v>0.183</v>
      </c>
      <c r="U38" s="90"/>
      <c r="V38" s="90" t="s">
        <v>1264</v>
      </c>
      <c r="W38" s="90">
        <v>1773</v>
      </c>
      <c r="X38" s="90">
        <v>10</v>
      </c>
      <c r="Y38" s="90"/>
      <c r="Z38" s="90"/>
      <c r="AA38" s="90">
        <v>0.5</v>
      </c>
      <c r="AB38" s="90" t="s">
        <v>1539</v>
      </c>
      <c r="AC38" s="90">
        <v>4.0599999999999996</v>
      </c>
      <c r="AD38" s="90"/>
      <c r="AE38" s="90">
        <v>1.42</v>
      </c>
      <c r="AF38" s="90">
        <v>0</v>
      </c>
      <c r="AG38" s="90"/>
      <c r="AH38" s="90"/>
      <c r="AI38" s="90" t="s">
        <v>1552</v>
      </c>
      <c r="AJ38" s="90">
        <v>400</v>
      </c>
      <c r="AK38" s="90">
        <v>285</v>
      </c>
      <c r="AL38" s="90">
        <v>132</v>
      </c>
    </row>
    <row r="39" spans="1:38" ht="15" thickBot="1" x14ac:dyDescent="0.35">
      <c r="A39" s="118" t="s">
        <v>1556</v>
      </c>
      <c r="B39" s="114" t="s">
        <v>2804</v>
      </c>
      <c r="C39" s="114" t="s">
        <v>2803</v>
      </c>
      <c r="D39" s="120"/>
      <c r="E39" s="120"/>
      <c r="F39" s="90" t="s">
        <v>1557</v>
      </c>
      <c r="G39" s="90" t="s">
        <v>1091</v>
      </c>
      <c r="H39" s="90" t="s">
        <v>1529</v>
      </c>
      <c r="I39" s="90" t="s">
        <v>1558</v>
      </c>
      <c r="J39" s="90"/>
      <c r="K39" s="90"/>
      <c r="L39" s="90" t="s">
        <v>1531</v>
      </c>
      <c r="M39" s="90"/>
      <c r="N39" s="90">
        <v>0.03</v>
      </c>
      <c r="O39" s="90">
        <v>3.1E-2</v>
      </c>
      <c r="P39" s="90">
        <v>6.7000000000000004E-2</v>
      </c>
      <c r="Q39" s="90">
        <v>0.69</v>
      </c>
      <c r="R39" s="90"/>
      <c r="S39" s="90"/>
      <c r="T39" s="90">
        <v>0.183</v>
      </c>
      <c r="U39" s="90"/>
      <c r="V39" s="90" t="s">
        <v>1264</v>
      </c>
      <c r="W39" s="90">
        <v>1773</v>
      </c>
      <c r="X39" s="90">
        <v>10</v>
      </c>
      <c r="Y39" s="90" t="s">
        <v>1533</v>
      </c>
      <c r="Z39" s="90" t="s">
        <v>56</v>
      </c>
      <c r="AA39" s="90">
        <v>0.5</v>
      </c>
      <c r="AB39" s="90" t="s">
        <v>1539</v>
      </c>
      <c r="AC39" s="90">
        <v>4.0599999999999996</v>
      </c>
      <c r="AD39" s="90"/>
      <c r="AE39" s="90">
        <v>1.42</v>
      </c>
      <c r="AF39" s="90">
        <v>0</v>
      </c>
      <c r="AG39" s="90"/>
      <c r="AH39" s="90"/>
      <c r="AI39" s="90" t="s">
        <v>1552</v>
      </c>
      <c r="AJ39" s="90">
        <v>400</v>
      </c>
      <c r="AK39" s="90">
        <v>285</v>
      </c>
      <c r="AL39" s="90">
        <v>424</v>
      </c>
    </row>
    <row r="40" spans="1:38" ht="15" thickBot="1" x14ac:dyDescent="0.35">
      <c r="A40" s="118" t="s">
        <v>1556</v>
      </c>
      <c r="B40" s="114" t="s">
        <v>2804</v>
      </c>
      <c r="C40" s="114" t="s">
        <v>2803</v>
      </c>
      <c r="D40" s="120"/>
      <c r="E40" s="120"/>
      <c r="F40" s="90" t="s">
        <v>1557</v>
      </c>
      <c r="G40" s="90" t="s">
        <v>1091</v>
      </c>
      <c r="H40" s="90" t="s">
        <v>1529</v>
      </c>
      <c r="I40" s="90" t="s">
        <v>1558</v>
      </c>
      <c r="J40" s="90"/>
      <c r="K40" s="90"/>
      <c r="L40" s="90" t="s">
        <v>1531</v>
      </c>
      <c r="M40" s="90"/>
      <c r="N40" s="90">
        <v>0.03</v>
      </c>
      <c r="O40" s="90">
        <v>3.1E-2</v>
      </c>
      <c r="P40" s="90">
        <v>6.7000000000000004E-2</v>
      </c>
      <c r="Q40" s="90">
        <v>0.69</v>
      </c>
      <c r="R40" s="90"/>
      <c r="S40" s="90"/>
      <c r="T40" s="90">
        <v>0.183</v>
      </c>
      <c r="U40" s="90"/>
      <c r="V40" s="90" t="s">
        <v>1264</v>
      </c>
      <c r="W40" s="90">
        <v>1423</v>
      </c>
      <c r="X40" s="90">
        <v>10</v>
      </c>
      <c r="Y40" s="90" t="s">
        <v>1268</v>
      </c>
      <c r="Z40" s="90" t="s">
        <v>1559</v>
      </c>
      <c r="AA40" s="90">
        <v>0.5</v>
      </c>
      <c r="AB40" s="90" t="s">
        <v>1539</v>
      </c>
      <c r="AC40" s="90">
        <v>4.13</v>
      </c>
      <c r="AD40" s="90"/>
      <c r="AE40" s="90">
        <v>1.42</v>
      </c>
      <c r="AF40" s="90">
        <v>0</v>
      </c>
      <c r="AG40" s="90"/>
      <c r="AH40" s="90"/>
      <c r="AI40" s="90" t="s">
        <v>1552</v>
      </c>
      <c r="AJ40" s="90">
        <v>400</v>
      </c>
      <c r="AK40" s="90">
        <v>285</v>
      </c>
      <c r="AL40" s="90">
        <v>432</v>
      </c>
    </row>
    <row r="41" spans="1:38" ht="15" thickBot="1" x14ac:dyDescent="0.35">
      <c r="A41" s="118" t="s">
        <v>1556</v>
      </c>
      <c r="B41" s="114" t="s">
        <v>2804</v>
      </c>
      <c r="C41" s="114" t="s">
        <v>2803</v>
      </c>
      <c r="D41" s="120"/>
      <c r="E41" s="120"/>
      <c r="F41" s="90" t="s">
        <v>1557</v>
      </c>
      <c r="G41" s="90" t="s">
        <v>1091</v>
      </c>
      <c r="H41" s="90" t="s">
        <v>1529</v>
      </c>
      <c r="I41" s="90" t="s">
        <v>1558</v>
      </c>
      <c r="J41" s="90"/>
      <c r="K41" s="90"/>
      <c r="L41" s="90" t="s">
        <v>1531</v>
      </c>
      <c r="M41" s="90"/>
      <c r="N41" s="90">
        <v>0.03</v>
      </c>
      <c r="O41" s="90">
        <v>3.1E-2</v>
      </c>
      <c r="P41" s="90">
        <v>6.7000000000000004E-2</v>
      </c>
      <c r="Q41" s="90">
        <v>0.69</v>
      </c>
      <c r="R41" s="90"/>
      <c r="S41" s="90"/>
      <c r="T41" s="90">
        <v>0.183</v>
      </c>
      <c r="U41" s="90"/>
      <c r="V41" s="90" t="s">
        <v>1264</v>
      </c>
      <c r="W41" s="90">
        <v>1423</v>
      </c>
      <c r="X41" s="90">
        <v>10</v>
      </c>
      <c r="Y41" s="90" t="s">
        <v>1268</v>
      </c>
      <c r="Z41" s="90" t="s">
        <v>1415</v>
      </c>
      <c r="AA41" s="90">
        <v>0.5</v>
      </c>
      <c r="AB41" s="90" t="s">
        <v>1539</v>
      </c>
      <c r="AC41" s="90">
        <v>4.13</v>
      </c>
      <c r="AD41" s="90"/>
      <c r="AE41" s="90">
        <v>1.42</v>
      </c>
      <c r="AF41" s="90">
        <v>0</v>
      </c>
      <c r="AG41" s="90"/>
      <c r="AH41" s="90"/>
      <c r="AI41" s="90" t="s">
        <v>1552</v>
      </c>
      <c r="AJ41" s="90">
        <v>400</v>
      </c>
      <c r="AK41" s="90">
        <v>285</v>
      </c>
      <c r="AL41" s="90">
        <v>56</v>
      </c>
    </row>
    <row r="42" spans="1:38" ht="15" thickBot="1" x14ac:dyDescent="0.35">
      <c r="A42" s="118" t="s">
        <v>1556</v>
      </c>
      <c r="B42" s="114" t="s">
        <v>2804</v>
      </c>
      <c r="C42" s="114" t="s">
        <v>2803</v>
      </c>
      <c r="D42" s="120"/>
      <c r="E42" s="120"/>
      <c r="F42" s="90" t="s">
        <v>1557</v>
      </c>
      <c r="G42" s="90" t="s">
        <v>1091</v>
      </c>
      <c r="H42" s="90" t="s">
        <v>1529</v>
      </c>
      <c r="I42" s="90" t="s">
        <v>1558</v>
      </c>
      <c r="J42" s="90"/>
      <c r="K42" s="90"/>
      <c r="L42" s="90" t="s">
        <v>1531</v>
      </c>
      <c r="M42" s="90"/>
      <c r="N42" s="90">
        <v>0.03</v>
      </c>
      <c r="O42" s="90">
        <v>3.1E-2</v>
      </c>
      <c r="P42" s="90">
        <v>6.7000000000000004E-2</v>
      </c>
      <c r="Q42" s="90">
        <v>0.69</v>
      </c>
      <c r="R42" s="90"/>
      <c r="S42" s="90"/>
      <c r="T42" s="90">
        <v>0.183</v>
      </c>
      <c r="U42" s="90"/>
      <c r="V42" s="90" t="s">
        <v>1264</v>
      </c>
      <c r="W42" s="90">
        <v>1423</v>
      </c>
      <c r="X42" s="90">
        <v>10</v>
      </c>
      <c r="Y42" s="90" t="s">
        <v>1268</v>
      </c>
      <c r="Z42" s="90" t="s">
        <v>890</v>
      </c>
      <c r="AA42" s="90">
        <v>0.5</v>
      </c>
      <c r="AB42" s="90" t="s">
        <v>1539</v>
      </c>
      <c r="AC42" s="90">
        <v>4.13</v>
      </c>
      <c r="AD42" s="90"/>
      <c r="AE42" s="90">
        <v>1.42</v>
      </c>
      <c r="AF42" s="90">
        <v>0</v>
      </c>
      <c r="AG42" s="90"/>
      <c r="AH42" s="90"/>
      <c r="AI42" s="90" t="s">
        <v>1552</v>
      </c>
      <c r="AJ42" s="90">
        <v>400</v>
      </c>
      <c r="AK42" s="90">
        <v>285</v>
      </c>
      <c r="AL42" s="90">
        <v>86</v>
      </c>
    </row>
    <row r="43" spans="1:38" ht="15" thickBot="1" x14ac:dyDescent="0.35">
      <c r="A43" s="118" t="s">
        <v>1556</v>
      </c>
      <c r="B43" s="114" t="s">
        <v>2804</v>
      </c>
      <c r="C43" s="114" t="s">
        <v>2803</v>
      </c>
      <c r="D43" s="120"/>
      <c r="E43" s="120"/>
      <c r="F43" s="90" t="s">
        <v>1557</v>
      </c>
      <c r="G43" s="90" t="s">
        <v>1091</v>
      </c>
      <c r="H43" s="90" t="s">
        <v>1529</v>
      </c>
      <c r="I43" s="90" t="s">
        <v>1558</v>
      </c>
      <c r="J43" s="90"/>
      <c r="K43" s="90"/>
      <c r="L43" s="90" t="s">
        <v>1531</v>
      </c>
      <c r="M43" s="90"/>
      <c r="N43" s="90">
        <v>0.03</v>
      </c>
      <c r="O43" s="90">
        <v>3.1E-2</v>
      </c>
      <c r="P43" s="90">
        <v>6.7000000000000004E-2</v>
      </c>
      <c r="Q43" s="90">
        <v>0.69</v>
      </c>
      <c r="R43" s="90"/>
      <c r="S43" s="90"/>
      <c r="T43" s="90">
        <v>0.183</v>
      </c>
      <c r="U43" s="90"/>
      <c r="V43" s="90" t="s">
        <v>1264</v>
      </c>
      <c r="W43" s="90">
        <v>1423</v>
      </c>
      <c r="X43" s="90">
        <v>10</v>
      </c>
      <c r="Y43" s="90" t="s">
        <v>1268</v>
      </c>
      <c r="Z43" s="90" t="s">
        <v>1555</v>
      </c>
      <c r="AA43" s="90">
        <v>0.5</v>
      </c>
      <c r="AB43" s="90" t="s">
        <v>1539</v>
      </c>
      <c r="AC43" s="90">
        <v>4.13</v>
      </c>
      <c r="AD43" s="90"/>
      <c r="AE43" s="90">
        <v>1.42</v>
      </c>
      <c r="AF43" s="90">
        <v>0</v>
      </c>
      <c r="AG43" s="90"/>
      <c r="AH43" s="90"/>
      <c r="AI43" s="90" t="s">
        <v>1552</v>
      </c>
      <c r="AJ43" s="90">
        <v>400</v>
      </c>
      <c r="AK43" s="90">
        <v>285</v>
      </c>
      <c r="AL43" s="90">
        <v>106</v>
      </c>
    </row>
    <row r="44" spans="1:38" ht="15" thickBot="1" x14ac:dyDescent="0.35">
      <c r="A44" s="118" t="s">
        <v>1556</v>
      </c>
      <c r="B44" s="114" t="s">
        <v>2804</v>
      </c>
      <c r="C44" s="114" t="s">
        <v>2803</v>
      </c>
      <c r="D44" s="120"/>
      <c r="E44" s="120"/>
      <c r="F44" s="90" t="s">
        <v>1557</v>
      </c>
      <c r="G44" s="90" t="s">
        <v>1091</v>
      </c>
      <c r="H44" s="90" t="s">
        <v>1529</v>
      </c>
      <c r="I44" s="90" t="s">
        <v>1558</v>
      </c>
      <c r="J44" s="90"/>
      <c r="K44" s="90"/>
      <c r="L44" s="90" t="s">
        <v>1531</v>
      </c>
      <c r="M44" s="90"/>
      <c r="N44" s="90">
        <v>0.03</v>
      </c>
      <c r="O44" s="90">
        <v>3.1E-2</v>
      </c>
      <c r="P44" s="90">
        <v>6.7000000000000004E-2</v>
      </c>
      <c r="Q44" s="90">
        <v>0.69</v>
      </c>
      <c r="R44" s="90"/>
      <c r="S44" s="90"/>
      <c r="T44" s="90">
        <v>0.183</v>
      </c>
      <c r="U44" s="90"/>
      <c r="V44" s="90" t="s">
        <v>1264</v>
      </c>
      <c r="W44" s="90">
        <v>1423</v>
      </c>
      <c r="X44" s="90">
        <v>10</v>
      </c>
      <c r="Y44" s="90" t="s">
        <v>1533</v>
      </c>
      <c r="Z44" s="90" t="s">
        <v>1555</v>
      </c>
      <c r="AA44" s="90">
        <v>0.5</v>
      </c>
      <c r="AB44" s="90" t="s">
        <v>1539</v>
      </c>
      <c r="AC44" s="90">
        <v>4.13</v>
      </c>
      <c r="AD44" s="90"/>
      <c r="AE44" s="90">
        <v>1.42</v>
      </c>
      <c r="AF44" s="90">
        <v>0</v>
      </c>
      <c r="AG44" s="90"/>
      <c r="AH44" s="90"/>
      <c r="AI44" s="90" t="s">
        <v>1552</v>
      </c>
      <c r="AJ44" s="90">
        <v>400</v>
      </c>
      <c r="AK44" s="90">
        <v>285</v>
      </c>
      <c r="AL44" s="90">
        <v>110</v>
      </c>
    </row>
    <row r="45" spans="1:38" ht="15" thickBot="1" x14ac:dyDescent="0.35">
      <c r="A45" s="118" t="s">
        <v>1556</v>
      </c>
      <c r="B45" s="114" t="s">
        <v>2804</v>
      </c>
      <c r="C45" s="114" t="s">
        <v>2803</v>
      </c>
      <c r="D45" s="120"/>
      <c r="E45" s="120"/>
      <c r="F45" s="90" t="s">
        <v>1557</v>
      </c>
      <c r="G45" s="90" t="s">
        <v>1091</v>
      </c>
      <c r="H45" s="90" t="s">
        <v>1529</v>
      </c>
      <c r="I45" s="90" t="s">
        <v>1558</v>
      </c>
      <c r="J45" s="90"/>
      <c r="K45" s="90"/>
      <c r="L45" s="90" t="s">
        <v>1531</v>
      </c>
      <c r="M45" s="90"/>
      <c r="N45" s="90">
        <v>0.03</v>
      </c>
      <c r="O45" s="90">
        <v>3.1E-2</v>
      </c>
      <c r="P45" s="90">
        <v>6.7000000000000004E-2</v>
      </c>
      <c r="Q45" s="90">
        <v>0.69</v>
      </c>
      <c r="R45" s="90"/>
      <c r="S45" s="90"/>
      <c r="T45" s="90">
        <v>0.183</v>
      </c>
      <c r="U45" s="90"/>
      <c r="V45" s="90" t="s">
        <v>1264</v>
      </c>
      <c r="W45" s="90">
        <v>1423</v>
      </c>
      <c r="X45" s="90">
        <v>10</v>
      </c>
      <c r="Y45" s="90" t="s">
        <v>1533</v>
      </c>
      <c r="Z45" s="90" t="s">
        <v>1555</v>
      </c>
      <c r="AA45" s="90">
        <v>0.5</v>
      </c>
      <c r="AB45" s="90" t="s">
        <v>1539</v>
      </c>
      <c r="AC45" s="90">
        <v>4.13</v>
      </c>
      <c r="AD45" s="90"/>
      <c r="AE45" s="90">
        <v>1.42</v>
      </c>
      <c r="AF45" s="90">
        <v>0</v>
      </c>
      <c r="AG45" s="90"/>
      <c r="AH45" s="90"/>
      <c r="AI45" s="90" t="s">
        <v>1552</v>
      </c>
      <c r="AJ45" s="90">
        <v>400</v>
      </c>
      <c r="AK45" s="90">
        <v>285</v>
      </c>
      <c r="AL45" s="90">
        <v>192</v>
      </c>
    </row>
    <row r="46" spans="1:38" ht="15" thickBot="1" x14ac:dyDescent="0.35">
      <c r="A46" s="118" t="s">
        <v>1556</v>
      </c>
      <c r="B46" s="114" t="s">
        <v>2804</v>
      </c>
      <c r="C46" s="114" t="s">
        <v>2803</v>
      </c>
      <c r="D46" s="120"/>
      <c r="E46" s="120"/>
      <c r="F46" s="90" t="s">
        <v>1557</v>
      </c>
      <c r="G46" s="90" t="s">
        <v>1091</v>
      </c>
      <c r="H46" s="90" t="s">
        <v>1529</v>
      </c>
      <c r="I46" s="90" t="s">
        <v>1558</v>
      </c>
      <c r="J46" s="90"/>
      <c r="K46" s="90"/>
      <c r="L46" s="90" t="s">
        <v>1531</v>
      </c>
      <c r="M46" s="90"/>
      <c r="N46" s="90">
        <v>0.03</v>
      </c>
      <c r="O46" s="90">
        <v>3.1E-2</v>
      </c>
      <c r="P46" s="90">
        <v>6.7000000000000004E-2</v>
      </c>
      <c r="Q46" s="90">
        <v>0.69</v>
      </c>
      <c r="R46" s="90"/>
      <c r="S46" s="90"/>
      <c r="T46" s="90">
        <v>0.183</v>
      </c>
      <c r="U46" s="90"/>
      <c r="V46" s="90" t="s">
        <v>1264</v>
      </c>
      <c r="W46" s="90">
        <v>1423</v>
      </c>
      <c r="X46" s="90">
        <v>10</v>
      </c>
      <c r="Y46" s="90" t="s">
        <v>1268</v>
      </c>
      <c r="Z46" s="90" t="s">
        <v>863</v>
      </c>
      <c r="AA46" s="90">
        <v>0.5</v>
      </c>
      <c r="AB46" s="90" t="s">
        <v>1539</v>
      </c>
      <c r="AC46" s="90">
        <v>4.13</v>
      </c>
      <c r="AD46" s="90"/>
      <c r="AE46" s="90">
        <v>1.42</v>
      </c>
      <c r="AF46" s="90">
        <v>0</v>
      </c>
      <c r="AG46" s="90"/>
      <c r="AH46" s="90"/>
      <c r="AI46" s="90" t="s">
        <v>1552</v>
      </c>
      <c r="AJ46" s="90">
        <v>400</v>
      </c>
      <c r="AK46" s="90">
        <v>285</v>
      </c>
      <c r="AL46" s="90">
        <v>124</v>
      </c>
    </row>
    <row r="47" spans="1:38" ht="15" thickBot="1" x14ac:dyDescent="0.35">
      <c r="A47" s="118" t="s">
        <v>1556</v>
      </c>
      <c r="B47" s="114" t="s">
        <v>2804</v>
      </c>
      <c r="C47" s="114" t="s">
        <v>2803</v>
      </c>
      <c r="D47" s="120"/>
      <c r="E47" s="120"/>
      <c r="F47" s="90" t="s">
        <v>1557</v>
      </c>
      <c r="G47" s="90" t="s">
        <v>1091</v>
      </c>
      <c r="H47" s="90" t="s">
        <v>1529</v>
      </c>
      <c r="I47" s="90" t="s">
        <v>1558</v>
      </c>
      <c r="J47" s="90"/>
      <c r="K47" s="90"/>
      <c r="L47" s="90" t="s">
        <v>1531</v>
      </c>
      <c r="M47" s="90"/>
      <c r="N47" s="90">
        <v>0.03</v>
      </c>
      <c r="O47" s="90">
        <v>3.1E-2</v>
      </c>
      <c r="P47" s="90">
        <v>6.7000000000000004E-2</v>
      </c>
      <c r="Q47" s="90">
        <v>0.69</v>
      </c>
      <c r="R47" s="90"/>
      <c r="S47" s="90"/>
      <c r="T47" s="90">
        <v>0.183</v>
      </c>
      <c r="U47" s="90"/>
      <c r="V47" s="90" t="s">
        <v>1264</v>
      </c>
      <c r="W47" s="90">
        <v>1423</v>
      </c>
      <c r="X47" s="90">
        <v>10</v>
      </c>
      <c r="Y47" s="90" t="s">
        <v>1268</v>
      </c>
      <c r="Z47" s="90" t="s">
        <v>1560</v>
      </c>
      <c r="AA47" s="90">
        <v>0.5</v>
      </c>
      <c r="AB47" s="90" t="s">
        <v>1539</v>
      </c>
      <c r="AC47" s="90">
        <v>4.13</v>
      </c>
      <c r="AD47" s="90"/>
      <c r="AE47" s="90">
        <v>1.42</v>
      </c>
      <c r="AF47" s="90">
        <v>0</v>
      </c>
      <c r="AG47" s="90"/>
      <c r="AH47" s="90"/>
      <c r="AI47" s="90" t="s">
        <v>1552</v>
      </c>
      <c r="AJ47" s="90">
        <v>400</v>
      </c>
      <c r="AK47" s="90">
        <v>285</v>
      </c>
      <c r="AL47" s="90">
        <v>1168</v>
      </c>
    </row>
    <row r="48" spans="1:38" ht="15" thickBot="1" x14ac:dyDescent="0.35">
      <c r="A48" s="118" t="s">
        <v>1561</v>
      </c>
      <c r="B48" s="114" t="s">
        <v>2805</v>
      </c>
      <c r="C48" s="90" t="s">
        <v>2806</v>
      </c>
      <c r="D48" s="121"/>
      <c r="E48" s="121"/>
      <c r="F48" s="90" t="s">
        <v>1559</v>
      </c>
      <c r="G48" s="90"/>
      <c r="H48" s="90"/>
      <c r="I48" s="90" t="s">
        <v>964</v>
      </c>
      <c r="J48" s="90"/>
      <c r="K48" s="90"/>
      <c r="L48" s="90" t="s">
        <v>1548</v>
      </c>
      <c r="M48" s="90"/>
      <c r="N48" s="90">
        <v>0.26200000000000001</v>
      </c>
      <c r="O48" s="90"/>
      <c r="P48" s="90"/>
      <c r="Q48" s="90">
        <v>0.47299999999999998</v>
      </c>
      <c r="R48" s="90"/>
      <c r="S48" s="90"/>
      <c r="T48" s="90">
        <v>0.26400000000000001</v>
      </c>
      <c r="U48" s="90"/>
      <c r="V48" s="90" t="s">
        <v>1538</v>
      </c>
      <c r="W48" s="90"/>
      <c r="X48" s="90"/>
      <c r="Y48" s="90"/>
      <c r="Z48" s="90"/>
      <c r="AA48" s="90"/>
      <c r="AB48" s="90" t="s">
        <v>1171</v>
      </c>
      <c r="AC48" s="90">
        <v>1.55</v>
      </c>
      <c r="AD48" s="90"/>
      <c r="AE48" s="90">
        <v>0.2</v>
      </c>
      <c r="AF48" s="90">
        <v>0</v>
      </c>
      <c r="AG48" s="90" t="s">
        <v>1550</v>
      </c>
      <c r="AH48" s="90" t="s">
        <v>1551</v>
      </c>
      <c r="AI48" s="90" t="s">
        <v>1534</v>
      </c>
      <c r="AJ48" s="90">
        <v>300</v>
      </c>
      <c r="AK48" s="90">
        <v>350</v>
      </c>
      <c r="AL48" s="90">
        <v>290</v>
      </c>
    </row>
    <row r="49" spans="1:38" ht="15" thickBot="1" x14ac:dyDescent="0.35">
      <c r="A49" s="118" t="s">
        <v>1561</v>
      </c>
      <c r="B49" s="114" t="s">
        <v>2805</v>
      </c>
      <c r="C49" s="90" t="s">
        <v>2807</v>
      </c>
      <c r="D49" s="121"/>
      <c r="E49" s="121"/>
      <c r="F49" s="90" t="s">
        <v>1559</v>
      </c>
      <c r="G49" s="90"/>
      <c r="H49" s="90"/>
      <c r="I49" s="90" t="s">
        <v>964</v>
      </c>
      <c r="J49" s="90" t="s">
        <v>1562</v>
      </c>
      <c r="K49" s="90"/>
      <c r="L49" s="90" t="s">
        <v>1548</v>
      </c>
      <c r="M49" s="90"/>
      <c r="N49" s="90">
        <v>0.26700000000000002</v>
      </c>
      <c r="O49" s="90"/>
      <c r="P49" s="90"/>
      <c r="Q49" s="90">
        <v>0.434</v>
      </c>
      <c r="R49" s="90">
        <v>2.9000000000000001E-2</v>
      </c>
      <c r="S49" s="90"/>
      <c r="T49" s="90">
        <v>0.26900000000000002</v>
      </c>
      <c r="U49" s="90"/>
      <c r="V49" s="90" t="s">
        <v>1538</v>
      </c>
      <c r="W49" s="90"/>
      <c r="X49" s="90"/>
      <c r="Y49" s="90"/>
      <c r="Z49" s="90"/>
      <c r="AA49" s="90"/>
      <c r="AB49" s="90" t="s">
        <v>1171</v>
      </c>
      <c r="AC49" s="90">
        <v>1.57</v>
      </c>
      <c r="AD49" s="90"/>
      <c r="AE49" s="90">
        <v>0.2</v>
      </c>
      <c r="AF49" s="90">
        <v>0</v>
      </c>
      <c r="AG49" s="90" t="s">
        <v>1550</v>
      </c>
      <c r="AH49" s="90" t="s">
        <v>1551</v>
      </c>
      <c r="AI49" s="90" t="s">
        <v>1534</v>
      </c>
      <c r="AJ49" s="90">
        <v>300</v>
      </c>
      <c r="AK49" s="90">
        <v>350</v>
      </c>
      <c r="AL49" s="90">
        <v>368</v>
      </c>
    </row>
    <row r="50" spans="1:38" ht="15" thickBot="1" x14ac:dyDescent="0.35">
      <c r="A50" s="118" t="s">
        <v>1561</v>
      </c>
      <c r="B50" s="114" t="s">
        <v>2805</v>
      </c>
      <c r="C50" s="90" t="s">
        <v>2808</v>
      </c>
      <c r="D50" s="121"/>
      <c r="E50" s="121"/>
      <c r="F50" s="90" t="s">
        <v>1559</v>
      </c>
      <c r="G50" s="90"/>
      <c r="H50" s="90"/>
      <c r="I50" s="90" t="s">
        <v>964</v>
      </c>
      <c r="J50" s="90" t="s">
        <v>1562</v>
      </c>
      <c r="K50" s="90"/>
      <c r="L50" s="90" t="s">
        <v>1548</v>
      </c>
      <c r="M50" s="90"/>
      <c r="N50" s="90">
        <v>0.27800000000000002</v>
      </c>
      <c r="O50" s="90"/>
      <c r="P50" s="90"/>
      <c r="Q50" s="90">
        <v>0.35099999999999998</v>
      </c>
      <c r="R50" s="90">
        <v>9.0999999999999998E-2</v>
      </c>
      <c r="S50" s="90"/>
      <c r="T50" s="90">
        <v>0.28000000000000003</v>
      </c>
      <c r="U50" s="90"/>
      <c r="V50" s="90" t="s">
        <v>1538</v>
      </c>
      <c r="W50" s="90"/>
      <c r="X50" s="90"/>
      <c r="Y50" s="90"/>
      <c r="Z50" s="90"/>
      <c r="AA50" s="90"/>
      <c r="AB50" s="90" t="s">
        <v>1171</v>
      </c>
      <c r="AC50" s="90">
        <v>1.6</v>
      </c>
      <c r="AD50" s="90"/>
      <c r="AE50" s="90">
        <v>0.2</v>
      </c>
      <c r="AF50" s="90">
        <v>0</v>
      </c>
      <c r="AG50" s="90" t="s">
        <v>1550</v>
      </c>
      <c r="AH50" s="90" t="s">
        <v>1551</v>
      </c>
      <c r="AI50" s="90" t="s">
        <v>1534</v>
      </c>
      <c r="AJ50" s="90">
        <v>300</v>
      </c>
      <c r="AK50" s="90">
        <v>350</v>
      </c>
      <c r="AL50" s="90">
        <v>514</v>
      </c>
    </row>
    <row r="51" spans="1:38" ht="15" thickBot="1" x14ac:dyDescent="0.35">
      <c r="A51" s="118" t="s">
        <v>1561</v>
      </c>
      <c r="B51" s="114" t="s">
        <v>2805</v>
      </c>
      <c r="C51" s="90" t="s">
        <v>2809</v>
      </c>
      <c r="D51" s="121"/>
      <c r="E51" s="121"/>
      <c r="F51" s="90" t="s">
        <v>1559</v>
      </c>
      <c r="G51" s="90"/>
      <c r="H51" s="90"/>
      <c r="I51" s="90" t="s">
        <v>964</v>
      </c>
      <c r="J51" s="90" t="s">
        <v>1562</v>
      </c>
      <c r="K51" s="90"/>
      <c r="L51" s="90" t="s">
        <v>1548</v>
      </c>
      <c r="M51" s="90"/>
      <c r="N51" s="90">
        <v>0.28899999999999998</v>
      </c>
      <c r="O51" s="90"/>
      <c r="P51" s="90"/>
      <c r="Q51" s="90">
        <v>0.26100000000000001</v>
      </c>
      <c r="R51" s="90">
        <v>0.158</v>
      </c>
      <c r="S51" s="90"/>
      <c r="T51" s="90">
        <v>0.29199999999999998</v>
      </c>
      <c r="U51" s="90"/>
      <c r="V51" s="90" t="s">
        <v>1538</v>
      </c>
      <c r="W51" s="90"/>
      <c r="X51" s="90"/>
      <c r="Y51" s="90"/>
      <c r="Z51" s="90"/>
      <c r="AA51" s="90"/>
      <c r="AB51" s="90" t="s">
        <v>1171</v>
      </c>
      <c r="AC51" s="90">
        <v>1.68</v>
      </c>
      <c r="AD51" s="90"/>
      <c r="AE51" s="90">
        <v>0.2</v>
      </c>
      <c r="AF51" s="90">
        <v>0</v>
      </c>
      <c r="AG51" s="90" t="s">
        <v>1550</v>
      </c>
      <c r="AH51" s="90" t="s">
        <v>1551</v>
      </c>
      <c r="AI51" s="90" t="s">
        <v>1534</v>
      </c>
      <c r="AJ51" s="90">
        <v>300</v>
      </c>
      <c r="AK51" s="90">
        <v>350</v>
      </c>
      <c r="AL51" s="90">
        <v>660</v>
      </c>
    </row>
    <row r="52" spans="1:38" ht="15" thickBot="1" x14ac:dyDescent="0.35">
      <c r="A52" s="118" t="s">
        <v>1561</v>
      </c>
      <c r="B52" s="114" t="s">
        <v>2805</v>
      </c>
      <c r="C52" s="90" t="s">
        <v>2810</v>
      </c>
      <c r="D52" s="121"/>
      <c r="E52" s="121"/>
      <c r="F52" s="90" t="s">
        <v>1559</v>
      </c>
      <c r="G52" s="90"/>
      <c r="H52" s="90"/>
      <c r="I52" s="90" t="s">
        <v>964</v>
      </c>
      <c r="J52" s="90" t="s">
        <v>1562</v>
      </c>
      <c r="K52" s="90"/>
      <c r="L52" s="90" t="s">
        <v>1548</v>
      </c>
      <c r="M52" s="90"/>
      <c r="N52" s="90">
        <v>0.30099999999999999</v>
      </c>
      <c r="O52" s="90"/>
      <c r="P52" s="90"/>
      <c r="Q52" s="90">
        <v>0.16300000000000001</v>
      </c>
      <c r="R52" s="90">
        <v>0.23100000000000001</v>
      </c>
      <c r="S52" s="90"/>
      <c r="T52" s="90">
        <v>0.30399999999999999</v>
      </c>
      <c r="U52" s="90"/>
      <c r="V52" s="90" t="s">
        <v>1538</v>
      </c>
      <c r="W52" s="90"/>
      <c r="X52" s="90"/>
      <c r="Y52" s="90"/>
      <c r="Z52" s="90"/>
      <c r="AA52" s="90"/>
      <c r="AB52" s="90" t="s">
        <v>1171</v>
      </c>
      <c r="AC52" s="90">
        <v>1.75</v>
      </c>
      <c r="AD52" s="90"/>
      <c r="AE52" s="90">
        <v>0.2</v>
      </c>
      <c r="AF52" s="90">
        <v>0</v>
      </c>
      <c r="AG52" s="90" t="s">
        <v>1550</v>
      </c>
      <c r="AH52" s="90" t="s">
        <v>1551</v>
      </c>
      <c r="AI52" s="90" t="s">
        <v>1534</v>
      </c>
      <c r="AJ52" s="90">
        <v>300</v>
      </c>
      <c r="AK52" s="90">
        <v>350</v>
      </c>
      <c r="AL52" s="90">
        <v>747</v>
      </c>
    </row>
    <row r="53" spans="1:38" ht="15" thickBot="1" x14ac:dyDescent="0.35">
      <c r="A53" s="118" t="s">
        <v>1561</v>
      </c>
      <c r="B53" s="114" t="s">
        <v>2805</v>
      </c>
      <c r="C53" s="90" t="s">
        <v>2811</v>
      </c>
      <c r="D53" s="121"/>
      <c r="E53" s="121"/>
      <c r="F53" s="90" t="s">
        <v>1559</v>
      </c>
      <c r="G53" s="90"/>
      <c r="H53" s="90"/>
      <c r="I53" s="90" t="s">
        <v>964</v>
      </c>
      <c r="J53" s="90" t="s">
        <v>1562</v>
      </c>
      <c r="K53" s="90"/>
      <c r="L53" s="90" t="s">
        <v>1548</v>
      </c>
      <c r="M53" s="90"/>
      <c r="N53" s="90">
        <v>0.315</v>
      </c>
      <c r="O53" s="90"/>
      <c r="P53" s="90"/>
      <c r="Q53" s="90">
        <v>5.7000000000000002E-2</v>
      </c>
      <c r="R53" s="90">
        <v>0.311</v>
      </c>
      <c r="S53" s="90"/>
      <c r="T53" s="90">
        <v>0.318</v>
      </c>
      <c r="U53" s="90"/>
      <c r="V53" s="90" t="s">
        <v>1538</v>
      </c>
      <c r="W53" s="90"/>
      <c r="X53" s="90"/>
      <c r="Y53" s="90"/>
      <c r="Z53" s="90"/>
      <c r="AA53" s="90"/>
      <c r="AB53" s="90" t="s">
        <v>1171</v>
      </c>
      <c r="AC53" s="90">
        <v>2</v>
      </c>
      <c r="AD53" s="90"/>
      <c r="AE53" s="90">
        <v>0.2</v>
      </c>
      <c r="AF53" s="90">
        <v>0</v>
      </c>
      <c r="AG53" s="90" t="s">
        <v>1550</v>
      </c>
      <c r="AH53" s="90" t="s">
        <v>1551</v>
      </c>
      <c r="AI53" s="90" t="s">
        <v>1534</v>
      </c>
      <c r="AJ53" s="90">
        <v>300</v>
      </c>
      <c r="AK53" s="90">
        <v>350</v>
      </c>
      <c r="AL53" s="90">
        <v>582</v>
      </c>
    </row>
    <row r="54" spans="1:38" ht="15" thickBot="1" x14ac:dyDescent="0.35">
      <c r="A54" s="118" t="s">
        <v>1561</v>
      </c>
      <c r="B54" s="114" t="s">
        <v>2805</v>
      </c>
      <c r="C54" s="90" t="s">
        <v>2812</v>
      </c>
      <c r="D54" s="121"/>
      <c r="E54" s="121"/>
      <c r="F54" s="90" t="s">
        <v>1559</v>
      </c>
      <c r="G54" s="90"/>
      <c r="H54" s="90"/>
      <c r="I54" s="90" t="s">
        <v>964</v>
      </c>
      <c r="J54" s="90"/>
      <c r="K54" s="90"/>
      <c r="L54" s="90" t="s">
        <v>1548</v>
      </c>
      <c r="M54" s="90"/>
      <c r="N54" s="90">
        <v>0.32200000000000001</v>
      </c>
      <c r="O54" s="90"/>
      <c r="P54" s="90"/>
      <c r="Q54" s="90"/>
      <c r="R54" s="90">
        <v>0.35299999999999998</v>
      </c>
      <c r="S54" s="90"/>
      <c r="T54" s="90">
        <v>0.32500000000000001</v>
      </c>
      <c r="U54" s="90"/>
      <c r="V54" s="90" t="s">
        <v>1538</v>
      </c>
      <c r="W54" s="90"/>
      <c r="X54" s="90"/>
      <c r="Y54" s="90"/>
      <c r="Z54" s="90"/>
      <c r="AA54" s="90"/>
      <c r="AB54" s="90" t="s">
        <v>1171</v>
      </c>
      <c r="AC54" s="90">
        <v>2.35</v>
      </c>
      <c r="AD54" s="90"/>
      <c r="AE54" s="90">
        <v>0.2</v>
      </c>
      <c r="AF54" s="90">
        <v>0</v>
      </c>
      <c r="AG54" s="90" t="s">
        <v>1550</v>
      </c>
      <c r="AH54" s="90" t="s">
        <v>1551</v>
      </c>
      <c r="AI54" s="90" t="s">
        <v>1534</v>
      </c>
      <c r="AJ54" s="90">
        <v>300</v>
      </c>
      <c r="AK54" s="90">
        <v>350</v>
      </c>
      <c r="AL54" s="90">
        <v>513</v>
      </c>
    </row>
    <row r="55" spans="1:38" ht="15" thickBot="1" x14ac:dyDescent="0.35">
      <c r="A55" s="118" t="s">
        <v>1563</v>
      </c>
      <c r="B55" s="114" t="s">
        <v>2813</v>
      </c>
      <c r="C55" s="114" t="s">
        <v>237</v>
      </c>
      <c r="D55" s="120"/>
      <c r="E55" s="120"/>
      <c r="F55" s="90" t="s">
        <v>1557</v>
      </c>
      <c r="G55" s="90"/>
      <c r="H55" s="90"/>
      <c r="I55" s="90" t="s">
        <v>1558</v>
      </c>
      <c r="J55" s="90"/>
      <c r="K55" s="90"/>
      <c r="L55" s="90" t="s">
        <v>1531</v>
      </c>
      <c r="M55" s="90"/>
      <c r="N55" s="90">
        <v>0.14599999999999999</v>
      </c>
      <c r="O55" s="90"/>
      <c r="P55" s="90"/>
      <c r="Q55" s="90">
        <v>0.67500000000000004</v>
      </c>
      <c r="R55" s="90"/>
      <c r="S55" s="90"/>
      <c r="T55" s="90">
        <v>0.17899999999999999</v>
      </c>
      <c r="U55" s="90"/>
      <c r="V55" s="90" t="s">
        <v>1336</v>
      </c>
      <c r="W55" s="90">
        <v>773</v>
      </c>
      <c r="X55" s="90">
        <v>6</v>
      </c>
      <c r="Y55" s="90"/>
      <c r="Z55" s="90"/>
      <c r="AA55" s="90"/>
      <c r="AB55" s="90" t="s">
        <v>518</v>
      </c>
      <c r="AC55" s="90">
        <v>4.5999999999999996</v>
      </c>
      <c r="AD55" s="90">
        <v>9.5</v>
      </c>
      <c r="AE55" s="90">
        <v>1</v>
      </c>
      <c r="AF55" s="90">
        <v>0</v>
      </c>
      <c r="AG55" s="90"/>
      <c r="AH55" s="90"/>
      <c r="AI55" s="90" t="s">
        <v>1552</v>
      </c>
      <c r="AJ55" s="90">
        <v>400</v>
      </c>
      <c r="AK55" s="90">
        <v>275</v>
      </c>
      <c r="AL55" s="90">
        <v>2800</v>
      </c>
    </row>
    <row r="56" spans="1:38" ht="15" thickBot="1" x14ac:dyDescent="0.35">
      <c r="A56" s="118" t="s">
        <v>1563</v>
      </c>
      <c r="B56" s="114" t="s">
        <v>2813</v>
      </c>
      <c r="C56" s="114" t="s">
        <v>237</v>
      </c>
      <c r="D56" s="120"/>
      <c r="E56" s="120"/>
      <c r="F56" s="90" t="s">
        <v>1557</v>
      </c>
      <c r="G56" s="90"/>
      <c r="H56" s="90"/>
      <c r="I56" s="90" t="s">
        <v>1558</v>
      </c>
      <c r="J56" s="90"/>
      <c r="K56" s="90"/>
      <c r="L56" s="90" t="s">
        <v>1531</v>
      </c>
      <c r="M56" s="90"/>
      <c r="N56" s="90">
        <v>0.14599999999999999</v>
      </c>
      <c r="O56" s="90"/>
      <c r="P56" s="90"/>
      <c r="Q56" s="90">
        <v>0.67500000000000004</v>
      </c>
      <c r="R56" s="90"/>
      <c r="S56" s="90"/>
      <c r="T56" s="90">
        <v>0.17899999999999999</v>
      </c>
      <c r="U56" s="90"/>
      <c r="V56" s="90" t="s">
        <v>1407</v>
      </c>
      <c r="W56" s="90">
        <v>773</v>
      </c>
      <c r="X56" s="90">
        <v>6</v>
      </c>
      <c r="Y56" s="90"/>
      <c r="Z56" s="90"/>
      <c r="AA56" s="90"/>
      <c r="AB56" s="90" t="s">
        <v>518</v>
      </c>
      <c r="AC56" s="90">
        <v>4.5</v>
      </c>
      <c r="AD56" s="90">
        <v>4.5</v>
      </c>
      <c r="AE56" s="90">
        <v>1</v>
      </c>
      <c r="AF56" s="90">
        <v>0</v>
      </c>
      <c r="AG56" s="90"/>
      <c r="AH56" s="90"/>
      <c r="AI56" s="90" t="s">
        <v>1552</v>
      </c>
      <c r="AJ56" s="90">
        <v>400</v>
      </c>
      <c r="AK56" s="90">
        <v>275</v>
      </c>
      <c r="AL56" s="90">
        <v>650</v>
      </c>
    </row>
    <row r="57" spans="1:38" ht="15" thickBot="1" x14ac:dyDescent="0.35">
      <c r="A57" s="118" t="s">
        <v>1564</v>
      </c>
      <c r="B57" s="114" t="s">
        <v>2814</v>
      </c>
      <c r="C57" s="114" t="s">
        <v>1273</v>
      </c>
      <c r="D57" s="120"/>
      <c r="E57" s="120"/>
      <c r="F57" s="90" t="s">
        <v>1557</v>
      </c>
      <c r="G57" s="90"/>
      <c r="H57" s="90"/>
      <c r="I57" s="90" t="s">
        <v>1068</v>
      </c>
      <c r="J57" s="90"/>
      <c r="K57" s="90"/>
      <c r="L57" s="90" t="s">
        <v>1531</v>
      </c>
      <c r="M57" s="90"/>
      <c r="N57" s="90">
        <v>0.217</v>
      </c>
      <c r="O57" s="90"/>
      <c r="P57" s="90"/>
      <c r="Q57" s="90">
        <v>0.51600000000000001</v>
      </c>
      <c r="R57" s="90"/>
      <c r="S57" s="90"/>
      <c r="T57" s="90">
        <v>0.26700000000000002</v>
      </c>
      <c r="U57" s="90"/>
      <c r="V57" s="90" t="s">
        <v>1407</v>
      </c>
      <c r="W57" s="90"/>
      <c r="X57" s="90"/>
      <c r="Y57" s="90"/>
      <c r="Z57" s="90"/>
      <c r="AA57" s="90"/>
      <c r="AB57" s="90" t="s">
        <v>1142</v>
      </c>
      <c r="AC57" s="90">
        <v>3.15</v>
      </c>
      <c r="AD57" s="90">
        <v>1.42</v>
      </c>
      <c r="AE57" s="90">
        <v>1.25</v>
      </c>
      <c r="AF57" s="90">
        <v>25</v>
      </c>
      <c r="AG57" s="90"/>
      <c r="AH57" s="90"/>
      <c r="AI57" s="90" t="s">
        <v>1534</v>
      </c>
      <c r="AJ57" s="90">
        <v>300</v>
      </c>
      <c r="AK57" s="90">
        <v>380</v>
      </c>
      <c r="AL57" s="90">
        <v>33</v>
      </c>
    </row>
    <row r="58" spans="1:38" ht="15" thickBot="1" x14ac:dyDescent="0.35">
      <c r="A58" s="118" t="s">
        <v>1564</v>
      </c>
      <c r="B58" s="114" t="s">
        <v>2814</v>
      </c>
      <c r="C58" s="114" t="s">
        <v>1273</v>
      </c>
      <c r="D58" s="120"/>
      <c r="E58" s="120"/>
      <c r="F58" s="90" t="s">
        <v>1557</v>
      </c>
      <c r="G58" s="90"/>
      <c r="H58" s="90"/>
      <c r="I58" s="90" t="s">
        <v>1068</v>
      </c>
      <c r="J58" s="90"/>
      <c r="K58" s="90"/>
      <c r="L58" s="90" t="s">
        <v>1531</v>
      </c>
      <c r="M58" s="90"/>
      <c r="N58" s="90">
        <v>0.217</v>
      </c>
      <c r="O58" s="90"/>
      <c r="P58" s="90"/>
      <c r="Q58" s="90">
        <v>0.51600000000000001</v>
      </c>
      <c r="R58" s="90"/>
      <c r="S58" s="90"/>
      <c r="T58" s="90">
        <v>0.26700000000000002</v>
      </c>
      <c r="U58" s="90"/>
      <c r="V58" s="90" t="s">
        <v>1407</v>
      </c>
      <c r="W58" s="90"/>
      <c r="X58" s="90"/>
      <c r="Y58" s="90"/>
      <c r="Z58" s="90"/>
      <c r="AA58" s="90"/>
      <c r="AB58" s="90" t="s">
        <v>519</v>
      </c>
      <c r="AC58" s="90">
        <v>3.08</v>
      </c>
      <c r="AD58" s="90">
        <v>0.68</v>
      </c>
      <c r="AE58" s="90">
        <v>1.25</v>
      </c>
      <c r="AF58" s="90">
        <v>25</v>
      </c>
      <c r="AG58" s="90"/>
      <c r="AH58" s="90"/>
      <c r="AI58" s="90" t="s">
        <v>1534</v>
      </c>
      <c r="AJ58" s="90">
        <v>300</v>
      </c>
      <c r="AK58" s="90">
        <v>380</v>
      </c>
      <c r="AL58" s="90">
        <v>118</v>
      </c>
    </row>
    <row r="59" spans="1:38" ht="15" thickBot="1" x14ac:dyDescent="0.35">
      <c r="A59" s="118" t="s">
        <v>1564</v>
      </c>
      <c r="B59" s="114" t="s">
        <v>2814</v>
      </c>
      <c r="C59" s="114" t="s">
        <v>1273</v>
      </c>
      <c r="D59" s="120"/>
      <c r="E59" s="120"/>
      <c r="F59" s="90" t="s">
        <v>1557</v>
      </c>
      <c r="G59" s="90"/>
      <c r="H59" s="90"/>
      <c r="I59" s="90" t="s">
        <v>1068</v>
      </c>
      <c r="J59" s="90"/>
      <c r="K59" s="90"/>
      <c r="L59" s="90" t="s">
        <v>1531</v>
      </c>
      <c r="M59" s="90"/>
      <c r="N59" s="90">
        <v>0.217</v>
      </c>
      <c r="O59" s="90"/>
      <c r="P59" s="90"/>
      <c r="Q59" s="90">
        <v>0.51600000000000001</v>
      </c>
      <c r="R59" s="90"/>
      <c r="S59" s="90"/>
      <c r="T59" s="90">
        <v>0.26700000000000002</v>
      </c>
      <c r="U59" s="90"/>
      <c r="V59" s="90" t="s">
        <v>1407</v>
      </c>
      <c r="W59" s="90"/>
      <c r="X59" s="90"/>
      <c r="Y59" s="90"/>
      <c r="Z59" s="90"/>
      <c r="AA59" s="90"/>
      <c r="AB59" s="90" t="s">
        <v>518</v>
      </c>
      <c r="AC59" s="90">
        <v>3.24</v>
      </c>
      <c r="AD59" s="90">
        <v>3.9</v>
      </c>
      <c r="AE59" s="90">
        <v>1.25</v>
      </c>
      <c r="AF59" s="90">
        <v>25</v>
      </c>
      <c r="AG59" s="90"/>
      <c r="AH59" s="90"/>
      <c r="AI59" s="90" t="s">
        <v>1534</v>
      </c>
      <c r="AJ59" s="90">
        <v>300</v>
      </c>
      <c r="AK59" s="90">
        <v>380</v>
      </c>
      <c r="AL59" s="90">
        <v>1242</v>
      </c>
    </row>
    <row r="60" spans="1:38" ht="15" thickBot="1" x14ac:dyDescent="0.35">
      <c r="A60" s="118" t="s">
        <v>1564</v>
      </c>
      <c r="B60" s="114" t="s">
        <v>2814</v>
      </c>
      <c r="C60" s="114" t="s">
        <v>1273</v>
      </c>
      <c r="D60" s="120"/>
      <c r="E60" s="120"/>
      <c r="F60" s="90" t="s">
        <v>1557</v>
      </c>
      <c r="G60" s="90"/>
      <c r="H60" s="90"/>
      <c r="I60" s="90" t="s">
        <v>1068</v>
      </c>
      <c r="J60" s="90"/>
      <c r="K60" s="90"/>
      <c r="L60" s="90" t="s">
        <v>1531</v>
      </c>
      <c r="M60" s="90"/>
      <c r="N60" s="90">
        <v>0.217</v>
      </c>
      <c r="O60" s="90"/>
      <c r="P60" s="90"/>
      <c r="Q60" s="90">
        <v>0.51600000000000001</v>
      </c>
      <c r="R60" s="90"/>
      <c r="S60" s="90"/>
      <c r="T60" s="90">
        <v>0.26700000000000002</v>
      </c>
      <c r="U60" s="90"/>
      <c r="V60" s="90" t="s">
        <v>1407</v>
      </c>
      <c r="W60" s="90"/>
      <c r="X60" s="90"/>
      <c r="Y60" s="90" t="s">
        <v>1268</v>
      </c>
      <c r="Z60" s="90" t="s">
        <v>863</v>
      </c>
      <c r="AA60" s="90">
        <v>0.5</v>
      </c>
      <c r="AB60" s="90" t="s">
        <v>1142</v>
      </c>
      <c r="AC60" s="90">
        <v>3.15</v>
      </c>
      <c r="AD60" s="90">
        <v>1.42</v>
      </c>
      <c r="AE60" s="90">
        <v>1.25</v>
      </c>
      <c r="AF60" s="90">
        <v>25</v>
      </c>
      <c r="AG60" s="90"/>
      <c r="AH60" s="90"/>
      <c r="AI60" s="90" t="s">
        <v>1534</v>
      </c>
      <c r="AJ60" s="90">
        <v>300</v>
      </c>
      <c r="AK60" s="90">
        <v>380</v>
      </c>
      <c r="AL60" s="90">
        <v>170</v>
      </c>
    </row>
    <row r="61" spans="1:38" ht="15" thickBot="1" x14ac:dyDescent="0.35">
      <c r="A61" s="118" t="s">
        <v>1564</v>
      </c>
      <c r="B61" s="114" t="s">
        <v>2814</v>
      </c>
      <c r="C61" s="114" t="s">
        <v>1273</v>
      </c>
      <c r="D61" s="120"/>
      <c r="E61" s="120"/>
      <c r="F61" s="90" t="s">
        <v>1557</v>
      </c>
      <c r="G61" s="90"/>
      <c r="H61" s="90"/>
      <c r="I61" s="90" t="s">
        <v>1068</v>
      </c>
      <c r="J61" s="90"/>
      <c r="K61" s="90"/>
      <c r="L61" s="90" t="s">
        <v>1531</v>
      </c>
      <c r="M61" s="90"/>
      <c r="N61" s="90">
        <v>0.217</v>
      </c>
      <c r="O61" s="90"/>
      <c r="P61" s="90"/>
      <c r="Q61" s="90">
        <v>0.51600000000000001</v>
      </c>
      <c r="R61" s="90"/>
      <c r="S61" s="90"/>
      <c r="T61" s="90">
        <v>0.26700000000000002</v>
      </c>
      <c r="U61" s="90"/>
      <c r="V61" s="90" t="s">
        <v>1407</v>
      </c>
      <c r="W61" s="90"/>
      <c r="X61" s="90"/>
      <c r="Y61" s="90" t="s">
        <v>1268</v>
      </c>
      <c r="Z61" s="90" t="s">
        <v>863</v>
      </c>
      <c r="AA61" s="90">
        <v>1</v>
      </c>
      <c r="AB61" s="90" t="s">
        <v>1142</v>
      </c>
      <c r="AC61" s="90">
        <v>3.15</v>
      </c>
      <c r="AD61" s="90">
        <v>1.42</v>
      </c>
      <c r="AE61" s="90">
        <v>1.25</v>
      </c>
      <c r="AF61" s="90">
        <v>25</v>
      </c>
      <c r="AG61" s="90"/>
      <c r="AH61" s="90"/>
      <c r="AI61" s="90" t="s">
        <v>1534</v>
      </c>
      <c r="AJ61" s="90">
        <v>300</v>
      </c>
      <c r="AK61" s="90">
        <v>380</v>
      </c>
      <c r="AL61" s="90">
        <v>240</v>
      </c>
    </row>
    <row r="62" spans="1:38" ht="15" thickBot="1" x14ac:dyDescent="0.35">
      <c r="A62" s="118" t="s">
        <v>1564</v>
      </c>
      <c r="B62" s="114" t="s">
        <v>2814</v>
      </c>
      <c r="C62" s="114" t="s">
        <v>1273</v>
      </c>
      <c r="D62" s="120"/>
      <c r="E62" s="120"/>
      <c r="F62" s="90" t="s">
        <v>1557</v>
      </c>
      <c r="G62" s="90"/>
      <c r="H62" s="90"/>
      <c r="I62" s="90" t="s">
        <v>1068</v>
      </c>
      <c r="J62" s="90"/>
      <c r="K62" s="90"/>
      <c r="L62" s="90" t="s">
        <v>1531</v>
      </c>
      <c r="M62" s="90"/>
      <c r="N62" s="90">
        <v>0.217</v>
      </c>
      <c r="O62" s="90"/>
      <c r="P62" s="90"/>
      <c r="Q62" s="90">
        <v>0.51600000000000001</v>
      </c>
      <c r="R62" s="90"/>
      <c r="S62" s="90"/>
      <c r="T62" s="90">
        <v>0.26700000000000002</v>
      </c>
      <c r="U62" s="90"/>
      <c r="V62" s="90" t="s">
        <v>1407</v>
      </c>
      <c r="W62" s="90"/>
      <c r="X62" s="90"/>
      <c r="Y62" s="90" t="s">
        <v>1268</v>
      </c>
      <c r="Z62" s="90" t="s">
        <v>863</v>
      </c>
      <c r="AA62" s="90">
        <v>1.5</v>
      </c>
      <c r="AB62" s="90" t="s">
        <v>1142</v>
      </c>
      <c r="AC62" s="90">
        <v>3.15</v>
      </c>
      <c r="AD62" s="90">
        <v>1.42</v>
      </c>
      <c r="AE62" s="90">
        <v>1.25</v>
      </c>
      <c r="AF62" s="90">
        <v>25</v>
      </c>
      <c r="AG62" s="90"/>
      <c r="AH62" s="90"/>
      <c r="AI62" s="90" t="s">
        <v>1534</v>
      </c>
      <c r="AJ62" s="90">
        <v>300</v>
      </c>
      <c r="AK62" s="90">
        <v>380</v>
      </c>
      <c r="AL62" s="90">
        <v>300</v>
      </c>
    </row>
    <row r="63" spans="1:38" ht="15" thickBot="1" x14ac:dyDescent="0.35">
      <c r="A63" s="118" t="s">
        <v>1564</v>
      </c>
      <c r="B63" s="114" t="s">
        <v>2814</v>
      </c>
      <c r="C63" s="114" t="s">
        <v>1273</v>
      </c>
      <c r="D63" s="120"/>
      <c r="E63" s="120"/>
      <c r="F63" s="90" t="s">
        <v>1557</v>
      </c>
      <c r="G63" s="90"/>
      <c r="H63" s="90"/>
      <c r="I63" s="90" t="s">
        <v>1068</v>
      </c>
      <c r="J63" s="90"/>
      <c r="K63" s="90"/>
      <c r="L63" s="90" t="s">
        <v>1531</v>
      </c>
      <c r="M63" s="90"/>
      <c r="N63" s="90">
        <v>0.217</v>
      </c>
      <c r="O63" s="90"/>
      <c r="P63" s="90"/>
      <c r="Q63" s="90">
        <v>0.51600000000000001</v>
      </c>
      <c r="R63" s="90"/>
      <c r="S63" s="90"/>
      <c r="T63" s="90">
        <v>0.26700000000000002</v>
      </c>
      <c r="U63" s="90"/>
      <c r="V63" s="90" t="s">
        <v>1407</v>
      </c>
      <c r="W63" s="90"/>
      <c r="X63" s="90"/>
      <c r="Y63" s="90" t="s">
        <v>1268</v>
      </c>
      <c r="Z63" s="90" t="s">
        <v>863</v>
      </c>
      <c r="AA63" s="90">
        <v>2</v>
      </c>
      <c r="AB63" s="90" t="s">
        <v>1142</v>
      </c>
      <c r="AC63" s="90">
        <v>3.15</v>
      </c>
      <c r="AD63" s="90">
        <v>1.42</v>
      </c>
      <c r="AE63" s="90">
        <v>1.25</v>
      </c>
      <c r="AF63" s="90">
        <v>25</v>
      </c>
      <c r="AG63" s="90"/>
      <c r="AH63" s="90"/>
      <c r="AI63" s="90" t="s">
        <v>1534</v>
      </c>
      <c r="AJ63" s="90">
        <v>300</v>
      </c>
      <c r="AK63" s="90">
        <v>380</v>
      </c>
      <c r="AL63" s="90">
        <v>28</v>
      </c>
    </row>
    <row r="64" spans="1:38" ht="15" thickBot="1" x14ac:dyDescent="0.35">
      <c r="A64" s="118" t="s">
        <v>1565</v>
      </c>
      <c r="B64" s="114" t="s">
        <v>2815</v>
      </c>
      <c r="C64" s="90" t="s">
        <v>2818</v>
      </c>
      <c r="D64" s="121"/>
      <c r="E64" s="121"/>
      <c r="F64" s="90" t="s">
        <v>1554</v>
      </c>
      <c r="G64" s="90"/>
      <c r="H64" s="90"/>
      <c r="I64" s="90" t="s">
        <v>1566</v>
      </c>
      <c r="J64" s="90"/>
      <c r="K64" s="90"/>
      <c r="L64" s="90" t="s">
        <v>1548</v>
      </c>
      <c r="M64" s="90"/>
      <c r="N64" s="90">
        <v>0.54100000000000004</v>
      </c>
      <c r="O64" s="90">
        <f>N64/65</f>
        <v>8.3230769230769244E-3</v>
      </c>
      <c r="P64" s="90">
        <f>O64/(O64+R64)</f>
        <v>0.86059624753220565</v>
      </c>
      <c r="Q64" s="90">
        <v>0.151</v>
      </c>
      <c r="R64" s="90">
        <f>Q64/112</f>
        <v>1.3482142857142857E-3</v>
      </c>
      <c r="S64" s="90"/>
      <c r="T64" s="90">
        <v>0.308</v>
      </c>
      <c r="U64" s="90"/>
      <c r="V64" s="90" t="s">
        <v>1538</v>
      </c>
      <c r="W64" s="90"/>
      <c r="X64" s="90"/>
      <c r="Y64" s="90"/>
      <c r="Z64" s="90"/>
      <c r="AA64" s="90"/>
      <c r="AB64" s="90" t="s">
        <v>518</v>
      </c>
      <c r="AC64" s="90">
        <v>2.64</v>
      </c>
      <c r="AD64" s="90">
        <v>124.8</v>
      </c>
      <c r="AE64" s="90">
        <v>0.66</v>
      </c>
      <c r="AF64" s="90">
        <v>0</v>
      </c>
      <c r="AG64" s="90" t="s">
        <v>1550</v>
      </c>
      <c r="AH64" s="90" t="s">
        <v>1551</v>
      </c>
      <c r="AI64" s="90" t="s">
        <v>1534</v>
      </c>
      <c r="AJ64" s="90">
        <v>300</v>
      </c>
      <c r="AK64" s="90">
        <v>420</v>
      </c>
      <c r="AL64" s="90">
        <v>520</v>
      </c>
    </row>
    <row r="65" spans="1:38" ht="15" thickBot="1" x14ac:dyDescent="0.35">
      <c r="A65" s="118" t="s">
        <v>1565</v>
      </c>
      <c r="B65" s="114" t="s">
        <v>2815</v>
      </c>
      <c r="C65" s="90" t="s">
        <v>2819</v>
      </c>
      <c r="D65" s="121"/>
      <c r="E65" s="121"/>
      <c r="F65" s="90" t="s">
        <v>1554</v>
      </c>
      <c r="G65" s="90"/>
      <c r="H65" s="90"/>
      <c r="I65" s="90" t="s">
        <v>1566</v>
      </c>
      <c r="J65" s="90"/>
      <c r="K65" s="90"/>
      <c r="L65" s="90" t="s">
        <v>1548</v>
      </c>
      <c r="M65" s="90"/>
      <c r="N65" s="90">
        <v>0.51500000000000001</v>
      </c>
      <c r="O65" s="90">
        <f t="shared" ref="O65:O72" si="0">N65/65</f>
        <v>7.9230769230769233E-3</v>
      </c>
      <c r="P65" s="90">
        <f t="shared" ref="P65:P72" si="1">O65/(O65+R65)</f>
        <v>0.83058535531715749</v>
      </c>
      <c r="Q65" s="90">
        <v>0.18099999999999999</v>
      </c>
      <c r="R65" s="90">
        <f t="shared" ref="R65:R72" si="2">Q65/112</f>
        <v>1.6160714285714285E-3</v>
      </c>
      <c r="S65" s="90"/>
      <c r="T65" s="90">
        <v>0.30399999999999999</v>
      </c>
      <c r="U65" s="90"/>
      <c r="V65" s="90" t="s">
        <v>1538</v>
      </c>
      <c r="W65" s="90"/>
      <c r="X65" s="90"/>
      <c r="Y65" s="90"/>
      <c r="Z65" s="90"/>
      <c r="AA65" s="90"/>
      <c r="AB65" s="90" t="s">
        <v>518</v>
      </c>
      <c r="AC65" s="90">
        <v>2.61</v>
      </c>
      <c r="AD65" s="90">
        <v>131</v>
      </c>
      <c r="AE65" s="90">
        <v>0.66</v>
      </c>
      <c r="AF65" s="90">
        <v>0</v>
      </c>
      <c r="AG65" s="90" t="s">
        <v>1550</v>
      </c>
      <c r="AH65" s="90" t="s">
        <v>1551</v>
      </c>
      <c r="AI65" s="90" t="s">
        <v>1534</v>
      </c>
      <c r="AJ65" s="90">
        <v>300</v>
      </c>
      <c r="AK65" s="90">
        <v>420</v>
      </c>
      <c r="AL65" s="90">
        <v>610</v>
      </c>
    </row>
    <row r="66" spans="1:38" ht="15" thickBot="1" x14ac:dyDescent="0.35">
      <c r="A66" s="118" t="s">
        <v>1565</v>
      </c>
      <c r="B66" s="114" t="s">
        <v>2815</v>
      </c>
      <c r="C66" s="90" t="s">
        <v>1414</v>
      </c>
      <c r="D66" s="121"/>
      <c r="E66" s="121"/>
      <c r="F66" s="90" t="s">
        <v>1554</v>
      </c>
      <c r="G66" s="90"/>
      <c r="H66" s="90"/>
      <c r="I66" s="90" t="s">
        <v>1566</v>
      </c>
      <c r="J66" s="90"/>
      <c r="K66" s="90"/>
      <c r="L66" s="90" t="s">
        <v>1548</v>
      </c>
      <c r="M66" s="90"/>
      <c r="N66" s="90">
        <v>0.49</v>
      </c>
      <c r="O66" s="90">
        <f t="shared" si="0"/>
        <v>7.5384615384615382E-3</v>
      </c>
      <c r="P66" s="90">
        <f t="shared" si="1"/>
        <v>0.80081716036772221</v>
      </c>
      <c r="Q66" s="90">
        <v>0.21</v>
      </c>
      <c r="R66" s="90">
        <f t="shared" si="2"/>
        <v>1.8749999999999999E-3</v>
      </c>
      <c r="S66" s="90"/>
      <c r="T66" s="90">
        <v>0.3</v>
      </c>
      <c r="U66" s="90"/>
      <c r="V66" s="90" t="s">
        <v>1538</v>
      </c>
      <c r="W66" s="90"/>
      <c r="X66" s="90"/>
      <c r="Y66" s="90"/>
      <c r="Z66" s="90"/>
      <c r="AA66" s="90"/>
      <c r="AB66" s="90" t="s">
        <v>518</v>
      </c>
      <c r="AC66" s="90">
        <v>2.58</v>
      </c>
      <c r="AD66" s="90">
        <v>156</v>
      </c>
      <c r="AE66" s="90">
        <v>0.66</v>
      </c>
      <c r="AF66" s="90">
        <v>0</v>
      </c>
      <c r="AG66" s="90" t="s">
        <v>1550</v>
      </c>
      <c r="AH66" s="90" t="s">
        <v>1551</v>
      </c>
      <c r="AI66" s="90" t="s">
        <v>1534</v>
      </c>
      <c r="AJ66" s="90">
        <v>300</v>
      </c>
      <c r="AK66" s="90">
        <v>420</v>
      </c>
      <c r="AL66" s="90">
        <v>970</v>
      </c>
    </row>
    <row r="67" spans="1:38" ht="15" thickBot="1" x14ac:dyDescent="0.35">
      <c r="A67" s="118" t="s">
        <v>1565</v>
      </c>
      <c r="B67" s="114" t="s">
        <v>2815</v>
      </c>
      <c r="C67" s="90" t="s">
        <v>2817</v>
      </c>
      <c r="D67" s="121"/>
      <c r="E67" s="121"/>
      <c r="F67" s="90" t="s">
        <v>1554</v>
      </c>
      <c r="G67" s="90"/>
      <c r="H67" s="90"/>
      <c r="I67" s="90" t="s">
        <v>1566</v>
      </c>
      <c r="J67" s="90"/>
      <c r="K67" s="90"/>
      <c r="L67" s="90" t="s">
        <v>1548</v>
      </c>
      <c r="M67" s="90"/>
      <c r="N67" s="90">
        <v>0.44900000000000001</v>
      </c>
      <c r="O67" s="90">
        <f t="shared" si="0"/>
        <v>6.9076923076923083E-3</v>
      </c>
      <c r="P67" s="90">
        <f t="shared" si="1"/>
        <v>0.75064558983774421</v>
      </c>
      <c r="Q67" s="90">
        <v>0.25700000000000001</v>
      </c>
      <c r="R67" s="90">
        <f t="shared" si="2"/>
        <v>2.2946428571428571E-3</v>
      </c>
      <c r="S67" s="90"/>
      <c r="T67" s="90">
        <v>0.29399999999999998</v>
      </c>
      <c r="U67" s="90"/>
      <c r="V67" s="90" t="s">
        <v>1538</v>
      </c>
      <c r="W67" s="90"/>
      <c r="X67" s="90"/>
      <c r="Y67" s="90"/>
      <c r="Z67" s="90"/>
      <c r="AA67" s="90"/>
      <c r="AB67" s="90" t="s">
        <v>518</v>
      </c>
      <c r="AC67" s="90">
        <v>2.5499999999999998</v>
      </c>
      <c r="AD67" s="90">
        <v>65.599999999999994</v>
      </c>
      <c r="AE67" s="90">
        <v>0.66</v>
      </c>
      <c r="AF67" s="90">
        <v>0</v>
      </c>
      <c r="AG67" s="90" t="s">
        <v>1550</v>
      </c>
      <c r="AH67" s="90" t="s">
        <v>1551</v>
      </c>
      <c r="AI67" s="90" t="s">
        <v>1534</v>
      </c>
      <c r="AJ67" s="90">
        <v>300</v>
      </c>
      <c r="AK67" s="90">
        <v>420</v>
      </c>
      <c r="AL67" s="90">
        <v>510</v>
      </c>
    </row>
    <row r="68" spans="1:38" ht="15" thickBot="1" x14ac:dyDescent="0.35">
      <c r="A68" s="118" t="s">
        <v>1565</v>
      </c>
      <c r="B68" s="114" t="s">
        <v>2815</v>
      </c>
      <c r="C68" s="90" t="s">
        <v>2816</v>
      </c>
      <c r="D68" s="121"/>
      <c r="E68" s="121"/>
      <c r="F68" s="90" t="s">
        <v>1554</v>
      </c>
      <c r="G68" s="90"/>
      <c r="H68" s="90"/>
      <c r="I68" s="90" t="s">
        <v>1566</v>
      </c>
      <c r="J68" s="90"/>
      <c r="K68" s="90"/>
      <c r="L68" s="90" t="s">
        <v>1548</v>
      </c>
      <c r="M68" s="90"/>
      <c r="N68" s="90">
        <v>0.38800000000000001</v>
      </c>
      <c r="O68" s="90">
        <f t="shared" si="0"/>
        <v>5.9692307692307692E-3</v>
      </c>
      <c r="P68" s="90">
        <f t="shared" si="1"/>
        <v>0.67086575274793137</v>
      </c>
      <c r="Q68" s="90">
        <v>0.32800000000000001</v>
      </c>
      <c r="R68" s="90">
        <f t="shared" si="2"/>
        <v>2.9285714285714288E-3</v>
      </c>
      <c r="S68" s="90"/>
      <c r="T68" s="90">
        <v>0.28399999999999997</v>
      </c>
      <c r="U68" s="90"/>
      <c r="V68" s="90" t="s">
        <v>1538</v>
      </c>
      <c r="W68" s="90"/>
      <c r="X68" s="90"/>
      <c r="Y68" s="90"/>
      <c r="Z68" s="90"/>
      <c r="AA68" s="90"/>
      <c r="AB68" s="90" t="s">
        <v>518</v>
      </c>
      <c r="AC68" s="90">
        <v>2.52</v>
      </c>
      <c r="AD68" s="90">
        <v>49.26</v>
      </c>
      <c r="AE68" s="90">
        <v>0.66</v>
      </c>
      <c r="AF68" s="90">
        <v>0</v>
      </c>
      <c r="AG68" s="90" t="s">
        <v>1550</v>
      </c>
      <c r="AH68" s="90" t="s">
        <v>1551</v>
      </c>
      <c r="AI68" s="90" t="s">
        <v>1534</v>
      </c>
      <c r="AJ68" s="90">
        <v>300</v>
      </c>
      <c r="AK68" s="90">
        <v>420</v>
      </c>
      <c r="AL68" s="90">
        <v>360</v>
      </c>
    </row>
    <row r="69" spans="1:38" ht="15" thickBot="1" x14ac:dyDescent="0.35">
      <c r="A69" s="118" t="s">
        <v>1565</v>
      </c>
      <c r="B69" s="114" t="s">
        <v>2815</v>
      </c>
      <c r="C69" s="90" t="s">
        <v>1414</v>
      </c>
      <c r="D69" s="121"/>
      <c r="E69" s="121"/>
      <c r="F69" s="90" t="s">
        <v>1554</v>
      </c>
      <c r="G69" s="90"/>
      <c r="H69" s="90"/>
      <c r="I69" s="90" t="s">
        <v>1566</v>
      </c>
      <c r="J69" s="90"/>
      <c r="K69" s="90"/>
      <c r="L69" s="90" t="s">
        <v>1548</v>
      </c>
      <c r="M69" s="90"/>
      <c r="N69" s="90">
        <v>0.49</v>
      </c>
      <c r="O69" s="90">
        <f t="shared" si="0"/>
        <v>7.5384615384615382E-3</v>
      </c>
      <c r="P69" s="90">
        <f t="shared" si="1"/>
        <v>0.80081716036772221</v>
      </c>
      <c r="Q69" s="90">
        <v>0.21</v>
      </c>
      <c r="R69" s="90">
        <f t="shared" si="2"/>
        <v>1.8749999999999999E-3</v>
      </c>
      <c r="S69" s="90"/>
      <c r="T69" s="90">
        <v>0.3</v>
      </c>
      <c r="U69" s="90"/>
      <c r="V69" s="90" t="s">
        <v>1538</v>
      </c>
      <c r="W69" s="90"/>
      <c r="X69" s="90"/>
      <c r="Y69" s="90" t="s">
        <v>1268</v>
      </c>
      <c r="Z69" s="90" t="s">
        <v>863</v>
      </c>
      <c r="AA69" s="90">
        <v>0.15</v>
      </c>
      <c r="AB69" s="90" t="s">
        <v>518</v>
      </c>
      <c r="AC69" s="90">
        <v>2.58</v>
      </c>
      <c r="AD69" s="90">
        <v>156</v>
      </c>
      <c r="AE69" s="90">
        <v>0.66</v>
      </c>
      <c r="AF69" s="90">
        <v>0</v>
      </c>
      <c r="AG69" s="90" t="s">
        <v>1550</v>
      </c>
      <c r="AH69" s="90" t="s">
        <v>1551</v>
      </c>
      <c r="AI69" s="90" t="s">
        <v>1534</v>
      </c>
      <c r="AJ69" s="90">
        <v>300</v>
      </c>
      <c r="AK69" s="90">
        <v>420</v>
      </c>
      <c r="AL69" s="90">
        <v>1800</v>
      </c>
    </row>
    <row r="70" spans="1:38" ht="15" thickBot="1" x14ac:dyDescent="0.35">
      <c r="A70" s="118" t="s">
        <v>1565</v>
      </c>
      <c r="B70" s="114" t="s">
        <v>2815</v>
      </c>
      <c r="C70" s="90" t="s">
        <v>1414</v>
      </c>
      <c r="D70" s="121"/>
      <c r="E70" s="121"/>
      <c r="F70" s="90" t="s">
        <v>1554</v>
      </c>
      <c r="G70" s="90"/>
      <c r="H70" s="90"/>
      <c r="I70" s="90" t="s">
        <v>1566</v>
      </c>
      <c r="J70" s="90"/>
      <c r="K70" s="90"/>
      <c r="L70" s="90" t="s">
        <v>1548</v>
      </c>
      <c r="M70" s="90"/>
      <c r="N70" s="90">
        <v>0.49</v>
      </c>
      <c r="O70" s="90">
        <f t="shared" si="0"/>
        <v>7.5384615384615382E-3</v>
      </c>
      <c r="P70" s="90">
        <f t="shared" si="1"/>
        <v>0.80081716036772221</v>
      </c>
      <c r="Q70" s="90">
        <v>0.21</v>
      </c>
      <c r="R70" s="90">
        <f t="shared" si="2"/>
        <v>1.8749999999999999E-3</v>
      </c>
      <c r="S70" s="90"/>
      <c r="T70" s="90">
        <v>0.3</v>
      </c>
      <c r="U70" s="90"/>
      <c r="V70" s="90" t="s">
        <v>1538</v>
      </c>
      <c r="W70" s="90"/>
      <c r="X70" s="90"/>
      <c r="Y70" s="90" t="s">
        <v>1268</v>
      </c>
      <c r="Z70" s="90" t="s">
        <v>863</v>
      </c>
      <c r="AA70" s="90">
        <v>0.25</v>
      </c>
      <c r="AB70" s="90" t="s">
        <v>518</v>
      </c>
      <c r="AC70" s="90">
        <v>2.58</v>
      </c>
      <c r="AD70" s="90">
        <v>156</v>
      </c>
      <c r="AE70" s="90">
        <v>0.66</v>
      </c>
      <c r="AF70" s="90">
        <v>0</v>
      </c>
      <c r="AG70" s="90" t="s">
        <v>1550</v>
      </c>
      <c r="AH70" s="90" t="s">
        <v>1551</v>
      </c>
      <c r="AI70" s="90" t="s">
        <v>1534</v>
      </c>
      <c r="AJ70" s="90">
        <v>300</v>
      </c>
      <c r="AK70" s="90">
        <v>420</v>
      </c>
      <c r="AL70" s="90">
        <v>2275</v>
      </c>
    </row>
    <row r="71" spans="1:38" ht="15" thickBot="1" x14ac:dyDescent="0.35">
      <c r="A71" s="118" t="s">
        <v>1565</v>
      </c>
      <c r="B71" s="114" t="s">
        <v>2815</v>
      </c>
      <c r="C71" s="90" t="s">
        <v>1414</v>
      </c>
      <c r="D71" s="121"/>
      <c r="E71" s="121"/>
      <c r="F71" s="90" t="s">
        <v>1554</v>
      </c>
      <c r="G71" s="90"/>
      <c r="H71" s="90"/>
      <c r="I71" s="90" t="s">
        <v>1566</v>
      </c>
      <c r="J71" s="90"/>
      <c r="K71" s="90"/>
      <c r="L71" s="90" t="s">
        <v>1548</v>
      </c>
      <c r="M71" s="90"/>
      <c r="N71" s="90">
        <v>0.49</v>
      </c>
      <c r="O71" s="90">
        <f t="shared" si="0"/>
        <v>7.5384615384615382E-3</v>
      </c>
      <c r="P71" s="90">
        <f t="shared" si="1"/>
        <v>0.80081716036772221</v>
      </c>
      <c r="Q71" s="90">
        <v>0.21</v>
      </c>
      <c r="R71" s="90">
        <f t="shared" si="2"/>
        <v>1.8749999999999999E-3</v>
      </c>
      <c r="S71" s="90"/>
      <c r="T71" s="90">
        <v>0.3</v>
      </c>
      <c r="U71" s="90"/>
      <c r="V71" s="90" t="s">
        <v>1538</v>
      </c>
      <c r="W71" s="90"/>
      <c r="X71" s="90"/>
      <c r="Y71" s="90" t="s">
        <v>1268</v>
      </c>
      <c r="Z71" s="90" t="s">
        <v>863</v>
      </c>
      <c r="AA71" s="90">
        <v>0.5</v>
      </c>
      <c r="AB71" s="90" t="s">
        <v>518</v>
      </c>
      <c r="AC71" s="90">
        <v>2.58</v>
      </c>
      <c r="AD71" s="90">
        <v>156</v>
      </c>
      <c r="AE71" s="90">
        <v>0.66</v>
      </c>
      <c r="AF71" s="90">
        <v>0</v>
      </c>
      <c r="AG71" s="90" t="s">
        <v>1550</v>
      </c>
      <c r="AH71" s="90" t="s">
        <v>1551</v>
      </c>
      <c r="AI71" s="90" t="s">
        <v>1534</v>
      </c>
      <c r="AJ71" s="90">
        <v>300</v>
      </c>
      <c r="AK71" s="90">
        <v>420</v>
      </c>
      <c r="AL71" s="90">
        <v>1850</v>
      </c>
    </row>
    <row r="72" spans="1:38" ht="15" thickBot="1" x14ac:dyDescent="0.35">
      <c r="A72" s="118" t="s">
        <v>1565</v>
      </c>
      <c r="B72" s="114" t="s">
        <v>2815</v>
      </c>
      <c r="C72" s="90" t="s">
        <v>1414</v>
      </c>
      <c r="D72" s="121"/>
      <c r="E72" s="121"/>
      <c r="F72" s="90" t="s">
        <v>1554</v>
      </c>
      <c r="G72" s="90"/>
      <c r="H72" s="90"/>
      <c r="I72" s="90" t="s">
        <v>1566</v>
      </c>
      <c r="J72" s="90"/>
      <c r="K72" s="90"/>
      <c r="L72" s="90" t="s">
        <v>1548</v>
      </c>
      <c r="M72" s="90"/>
      <c r="N72" s="90">
        <v>0.49</v>
      </c>
      <c r="O72" s="90">
        <f t="shared" si="0"/>
        <v>7.5384615384615382E-3</v>
      </c>
      <c r="P72" s="90">
        <f t="shared" si="1"/>
        <v>0.80081716036772221</v>
      </c>
      <c r="Q72" s="90">
        <v>0.21</v>
      </c>
      <c r="R72" s="90">
        <f t="shared" si="2"/>
        <v>1.8749999999999999E-3</v>
      </c>
      <c r="S72" s="90"/>
      <c r="T72" s="90">
        <v>0.3</v>
      </c>
      <c r="U72" s="90"/>
      <c r="V72" s="90" t="s">
        <v>1538</v>
      </c>
      <c r="W72" s="90"/>
      <c r="X72" s="90"/>
      <c r="Y72" s="90" t="s">
        <v>1268</v>
      </c>
      <c r="Z72" s="90" t="s">
        <v>863</v>
      </c>
      <c r="AA72" s="90">
        <v>1</v>
      </c>
      <c r="AB72" s="90" t="s">
        <v>518</v>
      </c>
      <c r="AC72" s="90">
        <v>2.58</v>
      </c>
      <c r="AD72" s="90">
        <v>156</v>
      </c>
      <c r="AE72" s="90">
        <v>0.66</v>
      </c>
      <c r="AF72" s="90">
        <v>0</v>
      </c>
      <c r="AG72" s="90" t="s">
        <v>1550</v>
      </c>
      <c r="AH72" s="90" t="s">
        <v>1551</v>
      </c>
      <c r="AI72" s="90" t="s">
        <v>1534</v>
      </c>
      <c r="AJ72" s="90">
        <v>300</v>
      </c>
      <c r="AK72" s="90">
        <v>420</v>
      </c>
      <c r="AL72" s="90">
        <v>1725</v>
      </c>
    </row>
    <row r="73" spans="1:38" ht="15" thickBot="1" x14ac:dyDescent="0.35">
      <c r="A73" s="118" t="s">
        <v>1567</v>
      </c>
      <c r="B73" s="114" t="s">
        <v>2820</v>
      </c>
      <c r="C73" s="90" t="s">
        <v>2821</v>
      </c>
      <c r="D73" s="121"/>
      <c r="E73" s="121"/>
      <c r="F73" s="90" t="s">
        <v>1568</v>
      </c>
      <c r="G73" s="90"/>
      <c r="H73" s="90"/>
      <c r="I73" s="90" t="s">
        <v>1569</v>
      </c>
      <c r="J73" s="90"/>
      <c r="K73" s="90"/>
      <c r="L73" s="90" t="s">
        <v>1531</v>
      </c>
      <c r="M73" s="90"/>
      <c r="N73" s="90">
        <v>0.497</v>
      </c>
      <c r="O73" s="90"/>
      <c r="P73" s="90"/>
      <c r="Q73" s="90">
        <v>0.33</v>
      </c>
      <c r="R73" s="90"/>
      <c r="S73" s="90"/>
      <c r="T73" s="90">
        <v>0.17399999999999999</v>
      </c>
      <c r="U73" s="90"/>
      <c r="V73" s="90" t="s">
        <v>1293</v>
      </c>
      <c r="W73" s="90">
        <v>1273</v>
      </c>
      <c r="X73" s="90">
        <v>6</v>
      </c>
      <c r="Y73" s="90"/>
      <c r="Z73" s="90"/>
      <c r="AA73" s="90"/>
      <c r="AB73" s="90" t="s">
        <v>518</v>
      </c>
      <c r="AC73" s="90">
        <v>4.8</v>
      </c>
      <c r="AD73" s="90">
        <v>8.5</v>
      </c>
      <c r="AE73" s="90">
        <v>0.47599999999999998</v>
      </c>
      <c r="AF73" s="90">
        <v>0</v>
      </c>
      <c r="AG73" s="90"/>
      <c r="AH73" s="90"/>
      <c r="AI73" s="90" t="s">
        <v>1552</v>
      </c>
      <c r="AJ73" s="90">
        <v>400</v>
      </c>
      <c r="AK73" s="90">
        <v>365</v>
      </c>
      <c r="AL73" s="90">
        <v>112</v>
      </c>
    </row>
    <row r="74" spans="1:38" ht="15" thickBot="1" x14ac:dyDescent="0.35">
      <c r="A74" s="118" t="s">
        <v>1567</v>
      </c>
      <c r="B74" s="114" t="s">
        <v>2820</v>
      </c>
      <c r="C74" s="90" t="s">
        <v>2822</v>
      </c>
      <c r="D74" s="121"/>
      <c r="E74" s="121"/>
      <c r="F74" s="90" t="s">
        <v>1568</v>
      </c>
      <c r="G74" s="90"/>
      <c r="H74" s="90"/>
      <c r="I74" s="90" t="s">
        <v>1569</v>
      </c>
      <c r="J74" s="90" t="s">
        <v>1570</v>
      </c>
      <c r="K74" s="90"/>
      <c r="L74" s="90" t="s">
        <v>1531</v>
      </c>
      <c r="M74" s="90"/>
      <c r="N74" s="90">
        <v>0.49199999999999999</v>
      </c>
      <c r="O74" s="90"/>
      <c r="P74" s="90"/>
      <c r="Q74" s="90">
        <v>0.29399999999999998</v>
      </c>
      <c r="R74" s="90">
        <v>4.2999999999999997E-2</v>
      </c>
      <c r="S74" s="90"/>
      <c r="T74" s="90">
        <v>0.17199999999999999</v>
      </c>
      <c r="U74" s="90"/>
      <c r="V74" s="90" t="s">
        <v>1293</v>
      </c>
      <c r="W74" s="90">
        <v>1273</v>
      </c>
      <c r="X74" s="90">
        <v>6</v>
      </c>
      <c r="Y74" s="90"/>
      <c r="Z74" s="90"/>
      <c r="AA74" s="90"/>
      <c r="AB74" s="90" t="s">
        <v>518</v>
      </c>
      <c r="AC74" s="90">
        <v>4.4000000000000004</v>
      </c>
      <c r="AD74" s="90">
        <v>5.7</v>
      </c>
      <c r="AE74" s="90">
        <v>0.47599999999999998</v>
      </c>
      <c r="AF74" s="90">
        <v>0</v>
      </c>
      <c r="AG74" s="90"/>
      <c r="AH74" s="90"/>
      <c r="AI74" s="90" t="s">
        <v>1552</v>
      </c>
      <c r="AJ74" s="90">
        <v>400</v>
      </c>
      <c r="AK74" s="90">
        <v>365</v>
      </c>
      <c r="AL74" s="90">
        <v>100</v>
      </c>
    </row>
    <row r="75" spans="1:38" ht="15" thickBot="1" x14ac:dyDescent="0.35">
      <c r="A75" s="118" t="s">
        <v>1567</v>
      </c>
      <c r="B75" s="114" t="s">
        <v>2820</v>
      </c>
      <c r="C75" s="90" t="s">
        <v>2823</v>
      </c>
      <c r="D75" s="121"/>
      <c r="E75" s="121"/>
      <c r="F75" s="90" t="s">
        <v>1568</v>
      </c>
      <c r="G75" s="90"/>
      <c r="H75" s="90"/>
      <c r="I75" s="90" t="s">
        <v>1569</v>
      </c>
      <c r="J75" s="90" t="s">
        <v>1570</v>
      </c>
      <c r="K75" s="90"/>
      <c r="L75" s="90" t="s">
        <v>1531</v>
      </c>
      <c r="M75" s="90"/>
      <c r="N75" s="90">
        <v>0.48699999999999999</v>
      </c>
      <c r="O75" s="90"/>
      <c r="P75" s="90"/>
      <c r="Q75" s="90">
        <v>0.25900000000000001</v>
      </c>
      <c r="R75" s="90">
        <v>8.4000000000000005E-2</v>
      </c>
      <c r="S75" s="90"/>
      <c r="T75" s="90">
        <v>0.17</v>
      </c>
      <c r="U75" s="90"/>
      <c r="V75" s="90" t="s">
        <v>1293</v>
      </c>
      <c r="W75" s="90">
        <v>1273</v>
      </c>
      <c r="X75" s="90">
        <v>6</v>
      </c>
      <c r="Y75" s="90"/>
      <c r="Z75" s="90"/>
      <c r="AA75" s="90"/>
      <c r="AB75" s="90" t="s">
        <v>518</v>
      </c>
      <c r="AC75" s="90">
        <v>4</v>
      </c>
      <c r="AD75" s="90">
        <v>3.8</v>
      </c>
      <c r="AE75" s="90">
        <v>0.47599999999999998</v>
      </c>
      <c r="AF75" s="90">
        <v>0</v>
      </c>
      <c r="AG75" s="90"/>
      <c r="AH75" s="90"/>
      <c r="AI75" s="90" t="s">
        <v>1552</v>
      </c>
      <c r="AJ75" s="90">
        <v>400</v>
      </c>
      <c r="AK75" s="90">
        <v>365</v>
      </c>
      <c r="AL75" s="90">
        <v>125</v>
      </c>
    </row>
    <row r="76" spans="1:38" ht="15" thickBot="1" x14ac:dyDescent="0.35">
      <c r="A76" s="118" t="s">
        <v>1567</v>
      </c>
      <c r="B76" s="114" t="s">
        <v>2820</v>
      </c>
      <c r="C76" s="90" t="s">
        <v>2824</v>
      </c>
      <c r="D76" s="121"/>
      <c r="E76" s="121"/>
      <c r="F76" s="90" t="s">
        <v>1568</v>
      </c>
      <c r="G76" s="90"/>
      <c r="H76" s="90"/>
      <c r="I76" s="90" t="s">
        <v>1569</v>
      </c>
      <c r="J76" s="90" t="s">
        <v>1570</v>
      </c>
      <c r="K76" s="90"/>
      <c r="L76" s="90" t="s">
        <v>1531</v>
      </c>
      <c r="M76" s="90"/>
      <c r="N76" s="90">
        <v>0.48199999999999998</v>
      </c>
      <c r="O76" s="90"/>
      <c r="P76" s="90"/>
      <c r="Q76" s="90">
        <v>0.224</v>
      </c>
      <c r="R76" s="90">
        <v>0.125</v>
      </c>
      <c r="S76" s="90"/>
      <c r="T76" s="90">
        <v>0.16900000000000001</v>
      </c>
      <c r="U76" s="90"/>
      <c r="V76" s="90" t="s">
        <v>1293</v>
      </c>
      <c r="W76" s="90">
        <v>1273</v>
      </c>
      <c r="X76" s="90">
        <v>6</v>
      </c>
      <c r="Y76" s="90"/>
      <c r="Z76" s="90"/>
      <c r="AA76" s="90"/>
      <c r="AB76" s="90" t="s">
        <v>518</v>
      </c>
      <c r="AC76" s="90">
        <v>3.6</v>
      </c>
      <c r="AD76" s="90">
        <v>4</v>
      </c>
      <c r="AE76" s="90">
        <v>0.47599999999999998</v>
      </c>
      <c r="AF76" s="90">
        <v>0</v>
      </c>
      <c r="AG76" s="90"/>
      <c r="AH76" s="90"/>
      <c r="AI76" s="90" t="s">
        <v>1552</v>
      </c>
      <c r="AJ76" s="90">
        <v>400</v>
      </c>
      <c r="AK76" s="90">
        <v>365</v>
      </c>
      <c r="AL76" s="90">
        <v>138</v>
      </c>
    </row>
    <row r="77" spans="1:38" ht="15" thickBot="1" x14ac:dyDescent="0.35">
      <c r="A77" s="118" t="s">
        <v>1567</v>
      </c>
      <c r="B77" s="114" t="s">
        <v>2820</v>
      </c>
      <c r="C77" s="90" t="s">
        <v>2825</v>
      </c>
      <c r="D77" s="121"/>
      <c r="E77" s="121"/>
      <c r="F77" s="90" t="s">
        <v>1568</v>
      </c>
      <c r="G77" s="90"/>
      <c r="H77" s="90"/>
      <c r="I77" s="90" t="s">
        <v>1569</v>
      </c>
      <c r="J77" s="90" t="s">
        <v>1570</v>
      </c>
      <c r="K77" s="90"/>
      <c r="L77" s="90" t="s">
        <v>1531</v>
      </c>
      <c r="M77" s="90"/>
      <c r="N77" s="90">
        <v>0.47799999999999998</v>
      </c>
      <c r="O77" s="90"/>
      <c r="P77" s="90"/>
      <c r="Q77" s="90">
        <v>0.19</v>
      </c>
      <c r="R77" s="90">
        <v>0.16500000000000001</v>
      </c>
      <c r="S77" s="90"/>
      <c r="T77" s="90">
        <v>0.16700000000000001</v>
      </c>
      <c r="U77" s="90"/>
      <c r="V77" s="90" t="s">
        <v>1293</v>
      </c>
      <c r="W77" s="90">
        <v>1273</v>
      </c>
      <c r="X77" s="90">
        <v>6</v>
      </c>
      <c r="Y77" s="90"/>
      <c r="Z77" s="90"/>
      <c r="AA77" s="90"/>
      <c r="AB77" s="90" t="s">
        <v>518</v>
      </c>
      <c r="AC77" s="90">
        <v>3.3</v>
      </c>
      <c r="AD77" s="90">
        <v>2.1</v>
      </c>
      <c r="AE77" s="90">
        <v>0.47599999999999998</v>
      </c>
      <c r="AF77" s="90">
        <v>0</v>
      </c>
      <c r="AG77" s="90"/>
      <c r="AH77" s="90"/>
      <c r="AI77" s="90" t="s">
        <v>1552</v>
      </c>
      <c r="AJ77" s="90">
        <v>400</v>
      </c>
      <c r="AK77" s="90">
        <v>365</v>
      </c>
      <c r="AL77" s="90">
        <v>70</v>
      </c>
    </row>
    <row r="78" spans="1:38" ht="15" thickBot="1" x14ac:dyDescent="0.35">
      <c r="A78" s="118" t="s">
        <v>1571</v>
      </c>
      <c r="B78" s="114" t="s">
        <v>2826</v>
      </c>
      <c r="C78" s="90" t="s">
        <v>2830</v>
      </c>
      <c r="D78" s="121"/>
      <c r="E78" s="121"/>
      <c r="F78" s="90" t="s">
        <v>1554</v>
      </c>
      <c r="G78" s="90"/>
      <c r="H78" s="90"/>
      <c r="I78" s="90" t="s">
        <v>1530</v>
      </c>
      <c r="J78" s="90"/>
      <c r="K78" s="90"/>
      <c r="L78" s="90" t="s">
        <v>1548</v>
      </c>
      <c r="M78" s="90"/>
      <c r="N78" s="90">
        <v>0.56000000000000005</v>
      </c>
      <c r="O78" s="90">
        <f t="shared" ref="O78:O84" si="3">N78/65</f>
        <v>8.6153846153846168E-3</v>
      </c>
      <c r="P78" s="90">
        <f t="shared" ref="P78:P79" si="4">O78/(O78+R78)</f>
        <v>0.79126525369299938</v>
      </c>
      <c r="Q78" s="90">
        <v>0.1</v>
      </c>
      <c r="R78" s="90">
        <f t="shared" ref="R78:R84" si="5">Q78/44</f>
        <v>2.2727272727272731E-3</v>
      </c>
      <c r="S78" s="90"/>
      <c r="T78" s="90">
        <v>0.34</v>
      </c>
      <c r="U78" s="90"/>
      <c r="V78" s="90" t="s">
        <v>1407</v>
      </c>
      <c r="W78" s="90"/>
      <c r="X78" s="90"/>
      <c r="Y78" s="90"/>
      <c r="Z78" s="90"/>
      <c r="AA78" s="90"/>
      <c r="AB78" s="90" t="s">
        <v>518</v>
      </c>
      <c r="AC78" s="90">
        <v>3.08</v>
      </c>
      <c r="AD78" s="90"/>
      <c r="AE78" s="90">
        <v>1</v>
      </c>
      <c r="AF78" s="90">
        <v>50</v>
      </c>
      <c r="AG78" s="90"/>
      <c r="AH78" s="90"/>
      <c r="AI78" s="90" t="s">
        <v>1572</v>
      </c>
      <c r="AJ78" s="90"/>
      <c r="AK78" s="90">
        <v>365</v>
      </c>
      <c r="AL78" s="90">
        <v>34.200000000000003</v>
      </c>
    </row>
    <row r="79" spans="1:38" ht="15" thickBot="1" x14ac:dyDescent="0.35">
      <c r="A79" s="118" t="s">
        <v>1571</v>
      </c>
      <c r="B79" s="114" t="s">
        <v>2826</v>
      </c>
      <c r="C79" s="90" t="s">
        <v>2829</v>
      </c>
      <c r="D79" s="121"/>
      <c r="E79" s="121"/>
      <c r="F79" s="90" t="s">
        <v>1554</v>
      </c>
      <c r="G79" s="90"/>
      <c r="H79" s="90"/>
      <c r="I79" s="90" t="s">
        <v>1530</v>
      </c>
      <c r="J79" s="90"/>
      <c r="K79" s="90"/>
      <c r="L79" s="90" t="s">
        <v>1548</v>
      </c>
      <c r="M79" s="90"/>
      <c r="N79" s="90">
        <v>0.57999999999999996</v>
      </c>
      <c r="O79" s="90">
        <f t="shared" si="3"/>
        <v>8.9230769230769225E-3</v>
      </c>
      <c r="P79" s="90">
        <f t="shared" si="4"/>
        <v>0.83072916666666674</v>
      </c>
      <c r="Q79" s="90">
        <v>0.08</v>
      </c>
      <c r="R79" s="90">
        <f t="shared" si="5"/>
        <v>1.8181818181818182E-3</v>
      </c>
      <c r="S79" s="90"/>
      <c r="T79" s="90">
        <v>0.34</v>
      </c>
      <c r="U79" s="90"/>
      <c r="V79" s="90" t="s">
        <v>1407</v>
      </c>
      <c r="W79" s="90"/>
      <c r="X79" s="90"/>
      <c r="Y79" s="90"/>
      <c r="Z79" s="90"/>
      <c r="AA79" s="90"/>
      <c r="AB79" s="90" t="s">
        <v>518</v>
      </c>
      <c r="AC79" s="90">
        <v>3.06</v>
      </c>
      <c r="AD79" s="90"/>
      <c r="AE79" s="90">
        <v>1</v>
      </c>
      <c r="AF79" s="90">
        <v>50</v>
      </c>
      <c r="AG79" s="90"/>
      <c r="AH79" s="90"/>
      <c r="AI79" s="90" t="s">
        <v>1572</v>
      </c>
      <c r="AJ79" s="90"/>
      <c r="AK79" s="90">
        <v>365</v>
      </c>
      <c r="AL79" s="90">
        <v>113</v>
      </c>
    </row>
    <row r="80" spans="1:38" ht="15" thickBot="1" x14ac:dyDescent="0.35">
      <c r="A80" s="118" t="s">
        <v>1571</v>
      </c>
      <c r="B80" s="114" t="s">
        <v>2826</v>
      </c>
      <c r="C80" s="90" t="s">
        <v>2827</v>
      </c>
      <c r="D80" s="121"/>
      <c r="E80" s="121"/>
      <c r="F80" s="90" t="s">
        <v>1554</v>
      </c>
      <c r="G80" s="90"/>
      <c r="H80" s="90"/>
      <c r="I80" s="90" t="s">
        <v>1530</v>
      </c>
      <c r="J80" s="90"/>
      <c r="K80" s="90"/>
      <c r="L80" s="90" t="s">
        <v>1548</v>
      </c>
      <c r="M80" s="90"/>
      <c r="N80" s="90">
        <v>0.62</v>
      </c>
      <c r="O80" s="90">
        <f t="shared" si="3"/>
        <v>9.5384615384615391E-3</v>
      </c>
      <c r="P80" s="90">
        <f t="shared" ref="P80" si="6">O80/(O80+R80)</f>
        <v>0.89354733049459545</v>
      </c>
      <c r="Q80" s="90">
        <v>0.05</v>
      </c>
      <c r="R80" s="90">
        <f t="shared" si="5"/>
        <v>1.1363636363636365E-3</v>
      </c>
      <c r="S80" s="90"/>
      <c r="T80" s="90">
        <v>0.34</v>
      </c>
      <c r="U80" s="90"/>
      <c r="V80" s="90" t="s">
        <v>1407</v>
      </c>
      <c r="W80" s="90"/>
      <c r="X80" s="90"/>
      <c r="Y80" s="90"/>
      <c r="Z80" s="90"/>
      <c r="AA80" s="90"/>
      <c r="AB80" s="90" t="s">
        <v>518</v>
      </c>
      <c r="AC80" s="90">
        <v>3.05</v>
      </c>
      <c r="AD80" s="90"/>
      <c r="AE80" s="90">
        <v>1</v>
      </c>
      <c r="AF80" s="90">
        <v>50</v>
      </c>
      <c r="AG80" s="90"/>
      <c r="AH80" s="90"/>
      <c r="AI80" s="90" t="s">
        <v>1572</v>
      </c>
      <c r="AJ80" s="90"/>
      <c r="AK80" s="90">
        <v>365</v>
      </c>
      <c r="AL80" s="90">
        <v>396</v>
      </c>
    </row>
    <row r="81" spans="1:38" ht="15" thickBot="1" x14ac:dyDescent="0.35">
      <c r="A81" s="118" t="s">
        <v>1571</v>
      </c>
      <c r="B81" s="114" t="s">
        <v>2826</v>
      </c>
      <c r="C81" s="90" t="s">
        <v>2828</v>
      </c>
      <c r="D81" s="121"/>
      <c r="E81" s="121"/>
      <c r="F81" s="90" t="s">
        <v>1554</v>
      </c>
      <c r="G81" s="90"/>
      <c r="H81" s="90"/>
      <c r="I81" s="90" t="s">
        <v>1530</v>
      </c>
      <c r="J81" s="90"/>
      <c r="K81" s="90"/>
      <c r="L81" s="90" t="s">
        <v>1548</v>
      </c>
      <c r="M81" s="90"/>
      <c r="N81" s="90">
        <v>0.61</v>
      </c>
      <c r="O81" s="90">
        <f t="shared" si="3"/>
        <v>9.3846153846153836E-3</v>
      </c>
      <c r="P81" s="90">
        <f t="shared" ref="P81:P83" si="7">O81/(O81+R81)</f>
        <v>0.85504937878305187</v>
      </c>
      <c r="Q81" s="90">
        <v>7.0000000000000007E-2</v>
      </c>
      <c r="R81" s="90">
        <f t="shared" si="5"/>
        <v>1.590909090909091E-3</v>
      </c>
      <c r="S81" s="90"/>
      <c r="T81" s="90">
        <v>0.32</v>
      </c>
      <c r="U81" s="90"/>
      <c r="V81" s="90" t="s">
        <v>1407</v>
      </c>
      <c r="W81" s="90"/>
      <c r="X81" s="90"/>
      <c r="Y81" s="90"/>
      <c r="Z81" s="90"/>
      <c r="AA81" s="90"/>
      <c r="AB81" s="90" t="s">
        <v>518</v>
      </c>
      <c r="AC81" s="90">
        <v>3.11</v>
      </c>
      <c r="AD81" s="90"/>
      <c r="AE81" s="90">
        <v>1</v>
      </c>
      <c r="AF81" s="90">
        <v>50</v>
      </c>
      <c r="AG81" s="90"/>
      <c r="AH81" s="90"/>
      <c r="AI81" s="90" t="s">
        <v>1572</v>
      </c>
      <c r="AJ81" s="90"/>
      <c r="AK81" s="90">
        <v>365</v>
      </c>
      <c r="AL81" s="90">
        <v>275</v>
      </c>
    </row>
    <row r="82" spans="1:38" ht="15" thickBot="1" x14ac:dyDescent="0.35">
      <c r="A82" s="118" t="s">
        <v>1571</v>
      </c>
      <c r="B82" s="114" t="s">
        <v>2826</v>
      </c>
      <c r="C82" s="90" t="s">
        <v>2827</v>
      </c>
      <c r="D82" s="121"/>
      <c r="E82" s="121"/>
      <c r="F82" s="90" t="s">
        <v>1554</v>
      </c>
      <c r="G82" s="90"/>
      <c r="H82" s="90"/>
      <c r="I82" s="90" t="s">
        <v>1530</v>
      </c>
      <c r="J82" s="90"/>
      <c r="K82" s="90"/>
      <c r="L82" s="90" t="s">
        <v>1548</v>
      </c>
      <c r="M82" s="90"/>
      <c r="N82" s="90">
        <v>0.62</v>
      </c>
      <c r="O82" s="90">
        <f t="shared" si="3"/>
        <v>9.5384615384615391E-3</v>
      </c>
      <c r="P82" s="90">
        <f t="shared" si="7"/>
        <v>0.89354733049459545</v>
      </c>
      <c r="Q82" s="90">
        <v>0.05</v>
      </c>
      <c r="R82" s="90">
        <f t="shared" si="5"/>
        <v>1.1363636363636365E-3</v>
      </c>
      <c r="S82" s="90"/>
      <c r="T82" s="90">
        <v>0.34</v>
      </c>
      <c r="U82" s="90"/>
      <c r="V82" s="90" t="s">
        <v>1407</v>
      </c>
      <c r="W82" s="90"/>
      <c r="X82" s="90"/>
      <c r="Y82" s="90"/>
      <c r="Z82" s="90"/>
      <c r="AA82" s="90"/>
      <c r="AB82" s="90" t="s">
        <v>518</v>
      </c>
      <c r="AC82" s="90">
        <v>3.05</v>
      </c>
      <c r="AD82" s="90"/>
      <c r="AE82" s="90">
        <v>1</v>
      </c>
      <c r="AF82" s="90">
        <v>50</v>
      </c>
      <c r="AG82" s="90" t="s">
        <v>1545</v>
      </c>
      <c r="AH82" s="90"/>
      <c r="AI82" s="90" t="s">
        <v>1572</v>
      </c>
      <c r="AJ82" s="90"/>
      <c r="AK82" s="90">
        <v>365</v>
      </c>
      <c r="AL82" s="90">
        <v>13.9</v>
      </c>
    </row>
    <row r="83" spans="1:38" ht="15" thickBot="1" x14ac:dyDescent="0.35">
      <c r="A83" s="118" t="s">
        <v>1571</v>
      </c>
      <c r="B83" s="114" t="s">
        <v>2826</v>
      </c>
      <c r="C83" s="90" t="s">
        <v>2827</v>
      </c>
      <c r="D83" s="121"/>
      <c r="E83" s="121"/>
      <c r="F83" s="90" t="s">
        <v>1554</v>
      </c>
      <c r="G83" s="90"/>
      <c r="H83" s="90"/>
      <c r="I83" s="90" t="s">
        <v>1530</v>
      </c>
      <c r="J83" s="90"/>
      <c r="K83" s="90"/>
      <c r="L83" s="90" t="s">
        <v>1548</v>
      </c>
      <c r="M83" s="90"/>
      <c r="N83" s="90">
        <v>0.62</v>
      </c>
      <c r="O83" s="90">
        <f t="shared" si="3"/>
        <v>9.5384615384615391E-3</v>
      </c>
      <c r="P83" s="90">
        <f t="shared" si="7"/>
        <v>0.89354733049459545</v>
      </c>
      <c r="Q83" s="90">
        <v>0.05</v>
      </c>
      <c r="R83" s="90">
        <f t="shared" si="5"/>
        <v>1.1363636363636365E-3</v>
      </c>
      <c r="S83" s="90"/>
      <c r="T83" s="90">
        <v>0.34</v>
      </c>
      <c r="U83" s="90"/>
      <c r="V83" s="90" t="s">
        <v>1407</v>
      </c>
      <c r="W83" s="90"/>
      <c r="X83" s="90"/>
      <c r="Y83" s="90"/>
      <c r="Z83" s="90"/>
      <c r="AA83" s="90"/>
      <c r="AB83" s="90" t="s">
        <v>518</v>
      </c>
      <c r="AC83" s="90">
        <v>3.05</v>
      </c>
      <c r="AD83" s="90"/>
      <c r="AE83" s="90">
        <v>1</v>
      </c>
      <c r="AF83" s="90">
        <v>50</v>
      </c>
      <c r="AG83" s="90" t="s">
        <v>1573</v>
      </c>
      <c r="AH83" s="90"/>
      <c r="AI83" s="90" t="s">
        <v>1572</v>
      </c>
      <c r="AJ83" s="90"/>
      <c r="AK83" s="90">
        <v>365</v>
      </c>
      <c r="AL83" s="90">
        <v>38.6</v>
      </c>
    </row>
    <row r="84" spans="1:38" ht="15" thickBot="1" x14ac:dyDescent="0.35">
      <c r="A84" s="118" t="s">
        <v>1571</v>
      </c>
      <c r="B84" s="114" t="s">
        <v>2826</v>
      </c>
      <c r="C84" s="90" t="s">
        <v>2827</v>
      </c>
      <c r="D84" s="121"/>
      <c r="E84" s="121"/>
      <c r="F84" s="90" t="s">
        <v>1554</v>
      </c>
      <c r="G84" s="90"/>
      <c r="H84" s="90"/>
      <c r="I84" s="90" t="s">
        <v>1530</v>
      </c>
      <c r="J84" s="90"/>
      <c r="K84" s="90"/>
      <c r="L84" s="90" t="s">
        <v>1548</v>
      </c>
      <c r="M84" s="90"/>
      <c r="N84" s="90">
        <v>0.62</v>
      </c>
      <c r="O84" s="90">
        <f t="shared" si="3"/>
        <v>9.5384615384615391E-3</v>
      </c>
      <c r="P84" s="90">
        <f t="shared" ref="P84" si="8">O84/(O84+R84)</f>
        <v>0.89354733049459545</v>
      </c>
      <c r="Q84" s="90">
        <v>0.05</v>
      </c>
      <c r="R84" s="90">
        <f t="shared" si="5"/>
        <v>1.1363636363636365E-3</v>
      </c>
      <c r="S84" s="90"/>
      <c r="T84" s="90">
        <v>0.34</v>
      </c>
      <c r="U84" s="90"/>
      <c r="V84" s="90" t="s">
        <v>1407</v>
      </c>
      <c r="W84" s="90"/>
      <c r="X84" s="90"/>
      <c r="Y84" s="90"/>
      <c r="Z84" s="90"/>
      <c r="AA84" s="90"/>
      <c r="AB84" s="90" t="s">
        <v>518</v>
      </c>
      <c r="AC84" s="90">
        <v>3.05</v>
      </c>
      <c r="AD84" s="90"/>
      <c r="AE84" s="90">
        <v>1</v>
      </c>
      <c r="AF84" s="90">
        <v>50</v>
      </c>
      <c r="AG84" s="90" t="s">
        <v>1574</v>
      </c>
      <c r="AH84" s="90"/>
      <c r="AI84" s="90" t="s">
        <v>1572</v>
      </c>
      <c r="AJ84" s="90"/>
      <c r="AK84" s="90">
        <v>365</v>
      </c>
      <c r="AL84" s="90">
        <v>63.2</v>
      </c>
    </row>
    <row r="85" spans="1:38" ht="15" thickBot="1" x14ac:dyDescent="0.35">
      <c r="A85" s="118" t="s">
        <v>1571</v>
      </c>
      <c r="B85" s="114" t="s">
        <v>2826</v>
      </c>
      <c r="C85" s="90" t="s">
        <v>2827</v>
      </c>
      <c r="D85" s="121"/>
      <c r="E85" s="121"/>
      <c r="F85" s="90" t="s">
        <v>1554</v>
      </c>
      <c r="G85" s="90"/>
      <c r="H85" s="90"/>
      <c r="I85" s="90" t="s">
        <v>1530</v>
      </c>
      <c r="J85" s="90"/>
      <c r="K85" s="90"/>
      <c r="L85" s="90" t="s">
        <v>1548</v>
      </c>
      <c r="M85" s="90"/>
      <c r="N85" s="90">
        <v>0.62</v>
      </c>
      <c r="O85" s="90"/>
      <c r="P85" s="90"/>
      <c r="Q85" s="90">
        <v>0.05</v>
      </c>
      <c r="R85" s="90"/>
      <c r="S85" s="90"/>
      <c r="T85" s="90">
        <v>0.34</v>
      </c>
      <c r="U85" s="90"/>
      <c r="V85" s="90" t="s">
        <v>1407</v>
      </c>
      <c r="W85" s="90"/>
      <c r="X85" s="90"/>
      <c r="Y85" s="90"/>
      <c r="Z85" s="90"/>
      <c r="AA85" s="90"/>
      <c r="AB85" s="90" t="s">
        <v>518</v>
      </c>
      <c r="AC85" s="90">
        <v>3.05</v>
      </c>
      <c r="AD85" s="90"/>
      <c r="AE85" s="90">
        <v>1</v>
      </c>
      <c r="AF85" s="90">
        <v>50</v>
      </c>
      <c r="AG85" s="90" t="s">
        <v>1575</v>
      </c>
      <c r="AH85" s="90"/>
      <c r="AI85" s="90" t="s">
        <v>1572</v>
      </c>
      <c r="AJ85" s="90"/>
      <c r="AK85" s="90">
        <v>365</v>
      </c>
      <c r="AL85" s="90">
        <v>528</v>
      </c>
    </row>
    <row r="86" spans="1:38" ht="15" thickBot="1" x14ac:dyDescent="0.35">
      <c r="A86" s="118" t="s">
        <v>1571</v>
      </c>
      <c r="B86" s="114" t="s">
        <v>2826</v>
      </c>
      <c r="C86" s="90" t="s">
        <v>2827</v>
      </c>
      <c r="D86" s="121"/>
      <c r="E86" s="121"/>
      <c r="F86" s="90" t="s">
        <v>1554</v>
      </c>
      <c r="G86" s="90"/>
      <c r="H86" s="90"/>
      <c r="I86" s="90" t="s">
        <v>1530</v>
      </c>
      <c r="J86" s="90"/>
      <c r="K86" s="90"/>
      <c r="L86" s="90" t="s">
        <v>1548</v>
      </c>
      <c r="M86" s="90"/>
      <c r="N86" s="90">
        <v>0.62</v>
      </c>
      <c r="O86" s="90"/>
      <c r="P86" s="90"/>
      <c r="Q86" s="90">
        <v>0.05</v>
      </c>
      <c r="R86" s="90"/>
      <c r="S86" s="90"/>
      <c r="T86" s="90">
        <v>0.34</v>
      </c>
      <c r="U86" s="90"/>
      <c r="V86" s="90" t="s">
        <v>1407</v>
      </c>
      <c r="W86" s="90"/>
      <c r="X86" s="90"/>
      <c r="Y86" s="90"/>
      <c r="Z86" s="90"/>
      <c r="AA86" s="90"/>
      <c r="AB86" s="90" t="s">
        <v>518</v>
      </c>
      <c r="AC86" s="90">
        <v>3.05</v>
      </c>
      <c r="AD86" s="90"/>
      <c r="AE86" s="90">
        <v>1</v>
      </c>
      <c r="AF86" s="90">
        <v>50</v>
      </c>
      <c r="AG86" s="90" t="s">
        <v>1576</v>
      </c>
      <c r="AH86" s="90"/>
      <c r="AI86" s="90" t="s">
        <v>1572</v>
      </c>
      <c r="AJ86" s="90"/>
      <c r="AK86" s="90">
        <v>365</v>
      </c>
      <c r="AL86" s="90">
        <v>794</v>
      </c>
    </row>
    <row r="87" spans="1:38" ht="15" thickBot="1" x14ac:dyDescent="0.35">
      <c r="A87" s="118" t="s">
        <v>1577</v>
      </c>
      <c r="B87" s="114" t="s">
        <v>96</v>
      </c>
      <c r="C87" s="114" t="s">
        <v>95</v>
      </c>
      <c r="D87" s="120"/>
      <c r="E87" s="120"/>
      <c r="F87" s="90" t="s">
        <v>1578</v>
      </c>
      <c r="G87" s="90" t="s">
        <v>1091</v>
      </c>
      <c r="H87" s="90"/>
      <c r="I87" s="90" t="s">
        <v>1068</v>
      </c>
      <c r="J87" s="90"/>
      <c r="K87" s="90"/>
      <c r="L87" s="90" t="s">
        <v>1531</v>
      </c>
      <c r="M87" s="90"/>
      <c r="N87" s="90">
        <v>7.0000000000000007E-2</v>
      </c>
      <c r="O87" s="90">
        <v>0.11</v>
      </c>
      <c r="P87" s="90"/>
      <c r="Q87" s="90">
        <v>0.53</v>
      </c>
      <c r="R87" s="90"/>
      <c r="S87" s="90"/>
      <c r="T87" s="90">
        <v>0.3</v>
      </c>
      <c r="U87" s="90"/>
      <c r="V87" s="90" t="s">
        <v>1532</v>
      </c>
      <c r="W87" s="90"/>
      <c r="X87" s="90"/>
      <c r="Y87" s="90" t="s">
        <v>1533</v>
      </c>
      <c r="Z87" s="90" t="s">
        <v>863</v>
      </c>
      <c r="AA87" s="90">
        <v>1</v>
      </c>
      <c r="AB87" s="90" t="s">
        <v>1142</v>
      </c>
      <c r="AC87" s="90">
        <v>3.3</v>
      </c>
      <c r="AD87" s="90">
        <v>1.6</v>
      </c>
      <c r="AE87" s="90">
        <v>2</v>
      </c>
      <c r="AF87" s="90">
        <v>20</v>
      </c>
      <c r="AG87" s="90"/>
      <c r="AH87" s="90"/>
      <c r="AI87" s="90" t="s">
        <v>1534</v>
      </c>
      <c r="AJ87" s="90">
        <v>1000</v>
      </c>
      <c r="AK87" s="90">
        <v>350</v>
      </c>
      <c r="AL87" s="90">
        <v>74.17</v>
      </c>
    </row>
    <row r="88" spans="1:38" ht="15" thickBot="1" x14ac:dyDescent="0.35">
      <c r="A88" s="118" t="s">
        <v>1577</v>
      </c>
      <c r="B88" s="114" t="s">
        <v>96</v>
      </c>
      <c r="C88" s="114" t="s">
        <v>95</v>
      </c>
      <c r="D88" s="120"/>
      <c r="E88" s="120"/>
      <c r="F88" s="90" t="s">
        <v>1578</v>
      </c>
      <c r="G88" s="90" t="s">
        <v>1091</v>
      </c>
      <c r="H88" s="90"/>
      <c r="I88" s="90" t="s">
        <v>1068</v>
      </c>
      <c r="J88" s="90"/>
      <c r="K88" s="90"/>
      <c r="L88" s="90" t="s">
        <v>1531</v>
      </c>
      <c r="M88" s="90"/>
      <c r="N88" s="90">
        <v>7.0000000000000007E-2</v>
      </c>
      <c r="O88" s="90">
        <v>0.11</v>
      </c>
      <c r="P88" s="90"/>
      <c r="Q88" s="90">
        <v>0.53</v>
      </c>
      <c r="R88" s="90"/>
      <c r="S88" s="90"/>
      <c r="T88" s="90">
        <v>1.3</v>
      </c>
      <c r="U88" s="90"/>
      <c r="V88" s="90" t="s">
        <v>1532</v>
      </c>
      <c r="W88" s="90"/>
      <c r="X88" s="90"/>
      <c r="Y88" s="90" t="s">
        <v>1533</v>
      </c>
      <c r="Z88" s="90" t="s">
        <v>863</v>
      </c>
      <c r="AA88" s="90">
        <v>1</v>
      </c>
      <c r="AB88" s="90" t="s">
        <v>1142</v>
      </c>
      <c r="AC88" s="90">
        <v>3.3</v>
      </c>
      <c r="AD88" s="90">
        <v>0.36</v>
      </c>
      <c r="AE88" s="90">
        <v>2</v>
      </c>
      <c r="AF88" s="90">
        <v>20</v>
      </c>
      <c r="AG88" s="90"/>
      <c r="AH88" s="90"/>
      <c r="AI88" s="90" t="s">
        <v>1534</v>
      </c>
      <c r="AJ88" s="90">
        <v>1000</v>
      </c>
      <c r="AK88" s="90">
        <v>350</v>
      </c>
      <c r="AL88" s="90">
        <v>150</v>
      </c>
    </row>
    <row r="89" spans="1:38" ht="15" thickBot="1" x14ac:dyDescent="0.35">
      <c r="A89" s="118" t="s">
        <v>1577</v>
      </c>
      <c r="B89" s="114" t="s">
        <v>96</v>
      </c>
      <c r="C89" s="114" t="s">
        <v>95</v>
      </c>
      <c r="D89" s="120"/>
      <c r="E89" s="120"/>
      <c r="F89" s="90" t="s">
        <v>1578</v>
      </c>
      <c r="G89" s="90" t="s">
        <v>1091</v>
      </c>
      <c r="H89" s="90"/>
      <c r="I89" s="90" t="s">
        <v>1068</v>
      </c>
      <c r="J89" s="90"/>
      <c r="K89" s="90"/>
      <c r="L89" s="90" t="s">
        <v>1531</v>
      </c>
      <c r="M89" s="90"/>
      <c r="N89" s="90">
        <v>7.0000000000000007E-2</v>
      </c>
      <c r="O89" s="90">
        <v>0.11</v>
      </c>
      <c r="P89" s="90"/>
      <c r="Q89" s="90">
        <v>0.53</v>
      </c>
      <c r="R89" s="90"/>
      <c r="S89" s="90"/>
      <c r="T89" s="90">
        <v>2.2999999999999998</v>
      </c>
      <c r="U89" s="90"/>
      <c r="V89" s="90" t="s">
        <v>1532</v>
      </c>
      <c r="W89" s="90"/>
      <c r="X89" s="90"/>
      <c r="Y89" s="90" t="s">
        <v>1533</v>
      </c>
      <c r="Z89" s="90" t="s">
        <v>863</v>
      </c>
      <c r="AA89" s="90">
        <v>1</v>
      </c>
      <c r="AB89" s="90" t="s">
        <v>1142</v>
      </c>
      <c r="AC89" s="90">
        <v>3.3</v>
      </c>
      <c r="AD89" s="90">
        <v>4.5999999999999996</v>
      </c>
      <c r="AE89" s="90">
        <v>2</v>
      </c>
      <c r="AF89" s="90">
        <v>20</v>
      </c>
      <c r="AG89" s="90"/>
      <c r="AH89" s="90"/>
      <c r="AI89" s="90" t="s">
        <v>1534</v>
      </c>
      <c r="AJ89" s="90">
        <v>1000</v>
      </c>
      <c r="AK89" s="90">
        <v>350</v>
      </c>
      <c r="AL89" s="90">
        <v>445.5</v>
      </c>
    </row>
    <row r="90" spans="1:38" ht="15" thickBot="1" x14ac:dyDescent="0.35">
      <c r="A90" s="118" t="s">
        <v>1577</v>
      </c>
      <c r="B90" s="114" t="s">
        <v>96</v>
      </c>
      <c r="C90" s="114" t="s">
        <v>95</v>
      </c>
      <c r="D90" s="120"/>
      <c r="E90" s="120"/>
      <c r="F90" s="90" t="s">
        <v>1578</v>
      </c>
      <c r="G90" s="90" t="s">
        <v>1091</v>
      </c>
      <c r="H90" s="90"/>
      <c r="I90" s="90" t="s">
        <v>1068</v>
      </c>
      <c r="J90" s="90"/>
      <c r="K90" s="90"/>
      <c r="L90" s="90" t="s">
        <v>1531</v>
      </c>
      <c r="M90" s="90"/>
      <c r="N90" s="90">
        <v>7.0000000000000007E-2</v>
      </c>
      <c r="O90" s="90">
        <v>0.11</v>
      </c>
      <c r="P90" s="90"/>
      <c r="Q90" s="90">
        <v>0.53</v>
      </c>
      <c r="R90" s="90"/>
      <c r="S90" s="90"/>
      <c r="T90" s="90">
        <v>3.3</v>
      </c>
      <c r="U90" s="90"/>
      <c r="V90" s="90" t="s">
        <v>1532</v>
      </c>
      <c r="W90" s="90"/>
      <c r="X90" s="90"/>
      <c r="Y90" s="90" t="s">
        <v>1533</v>
      </c>
      <c r="Z90" s="90" t="s">
        <v>863</v>
      </c>
      <c r="AA90" s="90">
        <v>1</v>
      </c>
      <c r="AB90" s="90" t="s">
        <v>1142</v>
      </c>
      <c r="AC90" s="90">
        <v>3.3</v>
      </c>
      <c r="AD90" s="90">
        <v>3.9</v>
      </c>
      <c r="AE90" s="90">
        <v>2</v>
      </c>
      <c r="AF90" s="90">
        <v>20</v>
      </c>
      <c r="AG90" s="90"/>
      <c r="AH90" s="90"/>
      <c r="AI90" s="90" t="s">
        <v>1534</v>
      </c>
      <c r="AJ90" s="90">
        <v>1000</v>
      </c>
      <c r="AK90" s="90">
        <v>350</v>
      </c>
      <c r="AL90" s="90">
        <v>275.5</v>
      </c>
    </row>
    <row r="91" spans="1:38" ht="15" thickBot="1" x14ac:dyDescent="0.35">
      <c r="A91" s="118" t="s">
        <v>1579</v>
      </c>
      <c r="B91" s="114" t="s">
        <v>2831</v>
      </c>
      <c r="C91" s="114" t="s">
        <v>2834</v>
      </c>
      <c r="D91" s="120"/>
      <c r="E91" s="120"/>
      <c r="F91" s="90" t="s">
        <v>1543</v>
      </c>
      <c r="G91" s="90"/>
      <c r="H91" s="90"/>
      <c r="I91" s="90" t="s">
        <v>1530</v>
      </c>
      <c r="J91" s="90"/>
      <c r="K91" s="90"/>
      <c r="L91" s="90" t="s">
        <v>1548</v>
      </c>
      <c r="M91" s="90"/>
      <c r="N91" s="90">
        <v>0.62</v>
      </c>
      <c r="O91" s="90"/>
      <c r="P91" s="90"/>
      <c r="Q91" s="90">
        <v>0.06</v>
      </c>
      <c r="R91" s="90"/>
      <c r="S91" s="90"/>
      <c r="T91" s="90">
        <v>0.32</v>
      </c>
      <c r="U91" s="90"/>
      <c r="V91" s="90" t="s">
        <v>1407</v>
      </c>
      <c r="W91" s="90"/>
      <c r="X91" s="90"/>
      <c r="Y91" s="90"/>
      <c r="Z91" s="90"/>
      <c r="AA91" s="90"/>
      <c r="AB91" s="90" t="s">
        <v>1142</v>
      </c>
      <c r="AC91" s="90">
        <v>1.81</v>
      </c>
      <c r="AD91" s="90"/>
      <c r="AE91" s="90">
        <v>0.5</v>
      </c>
      <c r="AF91" s="90">
        <v>50</v>
      </c>
      <c r="AG91" s="90"/>
      <c r="AH91" s="90"/>
      <c r="AI91" s="90" t="s">
        <v>1572</v>
      </c>
      <c r="AJ91" s="90"/>
      <c r="AK91" s="90">
        <v>365</v>
      </c>
      <c r="AL91" s="90">
        <v>5.3</v>
      </c>
    </row>
    <row r="92" spans="1:38" ht="15" thickBot="1" x14ac:dyDescent="0.35">
      <c r="A92" s="118" t="s">
        <v>1579</v>
      </c>
      <c r="B92" s="114" t="s">
        <v>2831</v>
      </c>
      <c r="C92" s="114" t="s">
        <v>2833</v>
      </c>
      <c r="D92" s="120"/>
      <c r="E92" s="120"/>
      <c r="F92" s="90" t="s">
        <v>1543</v>
      </c>
      <c r="G92" s="90"/>
      <c r="H92" s="90"/>
      <c r="I92" s="90" t="s">
        <v>1530</v>
      </c>
      <c r="J92" s="90"/>
      <c r="K92" s="90"/>
      <c r="L92" s="90" t="s">
        <v>1548</v>
      </c>
      <c r="M92" s="90"/>
      <c r="N92" s="90">
        <v>0.54</v>
      </c>
      <c r="O92" s="90"/>
      <c r="P92" s="90"/>
      <c r="Q92" s="90">
        <v>0.11</v>
      </c>
      <c r="R92" s="90"/>
      <c r="S92" s="90"/>
      <c r="T92" s="90">
        <v>0.36</v>
      </c>
      <c r="U92" s="90"/>
      <c r="V92" s="90" t="s">
        <v>1407</v>
      </c>
      <c r="W92" s="90"/>
      <c r="X92" s="90"/>
      <c r="Y92" s="90"/>
      <c r="Z92" s="90"/>
      <c r="AA92" s="90"/>
      <c r="AB92" s="90" t="s">
        <v>1142</v>
      </c>
      <c r="AC92" s="90">
        <v>1.87</v>
      </c>
      <c r="AD92" s="90"/>
      <c r="AE92" s="90">
        <v>0.5</v>
      </c>
      <c r="AF92" s="90">
        <v>50</v>
      </c>
      <c r="AG92" s="90"/>
      <c r="AH92" s="90"/>
      <c r="AI92" s="90" t="s">
        <v>1572</v>
      </c>
      <c r="AJ92" s="90"/>
      <c r="AK92" s="90">
        <v>365</v>
      </c>
      <c r="AL92" s="90">
        <v>10.199999999999999</v>
      </c>
    </row>
    <row r="93" spans="1:38" ht="15" thickBot="1" x14ac:dyDescent="0.35">
      <c r="A93" s="118" t="s">
        <v>1579</v>
      </c>
      <c r="B93" s="114" t="s">
        <v>2831</v>
      </c>
      <c r="C93" s="114" t="s">
        <v>2832</v>
      </c>
      <c r="D93" s="120"/>
      <c r="E93" s="120"/>
      <c r="F93" s="90" t="s">
        <v>1543</v>
      </c>
      <c r="G93" s="90"/>
      <c r="H93" s="90"/>
      <c r="I93" s="90" t="s">
        <v>1530</v>
      </c>
      <c r="J93" s="90"/>
      <c r="K93" s="90"/>
      <c r="L93" s="90" t="s">
        <v>1548</v>
      </c>
      <c r="M93" s="90"/>
      <c r="N93" s="90">
        <v>0.48</v>
      </c>
      <c r="O93" s="90"/>
      <c r="P93" s="90"/>
      <c r="Q93" s="90">
        <v>0.14000000000000001</v>
      </c>
      <c r="R93" s="90"/>
      <c r="S93" s="90"/>
      <c r="T93" s="90">
        <v>0.38</v>
      </c>
      <c r="U93" s="90"/>
      <c r="V93" s="90" t="s">
        <v>1407</v>
      </c>
      <c r="W93" s="90"/>
      <c r="X93" s="90"/>
      <c r="Y93" s="90"/>
      <c r="Z93" s="90"/>
      <c r="AA93" s="90"/>
      <c r="AB93" s="90" t="s">
        <v>1142</v>
      </c>
      <c r="AC93" s="90">
        <v>2.04</v>
      </c>
      <c r="AD93" s="90"/>
      <c r="AE93" s="90">
        <v>0.5</v>
      </c>
      <c r="AF93" s="90">
        <v>50</v>
      </c>
      <c r="AG93" s="90"/>
      <c r="AH93" s="90"/>
      <c r="AI93" s="90" t="s">
        <v>1572</v>
      </c>
      <c r="AJ93" s="90"/>
      <c r="AK93" s="90">
        <v>365</v>
      </c>
      <c r="AL93" s="90">
        <v>6.9</v>
      </c>
    </row>
    <row r="94" spans="1:38" ht="15" thickBot="1" x14ac:dyDescent="0.35">
      <c r="A94" s="118" t="s">
        <v>1579</v>
      </c>
      <c r="B94" s="114" t="s">
        <v>2831</v>
      </c>
      <c r="C94" s="114" t="s">
        <v>2833</v>
      </c>
      <c r="D94" s="120"/>
      <c r="E94" s="120"/>
      <c r="F94" s="90" t="s">
        <v>1543</v>
      </c>
      <c r="G94" s="90"/>
      <c r="H94" s="90"/>
      <c r="I94" s="90" t="s">
        <v>1530</v>
      </c>
      <c r="J94" s="90"/>
      <c r="K94" s="90"/>
      <c r="L94" s="90" t="s">
        <v>1548</v>
      </c>
      <c r="M94" s="90"/>
      <c r="N94" s="90">
        <v>0.54</v>
      </c>
      <c r="O94" s="90"/>
      <c r="P94" s="90"/>
      <c r="Q94" s="90">
        <v>0.11</v>
      </c>
      <c r="R94" s="90"/>
      <c r="S94" s="90"/>
      <c r="T94" s="90">
        <v>0.36</v>
      </c>
      <c r="U94" s="90"/>
      <c r="V94" s="90" t="s">
        <v>1407</v>
      </c>
      <c r="W94" s="90"/>
      <c r="X94" s="90"/>
      <c r="Y94" s="90"/>
      <c r="Z94" s="90"/>
      <c r="AA94" s="90"/>
      <c r="AB94" s="90" t="s">
        <v>1142</v>
      </c>
      <c r="AC94" s="90">
        <v>1.87</v>
      </c>
      <c r="AD94" s="90"/>
      <c r="AE94" s="90">
        <v>0.5</v>
      </c>
      <c r="AF94" s="90">
        <v>50</v>
      </c>
      <c r="AG94" s="90"/>
      <c r="AH94" s="90"/>
      <c r="AI94" s="90" t="s">
        <v>1572</v>
      </c>
      <c r="AJ94" s="90"/>
      <c r="AK94" s="90">
        <v>365</v>
      </c>
      <c r="AL94" s="90">
        <v>2.9</v>
      </c>
    </row>
    <row r="95" spans="1:38" ht="15" thickBot="1" x14ac:dyDescent="0.35">
      <c r="A95" s="118" t="s">
        <v>1579</v>
      </c>
      <c r="B95" s="114" t="s">
        <v>2831</v>
      </c>
      <c r="C95" s="114" t="s">
        <v>2833</v>
      </c>
      <c r="D95" s="120"/>
      <c r="E95" s="120"/>
      <c r="F95" s="90" t="s">
        <v>1543</v>
      </c>
      <c r="G95" s="90"/>
      <c r="H95" s="90"/>
      <c r="I95" s="90" t="s">
        <v>1530</v>
      </c>
      <c r="J95" s="90"/>
      <c r="K95" s="90"/>
      <c r="L95" s="90" t="s">
        <v>1548</v>
      </c>
      <c r="M95" s="90"/>
      <c r="N95" s="90">
        <v>0.54</v>
      </c>
      <c r="O95" s="90"/>
      <c r="P95" s="90"/>
      <c r="Q95" s="90">
        <v>0.11</v>
      </c>
      <c r="R95" s="90"/>
      <c r="S95" s="90"/>
      <c r="T95" s="90">
        <v>0.36</v>
      </c>
      <c r="U95" s="90"/>
      <c r="V95" s="90" t="s">
        <v>1407</v>
      </c>
      <c r="W95" s="90"/>
      <c r="X95" s="90"/>
      <c r="Y95" s="90"/>
      <c r="Z95" s="90"/>
      <c r="AA95" s="90"/>
      <c r="AB95" s="90" t="s">
        <v>1142</v>
      </c>
      <c r="AC95" s="90">
        <v>1.87</v>
      </c>
      <c r="AD95" s="90"/>
      <c r="AE95" s="90">
        <v>0.5</v>
      </c>
      <c r="AF95" s="90">
        <v>50</v>
      </c>
      <c r="AG95" s="90"/>
      <c r="AH95" s="90"/>
      <c r="AI95" s="90" t="s">
        <v>1572</v>
      </c>
      <c r="AJ95" s="90"/>
      <c r="AK95" s="90">
        <v>365</v>
      </c>
      <c r="AL95" s="90">
        <v>4.5</v>
      </c>
    </row>
    <row r="96" spans="1:38" ht="15" thickBot="1" x14ac:dyDescent="0.35">
      <c r="A96" s="118" t="s">
        <v>1579</v>
      </c>
      <c r="B96" s="114" t="s">
        <v>2831</v>
      </c>
      <c r="C96" s="114" t="s">
        <v>2833</v>
      </c>
      <c r="D96" s="120"/>
      <c r="E96" s="120"/>
      <c r="F96" s="90" t="s">
        <v>1543</v>
      </c>
      <c r="G96" s="90"/>
      <c r="H96" s="90"/>
      <c r="I96" s="90" t="s">
        <v>1530</v>
      </c>
      <c r="J96" s="90"/>
      <c r="K96" s="90"/>
      <c r="L96" s="90" t="s">
        <v>1548</v>
      </c>
      <c r="M96" s="90"/>
      <c r="N96" s="90">
        <v>0.54</v>
      </c>
      <c r="O96" s="90"/>
      <c r="P96" s="90"/>
      <c r="Q96" s="90">
        <v>0.11</v>
      </c>
      <c r="R96" s="90"/>
      <c r="S96" s="90"/>
      <c r="T96" s="90">
        <v>0.36</v>
      </c>
      <c r="U96" s="90"/>
      <c r="V96" s="90" t="s">
        <v>1407</v>
      </c>
      <c r="W96" s="90"/>
      <c r="X96" s="90"/>
      <c r="Y96" s="90"/>
      <c r="Z96" s="90"/>
      <c r="AA96" s="90"/>
      <c r="AB96" s="90" t="s">
        <v>1142</v>
      </c>
      <c r="AC96" s="90">
        <v>1.87</v>
      </c>
      <c r="AD96" s="90"/>
      <c r="AE96" s="90">
        <v>0.5</v>
      </c>
      <c r="AF96" s="90">
        <v>50</v>
      </c>
      <c r="AG96" s="90"/>
      <c r="AH96" s="90"/>
      <c r="AI96" s="90" t="s">
        <v>1572</v>
      </c>
      <c r="AJ96" s="90"/>
      <c r="AK96" s="90">
        <v>365</v>
      </c>
      <c r="AL96" s="90">
        <v>12.1</v>
      </c>
    </row>
    <row r="97" spans="1:38" ht="15" thickBot="1" x14ac:dyDescent="0.35">
      <c r="A97" s="118" t="s">
        <v>1579</v>
      </c>
      <c r="B97" s="114" t="s">
        <v>2831</v>
      </c>
      <c r="C97" s="114" t="s">
        <v>2833</v>
      </c>
      <c r="D97" s="120"/>
      <c r="E97" s="120"/>
      <c r="F97" s="90" t="s">
        <v>1543</v>
      </c>
      <c r="G97" s="90"/>
      <c r="H97" s="90"/>
      <c r="I97" s="90" t="s">
        <v>1530</v>
      </c>
      <c r="J97" s="90"/>
      <c r="K97" s="90"/>
      <c r="L97" s="90" t="s">
        <v>1548</v>
      </c>
      <c r="M97" s="90"/>
      <c r="N97" s="90">
        <v>0.54</v>
      </c>
      <c r="O97" s="90"/>
      <c r="P97" s="90"/>
      <c r="Q97" s="90">
        <v>0.11</v>
      </c>
      <c r="R97" s="90"/>
      <c r="S97" s="90"/>
      <c r="T97" s="90">
        <v>0.36</v>
      </c>
      <c r="U97" s="90"/>
      <c r="V97" s="90" t="s">
        <v>1407</v>
      </c>
      <c r="W97" s="90"/>
      <c r="X97" s="90"/>
      <c r="Y97" s="90"/>
      <c r="Z97" s="90"/>
      <c r="AA97" s="90"/>
      <c r="AB97" s="90" t="s">
        <v>1142</v>
      </c>
      <c r="AC97" s="90">
        <v>1.87</v>
      </c>
      <c r="AD97" s="90"/>
      <c r="AE97" s="90">
        <v>0.5</v>
      </c>
      <c r="AF97" s="90">
        <v>50</v>
      </c>
      <c r="AG97" s="90"/>
      <c r="AH97" s="90"/>
      <c r="AI97" s="90" t="s">
        <v>1572</v>
      </c>
      <c r="AJ97" s="90"/>
      <c r="AK97" s="90">
        <v>365</v>
      </c>
      <c r="AL97" s="90">
        <v>15.3</v>
      </c>
    </row>
    <row r="98" spans="1:38" ht="15" thickBot="1" x14ac:dyDescent="0.35">
      <c r="A98" s="118" t="s">
        <v>1580</v>
      </c>
      <c r="B98" s="90" t="s">
        <v>2836</v>
      </c>
      <c r="C98" s="114" t="s">
        <v>2835</v>
      </c>
      <c r="D98" s="120"/>
      <c r="E98" s="120"/>
      <c r="F98" s="90" t="s">
        <v>1091</v>
      </c>
      <c r="G98" s="90"/>
      <c r="H98" s="90"/>
      <c r="I98" s="90" t="s">
        <v>964</v>
      </c>
      <c r="J98" s="90"/>
      <c r="K98" s="90"/>
      <c r="L98" s="90" t="s">
        <v>1548</v>
      </c>
      <c r="M98" s="90"/>
      <c r="N98" s="90">
        <v>0.1</v>
      </c>
      <c r="O98" s="90"/>
      <c r="P98" s="90"/>
      <c r="Q98" s="90">
        <v>0.57999999999999996</v>
      </c>
      <c r="R98" s="90"/>
      <c r="S98" s="90"/>
      <c r="T98" s="90">
        <v>0.32</v>
      </c>
      <c r="U98" s="90"/>
      <c r="V98" s="90" t="s">
        <v>1407</v>
      </c>
      <c r="W98" s="90"/>
      <c r="X98" s="90"/>
      <c r="Y98" s="90"/>
      <c r="Z98" s="90"/>
      <c r="AA98" s="90"/>
      <c r="AB98" s="90" t="s">
        <v>518</v>
      </c>
      <c r="AC98" s="90">
        <v>1.68</v>
      </c>
      <c r="AD98" s="90">
        <v>75.38</v>
      </c>
      <c r="AE98" s="90">
        <v>0.5</v>
      </c>
      <c r="AF98" s="90">
        <v>50</v>
      </c>
      <c r="AG98" s="90"/>
      <c r="AH98" s="90"/>
      <c r="AI98" s="90" t="s">
        <v>1534</v>
      </c>
      <c r="AJ98" s="90">
        <v>300</v>
      </c>
      <c r="AK98" s="90">
        <v>420</v>
      </c>
      <c r="AL98" s="90">
        <v>2.625</v>
      </c>
    </row>
    <row r="99" spans="1:38" ht="15" thickBot="1" x14ac:dyDescent="0.35">
      <c r="A99" s="118" t="s">
        <v>1580</v>
      </c>
      <c r="B99" s="90" t="s">
        <v>2836</v>
      </c>
      <c r="C99" s="114" t="s">
        <v>2835</v>
      </c>
      <c r="D99" s="120"/>
      <c r="E99" s="120"/>
      <c r="F99" s="90" t="s">
        <v>1091</v>
      </c>
      <c r="G99" s="90"/>
      <c r="H99" s="90"/>
      <c r="I99" s="90" t="s">
        <v>964</v>
      </c>
      <c r="J99" s="90"/>
      <c r="K99" s="90"/>
      <c r="L99" s="90" t="s">
        <v>1548</v>
      </c>
      <c r="M99" s="90"/>
      <c r="N99" s="90">
        <v>0.1</v>
      </c>
      <c r="O99" s="90"/>
      <c r="P99" s="90"/>
      <c r="Q99" s="90">
        <v>0.57999999999999996</v>
      </c>
      <c r="R99" s="90"/>
      <c r="S99" s="90"/>
      <c r="T99" s="90">
        <v>0.32</v>
      </c>
      <c r="U99" s="90"/>
      <c r="V99" s="90" t="s">
        <v>1407</v>
      </c>
      <c r="W99" s="90">
        <v>773</v>
      </c>
      <c r="X99" s="90">
        <v>12</v>
      </c>
      <c r="Y99" s="90"/>
      <c r="Z99" s="90"/>
      <c r="AA99" s="90"/>
      <c r="AB99" s="90" t="s">
        <v>518</v>
      </c>
      <c r="AC99" s="90">
        <v>1.78</v>
      </c>
      <c r="AD99" s="90">
        <v>6.66</v>
      </c>
      <c r="AE99" s="90">
        <v>0.5</v>
      </c>
      <c r="AF99" s="90">
        <v>50</v>
      </c>
      <c r="AG99" s="90"/>
      <c r="AH99" s="90"/>
      <c r="AI99" s="90" t="s">
        <v>1534</v>
      </c>
      <c r="AJ99" s="90">
        <v>300</v>
      </c>
      <c r="AK99" s="90">
        <v>420</v>
      </c>
      <c r="AL99" s="90">
        <v>10.5</v>
      </c>
    </row>
    <row r="100" spans="1:38" ht="15" thickBot="1" x14ac:dyDescent="0.35">
      <c r="A100" s="118" t="s">
        <v>1580</v>
      </c>
      <c r="B100" s="90" t="s">
        <v>2836</v>
      </c>
      <c r="C100" s="114" t="s">
        <v>2835</v>
      </c>
      <c r="D100" s="120"/>
      <c r="E100" s="120"/>
      <c r="F100" s="90" t="s">
        <v>1091</v>
      </c>
      <c r="G100" s="90"/>
      <c r="H100" s="90"/>
      <c r="I100" s="90" t="s">
        <v>964</v>
      </c>
      <c r="J100" s="90"/>
      <c r="K100" s="90"/>
      <c r="L100" s="90" t="s">
        <v>1548</v>
      </c>
      <c r="M100" s="90"/>
      <c r="N100" s="90">
        <v>0.1</v>
      </c>
      <c r="O100" s="90"/>
      <c r="P100" s="90"/>
      <c r="Q100" s="90">
        <v>0.57999999999999996</v>
      </c>
      <c r="R100" s="90"/>
      <c r="S100" s="90"/>
      <c r="T100" s="90">
        <v>0.32</v>
      </c>
      <c r="U100" s="90"/>
      <c r="V100" s="90" t="s">
        <v>1407</v>
      </c>
      <c r="W100" s="90">
        <v>873</v>
      </c>
      <c r="X100" s="90">
        <v>12</v>
      </c>
      <c r="Y100" s="90"/>
      <c r="Z100" s="90"/>
      <c r="AA100" s="90"/>
      <c r="AB100" s="90" t="s">
        <v>518</v>
      </c>
      <c r="AC100" s="90">
        <v>1.8</v>
      </c>
      <c r="AD100" s="90">
        <v>5.1100000000000003</v>
      </c>
      <c r="AE100" s="90">
        <v>0.5</v>
      </c>
      <c r="AF100" s="90">
        <v>50</v>
      </c>
      <c r="AG100" s="90"/>
      <c r="AH100" s="90"/>
      <c r="AI100" s="90" t="s">
        <v>1534</v>
      </c>
      <c r="AJ100" s="90">
        <v>300</v>
      </c>
      <c r="AK100" s="90">
        <v>420</v>
      </c>
      <c r="AL100" s="90">
        <v>17.625</v>
      </c>
    </row>
    <row r="101" spans="1:38" ht="15" thickBot="1" x14ac:dyDescent="0.35">
      <c r="A101" s="118" t="s">
        <v>1580</v>
      </c>
      <c r="B101" s="90" t="s">
        <v>2836</v>
      </c>
      <c r="C101" s="114" t="s">
        <v>2835</v>
      </c>
      <c r="D101" s="120"/>
      <c r="E101" s="120"/>
      <c r="F101" s="90" t="s">
        <v>1091</v>
      </c>
      <c r="G101" s="90"/>
      <c r="H101" s="90"/>
      <c r="I101" s="90" t="s">
        <v>964</v>
      </c>
      <c r="J101" s="90"/>
      <c r="K101" s="90"/>
      <c r="L101" s="90" t="s">
        <v>1548</v>
      </c>
      <c r="M101" s="90"/>
      <c r="N101" s="90">
        <v>0.1</v>
      </c>
      <c r="O101" s="90"/>
      <c r="P101" s="90"/>
      <c r="Q101" s="90">
        <v>0.57999999999999996</v>
      </c>
      <c r="R101" s="90"/>
      <c r="S101" s="90"/>
      <c r="T101" s="90">
        <v>0.32</v>
      </c>
      <c r="U101" s="90"/>
      <c r="V101" s="90" t="s">
        <v>1407</v>
      </c>
      <c r="W101" s="90">
        <v>973</v>
      </c>
      <c r="X101" s="90">
        <v>12</v>
      </c>
      <c r="Y101" s="90"/>
      <c r="Z101" s="90"/>
      <c r="AA101" s="90"/>
      <c r="AB101" s="90" t="s">
        <v>518</v>
      </c>
      <c r="AC101" s="90">
        <v>1.82</v>
      </c>
      <c r="AD101" s="90">
        <v>3.79</v>
      </c>
      <c r="AE101" s="90">
        <v>0.5</v>
      </c>
      <c r="AF101" s="90">
        <v>50</v>
      </c>
      <c r="AG101" s="90"/>
      <c r="AH101" s="90"/>
      <c r="AI101" s="90" t="s">
        <v>1534</v>
      </c>
      <c r="AJ101" s="90">
        <v>300</v>
      </c>
      <c r="AK101" s="90">
        <v>420</v>
      </c>
      <c r="AL101" s="90">
        <v>15</v>
      </c>
    </row>
    <row r="102" spans="1:38" ht="15" thickBot="1" x14ac:dyDescent="0.35">
      <c r="A102" s="118" t="s">
        <v>1580</v>
      </c>
      <c r="B102" s="90" t="s">
        <v>2836</v>
      </c>
      <c r="C102" s="114" t="s">
        <v>2835</v>
      </c>
      <c r="D102" s="120"/>
      <c r="E102" s="120"/>
      <c r="F102" s="90" t="s">
        <v>1091</v>
      </c>
      <c r="G102" s="90"/>
      <c r="H102" s="90"/>
      <c r="I102" s="90" t="s">
        <v>964</v>
      </c>
      <c r="J102" s="90"/>
      <c r="K102" s="90"/>
      <c r="L102" s="90" t="s">
        <v>1548</v>
      </c>
      <c r="M102" s="90"/>
      <c r="N102" s="90">
        <v>0.1</v>
      </c>
      <c r="O102" s="90"/>
      <c r="P102" s="90"/>
      <c r="Q102" s="90">
        <v>0.57999999999999996</v>
      </c>
      <c r="R102" s="90"/>
      <c r="S102" s="90"/>
      <c r="T102" s="90">
        <v>0.32</v>
      </c>
      <c r="U102" s="90"/>
      <c r="V102" s="90" t="s">
        <v>1407</v>
      </c>
      <c r="W102" s="90">
        <v>1073</v>
      </c>
      <c r="X102" s="90">
        <v>12</v>
      </c>
      <c r="Y102" s="90"/>
      <c r="Z102" s="90"/>
      <c r="AA102" s="90"/>
      <c r="AB102" s="90" t="s">
        <v>518</v>
      </c>
      <c r="AC102" s="90">
        <v>1.83</v>
      </c>
      <c r="AD102" s="90">
        <v>3.26</v>
      </c>
      <c r="AE102" s="90">
        <v>0.5</v>
      </c>
      <c r="AF102" s="90">
        <v>50</v>
      </c>
      <c r="AG102" s="90"/>
      <c r="AH102" s="90"/>
      <c r="AI102" s="90" t="s">
        <v>1534</v>
      </c>
      <c r="AJ102" s="90">
        <v>300</v>
      </c>
      <c r="AK102" s="90">
        <v>420</v>
      </c>
      <c r="AL102" s="90">
        <v>13.75</v>
      </c>
    </row>
    <row r="103" spans="1:38" ht="15" thickBot="1" x14ac:dyDescent="0.35">
      <c r="A103" s="118" t="s">
        <v>1580</v>
      </c>
      <c r="B103" s="90" t="s">
        <v>2836</v>
      </c>
      <c r="C103" s="114" t="s">
        <v>2835</v>
      </c>
      <c r="D103" s="120"/>
      <c r="E103" s="120"/>
      <c r="F103" s="90" t="s">
        <v>1091</v>
      </c>
      <c r="G103" s="90"/>
      <c r="H103" s="90"/>
      <c r="I103" s="90" t="s">
        <v>964</v>
      </c>
      <c r="J103" s="90"/>
      <c r="K103" s="90"/>
      <c r="L103" s="90" t="s">
        <v>1548</v>
      </c>
      <c r="M103" s="90"/>
      <c r="N103" s="90">
        <v>0.1</v>
      </c>
      <c r="O103" s="90"/>
      <c r="P103" s="90"/>
      <c r="Q103" s="90">
        <v>0.57999999999999996</v>
      </c>
      <c r="R103" s="90"/>
      <c r="S103" s="90"/>
      <c r="T103" s="90">
        <v>0.32</v>
      </c>
      <c r="U103" s="90"/>
      <c r="V103" s="90" t="s">
        <v>1407</v>
      </c>
      <c r="W103" s="90">
        <v>1173</v>
      </c>
      <c r="X103" s="90">
        <v>12</v>
      </c>
      <c r="Y103" s="90"/>
      <c r="Z103" s="90"/>
      <c r="AA103" s="90"/>
      <c r="AB103" s="90" t="s">
        <v>518</v>
      </c>
      <c r="AC103" s="90">
        <v>1.84</v>
      </c>
      <c r="AD103" s="90">
        <v>2.74</v>
      </c>
      <c r="AE103" s="90">
        <v>0.5</v>
      </c>
      <c r="AF103" s="90">
        <v>50</v>
      </c>
      <c r="AG103" s="90"/>
      <c r="AH103" s="90"/>
      <c r="AI103" s="90" t="s">
        <v>1534</v>
      </c>
      <c r="AJ103" s="90">
        <v>300</v>
      </c>
      <c r="AK103" s="90">
        <v>420</v>
      </c>
      <c r="AL103" s="90">
        <v>4.75</v>
      </c>
    </row>
    <row r="104" spans="1:38" ht="15" thickBot="1" x14ac:dyDescent="0.35">
      <c r="A104" s="118" t="s">
        <v>1580</v>
      </c>
      <c r="B104" s="90" t="s">
        <v>2836</v>
      </c>
      <c r="C104" s="114" t="s">
        <v>2835</v>
      </c>
      <c r="D104" s="120"/>
      <c r="E104" s="120"/>
      <c r="F104" s="90" t="s">
        <v>1091</v>
      </c>
      <c r="G104" s="90"/>
      <c r="H104" s="90"/>
      <c r="I104" s="90" t="s">
        <v>964</v>
      </c>
      <c r="J104" s="90"/>
      <c r="K104" s="90"/>
      <c r="L104" s="90" t="s">
        <v>1548</v>
      </c>
      <c r="M104" s="90"/>
      <c r="N104" s="90">
        <v>0.1</v>
      </c>
      <c r="O104" s="90"/>
      <c r="P104" s="90"/>
      <c r="Q104" s="90">
        <v>0.57999999999999996</v>
      </c>
      <c r="R104" s="90"/>
      <c r="S104" s="90"/>
      <c r="T104" s="90">
        <v>0.32</v>
      </c>
      <c r="U104" s="90"/>
      <c r="V104" s="90" t="s">
        <v>1407</v>
      </c>
      <c r="W104" s="90">
        <v>873</v>
      </c>
      <c r="X104" s="90">
        <v>1</v>
      </c>
      <c r="Y104" s="90"/>
      <c r="Z104" s="90"/>
      <c r="AA104" s="90"/>
      <c r="AB104" s="90" t="s">
        <v>518</v>
      </c>
      <c r="AC104" s="90">
        <v>1.74</v>
      </c>
      <c r="AD104" s="90">
        <v>8.06</v>
      </c>
      <c r="AE104" s="90">
        <v>0.5</v>
      </c>
      <c r="AF104" s="90">
        <v>50</v>
      </c>
      <c r="AG104" s="90"/>
      <c r="AH104" s="90"/>
      <c r="AI104" s="90" t="s">
        <v>1534</v>
      </c>
      <c r="AJ104" s="90">
        <v>300</v>
      </c>
      <c r="AK104" s="90">
        <v>420</v>
      </c>
      <c r="AL104" s="90">
        <v>13.5</v>
      </c>
    </row>
    <row r="105" spans="1:38" ht="15" thickBot="1" x14ac:dyDescent="0.35">
      <c r="A105" s="118" t="s">
        <v>1580</v>
      </c>
      <c r="B105" s="90" t="s">
        <v>2836</v>
      </c>
      <c r="C105" s="114" t="s">
        <v>2835</v>
      </c>
      <c r="D105" s="120"/>
      <c r="E105" s="120"/>
      <c r="F105" s="90" t="s">
        <v>1091</v>
      </c>
      <c r="G105" s="90"/>
      <c r="H105" s="90"/>
      <c r="I105" s="90" t="s">
        <v>964</v>
      </c>
      <c r="J105" s="90"/>
      <c r="K105" s="90"/>
      <c r="L105" s="90" t="s">
        <v>1548</v>
      </c>
      <c r="M105" s="90"/>
      <c r="N105" s="90">
        <v>0.1</v>
      </c>
      <c r="O105" s="90"/>
      <c r="P105" s="90"/>
      <c r="Q105" s="90">
        <v>0.57999999999999996</v>
      </c>
      <c r="R105" s="90"/>
      <c r="S105" s="90"/>
      <c r="T105" s="90">
        <v>0.32</v>
      </c>
      <c r="U105" s="90"/>
      <c r="V105" s="90" t="s">
        <v>1407</v>
      </c>
      <c r="W105" s="90">
        <v>873</v>
      </c>
      <c r="X105" s="90">
        <v>3</v>
      </c>
      <c r="Y105" s="90"/>
      <c r="Z105" s="90"/>
      <c r="AA105" s="90"/>
      <c r="AB105" s="90" t="s">
        <v>518</v>
      </c>
      <c r="AC105" s="90">
        <v>1.76</v>
      </c>
      <c r="AD105" s="90">
        <v>6.64</v>
      </c>
      <c r="AE105" s="90">
        <v>0.5</v>
      </c>
      <c r="AF105" s="90">
        <v>50</v>
      </c>
      <c r="AG105" s="90"/>
      <c r="AH105" s="90"/>
      <c r="AI105" s="90" t="s">
        <v>1534</v>
      </c>
      <c r="AJ105" s="90">
        <v>300</v>
      </c>
      <c r="AK105" s="90">
        <v>420</v>
      </c>
      <c r="AL105" s="90">
        <v>31.125</v>
      </c>
    </row>
    <row r="106" spans="1:38" ht="15" thickBot="1" x14ac:dyDescent="0.35">
      <c r="A106" s="118" t="s">
        <v>1580</v>
      </c>
      <c r="B106" s="90" t="s">
        <v>2836</v>
      </c>
      <c r="C106" s="114" t="s">
        <v>2835</v>
      </c>
      <c r="D106" s="120"/>
      <c r="E106" s="120"/>
      <c r="F106" s="90" t="s">
        <v>1091</v>
      </c>
      <c r="G106" s="90"/>
      <c r="H106" s="90"/>
      <c r="I106" s="90" t="s">
        <v>964</v>
      </c>
      <c r="J106" s="90"/>
      <c r="K106" s="90"/>
      <c r="L106" s="90" t="s">
        <v>1548</v>
      </c>
      <c r="M106" s="90"/>
      <c r="N106" s="90">
        <v>0.1</v>
      </c>
      <c r="O106" s="90"/>
      <c r="P106" s="90"/>
      <c r="Q106" s="90">
        <v>0.57999999999999996</v>
      </c>
      <c r="R106" s="90"/>
      <c r="S106" s="90"/>
      <c r="T106" s="90">
        <v>0.32</v>
      </c>
      <c r="U106" s="90"/>
      <c r="V106" s="90" t="s">
        <v>1407</v>
      </c>
      <c r="W106" s="90">
        <v>873</v>
      </c>
      <c r="X106" s="90">
        <v>6</v>
      </c>
      <c r="Y106" s="90"/>
      <c r="Z106" s="90"/>
      <c r="AA106" s="90"/>
      <c r="AB106" s="90" t="s">
        <v>518</v>
      </c>
      <c r="AC106" s="90">
        <v>1.78</v>
      </c>
      <c r="AD106" s="90">
        <v>6.17</v>
      </c>
      <c r="AE106" s="90">
        <v>0.5</v>
      </c>
      <c r="AF106" s="90">
        <v>50</v>
      </c>
      <c r="AG106" s="90"/>
      <c r="AH106" s="90"/>
      <c r="AI106" s="90" t="s">
        <v>1534</v>
      </c>
      <c r="AJ106" s="90">
        <v>300</v>
      </c>
      <c r="AK106" s="90">
        <v>420</v>
      </c>
      <c r="AL106" s="90">
        <v>25.25</v>
      </c>
    </row>
    <row r="107" spans="1:38" ht="15" thickBot="1" x14ac:dyDescent="0.35">
      <c r="A107" s="118" t="s">
        <v>1580</v>
      </c>
      <c r="B107" s="90" t="s">
        <v>2836</v>
      </c>
      <c r="C107" s="114" t="s">
        <v>2835</v>
      </c>
      <c r="D107" s="120"/>
      <c r="E107" s="120"/>
      <c r="F107" s="90" t="s">
        <v>1091</v>
      </c>
      <c r="G107" s="90"/>
      <c r="H107" s="90"/>
      <c r="I107" s="90" t="s">
        <v>964</v>
      </c>
      <c r="J107" s="90"/>
      <c r="K107" s="90"/>
      <c r="L107" s="90" t="s">
        <v>1548</v>
      </c>
      <c r="M107" s="90"/>
      <c r="N107" s="90">
        <v>0.1</v>
      </c>
      <c r="O107" s="90"/>
      <c r="P107" s="90"/>
      <c r="Q107" s="90">
        <v>0.57999999999999996</v>
      </c>
      <c r="R107" s="90"/>
      <c r="S107" s="90"/>
      <c r="T107" s="90">
        <v>0.32</v>
      </c>
      <c r="U107" s="90"/>
      <c r="V107" s="90" t="s">
        <v>1407</v>
      </c>
      <c r="W107" s="90">
        <v>873</v>
      </c>
      <c r="X107" s="90">
        <v>9</v>
      </c>
      <c r="Y107" s="90"/>
      <c r="Z107" s="90"/>
      <c r="AA107" s="90"/>
      <c r="AB107" s="90" t="s">
        <v>518</v>
      </c>
      <c r="AC107" s="90">
        <v>1.78</v>
      </c>
      <c r="AD107" s="90">
        <v>5.61</v>
      </c>
      <c r="AE107" s="90">
        <v>0.5</v>
      </c>
      <c r="AF107" s="90">
        <v>50</v>
      </c>
      <c r="AG107" s="90"/>
      <c r="AH107" s="90"/>
      <c r="AI107" s="90" t="s">
        <v>1534</v>
      </c>
      <c r="AJ107" s="90">
        <v>300</v>
      </c>
      <c r="AK107" s="90">
        <v>420</v>
      </c>
      <c r="AL107" s="90">
        <v>21.875</v>
      </c>
    </row>
    <row r="108" spans="1:38" ht="15" thickBot="1" x14ac:dyDescent="0.35">
      <c r="A108" s="118" t="s">
        <v>1581</v>
      </c>
      <c r="B108" s="114" t="s">
        <v>2839</v>
      </c>
      <c r="C108" s="114" t="s">
        <v>2837</v>
      </c>
      <c r="D108" s="120"/>
      <c r="E108" s="120"/>
      <c r="F108" s="90" t="s">
        <v>1543</v>
      </c>
      <c r="G108" s="90"/>
      <c r="H108" s="90"/>
      <c r="I108" s="90" t="s">
        <v>1068</v>
      </c>
      <c r="J108" s="90"/>
      <c r="K108" s="90"/>
      <c r="L108" s="90" t="s">
        <v>1531</v>
      </c>
      <c r="M108" s="90"/>
      <c r="N108" s="90">
        <v>0.44</v>
      </c>
      <c r="O108" s="90"/>
      <c r="P108" s="90"/>
      <c r="Q108" s="90">
        <v>0.33</v>
      </c>
      <c r="R108" s="90"/>
      <c r="S108" s="90"/>
      <c r="T108" s="90">
        <v>0.23</v>
      </c>
      <c r="U108" s="90"/>
      <c r="V108" s="90" t="s">
        <v>1407</v>
      </c>
      <c r="W108" s="90">
        <v>1173</v>
      </c>
      <c r="X108" s="90">
        <v>2</v>
      </c>
      <c r="Y108" s="90"/>
      <c r="Z108" s="90"/>
      <c r="AA108" s="90"/>
      <c r="AB108" s="90" t="s">
        <v>1142</v>
      </c>
      <c r="AC108" s="90">
        <v>3.12</v>
      </c>
      <c r="AD108" s="90">
        <v>1.7</v>
      </c>
      <c r="AE108" s="90">
        <v>0.83299999999999996</v>
      </c>
      <c r="AF108" s="90">
        <v>0</v>
      </c>
      <c r="AG108" s="90"/>
      <c r="AH108" s="90"/>
      <c r="AI108" s="90" t="s">
        <v>1552</v>
      </c>
      <c r="AJ108" s="90">
        <v>450</v>
      </c>
      <c r="AK108" s="90">
        <v>365</v>
      </c>
      <c r="AL108" s="90">
        <v>4.5</v>
      </c>
    </row>
    <row r="109" spans="1:38" ht="15" thickBot="1" x14ac:dyDescent="0.35">
      <c r="A109" s="118" t="s">
        <v>1581</v>
      </c>
      <c r="B109" s="114" t="s">
        <v>2839</v>
      </c>
      <c r="C109" s="114" t="s">
        <v>2837</v>
      </c>
      <c r="D109" s="120"/>
      <c r="E109" s="120"/>
      <c r="F109" s="90" t="s">
        <v>1543</v>
      </c>
      <c r="G109" s="90"/>
      <c r="H109" s="90"/>
      <c r="I109" s="90" t="s">
        <v>1068</v>
      </c>
      <c r="J109" s="90"/>
      <c r="K109" s="90"/>
      <c r="L109" s="90" t="s">
        <v>1531</v>
      </c>
      <c r="M109" s="90"/>
      <c r="N109" s="90">
        <v>0.44</v>
      </c>
      <c r="O109" s="90"/>
      <c r="P109" s="90"/>
      <c r="Q109" s="90">
        <v>0.33</v>
      </c>
      <c r="R109" s="90"/>
      <c r="S109" s="90"/>
      <c r="T109" s="90">
        <v>0.23</v>
      </c>
      <c r="U109" s="90"/>
      <c r="V109" s="90" t="s">
        <v>1264</v>
      </c>
      <c r="W109" s="90">
        <v>1173</v>
      </c>
      <c r="X109" s="90">
        <v>2</v>
      </c>
      <c r="Y109" s="90"/>
      <c r="Z109" s="90"/>
      <c r="AA109" s="90"/>
      <c r="AB109" s="90" t="s">
        <v>1142</v>
      </c>
      <c r="AC109" s="90">
        <v>3.12</v>
      </c>
      <c r="AD109" s="90">
        <v>1.7</v>
      </c>
      <c r="AE109" s="90">
        <v>0.83299999999999996</v>
      </c>
      <c r="AF109" s="90">
        <v>0</v>
      </c>
      <c r="AG109" s="90"/>
      <c r="AH109" s="90"/>
      <c r="AI109" s="90" t="s">
        <v>1552</v>
      </c>
      <c r="AJ109" s="90">
        <v>450</v>
      </c>
      <c r="AK109" s="90">
        <v>365</v>
      </c>
      <c r="AL109" s="90">
        <v>5</v>
      </c>
    </row>
    <row r="110" spans="1:38" ht="15" thickBot="1" x14ac:dyDescent="0.35">
      <c r="A110" s="118" t="s">
        <v>1581</v>
      </c>
      <c r="B110" s="114" t="s">
        <v>2839</v>
      </c>
      <c r="C110" s="114" t="s">
        <v>2838</v>
      </c>
      <c r="D110" s="120"/>
      <c r="E110" s="120"/>
      <c r="F110" s="90" t="s">
        <v>1543</v>
      </c>
      <c r="G110" s="90"/>
      <c r="H110" s="90"/>
      <c r="I110" s="90" t="s">
        <v>1558</v>
      </c>
      <c r="J110" s="90"/>
      <c r="K110" s="90"/>
      <c r="L110" s="90" t="s">
        <v>1531</v>
      </c>
      <c r="M110" s="90"/>
      <c r="N110" s="90">
        <v>0.43</v>
      </c>
      <c r="O110" s="90"/>
      <c r="P110" s="90"/>
      <c r="Q110" s="90">
        <v>0.49</v>
      </c>
      <c r="R110" s="90"/>
      <c r="S110" s="90"/>
      <c r="T110" s="90">
        <v>0.18</v>
      </c>
      <c r="U110" s="90"/>
      <c r="V110" s="90" t="s">
        <v>1264</v>
      </c>
      <c r="W110" s="90">
        <v>1173</v>
      </c>
      <c r="X110" s="90">
        <v>2</v>
      </c>
      <c r="Y110" s="90"/>
      <c r="Z110" s="90"/>
      <c r="AA110" s="90"/>
      <c r="AB110" s="90" t="s">
        <v>1142</v>
      </c>
      <c r="AC110" s="90">
        <v>3.72</v>
      </c>
      <c r="AD110" s="90">
        <v>1.5</v>
      </c>
      <c r="AE110" s="90">
        <v>0.83299999999999996</v>
      </c>
      <c r="AF110" s="90">
        <v>0</v>
      </c>
      <c r="AG110" s="90"/>
      <c r="AH110" s="90"/>
      <c r="AI110" s="90" t="s">
        <v>1552</v>
      </c>
      <c r="AJ110" s="90">
        <v>450</v>
      </c>
      <c r="AK110" s="90">
        <v>365</v>
      </c>
      <c r="AL110" s="90">
        <v>10</v>
      </c>
    </row>
    <row r="111" spans="1:38" ht="15" thickBot="1" x14ac:dyDescent="0.35">
      <c r="A111" s="118" t="s">
        <v>1581</v>
      </c>
      <c r="B111" s="114" t="s">
        <v>2839</v>
      </c>
      <c r="C111" s="114" t="s">
        <v>2838</v>
      </c>
      <c r="D111" s="120"/>
      <c r="E111" s="120"/>
      <c r="F111" s="90" t="s">
        <v>1543</v>
      </c>
      <c r="G111" s="90"/>
      <c r="H111" s="90"/>
      <c r="I111" s="90" t="s">
        <v>1558</v>
      </c>
      <c r="J111" s="90"/>
      <c r="K111" s="90"/>
      <c r="L111" s="90" t="s">
        <v>1531</v>
      </c>
      <c r="M111" s="90"/>
      <c r="N111" s="90">
        <v>0.43</v>
      </c>
      <c r="O111" s="90"/>
      <c r="P111" s="90"/>
      <c r="Q111" s="90">
        <v>0.49</v>
      </c>
      <c r="R111" s="90"/>
      <c r="S111" s="90"/>
      <c r="T111" s="90">
        <v>0.18</v>
      </c>
      <c r="U111" s="90"/>
      <c r="V111" s="90" t="s">
        <v>1264</v>
      </c>
      <c r="W111" s="90">
        <v>1173</v>
      </c>
      <c r="X111" s="90">
        <v>2</v>
      </c>
      <c r="Y111" s="90"/>
      <c r="Z111" s="90"/>
      <c r="AA111" s="90"/>
      <c r="AB111" s="90" t="s">
        <v>1142</v>
      </c>
      <c r="AC111" s="90">
        <v>3.72</v>
      </c>
      <c r="AD111" s="90">
        <v>1.5</v>
      </c>
      <c r="AE111" s="90">
        <v>0.83299999999999996</v>
      </c>
      <c r="AF111" s="90">
        <v>0</v>
      </c>
      <c r="AG111" s="90"/>
      <c r="AH111" s="90"/>
      <c r="AI111" s="90" t="s">
        <v>1552</v>
      </c>
      <c r="AJ111" s="90">
        <v>450</v>
      </c>
      <c r="AK111" s="90">
        <v>365</v>
      </c>
      <c r="AL111" s="90">
        <v>9.5</v>
      </c>
    </row>
    <row r="112" spans="1:38" ht="15" thickBot="1" x14ac:dyDescent="0.35">
      <c r="A112" s="118" t="s">
        <v>1581</v>
      </c>
      <c r="B112" s="114" t="s">
        <v>2839</v>
      </c>
      <c r="C112" s="114" t="s">
        <v>2837</v>
      </c>
      <c r="D112" s="120"/>
      <c r="E112" s="120"/>
      <c r="F112" s="90" t="s">
        <v>1543</v>
      </c>
      <c r="G112" s="90"/>
      <c r="H112" s="90"/>
      <c r="I112" s="90" t="s">
        <v>1068</v>
      </c>
      <c r="J112" s="90"/>
      <c r="K112" s="90"/>
      <c r="L112" s="90" t="s">
        <v>1531</v>
      </c>
      <c r="M112" s="90"/>
      <c r="N112" s="90">
        <v>0.44</v>
      </c>
      <c r="O112" s="90"/>
      <c r="P112" s="90"/>
      <c r="Q112" s="90">
        <v>0.33</v>
      </c>
      <c r="R112" s="90"/>
      <c r="S112" s="90"/>
      <c r="T112" s="90">
        <v>0.23</v>
      </c>
      <c r="U112" s="90"/>
      <c r="V112" s="90" t="s">
        <v>1264</v>
      </c>
      <c r="W112" s="90">
        <v>1173</v>
      </c>
      <c r="X112" s="90">
        <v>2</v>
      </c>
      <c r="Y112" s="90" t="s">
        <v>1533</v>
      </c>
      <c r="Z112" s="90" t="s">
        <v>1313</v>
      </c>
      <c r="AA112" s="90">
        <v>1</v>
      </c>
      <c r="AB112" s="90" t="s">
        <v>1142</v>
      </c>
      <c r="AC112" s="90">
        <v>3.12</v>
      </c>
      <c r="AD112" s="90">
        <v>1.7</v>
      </c>
      <c r="AE112" s="90">
        <v>0.83299999999999996</v>
      </c>
      <c r="AF112" s="90">
        <v>0</v>
      </c>
      <c r="AG112" s="90"/>
      <c r="AH112" s="90"/>
      <c r="AI112" s="90" t="s">
        <v>1552</v>
      </c>
      <c r="AJ112" s="90">
        <v>450</v>
      </c>
      <c r="AK112" s="90">
        <v>365</v>
      </c>
      <c r="AL112" s="90">
        <v>61.5</v>
      </c>
    </row>
    <row r="113" spans="1:38" ht="15" thickBot="1" x14ac:dyDescent="0.35">
      <c r="A113" s="118" t="s">
        <v>1581</v>
      </c>
      <c r="B113" s="114" t="s">
        <v>2839</v>
      </c>
      <c r="C113" s="114" t="s">
        <v>2838</v>
      </c>
      <c r="D113" s="120"/>
      <c r="E113" s="120"/>
      <c r="F113" s="90" t="s">
        <v>1543</v>
      </c>
      <c r="G113" s="90"/>
      <c r="H113" s="90"/>
      <c r="I113" s="90" t="s">
        <v>1558</v>
      </c>
      <c r="J113" s="90"/>
      <c r="K113" s="90"/>
      <c r="L113" s="90" t="s">
        <v>1531</v>
      </c>
      <c r="M113" s="90"/>
      <c r="N113" s="90">
        <v>0.43</v>
      </c>
      <c r="O113" s="90"/>
      <c r="P113" s="90"/>
      <c r="Q113" s="90">
        <v>0.49</v>
      </c>
      <c r="R113" s="90"/>
      <c r="S113" s="90"/>
      <c r="T113" s="90">
        <v>0.18</v>
      </c>
      <c r="U113" s="90"/>
      <c r="V113" s="90" t="s">
        <v>1264</v>
      </c>
      <c r="W113" s="90">
        <v>1173</v>
      </c>
      <c r="X113" s="90">
        <v>2</v>
      </c>
      <c r="Y113" s="90" t="s">
        <v>1533</v>
      </c>
      <c r="Z113" s="90" t="s">
        <v>1313</v>
      </c>
      <c r="AA113" s="90">
        <v>1</v>
      </c>
      <c r="AB113" s="90" t="s">
        <v>1142</v>
      </c>
      <c r="AC113" s="90">
        <v>3.72</v>
      </c>
      <c r="AD113" s="90">
        <v>1.5</v>
      </c>
      <c r="AE113" s="90">
        <v>0.83299999999999996</v>
      </c>
      <c r="AF113" s="90">
        <v>0</v>
      </c>
      <c r="AG113" s="90"/>
      <c r="AH113" s="90"/>
      <c r="AI113" s="90" t="s">
        <v>1552</v>
      </c>
      <c r="AJ113" s="90">
        <v>450</v>
      </c>
      <c r="AK113" s="90">
        <v>365</v>
      </c>
      <c r="AL113" s="90">
        <v>146</v>
      </c>
    </row>
    <row r="114" spans="1:38" ht="15" thickBot="1" x14ac:dyDescent="0.35">
      <c r="A114" s="118" t="s">
        <v>1582</v>
      </c>
      <c r="B114" s="114" t="s">
        <v>122</v>
      </c>
      <c r="C114" s="114" t="s">
        <v>118</v>
      </c>
      <c r="D114" s="120"/>
      <c r="E114" s="120"/>
      <c r="F114" s="90" t="s">
        <v>1557</v>
      </c>
      <c r="G114" s="90" t="s">
        <v>1088</v>
      </c>
      <c r="H114" s="90"/>
      <c r="I114" s="90" t="s">
        <v>1558</v>
      </c>
      <c r="J114" s="90" t="s">
        <v>1583</v>
      </c>
      <c r="K114" s="90"/>
      <c r="L114" s="90" t="s">
        <v>1531</v>
      </c>
      <c r="M114" s="90"/>
      <c r="N114" s="90">
        <v>0.02</v>
      </c>
      <c r="O114" s="90">
        <v>7.0000000000000007E-2</v>
      </c>
      <c r="P114" s="90"/>
      <c r="Q114" s="90">
        <v>0.36</v>
      </c>
      <c r="R114" s="90">
        <v>0.41</v>
      </c>
      <c r="S114" s="90"/>
      <c r="T114" s="90">
        <v>0.14000000000000001</v>
      </c>
      <c r="U114" s="90"/>
      <c r="V114" s="90" t="s">
        <v>1264</v>
      </c>
      <c r="W114" s="90">
        <v>1173</v>
      </c>
      <c r="X114" s="90">
        <v>6</v>
      </c>
      <c r="Y114" s="90"/>
      <c r="Z114" s="90"/>
      <c r="AA114" s="90"/>
      <c r="AB114" s="90" t="s">
        <v>1142</v>
      </c>
      <c r="AC114" s="90">
        <v>3.44</v>
      </c>
      <c r="AD114" s="90">
        <v>1.3</v>
      </c>
      <c r="AE114" s="90">
        <v>3.07</v>
      </c>
      <c r="AF114" s="90">
        <v>0</v>
      </c>
      <c r="AG114" s="90"/>
      <c r="AH114" s="90"/>
      <c r="AI114" s="90" t="s">
        <v>1552</v>
      </c>
      <c r="AJ114" s="90">
        <v>300</v>
      </c>
      <c r="AK114" s="90">
        <v>365</v>
      </c>
      <c r="AL114" s="90">
        <v>2635</v>
      </c>
    </row>
    <row r="115" spans="1:38" ht="15" thickBot="1" x14ac:dyDescent="0.35">
      <c r="A115" s="89" t="s">
        <v>1584</v>
      </c>
      <c r="B115" s="114"/>
      <c r="C115" s="114"/>
      <c r="D115" s="120"/>
      <c r="E115" s="120"/>
      <c r="F115" s="90" t="s">
        <v>1583</v>
      </c>
      <c r="G115" s="90" t="s">
        <v>1578</v>
      </c>
      <c r="H115" s="90"/>
      <c r="I115" s="90" t="s">
        <v>1530</v>
      </c>
      <c r="J115" s="90"/>
      <c r="K115" s="90"/>
      <c r="L115" s="90" t="s">
        <v>1531</v>
      </c>
      <c r="M115" s="90">
        <f>N115/209</f>
        <v>2.3444976076555024E-3</v>
      </c>
      <c r="N115" s="90">
        <v>0.49</v>
      </c>
      <c r="O115" s="90">
        <v>0.05</v>
      </c>
      <c r="P115" s="90">
        <f>O115/23</f>
        <v>2.1739130434782609E-3</v>
      </c>
      <c r="Q115" s="90">
        <v>0.23</v>
      </c>
      <c r="R115" s="90">
        <f>Q115/44</f>
        <v>5.2272727272727271E-3</v>
      </c>
      <c r="S115" s="90"/>
      <c r="T115" s="90">
        <v>0.23</v>
      </c>
      <c r="U115" s="90">
        <f>T115/16</f>
        <v>1.4375000000000001E-2</v>
      </c>
      <c r="V115" s="90" t="s">
        <v>1264</v>
      </c>
      <c r="W115" s="90"/>
      <c r="X115" s="90"/>
      <c r="Y115" s="90" t="s">
        <v>1268</v>
      </c>
      <c r="Z115" s="90" t="s">
        <v>863</v>
      </c>
      <c r="AA115" s="90">
        <v>0.5</v>
      </c>
      <c r="AB115" s="90" t="s">
        <v>1539</v>
      </c>
      <c r="AC115" s="90">
        <v>2.92</v>
      </c>
      <c r="AD115" s="90">
        <v>27.3</v>
      </c>
      <c r="AE115" s="90">
        <v>0.625</v>
      </c>
      <c r="AF115" s="90">
        <v>20</v>
      </c>
      <c r="AG115" s="90"/>
      <c r="AH115" s="90"/>
      <c r="AI115" s="90" t="s">
        <v>1534</v>
      </c>
      <c r="AJ115" s="90">
        <v>500</v>
      </c>
      <c r="AK115" s="90">
        <v>346</v>
      </c>
      <c r="AL115" s="90">
        <v>86.4</v>
      </c>
    </row>
    <row r="116" spans="1:38" ht="15" thickBot="1" x14ac:dyDescent="0.35">
      <c r="A116" s="89" t="s">
        <v>1584</v>
      </c>
      <c r="B116" s="114"/>
      <c r="C116" s="114"/>
      <c r="D116" s="120"/>
      <c r="E116" s="120"/>
      <c r="F116" s="90" t="s">
        <v>1583</v>
      </c>
      <c r="G116" s="90" t="s">
        <v>1578</v>
      </c>
      <c r="H116" s="90"/>
      <c r="I116" s="90" t="s">
        <v>1530</v>
      </c>
      <c r="J116" s="90"/>
      <c r="K116" s="90"/>
      <c r="L116" s="90" t="s">
        <v>1531</v>
      </c>
      <c r="M116" s="90">
        <f>M115/$R$115</f>
        <v>0.44851258581235698</v>
      </c>
      <c r="N116" s="90">
        <v>0.49</v>
      </c>
      <c r="O116" s="90">
        <v>0.05</v>
      </c>
      <c r="P116" s="90">
        <f>P115/$R$115</f>
        <v>0.41587901701323254</v>
      </c>
      <c r="Q116" s="90">
        <v>0.23</v>
      </c>
      <c r="R116" s="90">
        <f>R115/$R$115</f>
        <v>1</v>
      </c>
      <c r="S116" s="90"/>
      <c r="T116" s="90">
        <v>0.23</v>
      </c>
      <c r="U116" s="90">
        <f>U115/$R$115</f>
        <v>2.75</v>
      </c>
      <c r="V116" s="90" t="s">
        <v>1264</v>
      </c>
      <c r="W116" s="90"/>
      <c r="X116" s="90"/>
      <c r="Y116" s="90" t="s">
        <v>1268</v>
      </c>
      <c r="Z116" s="90" t="s">
        <v>863</v>
      </c>
      <c r="AA116" s="90">
        <v>1</v>
      </c>
      <c r="AB116" s="90" t="s">
        <v>1539</v>
      </c>
      <c r="AC116" s="90">
        <v>2.92</v>
      </c>
      <c r="AD116" s="90">
        <v>27.3</v>
      </c>
      <c r="AE116" s="90">
        <v>0.625</v>
      </c>
      <c r="AF116" s="90">
        <v>20</v>
      </c>
      <c r="AG116" s="90"/>
      <c r="AH116" s="90"/>
      <c r="AI116" s="90" t="s">
        <v>1534</v>
      </c>
      <c r="AJ116" s="90">
        <v>500</v>
      </c>
      <c r="AK116" s="90">
        <v>346</v>
      </c>
      <c r="AL116" s="90">
        <v>196.4</v>
      </c>
    </row>
    <row r="117" spans="1:38" ht="15" thickBot="1" x14ac:dyDescent="0.35">
      <c r="A117" s="89" t="s">
        <v>1584</v>
      </c>
      <c r="B117" s="114"/>
      <c r="C117" s="114"/>
      <c r="D117" s="120"/>
      <c r="E117" s="120"/>
      <c r="F117" s="90" t="s">
        <v>1583</v>
      </c>
      <c r="G117" s="90" t="s">
        <v>1578</v>
      </c>
      <c r="H117" s="90"/>
      <c r="I117" s="90" t="s">
        <v>1530</v>
      </c>
      <c r="J117" s="90"/>
      <c r="K117" s="90"/>
      <c r="L117" s="90" t="s">
        <v>1531</v>
      </c>
      <c r="M117" s="90">
        <f>M116*4</f>
        <v>1.7940503432494279</v>
      </c>
      <c r="N117" s="90">
        <v>0.49</v>
      </c>
      <c r="O117" s="90">
        <v>0.05</v>
      </c>
      <c r="P117" s="90">
        <f>P116*4</f>
        <v>1.6635160680529302</v>
      </c>
      <c r="Q117" s="90">
        <v>0.23</v>
      </c>
      <c r="R117" s="90">
        <f>R116*4</f>
        <v>4</v>
      </c>
      <c r="S117" s="90"/>
      <c r="T117" s="90">
        <v>0.23</v>
      </c>
      <c r="U117" s="90">
        <f>U116*4</f>
        <v>11</v>
      </c>
      <c r="V117" s="90" t="s">
        <v>1305</v>
      </c>
      <c r="W117" s="90"/>
      <c r="X117" s="90"/>
      <c r="Y117" s="90" t="s">
        <v>1268</v>
      </c>
      <c r="Z117" s="90" t="s">
        <v>863</v>
      </c>
      <c r="AA117" s="90">
        <v>3</v>
      </c>
      <c r="AB117" s="90" t="s">
        <v>1539</v>
      </c>
      <c r="AC117" s="90">
        <v>2.92</v>
      </c>
      <c r="AD117" s="90">
        <v>27.3</v>
      </c>
      <c r="AE117" s="90">
        <v>0.625</v>
      </c>
      <c r="AF117" s="90">
        <v>20</v>
      </c>
      <c r="AG117" s="90"/>
      <c r="AH117" s="90"/>
      <c r="AI117" s="90" t="s">
        <v>1534</v>
      </c>
      <c r="AJ117" s="90">
        <v>500</v>
      </c>
      <c r="AK117" s="90">
        <v>346</v>
      </c>
      <c r="AL117" s="90">
        <v>356</v>
      </c>
    </row>
    <row r="118" spans="1:38" ht="15" thickBot="1" x14ac:dyDescent="0.35">
      <c r="A118" s="89" t="s">
        <v>1584</v>
      </c>
      <c r="B118" s="114"/>
      <c r="C118" s="114"/>
      <c r="D118" s="120"/>
      <c r="E118" s="120"/>
      <c r="F118" s="90" t="s">
        <v>1583</v>
      </c>
      <c r="G118" s="90" t="s">
        <v>1578</v>
      </c>
      <c r="H118" s="90"/>
      <c r="I118" s="90" t="s">
        <v>1530</v>
      </c>
      <c r="J118" s="90"/>
      <c r="K118" s="90"/>
      <c r="L118" s="90" t="s">
        <v>1531</v>
      </c>
      <c r="M118" s="90"/>
      <c r="N118" s="90">
        <v>0.49</v>
      </c>
      <c r="O118" s="90">
        <v>0.05</v>
      </c>
      <c r="P118" s="90"/>
      <c r="Q118" s="90">
        <v>0.23</v>
      </c>
      <c r="R118" s="90"/>
      <c r="S118" s="90"/>
      <c r="T118" s="90">
        <v>0.23</v>
      </c>
      <c r="U118" s="90"/>
      <c r="V118" s="90" t="s">
        <v>1407</v>
      </c>
      <c r="W118" s="90"/>
      <c r="X118" s="90"/>
      <c r="Y118" s="90" t="s">
        <v>1268</v>
      </c>
      <c r="Z118" s="90" t="s">
        <v>863</v>
      </c>
      <c r="AA118" s="90">
        <v>5</v>
      </c>
      <c r="AB118" s="90" t="s">
        <v>1539</v>
      </c>
      <c r="AC118" s="90">
        <v>2.92</v>
      </c>
      <c r="AD118" s="90">
        <v>27.3</v>
      </c>
      <c r="AE118" s="90">
        <v>0.625</v>
      </c>
      <c r="AF118" s="90">
        <v>20</v>
      </c>
      <c r="AG118" s="90"/>
      <c r="AH118" s="90"/>
      <c r="AI118" s="90" t="s">
        <v>1534</v>
      </c>
      <c r="AJ118" s="90">
        <v>500</v>
      </c>
      <c r="AK118" s="90">
        <v>346</v>
      </c>
      <c r="AL118" s="90">
        <v>266</v>
      </c>
    </row>
    <row r="119" spans="1:38" ht="15" thickBot="1" x14ac:dyDescent="0.35">
      <c r="A119" s="89" t="s">
        <v>1584</v>
      </c>
      <c r="B119" s="114"/>
      <c r="C119" s="114"/>
      <c r="D119" s="120"/>
      <c r="E119" s="120"/>
      <c r="F119" s="90" t="s">
        <v>1583</v>
      </c>
      <c r="G119" s="90" t="s">
        <v>1578</v>
      </c>
      <c r="H119" s="90"/>
      <c r="I119" s="90" t="s">
        <v>1530</v>
      </c>
      <c r="J119" s="90"/>
      <c r="K119" s="90"/>
      <c r="L119" s="90" t="s">
        <v>1531</v>
      </c>
      <c r="M119" s="90"/>
      <c r="N119" s="90">
        <v>0.49</v>
      </c>
      <c r="O119" s="90">
        <v>0.05</v>
      </c>
      <c r="P119" s="90"/>
      <c r="Q119" s="90">
        <v>0.23</v>
      </c>
      <c r="R119" s="90"/>
      <c r="S119" s="90"/>
      <c r="T119" s="90">
        <v>0.23</v>
      </c>
      <c r="U119" s="90"/>
      <c r="V119" s="90" t="s">
        <v>1407</v>
      </c>
      <c r="W119" s="90"/>
      <c r="X119" s="90"/>
      <c r="Y119" s="90" t="s">
        <v>1268</v>
      </c>
      <c r="Z119" s="90" t="s">
        <v>863</v>
      </c>
      <c r="AA119" s="90">
        <v>8</v>
      </c>
      <c r="AB119" s="90" t="s">
        <v>1539</v>
      </c>
      <c r="AC119" s="90">
        <v>2.92</v>
      </c>
      <c r="AD119" s="90">
        <v>27.3</v>
      </c>
      <c r="AE119" s="90">
        <v>0.625</v>
      </c>
      <c r="AF119" s="90">
        <v>20</v>
      </c>
      <c r="AG119" s="90"/>
      <c r="AH119" s="90"/>
      <c r="AI119" s="90" t="s">
        <v>1534</v>
      </c>
      <c r="AJ119" s="90">
        <v>500</v>
      </c>
      <c r="AK119" s="90">
        <v>346</v>
      </c>
      <c r="AL119" s="90">
        <v>226</v>
      </c>
    </row>
    <row r="120" spans="1:38" ht="15" thickBot="1" x14ac:dyDescent="0.35">
      <c r="A120" s="118" t="s">
        <v>1585</v>
      </c>
      <c r="B120" s="114" t="s">
        <v>2840</v>
      </c>
      <c r="C120" s="114" t="s">
        <v>28</v>
      </c>
      <c r="D120" s="120"/>
      <c r="E120" s="120"/>
      <c r="F120" s="90" t="s">
        <v>1578</v>
      </c>
      <c r="G120" s="90"/>
      <c r="H120" s="90"/>
      <c r="I120" s="90" t="s">
        <v>1558</v>
      </c>
      <c r="J120" s="90"/>
      <c r="K120" s="90"/>
      <c r="L120" s="90" t="s">
        <v>1531</v>
      </c>
      <c r="M120" s="90"/>
      <c r="N120" s="90">
        <v>0.09</v>
      </c>
      <c r="O120" s="90"/>
      <c r="P120" s="90"/>
      <c r="Q120" s="90">
        <v>0.72</v>
      </c>
      <c r="R120" s="90"/>
      <c r="S120" s="90"/>
      <c r="T120" s="90">
        <v>0.19</v>
      </c>
      <c r="U120" s="90"/>
      <c r="V120" s="90" t="s">
        <v>1407</v>
      </c>
      <c r="W120" s="90">
        <v>1173</v>
      </c>
      <c r="X120" s="90">
        <v>10</v>
      </c>
      <c r="Y120" s="90"/>
      <c r="Z120" s="90"/>
      <c r="AA120" s="90"/>
      <c r="AB120" s="90" t="s">
        <v>518</v>
      </c>
      <c r="AC120" s="90">
        <v>2.64</v>
      </c>
      <c r="AD120" s="90">
        <v>1.22</v>
      </c>
      <c r="AE120" s="90">
        <v>0.5</v>
      </c>
      <c r="AF120" s="90">
        <v>20</v>
      </c>
      <c r="AG120" s="90"/>
      <c r="AH120" s="90"/>
      <c r="AI120" s="90" t="s">
        <v>1534</v>
      </c>
      <c r="AJ120" s="90">
        <v>800</v>
      </c>
      <c r="AK120" s="90">
        <v>390</v>
      </c>
      <c r="AL120" s="90">
        <v>0.08</v>
      </c>
    </row>
    <row r="121" spans="1:38" ht="15" thickBot="1" x14ac:dyDescent="0.35">
      <c r="A121" s="118" t="s">
        <v>1585</v>
      </c>
      <c r="B121" s="114" t="s">
        <v>2840</v>
      </c>
      <c r="C121" s="114" t="s">
        <v>28</v>
      </c>
      <c r="D121" s="120"/>
      <c r="E121" s="120"/>
      <c r="F121" s="90" t="s">
        <v>1578</v>
      </c>
      <c r="G121" s="90"/>
      <c r="H121" s="90"/>
      <c r="I121" s="90" t="s">
        <v>1558</v>
      </c>
      <c r="J121" s="90"/>
      <c r="K121" s="90"/>
      <c r="L121" s="90" t="s">
        <v>1531</v>
      </c>
      <c r="M121" s="90"/>
      <c r="N121" s="90">
        <v>0.09</v>
      </c>
      <c r="O121" s="90"/>
      <c r="P121" s="90"/>
      <c r="Q121" s="90">
        <v>0.72</v>
      </c>
      <c r="R121" s="90"/>
      <c r="S121" s="90"/>
      <c r="T121" s="90">
        <v>0.19</v>
      </c>
      <c r="U121" s="90"/>
      <c r="V121" s="90" t="s">
        <v>1407</v>
      </c>
      <c r="W121" s="90">
        <v>1173</v>
      </c>
      <c r="X121" s="90">
        <v>10</v>
      </c>
      <c r="Y121" s="90" t="s">
        <v>1533</v>
      </c>
      <c r="Z121" s="90" t="s">
        <v>863</v>
      </c>
      <c r="AA121" s="90">
        <v>0.03</v>
      </c>
      <c r="AB121" s="90" t="s">
        <v>518</v>
      </c>
      <c r="AC121" s="90">
        <v>2.64</v>
      </c>
      <c r="AD121" s="90">
        <v>1.22</v>
      </c>
      <c r="AE121" s="90">
        <v>0.5</v>
      </c>
      <c r="AF121" s="90">
        <v>20</v>
      </c>
      <c r="AG121" s="90"/>
      <c r="AH121" s="90"/>
      <c r="AI121" s="90" t="s">
        <v>1534</v>
      </c>
      <c r="AJ121" s="90">
        <v>800</v>
      </c>
      <c r="AK121" s="90">
        <v>390</v>
      </c>
      <c r="AL121" s="90">
        <v>0.57999999999999996</v>
      </c>
    </row>
    <row r="122" spans="1:38" ht="15" thickBot="1" x14ac:dyDescent="0.35">
      <c r="A122" s="118" t="s">
        <v>1585</v>
      </c>
      <c r="B122" s="114" t="s">
        <v>2840</v>
      </c>
      <c r="C122" s="114" t="s">
        <v>28</v>
      </c>
      <c r="D122" s="120"/>
      <c r="E122" s="120"/>
      <c r="F122" s="90" t="s">
        <v>1578</v>
      </c>
      <c r="G122" s="90"/>
      <c r="H122" s="90"/>
      <c r="I122" s="90" t="s">
        <v>1558</v>
      </c>
      <c r="J122" s="90"/>
      <c r="K122" s="90"/>
      <c r="L122" s="90" t="s">
        <v>1531</v>
      </c>
      <c r="M122" s="90"/>
      <c r="N122" s="90">
        <v>0.09</v>
      </c>
      <c r="O122" s="90"/>
      <c r="P122" s="90"/>
      <c r="Q122" s="90">
        <v>0.72</v>
      </c>
      <c r="R122" s="90"/>
      <c r="S122" s="90"/>
      <c r="T122" s="90">
        <v>0.19</v>
      </c>
      <c r="U122" s="90"/>
      <c r="V122" s="90" t="s">
        <v>1407</v>
      </c>
      <c r="W122" s="90">
        <v>1173</v>
      </c>
      <c r="X122" s="90">
        <v>10</v>
      </c>
      <c r="Y122" s="90" t="s">
        <v>1533</v>
      </c>
      <c r="Z122" s="90" t="s">
        <v>863</v>
      </c>
      <c r="AA122" s="90">
        <v>0.06</v>
      </c>
      <c r="AB122" s="90" t="s">
        <v>518</v>
      </c>
      <c r="AC122" s="90">
        <v>2.64</v>
      </c>
      <c r="AD122" s="90">
        <v>1.22</v>
      </c>
      <c r="AE122" s="90">
        <v>0.5</v>
      </c>
      <c r="AF122" s="90">
        <v>20</v>
      </c>
      <c r="AG122" s="90"/>
      <c r="AH122" s="90"/>
      <c r="AI122" s="90" t="s">
        <v>1534</v>
      </c>
      <c r="AJ122" s="90">
        <v>800</v>
      </c>
      <c r="AK122" s="90">
        <v>390</v>
      </c>
      <c r="AL122" s="90">
        <v>1</v>
      </c>
    </row>
    <row r="123" spans="1:38" ht="15" thickBot="1" x14ac:dyDescent="0.35">
      <c r="A123" s="118" t="s">
        <v>1585</v>
      </c>
      <c r="B123" s="114" t="s">
        <v>2840</v>
      </c>
      <c r="C123" s="114" t="s">
        <v>28</v>
      </c>
      <c r="D123" s="120"/>
      <c r="E123" s="120"/>
      <c r="F123" s="90" t="s">
        <v>1578</v>
      </c>
      <c r="G123" s="90"/>
      <c r="H123" s="90"/>
      <c r="I123" s="90" t="s">
        <v>1558</v>
      </c>
      <c r="J123" s="90"/>
      <c r="K123" s="90"/>
      <c r="L123" s="90" t="s">
        <v>1531</v>
      </c>
      <c r="M123" s="90"/>
      <c r="N123" s="90">
        <v>0.09</v>
      </c>
      <c r="O123" s="90"/>
      <c r="P123" s="90"/>
      <c r="Q123" s="90">
        <v>0.72</v>
      </c>
      <c r="R123" s="90"/>
      <c r="S123" s="90"/>
      <c r="T123" s="90">
        <v>0.19</v>
      </c>
      <c r="U123" s="90"/>
      <c r="V123" s="90" t="s">
        <v>1264</v>
      </c>
      <c r="W123" s="90">
        <v>1173</v>
      </c>
      <c r="X123" s="90">
        <v>10</v>
      </c>
      <c r="Y123" s="90" t="s">
        <v>1533</v>
      </c>
      <c r="Z123" s="90" t="s">
        <v>863</v>
      </c>
      <c r="AA123" s="90">
        <v>0.1</v>
      </c>
      <c r="AB123" s="90" t="s">
        <v>518</v>
      </c>
      <c r="AC123" s="90">
        <v>2.64</v>
      </c>
      <c r="AD123" s="90">
        <v>1.22</v>
      </c>
      <c r="AE123" s="90">
        <v>0.5</v>
      </c>
      <c r="AF123" s="90">
        <v>20</v>
      </c>
      <c r="AG123" s="90"/>
      <c r="AH123" s="90"/>
      <c r="AI123" s="90" t="s">
        <v>1534</v>
      </c>
      <c r="AJ123" s="90">
        <v>800</v>
      </c>
      <c r="AK123" s="90">
        <v>390</v>
      </c>
      <c r="AL123" s="90">
        <v>0.25</v>
      </c>
    </row>
    <row r="124" spans="1:38" ht="15" thickBot="1" x14ac:dyDescent="0.35">
      <c r="A124" s="118" t="s">
        <v>1585</v>
      </c>
      <c r="B124" s="114" t="s">
        <v>2840</v>
      </c>
      <c r="C124" s="114" t="s">
        <v>28</v>
      </c>
      <c r="D124" s="120"/>
      <c r="E124" s="120"/>
      <c r="F124" s="90" t="s">
        <v>1578</v>
      </c>
      <c r="G124" s="90"/>
      <c r="H124" s="90"/>
      <c r="I124" s="90" t="s">
        <v>1558</v>
      </c>
      <c r="J124" s="90"/>
      <c r="K124" s="90"/>
      <c r="L124" s="90" t="s">
        <v>1531</v>
      </c>
      <c r="M124" s="90"/>
      <c r="N124" s="90">
        <v>0.09</v>
      </c>
      <c r="O124" s="90"/>
      <c r="P124" s="90"/>
      <c r="Q124" s="90">
        <v>0.72</v>
      </c>
      <c r="R124" s="90"/>
      <c r="S124" s="90"/>
      <c r="T124" s="90">
        <v>0.19</v>
      </c>
      <c r="U124" s="90"/>
      <c r="V124" s="90" t="s">
        <v>1264</v>
      </c>
      <c r="W124" s="90">
        <v>1173</v>
      </c>
      <c r="X124" s="90">
        <v>10</v>
      </c>
      <c r="Y124" s="90" t="s">
        <v>1533</v>
      </c>
      <c r="Z124" s="90" t="s">
        <v>863</v>
      </c>
      <c r="AA124" s="90">
        <v>0.13</v>
      </c>
      <c r="AB124" s="90" t="s">
        <v>518</v>
      </c>
      <c r="AC124" s="90">
        <v>2.64</v>
      </c>
      <c r="AD124" s="90">
        <v>1.22</v>
      </c>
      <c r="AE124" s="90">
        <v>0.5</v>
      </c>
      <c r="AF124" s="90">
        <v>20</v>
      </c>
      <c r="AG124" s="90"/>
      <c r="AH124" s="90"/>
      <c r="AI124" s="90" t="s">
        <v>1534</v>
      </c>
      <c r="AJ124" s="90">
        <v>800</v>
      </c>
      <c r="AK124" s="90">
        <v>390</v>
      </c>
      <c r="AL124" s="90">
        <v>0.16</v>
      </c>
    </row>
    <row r="125" spans="1:38" ht="15" thickBot="1" x14ac:dyDescent="0.35">
      <c r="A125" s="118" t="s">
        <v>1585</v>
      </c>
      <c r="B125" s="114" t="s">
        <v>2840</v>
      </c>
      <c r="C125" s="114" t="s">
        <v>28</v>
      </c>
      <c r="D125" s="120"/>
      <c r="E125" s="120"/>
      <c r="F125" s="90" t="s">
        <v>1578</v>
      </c>
      <c r="G125" s="90"/>
      <c r="H125" s="90"/>
      <c r="I125" s="90" t="s">
        <v>1558</v>
      </c>
      <c r="J125" s="90"/>
      <c r="K125" s="90"/>
      <c r="L125" s="90" t="s">
        <v>1531</v>
      </c>
      <c r="M125" s="90"/>
      <c r="N125" s="90">
        <v>0.09</v>
      </c>
      <c r="O125" s="90"/>
      <c r="P125" s="90"/>
      <c r="Q125" s="90">
        <v>0.72</v>
      </c>
      <c r="R125" s="90"/>
      <c r="S125" s="90"/>
      <c r="T125" s="90">
        <v>0.19</v>
      </c>
      <c r="U125" s="90"/>
      <c r="V125" s="90" t="s">
        <v>1264</v>
      </c>
      <c r="W125" s="90">
        <v>1173</v>
      </c>
      <c r="X125" s="90">
        <v>10</v>
      </c>
      <c r="Y125" s="90" t="s">
        <v>1533</v>
      </c>
      <c r="Z125" s="90" t="s">
        <v>863</v>
      </c>
      <c r="AA125" s="90">
        <v>0.06</v>
      </c>
      <c r="AB125" s="90" t="s">
        <v>518</v>
      </c>
      <c r="AC125" s="90">
        <v>4.01</v>
      </c>
      <c r="AD125" s="90">
        <v>1.1299999999999999</v>
      </c>
      <c r="AE125" s="90">
        <v>0.5</v>
      </c>
      <c r="AF125" s="90">
        <v>20</v>
      </c>
      <c r="AG125" s="90"/>
      <c r="AH125" s="90"/>
      <c r="AI125" s="90" t="s">
        <v>1534</v>
      </c>
      <c r="AJ125" s="90">
        <v>800</v>
      </c>
      <c r="AK125" s="90">
        <v>390</v>
      </c>
      <c r="AL125" s="90">
        <v>0.08</v>
      </c>
    </row>
    <row r="126" spans="1:38" ht="15" thickBot="1" x14ac:dyDescent="0.35">
      <c r="A126" s="118" t="s">
        <v>1586</v>
      </c>
      <c r="B126" s="114" t="s">
        <v>2842</v>
      </c>
      <c r="C126" s="114" t="s">
        <v>2841</v>
      </c>
      <c r="D126" s="120"/>
      <c r="E126" s="120"/>
      <c r="F126" s="90" t="s">
        <v>1529</v>
      </c>
      <c r="G126" s="90"/>
      <c r="H126" s="90"/>
      <c r="I126" s="90" t="s">
        <v>1570</v>
      </c>
      <c r="J126" s="90"/>
      <c r="K126" s="90"/>
      <c r="L126" s="90" t="s">
        <v>1531</v>
      </c>
      <c r="M126" s="90"/>
      <c r="N126" s="90">
        <v>0.35</v>
      </c>
      <c r="O126" s="90"/>
      <c r="P126" s="90"/>
      <c r="Q126" s="90">
        <v>0.47</v>
      </c>
      <c r="R126" s="90"/>
      <c r="S126" s="90"/>
      <c r="T126" s="90">
        <v>0.19</v>
      </c>
      <c r="U126" s="90"/>
      <c r="V126" s="90" t="s">
        <v>1264</v>
      </c>
      <c r="W126" s="90">
        <v>1373</v>
      </c>
      <c r="X126" s="90">
        <v>6</v>
      </c>
      <c r="Y126" s="90"/>
      <c r="Z126" s="90"/>
      <c r="AA126" s="90"/>
      <c r="AB126" s="90"/>
      <c r="AC126" s="90">
        <v>4.01</v>
      </c>
      <c r="AD126" s="90">
        <v>3.28</v>
      </c>
      <c r="AE126" s="90">
        <v>1</v>
      </c>
      <c r="AF126" s="90">
        <v>0</v>
      </c>
      <c r="AG126" s="90"/>
      <c r="AH126" s="90"/>
      <c r="AI126" s="90" t="s">
        <v>1552</v>
      </c>
      <c r="AJ126" s="90">
        <v>450</v>
      </c>
      <c r="AK126" s="90">
        <v>365</v>
      </c>
      <c r="AL126" s="90">
        <v>11</v>
      </c>
    </row>
    <row r="127" spans="1:38" ht="15" thickBot="1" x14ac:dyDescent="0.35">
      <c r="A127" s="118" t="s">
        <v>1586</v>
      </c>
      <c r="B127" s="114" t="s">
        <v>2842</v>
      </c>
      <c r="C127" s="114" t="s">
        <v>2841</v>
      </c>
      <c r="D127" s="120"/>
      <c r="E127" s="120"/>
      <c r="F127" s="90" t="s">
        <v>1529</v>
      </c>
      <c r="G127" s="90"/>
      <c r="H127" s="90"/>
      <c r="I127" s="90" t="s">
        <v>1570</v>
      </c>
      <c r="J127" s="90"/>
      <c r="K127" s="90"/>
      <c r="L127" s="90" t="s">
        <v>1531</v>
      </c>
      <c r="M127" s="90"/>
      <c r="N127" s="90">
        <v>0.35</v>
      </c>
      <c r="O127" s="90"/>
      <c r="P127" s="90"/>
      <c r="Q127" s="90">
        <v>0.47</v>
      </c>
      <c r="R127" s="90"/>
      <c r="S127" s="90"/>
      <c r="T127" s="90">
        <v>0.19</v>
      </c>
      <c r="U127" s="90"/>
      <c r="V127" s="90" t="s">
        <v>1264</v>
      </c>
      <c r="W127" s="90">
        <v>1373</v>
      </c>
      <c r="X127" s="90">
        <v>6</v>
      </c>
      <c r="Y127" s="90" t="s">
        <v>1533</v>
      </c>
      <c r="Z127" s="90" t="s">
        <v>56</v>
      </c>
      <c r="AA127" s="90">
        <v>1</v>
      </c>
      <c r="AB127" s="90"/>
      <c r="AC127" s="90">
        <v>4.01</v>
      </c>
      <c r="AD127" s="90">
        <v>3.28</v>
      </c>
      <c r="AE127" s="90">
        <v>1</v>
      </c>
      <c r="AF127" s="90">
        <v>0</v>
      </c>
      <c r="AG127" s="90"/>
      <c r="AH127" s="90"/>
      <c r="AI127" s="90" t="s">
        <v>1552</v>
      </c>
      <c r="AJ127" s="90">
        <v>450</v>
      </c>
      <c r="AK127" s="90">
        <v>365</v>
      </c>
      <c r="AL127" s="90">
        <v>24.2</v>
      </c>
    </row>
    <row r="128" spans="1:38" ht="15" thickBot="1" x14ac:dyDescent="0.35">
      <c r="A128" s="118" t="s">
        <v>1586</v>
      </c>
      <c r="B128" s="114" t="s">
        <v>2842</v>
      </c>
      <c r="C128" s="114" t="s">
        <v>2841</v>
      </c>
      <c r="D128" s="120"/>
      <c r="E128" s="120"/>
      <c r="F128" s="90" t="s">
        <v>1529</v>
      </c>
      <c r="G128" s="90"/>
      <c r="H128" s="90"/>
      <c r="I128" s="90" t="s">
        <v>1570</v>
      </c>
      <c r="J128" s="90"/>
      <c r="K128" s="90"/>
      <c r="L128" s="90" t="s">
        <v>1531</v>
      </c>
      <c r="M128" s="90"/>
      <c r="N128" s="90">
        <v>0.35</v>
      </c>
      <c r="O128" s="90"/>
      <c r="P128" s="90"/>
      <c r="Q128" s="90">
        <v>0.47</v>
      </c>
      <c r="R128" s="90"/>
      <c r="S128" s="90"/>
      <c r="T128" s="90">
        <v>0.19</v>
      </c>
      <c r="U128" s="90"/>
      <c r="V128" s="90" t="s">
        <v>1264</v>
      </c>
      <c r="W128" s="90">
        <v>973</v>
      </c>
      <c r="X128" s="90">
        <v>6</v>
      </c>
      <c r="Y128" s="90"/>
      <c r="Z128" s="90"/>
      <c r="AA128" s="90"/>
      <c r="AB128" s="90" t="s">
        <v>1142</v>
      </c>
      <c r="AC128" s="90">
        <v>4.04</v>
      </c>
      <c r="AD128" s="90">
        <v>27.08</v>
      </c>
      <c r="AE128" s="90">
        <v>1</v>
      </c>
      <c r="AF128" s="90">
        <v>0</v>
      </c>
      <c r="AG128" s="90"/>
      <c r="AH128" s="90"/>
      <c r="AI128" s="90" t="s">
        <v>1552</v>
      </c>
      <c r="AJ128" s="90">
        <v>450</v>
      </c>
      <c r="AK128" s="90">
        <v>365</v>
      </c>
      <c r="AL128" s="90">
        <v>59.8</v>
      </c>
    </row>
    <row r="129" spans="1:38" ht="15" thickBot="1" x14ac:dyDescent="0.35">
      <c r="A129" s="118" t="s">
        <v>1586</v>
      </c>
      <c r="B129" s="114" t="s">
        <v>2842</v>
      </c>
      <c r="C129" s="114" t="s">
        <v>2841</v>
      </c>
      <c r="D129" s="120"/>
      <c r="E129" s="120"/>
      <c r="F129" s="90" t="s">
        <v>1529</v>
      </c>
      <c r="G129" s="90"/>
      <c r="H129" s="90"/>
      <c r="I129" s="90" t="s">
        <v>1570</v>
      </c>
      <c r="J129" s="90"/>
      <c r="K129" s="90"/>
      <c r="L129" s="90" t="s">
        <v>1531</v>
      </c>
      <c r="M129" s="90"/>
      <c r="N129" s="90">
        <v>0.35</v>
      </c>
      <c r="O129" s="90"/>
      <c r="P129" s="90"/>
      <c r="Q129" s="90">
        <v>0.47</v>
      </c>
      <c r="R129" s="90"/>
      <c r="S129" s="90"/>
      <c r="T129" s="90">
        <v>0.19</v>
      </c>
      <c r="U129" s="90"/>
      <c r="V129" s="90" t="s">
        <v>1264</v>
      </c>
      <c r="W129" s="90">
        <v>973</v>
      </c>
      <c r="X129" s="90">
        <v>6</v>
      </c>
      <c r="Y129" s="90" t="s">
        <v>1533</v>
      </c>
      <c r="Z129" s="90" t="s">
        <v>56</v>
      </c>
      <c r="AA129" s="90">
        <v>1</v>
      </c>
      <c r="AB129" s="90" t="s">
        <v>1142</v>
      </c>
      <c r="AC129" s="90">
        <v>4.04</v>
      </c>
      <c r="AD129" s="90">
        <v>27.08</v>
      </c>
      <c r="AE129" s="90">
        <v>1</v>
      </c>
      <c r="AF129" s="90">
        <v>0</v>
      </c>
      <c r="AG129" s="90"/>
      <c r="AH129" s="90"/>
      <c r="AI129" s="90" t="s">
        <v>1552</v>
      </c>
      <c r="AJ129" s="90">
        <v>450</v>
      </c>
      <c r="AK129" s="90">
        <v>365</v>
      </c>
      <c r="AL129" s="90">
        <v>236</v>
      </c>
    </row>
    <row r="130" spans="1:38" ht="15" thickBot="1" x14ac:dyDescent="0.35">
      <c r="A130" s="118" t="s">
        <v>1587</v>
      </c>
      <c r="B130" s="114" t="s">
        <v>2843</v>
      </c>
      <c r="C130" s="114" t="s">
        <v>204</v>
      </c>
      <c r="D130" s="120"/>
      <c r="E130" s="120"/>
      <c r="F130" s="90" t="s">
        <v>1588</v>
      </c>
      <c r="G130" s="90"/>
      <c r="H130" s="90"/>
      <c r="I130" s="90" t="s">
        <v>1558</v>
      </c>
      <c r="J130" s="90"/>
      <c r="K130" s="90"/>
      <c r="L130" s="90" t="s">
        <v>1531</v>
      </c>
      <c r="M130" s="90"/>
      <c r="N130" s="90">
        <v>0.03</v>
      </c>
      <c r="O130" s="90"/>
      <c r="P130" s="90"/>
      <c r="Q130" s="90">
        <v>0.77</v>
      </c>
      <c r="R130" s="90"/>
      <c r="S130" s="90"/>
      <c r="T130" s="90">
        <v>0.2</v>
      </c>
      <c r="U130" s="90"/>
      <c r="V130" s="90" t="s">
        <v>1264</v>
      </c>
      <c r="W130" s="90"/>
      <c r="X130" s="90"/>
      <c r="Y130" s="90"/>
      <c r="Z130" s="90"/>
      <c r="AA130" s="90"/>
      <c r="AB130" s="90" t="s">
        <v>1589</v>
      </c>
      <c r="AC130" s="90">
        <v>3.93</v>
      </c>
      <c r="AD130" s="90">
        <v>1.34</v>
      </c>
      <c r="AE130" s="90">
        <v>0.25</v>
      </c>
      <c r="AF130" s="90">
        <v>0</v>
      </c>
      <c r="AG130" s="90" t="s">
        <v>1590</v>
      </c>
      <c r="AH130" s="90"/>
      <c r="AI130" s="90" t="s">
        <v>1552</v>
      </c>
      <c r="AJ130" s="90">
        <v>150</v>
      </c>
      <c r="AK130" s="90">
        <v>366</v>
      </c>
      <c r="AL130" s="90">
        <v>354.5</v>
      </c>
    </row>
    <row r="131" spans="1:38" ht="15" thickBot="1" x14ac:dyDescent="0.35">
      <c r="A131" s="118" t="s">
        <v>1587</v>
      </c>
      <c r="B131" s="114" t="s">
        <v>2843</v>
      </c>
      <c r="C131" s="114" t="s">
        <v>204</v>
      </c>
      <c r="D131" s="120"/>
      <c r="E131" s="120"/>
      <c r="F131" s="92" t="s">
        <v>1588</v>
      </c>
      <c r="G131" s="92"/>
      <c r="H131" s="92"/>
      <c r="I131" s="92" t="s">
        <v>1558</v>
      </c>
      <c r="J131" s="92"/>
      <c r="K131" s="92"/>
      <c r="L131" s="92" t="s">
        <v>1531</v>
      </c>
      <c r="M131" s="92"/>
      <c r="N131" s="92">
        <v>0.03</v>
      </c>
      <c r="O131" s="92"/>
      <c r="P131" s="92"/>
      <c r="Q131" s="92">
        <v>0.77</v>
      </c>
      <c r="R131" s="92"/>
      <c r="S131" s="92"/>
      <c r="T131" s="92">
        <v>0.2</v>
      </c>
      <c r="U131" s="92"/>
      <c r="V131" s="90" t="s">
        <v>1538</v>
      </c>
      <c r="W131" s="90">
        <v>723</v>
      </c>
      <c r="X131" s="90">
        <v>11</v>
      </c>
      <c r="Y131" s="90"/>
      <c r="Z131" s="90"/>
      <c r="AA131" s="90"/>
      <c r="AB131" s="90" t="s">
        <v>1589</v>
      </c>
      <c r="AC131" s="90">
        <v>3.3</v>
      </c>
      <c r="AD131" s="90">
        <v>4.08</v>
      </c>
      <c r="AE131" s="90">
        <v>0.25</v>
      </c>
      <c r="AF131" s="90">
        <v>0</v>
      </c>
      <c r="AG131" s="90" t="s">
        <v>1590</v>
      </c>
      <c r="AH131" s="90"/>
      <c r="AI131" s="90" t="s">
        <v>1552</v>
      </c>
      <c r="AJ131" s="90">
        <v>150</v>
      </c>
      <c r="AK131" s="90">
        <v>366</v>
      </c>
      <c r="AL131" s="90">
        <v>308</v>
      </c>
    </row>
    <row r="132" spans="1:38" ht="15" thickBot="1" x14ac:dyDescent="0.35">
      <c r="A132" s="118" t="s">
        <v>1587</v>
      </c>
      <c r="B132" s="114" t="s">
        <v>2843</v>
      </c>
      <c r="C132" s="114" t="s">
        <v>204</v>
      </c>
      <c r="D132" s="120"/>
      <c r="E132" s="120"/>
      <c r="F132" s="92" t="s">
        <v>1588</v>
      </c>
      <c r="G132" s="92"/>
      <c r="H132" s="92"/>
      <c r="I132" s="92" t="s">
        <v>1558</v>
      </c>
      <c r="J132" s="92"/>
      <c r="K132" s="92"/>
      <c r="L132" s="92" t="s">
        <v>1531</v>
      </c>
      <c r="M132" s="92"/>
      <c r="N132" s="92">
        <v>0.03</v>
      </c>
      <c r="O132" s="92"/>
      <c r="P132" s="92"/>
      <c r="Q132" s="92">
        <v>0.77</v>
      </c>
      <c r="R132" s="92"/>
      <c r="S132" s="92"/>
      <c r="T132" s="92">
        <v>0.2</v>
      </c>
      <c r="U132" s="92"/>
      <c r="V132" s="90" t="s">
        <v>1538</v>
      </c>
      <c r="W132" s="90">
        <v>773</v>
      </c>
      <c r="X132" s="90">
        <v>11</v>
      </c>
      <c r="Y132" s="90"/>
      <c r="Z132" s="90"/>
      <c r="AA132" s="90"/>
      <c r="AB132" s="90" t="s">
        <v>1589</v>
      </c>
      <c r="AC132" s="90">
        <v>3.77</v>
      </c>
      <c r="AD132" s="90">
        <v>3.66</v>
      </c>
      <c r="AE132" s="90">
        <v>0.25</v>
      </c>
      <c r="AF132" s="90">
        <v>0</v>
      </c>
      <c r="AG132" s="90" t="s">
        <v>1590</v>
      </c>
      <c r="AH132" s="90"/>
      <c r="AI132" s="90" t="s">
        <v>1552</v>
      </c>
      <c r="AJ132" s="90">
        <v>150</v>
      </c>
      <c r="AK132" s="90">
        <v>366</v>
      </c>
      <c r="AL132" s="90">
        <v>525</v>
      </c>
    </row>
    <row r="133" spans="1:38" ht="15" thickBot="1" x14ac:dyDescent="0.35">
      <c r="A133" s="118" t="s">
        <v>1587</v>
      </c>
      <c r="B133" s="114" t="s">
        <v>2843</v>
      </c>
      <c r="C133" s="114" t="s">
        <v>204</v>
      </c>
      <c r="D133" s="120"/>
      <c r="E133" s="120"/>
      <c r="F133" s="92" t="s">
        <v>1588</v>
      </c>
      <c r="G133" s="92"/>
      <c r="H133" s="92"/>
      <c r="I133" s="92" t="s">
        <v>1558</v>
      </c>
      <c r="J133" s="92"/>
      <c r="K133" s="92"/>
      <c r="L133" s="92" t="s">
        <v>1531</v>
      </c>
      <c r="M133" s="92"/>
      <c r="N133" s="92">
        <v>0.03</v>
      </c>
      <c r="O133" s="92"/>
      <c r="P133" s="92"/>
      <c r="Q133" s="92">
        <v>0.77</v>
      </c>
      <c r="R133" s="92"/>
      <c r="S133" s="92"/>
      <c r="T133" s="92">
        <v>0.2</v>
      </c>
      <c r="U133" s="92"/>
      <c r="V133" s="90" t="s">
        <v>1538</v>
      </c>
      <c r="W133" s="90">
        <v>823</v>
      </c>
      <c r="X133" s="90">
        <v>11</v>
      </c>
      <c r="Y133" s="90"/>
      <c r="Z133" s="90"/>
      <c r="AA133" s="90"/>
      <c r="AB133" s="90" t="s">
        <v>1589</v>
      </c>
      <c r="AC133" s="90">
        <v>3.69</v>
      </c>
      <c r="AD133" s="90">
        <v>3.08</v>
      </c>
      <c r="AE133" s="90">
        <v>0.25</v>
      </c>
      <c r="AF133" s="90">
        <v>0</v>
      </c>
      <c r="AG133" s="90" t="s">
        <v>1590</v>
      </c>
      <c r="AH133" s="90"/>
      <c r="AI133" s="90" t="s">
        <v>1552</v>
      </c>
      <c r="AJ133" s="90">
        <v>150</v>
      </c>
      <c r="AK133" s="90">
        <v>366</v>
      </c>
      <c r="AL133" s="90">
        <v>765</v>
      </c>
    </row>
    <row r="134" spans="1:38" ht="15" thickBot="1" x14ac:dyDescent="0.35">
      <c r="A134" s="118" t="s">
        <v>1587</v>
      </c>
      <c r="B134" s="114" t="s">
        <v>2843</v>
      </c>
      <c r="C134" s="114" t="s">
        <v>204</v>
      </c>
      <c r="D134" s="120"/>
      <c r="E134" s="120"/>
      <c r="F134" s="92" t="s">
        <v>1588</v>
      </c>
      <c r="G134" s="92"/>
      <c r="H134" s="92"/>
      <c r="I134" s="92" t="s">
        <v>1558</v>
      </c>
      <c r="J134" s="92"/>
      <c r="K134" s="92"/>
      <c r="L134" s="92" t="s">
        <v>1531</v>
      </c>
      <c r="M134" s="92"/>
      <c r="N134" s="92">
        <v>0.03</v>
      </c>
      <c r="O134" s="92"/>
      <c r="P134" s="92"/>
      <c r="Q134" s="92">
        <v>0.77</v>
      </c>
      <c r="R134" s="92"/>
      <c r="S134" s="92"/>
      <c r="T134" s="92">
        <v>0.2</v>
      </c>
      <c r="U134" s="92"/>
      <c r="V134" s="90" t="s">
        <v>1538</v>
      </c>
      <c r="W134" s="90">
        <v>873</v>
      </c>
      <c r="X134" s="90">
        <v>11</v>
      </c>
      <c r="Y134" s="90"/>
      <c r="Z134" s="90"/>
      <c r="AA134" s="90"/>
      <c r="AB134" s="90" t="s">
        <v>1589</v>
      </c>
      <c r="AC134" s="90">
        <v>3.74</v>
      </c>
      <c r="AD134" s="90">
        <v>3.01</v>
      </c>
      <c r="AE134" s="90">
        <v>0.25</v>
      </c>
      <c r="AF134" s="90">
        <v>0</v>
      </c>
      <c r="AG134" s="90" t="s">
        <v>1590</v>
      </c>
      <c r="AH134" s="90"/>
      <c r="AI134" s="90" t="s">
        <v>1552</v>
      </c>
      <c r="AJ134" s="90">
        <v>150</v>
      </c>
      <c r="AK134" s="92">
        <v>366</v>
      </c>
      <c r="AL134" s="92">
        <v>545</v>
      </c>
    </row>
    <row r="135" spans="1:38" ht="15" thickBot="1" x14ac:dyDescent="0.35">
      <c r="A135" s="118" t="s">
        <v>1587</v>
      </c>
      <c r="B135" s="114" t="s">
        <v>2843</v>
      </c>
      <c r="C135" s="114" t="s">
        <v>204</v>
      </c>
      <c r="D135" s="120"/>
      <c r="E135" s="120"/>
      <c r="F135" s="92" t="s">
        <v>1588</v>
      </c>
      <c r="G135" s="92"/>
      <c r="H135" s="92"/>
      <c r="I135" s="92" t="s">
        <v>1558</v>
      </c>
      <c r="J135" s="92"/>
      <c r="K135" s="92"/>
      <c r="L135" s="92" t="s">
        <v>1531</v>
      </c>
      <c r="M135" s="92"/>
      <c r="N135" s="92">
        <v>0.03</v>
      </c>
      <c r="O135" s="92"/>
      <c r="P135" s="92"/>
      <c r="Q135" s="92">
        <v>0.77</v>
      </c>
      <c r="R135" s="92"/>
      <c r="S135" s="92"/>
      <c r="T135" s="92">
        <v>0.2</v>
      </c>
      <c r="U135" s="92"/>
      <c r="V135" s="90" t="s">
        <v>1538</v>
      </c>
      <c r="W135" s="90">
        <v>923</v>
      </c>
      <c r="X135" s="90">
        <v>11</v>
      </c>
      <c r="Y135" s="90"/>
      <c r="Z135" s="90"/>
      <c r="AA135" s="90"/>
      <c r="AB135" s="90" t="s">
        <v>1589</v>
      </c>
      <c r="AC135" s="90">
        <v>4.9000000000000004</v>
      </c>
      <c r="AD135" s="90">
        <v>2.86</v>
      </c>
      <c r="AE135" s="90">
        <v>0.25</v>
      </c>
      <c r="AF135" s="90">
        <v>0</v>
      </c>
      <c r="AG135" s="90" t="s">
        <v>1590</v>
      </c>
      <c r="AH135" s="90"/>
      <c r="AI135" s="90" t="s">
        <v>1552</v>
      </c>
      <c r="AJ135" s="90">
        <v>150</v>
      </c>
      <c r="AK135" s="92">
        <v>366</v>
      </c>
      <c r="AL135" s="92">
        <v>450</v>
      </c>
    </row>
    <row r="136" spans="1:38" ht="15" thickBot="1" x14ac:dyDescent="0.35">
      <c r="A136" s="118" t="s">
        <v>1587</v>
      </c>
      <c r="B136" s="114" t="s">
        <v>2843</v>
      </c>
      <c r="C136" s="114" t="s">
        <v>204</v>
      </c>
      <c r="D136" s="120"/>
      <c r="E136" s="120"/>
      <c r="F136" s="92" t="s">
        <v>1588</v>
      </c>
      <c r="G136" s="92"/>
      <c r="H136" s="92"/>
      <c r="I136" s="92" t="s">
        <v>1558</v>
      </c>
      <c r="J136" s="92"/>
      <c r="K136" s="92"/>
      <c r="L136" s="92" t="s">
        <v>1531</v>
      </c>
      <c r="M136" s="92"/>
      <c r="N136" s="92">
        <v>0.03</v>
      </c>
      <c r="O136" s="92"/>
      <c r="P136" s="92"/>
      <c r="Q136" s="92">
        <v>0.77</v>
      </c>
      <c r="R136" s="92"/>
      <c r="S136" s="92"/>
      <c r="T136" s="92">
        <v>0.2</v>
      </c>
      <c r="U136" s="92"/>
      <c r="V136" s="90" t="s">
        <v>1538</v>
      </c>
      <c r="W136" s="90">
        <v>973</v>
      </c>
      <c r="X136" s="90">
        <v>11</v>
      </c>
      <c r="Y136" s="90"/>
      <c r="Z136" s="90"/>
      <c r="AA136" s="90"/>
      <c r="AB136" s="90" t="s">
        <v>1589</v>
      </c>
      <c r="AC136" s="90">
        <v>4.93</v>
      </c>
      <c r="AD136" s="90">
        <v>2.4900000000000002</v>
      </c>
      <c r="AE136" s="90">
        <v>0.25</v>
      </c>
      <c r="AF136" s="90">
        <v>0</v>
      </c>
      <c r="AG136" s="90" t="s">
        <v>1590</v>
      </c>
      <c r="AH136" s="90"/>
      <c r="AI136" s="90" t="s">
        <v>1552</v>
      </c>
      <c r="AJ136" s="90">
        <v>150</v>
      </c>
      <c r="AK136" s="92">
        <v>366</v>
      </c>
      <c r="AL136" s="92">
        <v>429</v>
      </c>
    </row>
    <row r="137" spans="1:38" ht="15" thickBot="1" x14ac:dyDescent="0.35">
      <c r="A137" s="118" t="s">
        <v>1587</v>
      </c>
      <c r="B137" s="114" t="s">
        <v>2843</v>
      </c>
      <c r="C137" s="114" t="s">
        <v>204</v>
      </c>
      <c r="D137" s="120"/>
      <c r="E137" s="120"/>
      <c r="F137" s="92" t="s">
        <v>1588</v>
      </c>
      <c r="G137" s="92"/>
      <c r="H137" s="92"/>
      <c r="I137" s="92" t="s">
        <v>1558</v>
      </c>
      <c r="J137" s="92"/>
      <c r="K137" s="92"/>
      <c r="L137" s="92" t="s">
        <v>1531</v>
      </c>
      <c r="M137" s="92"/>
      <c r="N137" s="92">
        <v>0.03</v>
      </c>
      <c r="O137" s="92"/>
      <c r="P137" s="92"/>
      <c r="Q137" s="92">
        <v>0.77</v>
      </c>
      <c r="R137" s="92"/>
      <c r="S137" s="92"/>
      <c r="T137" s="92">
        <v>0.2</v>
      </c>
      <c r="U137" s="92"/>
      <c r="V137" s="90" t="s">
        <v>1538</v>
      </c>
      <c r="W137" s="90">
        <v>1023</v>
      </c>
      <c r="X137" s="90">
        <v>11</v>
      </c>
      <c r="Y137" s="90"/>
      <c r="Z137" s="90"/>
      <c r="AA137" s="90"/>
      <c r="AB137" s="90" t="s">
        <v>1589</v>
      </c>
      <c r="AC137" s="90">
        <v>4.95</v>
      </c>
      <c r="AD137" s="90">
        <v>2.38</v>
      </c>
      <c r="AE137" s="90">
        <v>0.25</v>
      </c>
      <c r="AF137" s="90">
        <v>0</v>
      </c>
      <c r="AG137" s="90" t="s">
        <v>1590</v>
      </c>
      <c r="AH137" s="90"/>
      <c r="AI137" s="90" t="s">
        <v>1552</v>
      </c>
      <c r="AJ137" s="90">
        <v>150</v>
      </c>
      <c r="AK137" s="92">
        <v>366</v>
      </c>
      <c r="AL137" s="92">
        <v>437</v>
      </c>
    </row>
    <row r="138" spans="1:38" ht="15" thickBot="1" x14ac:dyDescent="0.35">
      <c r="A138" s="118" t="s">
        <v>1587</v>
      </c>
      <c r="B138" s="114" t="s">
        <v>2843</v>
      </c>
      <c r="C138" s="114" t="s">
        <v>204</v>
      </c>
      <c r="D138" s="120"/>
      <c r="E138" s="120"/>
      <c r="F138" s="92" t="s">
        <v>1588</v>
      </c>
      <c r="G138" s="92"/>
      <c r="H138" s="92"/>
      <c r="I138" s="92" t="s">
        <v>1558</v>
      </c>
      <c r="J138" s="92"/>
      <c r="K138" s="92"/>
      <c r="L138" s="92" t="s">
        <v>1531</v>
      </c>
      <c r="M138" s="92"/>
      <c r="N138" s="92">
        <v>0.03</v>
      </c>
      <c r="O138" s="92"/>
      <c r="P138" s="92"/>
      <c r="Q138" s="92">
        <v>0.77</v>
      </c>
      <c r="R138" s="92"/>
      <c r="S138" s="92"/>
      <c r="T138" s="92">
        <v>0.2</v>
      </c>
      <c r="U138" s="92"/>
      <c r="V138" s="90" t="s">
        <v>1538</v>
      </c>
      <c r="W138" s="90">
        <v>1073</v>
      </c>
      <c r="X138" s="90">
        <v>11</v>
      </c>
      <c r="Y138" s="90"/>
      <c r="Z138" s="90"/>
      <c r="AA138" s="90"/>
      <c r="AB138" s="90" t="s">
        <v>1589</v>
      </c>
      <c r="AC138" s="90">
        <v>4.9800000000000004</v>
      </c>
      <c r="AD138" s="90">
        <v>1.96</v>
      </c>
      <c r="AE138" s="90">
        <v>0.25</v>
      </c>
      <c r="AF138" s="90">
        <v>0</v>
      </c>
      <c r="AG138" s="90" t="s">
        <v>1590</v>
      </c>
      <c r="AH138" s="90"/>
      <c r="AI138" s="90" t="s">
        <v>1552</v>
      </c>
      <c r="AJ138" s="90">
        <v>150</v>
      </c>
      <c r="AK138" s="92">
        <v>366</v>
      </c>
      <c r="AL138" s="92">
        <v>336</v>
      </c>
    </row>
    <row r="139" spans="1:38" ht="15" thickBot="1" x14ac:dyDescent="0.35">
      <c r="A139" s="118" t="s">
        <v>1591</v>
      </c>
      <c r="B139" s="115" t="s">
        <v>2844</v>
      </c>
      <c r="C139" s="90" t="s">
        <v>2845</v>
      </c>
      <c r="D139" s="121"/>
      <c r="E139" s="121"/>
      <c r="F139" s="92" t="s">
        <v>1091</v>
      </c>
      <c r="G139" s="92"/>
      <c r="H139" s="92"/>
      <c r="I139" s="92" t="s">
        <v>1558</v>
      </c>
      <c r="J139" s="92" t="s">
        <v>1569</v>
      </c>
      <c r="K139" s="92"/>
      <c r="L139" s="92" t="s">
        <v>1531</v>
      </c>
      <c r="M139" s="92" t="s">
        <v>676</v>
      </c>
      <c r="N139" s="92">
        <v>0.22</v>
      </c>
      <c r="O139" s="92"/>
      <c r="P139" s="92"/>
      <c r="Q139" s="92"/>
      <c r="R139" s="92">
        <v>0.51</v>
      </c>
      <c r="S139" s="92"/>
      <c r="T139" s="92">
        <v>0.27</v>
      </c>
      <c r="U139" s="92"/>
      <c r="V139" s="90" t="s">
        <v>1538</v>
      </c>
      <c r="W139" s="90">
        <v>923</v>
      </c>
      <c r="X139" s="90">
        <v>6</v>
      </c>
      <c r="Y139" s="90" t="s">
        <v>1268</v>
      </c>
      <c r="Z139" s="90" t="s">
        <v>863</v>
      </c>
      <c r="AA139" s="90">
        <v>1</v>
      </c>
      <c r="AB139" s="90"/>
      <c r="AC139" s="90">
        <v>4</v>
      </c>
      <c r="AD139" s="90">
        <v>21.87</v>
      </c>
      <c r="AE139" s="90">
        <v>0.55500000000000005</v>
      </c>
      <c r="AF139" s="90">
        <v>0</v>
      </c>
      <c r="AG139" s="90" t="s">
        <v>1590</v>
      </c>
      <c r="AH139" s="90"/>
      <c r="AI139" s="90" t="s">
        <v>1534</v>
      </c>
      <c r="AJ139" s="90">
        <v>300</v>
      </c>
      <c r="AK139" s="92">
        <v>420</v>
      </c>
      <c r="AL139" s="92">
        <v>9.8000000000000007</v>
      </c>
    </row>
    <row r="140" spans="1:38" ht="15" thickBot="1" x14ac:dyDescent="0.35">
      <c r="A140" s="118" t="s">
        <v>1591</v>
      </c>
      <c r="B140" s="115" t="s">
        <v>2844</v>
      </c>
      <c r="C140" s="90" t="s">
        <v>2846</v>
      </c>
      <c r="D140" s="121"/>
      <c r="E140" s="121"/>
      <c r="F140" s="92" t="s">
        <v>1091</v>
      </c>
      <c r="G140" s="92"/>
      <c r="H140" s="92"/>
      <c r="I140" s="92" t="s">
        <v>1558</v>
      </c>
      <c r="J140" s="92" t="s">
        <v>1569</v>
      </c>
      <c r="K140" s="92"/>
      <c r="L140" s="92" t="s">
        <v>1531</v>
      </c>
      <c r="M140" s="92" t="s">
        <v>676</v>
      </c>
      <c r="N140" s="92">
        <v>0.2</v>
      </c>
      <c r="O140" s="92"/>
      <c r="P140" s="92"/>
      <c r="Q140" s="92">
        <v>0.18</v>
      </c>
      <c r="R140" s="92">
        <v>0.37</v>
      </c>
      <c r="S140" s="92"/>
      <c r="T140" s="92">
        <v>0.23</v>
      </c>
      <c r="U140" s="92">
        <v>0.01</v>
      </c>
      <c r="V140" s="90" t="s">
        <v>1538</v>
      </c>
      <c r="W140" s="90">
        <v>923</v>
      </c>
      <c r="X140" s="90">
        <v>6</v>
      </c>
      <c r="Y140" s="90" t="s">
        <v>1268</v>
      </c>
      <c r="Z140" s="90" t="s">
        <v>863</v>
      </c>
      <c r="AA140" s="90">
        <v>1</v>
      </c>
      <c r="AB140" s="90"/>
      <c r="AC140" s="90">
        <v>3.22</v>
      </c>
      <c r="AD140" s="90">
        <v>15.74</v>
      </c>
      <c r="AE140" s="90">
        <v>0.55500000000000005</v>
      </c>
      <c r="AF140" s="90">
        <v>0</v>
      </c>
      <c r="AG140" s="90" t="s">
        <v>1590</v>
      </c>
      <c r="AH140" s="90"/>
      <c r="AI140" s="90" t="s">
        <v>1534</v>
      </c>
      <c r="AJ140" s="90">
        <v>300</v>
      </c>
      <c r="AK140" s="92">
        <v>420</v>
      </c>
      <c r="AL140" s="92">
        <v>10.4</v>
      </c>
    </row>
    <row r="141" spans="1:38" ht="15" thickBot="1" x14ac:dyDescent="0.35">
      <c r="A141" s="118" t="s">
        <v>1591</v>
      </c>
      <c r="B141" s="115" t="s">
        <v>2844</v>
      </c>
      <c r="C141" s="90" t="s">
        <v>2847</v>
      </c>
      <c r="D141" s="121"/>
      <c r="E141" s="121"/>
      <c r="F141" s="92" t="s">
        <v>1091</v>
      </c>
      <c r="G141" s="92"/>
      <c r="H141" s="92"/>
      <c r="I141" s="92" t="s">
        <v>1558</v>
      </c>
      <c r="J141" s="92" t="s">
        <v>1569</v>
      </c>
      <c r="K141" s="92"/>
      <c r="L141" s="92" t="s">
        <v>1531</v>
      </c>
      <c r="M141" s="92" t="s">
        <v>676</v>
      </c>
      <c r="N141" s="92">
        <v>0.19</v>
      </c>
      <c r="O141" s="92"/>
      <c r="P141" s="92"/>
      <c r="Q141" s="92">
        <v>0.18</v>
      </c>
      <c r="R141" s="92">
        <v>0.37</v>
      </c>
      <c r="S141" s="92"/>
      <c r="T141" s="92">
        <v>0.23</v>
      </c>
      <c r="U141" s="92">
        <v>0.01</v>
      </c>
      <c r="V141" s="90" t="s">
        <v>1538</v>
      </c>
      <c r="W141" s="90">
        <v>923</v>
      </c>
      <c r="X141" s="90">
        <v>6</v>
      </c>
      <c r="Y141" s="90" t="s">
        <v>1268</v>
      </c>
      <c r="Z141" s="90" t="s">
        <v>863</v>
      </c>
      <c r="AA141" s="90">
        <v>1</v>
      </c>
      <c r="AB141" s="90"/>
      <c r="AC141" s="90">
        <v>2.84</v>
      </c>
      <c r="AD141" s="90">
        <v>6.48</v>
      </c>
      <c r="AE141" s="90">
        <v>0.55500000000000005</v>
      </c>
      <c r="AF141" s="90">
        <v>0</v>
      </c>
      <c r="AG141" s="90" t="s">
        <v>1590</v>
      </c>
      <c r="AH141" s="90"/>
      <c r="AI141" s="90" t="s">
        <v>1534</v>
      </c>
      <c r="AJ141" s="90">
        <v>300</v>
      </c>
      <c r="AK141" s="92">
        <v>420</v>
      </c>
      <c r="AL141" s="92">
        <v>14.8</v>
      </c>
    </row>
    <row r="142" spans="1:38" ht="15" thickBot="1" x14ac:dyDescent="0.35">
      <c r="A142" s="118" t="s">
        <v>1591</v>
      </c>
      <c r="B142" s="115" t="s">
        <v>2844</v>
      </c>
      <c r="C142" s="90" t="s">
        <v>2848</v>
      </c>
      <c r="D142" s="121"/>
      <c r="E142" s="121"/>
      <c r="F142" s="92" t="s">
        <v>1091</v>
      </c>
      <c r="G142" s="92"/>
      <c r="H142" s="92"/>
      <c r="I142" s="92" t="s">
        <v>1558</v>
      </c>
      <c r="J142" s="92" t="s">
        <v>1569</v>
      </c>
      <c r="K142" s="92"/>
      <c r="L142" s="92" t="s">
        <v>1531</v>
      </c>
      <c r="M142" s="92" t="s">
        <v>676</v>
      </c>
      <c r="N142" s="92">
        <v>0.17</v>
      </c>
      <c r="O142" s="92"/>
      <c r="P142" s="92"/>
      <c r="Q142" s="92">
        <v>0.47</v>
      </c>
      <c r="R142" s="92">
        <v>0.16</v>
      </c>
      <c r="S142" s="92"/>
      <c r="T142" s="92">
        <v>0.17</v>
      </c>
      <c r="U142" s="92">
        <v>0.04</v>
      </c>
      <c r="V142" s="90" t="s">
        <v>1305</v>
      </c>
      <c r="W142" s="90">
        <v>923</v>
      </c>
      <c r="X142" s="90">
        <v>6</v>
      </c>
      <c r="Y142" s="90" t="s">
        <v>1268</v>
      </c>
      <c r="Z142" s="90" t="s">
        <v>863</v>
      </c>
      <c r="AA142" s="90">
        <v>1</v>
      </c>
      <c r="AB142" s="90"/>
      <c r="AC142" s="90">
        <v>2.69</v>
      </c>
      <c r="AD142" s="90">
        <v>7.65</v>
      </c>
      <c r="AE142" s="90">
        <v>0.55500000000000005</v>
      </c>
      <c r="AF142" s="90">
        <v>0</v>
      </c>
      <c r="AG142" s="90" t="s">
        <v>1590</v>
      </c>
      <c r="AH142" s="90"/>
      <c r="AI142" s="90" t="s">
        <v>1534</v>
      </c>
      <c r="AJ142" s="90">
        <v>300</v>
      </c>
      <c r="AK142" s="92">
        <v>420</v>
      </c>
      <c r="AL142" s="92">
        <v>16.8</v>
      </c>
    </row>
    <row r="143" spans="1:38" ht="15" thickBot="1" x14ac:dyDescent="0.35">
      <c r="A143" s="118" t="s">
        <v>1591</v>
      </c>
      <c r="B143" s="115" t="s">
        <v>2844</v>
      </c>
      <c r="C143" s="90" t="s">
        <v>2846</v>
      </c>
      <c r="D143" s="121"/>
      <c r="E143" s="121"/>
      <c r="F143" s="92" t="s">
        <v>1091</v>
      </c>
      <c r="G143" s="92"/>
      <c r="H143" s="92"/>
      <c r="I143" s="92" t="s">
        <v>1558</v>
      </c>
      <c r="J143" s="92" t="s">
        <v>1569</v>
      </c>
      <c r="K143" s="92"/>
      <c r="L143" s="92" t="s">
        <v>1531</v>
      </c>
      <c r="M143" s="92" t="s">
        <v>676</v>
      </c>
      <c r="N143" s="92">
        <v>0.16</v>
      </c>
      <c r="O143" s="92"/>
      <c r="P143" s="92"/>
      <c r="Q143" s="92">
        <v>0.57999999999999996</v>
      </c>
      <c r="R143" s="92">
        <v>7.0000000000000007E-2</v>
      </c>
      <c r="S143" s="92"/>
      <c r="T143" s="92">
        <v>0.14000000000000001</v>
      </c>
      <c r="U143" s="92">
        <v>0.05</v>
      </c>
      <c r="V143" s="90" t="s">
        <v>1305</v>
      </c>
      <c r="W143" s="90">
        <v>923</v>
      </c>
      <c r="X143" s="90">
        <v>6</v>
      </c>
      <c r="Y143" s="90" t="s">
        <v>1268</v>
      </c>
      <c r="Z143" s="90" t="s">
        <v>863</v>
      </c>
      <c r="AA143" s="90">
        <v>1</v>
      </c>
      <c r="AB143" s="90"/>
      <c r="AC143" s="90">
        <v>2.63</v>
      </c>
      <c r="AD143" s="90">
        <v>7.28</v>
      </c>
      <c r="AE143" s="90">
        <v>0.55500000000000005</v>
      </c>
      <c r="AF143" s="90">
        <v>0</v>
      </c>
      <c r="AG143" s="90" t="s">
        <v>1590</v>
      </c>
      <c r="AH143" s="90"/>
      <c r="AI143" s="90" t="s">
        <v>1534</v>
      </c>
      <c r="AJ143" s="90">
        <v>300</v>
      </c>
      <c r="AK143" s="92">
        <v>420</v>
      </c>
      <c r="AL143" s="92">
        <v>25.8</v>
      </c>
    </row>
    <row r="144" spans="1:38" ht="15" thickBot="1" x14ac:dyDescent="0.35">
      <c r="A144" s="118" t="s">
        <v>1591</v>
      </c>
      <c r="B144" s="115" t="s">
        <v>2844</v>
      </c>
      <c r="C144" s="90" t="s">
        <v>2849</v>
      </c>
      <c r="D144" s="121"/>
      <c r="E144" s="121"/>
      <c r="F144" s="92" t="s">
        <v>1091</v>
      </c>
      <c r="G144" s="92"/>
      <c r="H144" s="92"/>
      <c r="I144" s="92" t="s">
        <v>1558</v>
      </c>
      <c r="J144" s="92" t="s">
        <v>1569</v>
      </c>
      <c r="K144" s="92"/>
      <c r="L144" s="92" t="s">
        <v>1531</v>
      </c>
      <c r="M144" s="92" t="s">
        <v>676</v>
      </c>
      <c r="N144" s="92">
        <v>0.15</v>
      </c>
      <c r="O144" s="92"/>
      <c r="P144" s="92"/>
      <c r="Q144" s="92">
        <v>0.68</v>
      </c>
      <c r="R144" s="92"/>
      <c r="S144" s="92"/>
      <c r="T144" s="92">
        <v>0.12</v>
      </c>
      <c r="U144" s="92">
        <v>0.05</v>
      </c>
      <c r="V144" s="90" t="s">
        <v>1305</v>
      </c>
      <c r="W144" s="90">
        <v>923</v>
      </c>
      <c r="X144" s="90">
        <v>6</v>
      </c>
      <c r="Y144" s="90" t="s">
        <v>1268</v>
      </c>
      <c r="Z144" s="90" t="s">
        <v>863</v>
      </c>
      <c r="AA144" s="90">
        <v>1</v>
      </c>
      <c r="AB144" s="90"/>
      <c r="AC144" s="90">
        <v>2.57</v>
      </c>
      <c r="AD144" s="90">
        <v>6.96</v>
      </c>
      <c r="AE144" s="90">
        <v>0.55500000000000005</v>
      </c>
      <c r="AF144" s="90">
        <v>0</v>
      </c>
      <c r="AG144" s="90" t="s">
        <v>1590</v>
      </c>
      <c r="AH144" s="90"/>
      <c r="AI144" s="90" t="s">
        <v>1534</v>
      </c>
      <c r="AJ144" s="90">
        <v>300</v>
      </c>
      <c r="AK144" s="92">
        <v>420</v>
      </c>
      <c r="AL144" s="92">
        <v>18</v>
      </c>
    </row>
    <row r="145" spans="1:43" ht="15" thickBot="1" x14ac:dyDescent="0.35">
      <c r="A145" s="118" t="s">
        <v>1593</v>
      </c>
      <c r="B145" s="115" t="s">
        <v>2850</v>
      </c>
      <c r="C145" s="115" t="s">
        <v>0</v>
      </c>
      <c r="D145" s="122"/>
      <c r="E145" s="122"/>
      <c r="F145" s="92" t="s">
        <v>1557</v>
      </c>
      <c r="G145" s="92"/>
      <c r="H145" s="92"/>
      <c r="I145" s="92" t="s">
        <v>1068</v>
      </c>
      <c r="J145" s="92"/>
      <c r="K145" s="92"/>
      <c r="L145" s="92" t="s">
        <v>1531</v>
      </c>
      <c r="M145" s="92"/>
      <c r="N145" s="92">
        <v>0.16</v>
      </c>
      <c r="O145" s="92"/>
      <c r="P145" s="92"/>
      <c r="Q145" s="92">
        <v>0.56999999999999995</v>
      </c>
      <c r="R145" s="92"/>
      <c r="S145" s="92"/>
      <c r="T145" s="92">
        <v>0.28000000000000003</v>
      </c>
      <c r="U145" s="92"/>
      <c r="V145" s="90" t="s">
        <v>1305</v>
      </c>
      <c r="W145" s="90"/>
      <c r="X145" s="90"/>
      <c r="Y145" s="90"/>
      <c r="Z145" s="90"/>
      <c r="AA145" s="90"/>
      <c r="AB145" s="90"/>
      <c r="AC145" s="90">
        <v>3.89</v>
      </c>
      <c r="AD145" s="90">
        <v>86.6</v>
      </c>
      <c r="AE145" s="90">
        <v>0.27</v>
      </c>
      <c r="AF145" s="90">
        <v>13.5</v>
      </c>
      <c r="AG145" s="90"/>
      <c r="AH145" s="90"/>
      <c r="AI145" s="90" t="s">
        <v>1552</v>
      </c>
      <c r="AJ145" s="90">
        <v>350</v>
      </c>
      <c r="AK145" s="92">
        <v>365</v>
      </c>
      <c r="AL145" s="92">
        <v>30266</v>
      </c>
    </row>
    <row r="146" spans="1:43" ht="15" thickBot="1" x14ac:dyDescent="0.35">
      <c r="A146" s="118" t="s">
        <v>1594</v>
      </c>
      <c r="B146" s="115" t="s">
        <v>2853</v>
      </c>
      <c r="C146" s="115" t="s">
        <v>2852</v>
      </c>
      <c r="D146" s="122"/>
      <c r="E146" s="122"/>
      <c r="F146" s="92" t="s">
        <v>1557</v>
      </c>
      <c r="G146" s="92" t="s">
        <v>1570</v>
      </c>
      <c r="H146" s="92"/>
      <c r="I146" s="92" t="s">
        <v>1530</v>
      </c>
      <c r="J146" s="92"/>
      <c r="K146" s="92"/>
      <c r="L146" s="92" t="s">
        <v>1531</v>
      </c>
      <c r="M146" s="92"/>
      <c r="N146" s="92">
        <v>0.08</v>
      </c>
      <c r="O146" s="92">
        <v>0.45</v>
      </c>
      <c r="P146" s="92"/>
      <c r="Q146" s="92">
        <v>0.27</v>
      </c>
      <c r="R146" s="92"/>
      <c r="S146" s="92"/>
      <c r="T146" s="92">
        <v>0.2</v>
      </c>
      <c r="U146" s="92"/>
      <c r="V146" s="90" t="s">
        <v>1264</v>
      </c>
      <c r="W146" s="90"/>
      <c r="X146" s="90"/>
      <c r="Y146" s="90" t="s">
        <v>1268</v>
      </c>
      <c r="Z146" s="90" t="s">
        <v>863</v>
      </c>
      <c r="AA146" s="90">
        <v>0.5</v>
      </c>
      <c r="AB146" s="90" t="s">
        <v>1595</v>
      </c>
      <c r="AC146" s="90">
        <v>2.8</v>
      </c>
      <c r="AD146" s="90"/>
      <c r="AE146" s="90">
        <v>0.37</v>
      </c>
      <c r="AF146" s="90">
        <v>18.5</v>
      </c>
      <c r="AG146" s="90"/>
      <c r="AH146" s="90"/>
      <c r="AI146" s="90" t="s">
        <v>1534</v>
      </c>
      <c r="AJ146" s="90">
        <v>300</v>
      </c>
      <c r="AK146" s="92">
        <v>420</v>
      </c>
      <c r="AL146" s="92">
        <v>257</v>
      </c>
    </row>
    <row r="147" spans="1:43" ht="15" thickBot="1" x14ac:dyDescent="0.35">
      <c r="A147" s="118" t="s">
        <v>1596</v>
      </c>
      <c r="B147" s="115" t="s">
        <v>2855</v>
      </c>
      <c r="C147" s="115" t="s">
        <v>2854</v>
      </c>
      <c r="D147" s="122"/>
      <c r="E147" s="122"/>
      <c r="F147" s="92" t="s">
        <v>1554</v>
      </c>
      <c r="G147" s="92"/>
      <c r="H147" s="92"/>
      <c r="I147" s="92" t="s">
        <v>964</v>
      </c>
      <c r="J147" s="92"/>
      <c r="K147" s="92"/>
      <c r="L147" s="92" t="s">
        <v>1548</v>
      </c>
      <c r="M147" s="92"/>
      <c r="N147" s="92">
        <v>0.15</v>
      </c>
      <c r="O147" s="92"/>
      <c r="P147" s="92"/>
      <c r="Q147" s="92">
        <v>0.54</v>
      </c>
      <c r="R147" s="92"/>
      <c r="S147" s="92"/>
      <c r="T147" s="92">
        <v>0.3</v>
      </c>
      <c r="U147" s="92"/>
      <c r="V147" s="90" t="s">
        <v>1264</v>
      </c>
      <c r="W147" s="90">
        <v>333</v>
      </c>
      <c r="X147" s="90">
        <v>6</v>
      </c>
      <c r="Y147" s="90"/>
      <c r="Z147" s="90"/>
      <c r="AA147" s="90"/>
      <c r="AB147" s="90" t="s">
        <v>518</v>
      </c>
      <c r="AC147" s="90">
        <v>3.26</v>
      </c>
      <c r="AD147" s="90"/>
      <c r="AE147" s="90">
        <v>1.2</v>
      </c>
      <c r="AF147" s="90">
        <v>0</v>
      </c>
      <c r="AG147" s="90" t="s">
        <v>1550</v>
      </c>
      <c r="AH147" s="90" t="s">
        <v>1551</v>
      </c>
      <c r="AI147" s="90" t="s">
        <v>1534</v>
      </c>
      <c r="AJ147" s="90">
        <v>350</v>
      </c>
      <c r="AK147" s="92">
        <v>250</v>
      </c>
      <c r="AL147" s="92">
        <v>319</v>
      </c>
    </row>
    <row r="148" spans="1:43" ht="15" thickBot="1" x14ac:dyDescent="0.35">
      <c r="A148" s="118" t="s">
        <v>1596</v>
      </c>
      <c r="B148" s="115" t="s">
        <v>2855</v>
      </c>
      <c r="C148" s="115" t="s">
        <v>2854</v>
      </c>
      <c r="D148" s="122"/>
      <c r="E148" s="122"/>
      <c r="F148" s="90" t="s">
        <v>1554</v>
      </c>
      <c r="G148" s="90"/>
      <c r="H148" s="90"/>
      <c r="I148" s="90" t="s">
        <v>964</v>
      </c>
      <c r="J148" s="90"/>
      <c r="K148" s="90"/>
      <c r="L148" s="90" t="s">
        <v>1548</v>
      </c>
      <c r="M148" s="90"/>
      <c r="N148" s="90">
        <v>0.15</v>
      </c>
      <c r="O148" s="90"/>
      <c r="P148" s="90"/>
      <c r="Q148" s="90">
        <v>0.54</v>
      </c>
      <c r="R148" s="90"/>
      <c r="S148" s="90"/>
      <c r="T148" s="90">
        <v>0.3</v>
      </c>
      <c r="U148" s="90"/>
      <c r="V148" s="90" t="s">
        <v>1264</v>
      </c>
      <c r="W148" s="90">
        <v>333</v>
      </c>
      <c r="X148" s="90">
        <v>6</v>
      </c>
      <c r="Y148" s="90"/>
      <c r="Z148" s="90"/>
      <c r="AA148" s="90"/>
      <c r="AB148" s="90" t="s">
        <v>518</v>
      </c>
      <c r="AC148" s="90">
        <v>2.4300000000000002</v>
      </c>
      <c r="AD148" s="90"/>
      <c r="AE148" s="90">
        <v>4.08</v>
      </c>
      <c r="AF148" s="90">
        <v>0</v>
      </c>
      <c r="AG148" s="90" t="s">
        <v>1550</v>
      </c>
      <c r="AH148" s="90" t="s">
        <v>1551</v>
      </c>
      <c r="AI148" s="90" t="s">
        <v>1534</v>
      </c>
      <c r="AJ148" s="90">
        <v>350</v>
      </c>
      <c r="AK148" s="92">
        <v>250</v>
      </c>
      <c r="AL148" s="92">
        <v>284</v>
      </c>
      <c r="AN148" t="s">
        <v>2860</v>
      </c>
    </row>
    <row r="149" spans="1:43" ht="15" thickBot="1" x14ac:dyDescent="0.35">
      <c r="A149" s="118"/>
      <c r="B149" s="114" t="s">
        <v>2856</v>
      </c>
      <c r="C149" s="115" t="s">
        <v>8</v>
      </c>
      <c r="D149" s="122">
        <v>0</v>
      </c>
      <c r="E149" s="122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 t="s">
        <v>1264</v>
      </c>
      <c r="W149" s="90">
        <f t="shared" ref="W149:W160" si="9">1150+273</f>
        <v>1423</v>
      </c>
      <c r="X149" s="90">
        <v>24</v>
      </c>
      <c r="Y149" s="90"/>
      <c r="Z149" s="90"/>
      <c r="AA149" s="90"/>
      <c r="AB149" s="90"/>
      <c r="AC149" s="90"/>
      <c r="AD149" s="90"/>
      <c r="AE149" s="90">
        <v>2</v>
      </c>
      <c r="AF149" s="90">
        <v>10</v>
      </c>
      <c r="AG149" s="90"/>
      <c r="AH149" s="90"/>
      <c r="AI149" s="90" t="s">
        <v>1552</v>
      </c>
      <c r="AJ149" s="90">
        <v>100</v>
      </c>
      <c r="AK149" s="90">
        <v>290</v>
      </c>
      <c r="AL149" s="92">
        <v>133.92857142857144</v>
      </c>
      <c r="AM149" s="115" t="s">
        <v>8</v>
      </c>
      <c r="AN149">
        <v>3</v>
      </c>
      <c r="AO149">
        <f>AN149*0.001/22.4</f>
        <v>1.3392857142857144E-4</v>
      </c>
      <c r="AP149">
        <f>AO149*1000000</f>
        <v>133.92857142857144</v>
      </c>
    </row>
    <row r="150" spans="1:43" ht="15" thickBot="1" x14ac:dyDescent="0.35">
      <c r="A150" s="118"/>
      <c r="B150" s="114" t="s">
        <v>2856</v>
      </c>
      <c r="C150" s="115" t="s">
        <v>153</v>
      </c>
      <c r="D150" s="122">
        <v>12.05</v>
      </c>
      <c r="E150" s="122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 t="s">
        <v>1264</v>
      </c>
      <c r="W150" s="90">
        <f t="shared" si="9"/>
        <v>1423</v>
      </c>
      <c r="X150" s="90">
        <v>24</v>
      </c>
      <c r="Y150" s="90"/>
      <c r="Z150" s="90"/>
      <c r="AA150" s="90"/>
      <c r="AB150" s="90"/>
      <c r="AC150" s="90">
        <v>3.45</v>
      </c>
      <c r="AD150" s="90">
        <v>10.220000000000001</v>
      </c>
      <c r="AE150" s="90">
        <v>2</v>
      </c>
      <c r="AF150" s="90">
        <v>10</v>
      </c>
      <c r="AG150" s="90"/>
      <c r="AH150" s="90"/>
      <c r="AI150" s="90" t="s">
        <v>1552</v>
      </c>
      <c r="AJ150" s="90">
        <v>100</v>
      </c>
      <c r="AK150" s="90">
        <v>290</v>
      </c>
      <c r="AL150" s="92">
        <v>669.64285714285711</v>
      </c>
      <c r="AM150" s="115" t="s">
        <v>153</v>
      </c>
      <c r="AN150">
        <v>15</v>
      </c>
      <c r="AO150">
        <f t="shared" ref="AO150:AO160" si="10">AN150*0.001/22.4</f>
        <v>6.6964285714285715E-4</v>
      </c>
      <c r="AP150">
        <f t="shared" ref="AP150:AP160" si="11">AO150*1000000</f>
        <v>669.64285714285711</v>
      </c>
    </row>
    <row r="151" spans="1:43" ht="15" thickBot="1" x14ac:dyDescent="0.35">
      <c r="A151" s="118"/>
      <c r="B151" s="114" t="s">
        <v>2856</v>
      </c>
      <c r="C151" s="115" t="s">
        <v>2857</v>
      </c>
      <c r="D151" s="122">
        <v>11.95</v>
      </c>
      <c r="E151" s="122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 t="s">
        <v>1264</v>
      </c>
      <c r="W151" s="90">
        <f t="shared" si="9"/>
        <v>1423</v>
      </c>
      <c r="X151" s="90">
        <v>24</v>
      </c>
      <c r="Y151" s="90"/>
      <c r="Z151" s="90"/>
      <c r="AA151" s="90"/>
      <c r="AB151" s="90"/>
      <c r="AC151" s="90">
        <v>3.62</v>
      </c>
      <c r="AD151" s="90">
        <v>10.63</v>
      </c>
      <c r="AE151" s="90">
        <v>2</v>
      </c>
      <c r="AF151" s="90">
        <v>10</v>
      </c>
      <c r="AG151" s="90"/>
      <c r="AH151" s="90"/>
      <c r="AI151" s="90" t="s">
        <v>1552</v>
      </c>
      <c r="AJ151" s="90">
        <v>100</v>
      </c>
      <c r="AK151" s="90">
        <v>290</v>
      </c>
      <c r="AL151" s="92">
        <v>937.50000000000011</v>
      </c>
      <c r="AM151" s="115" t="s">
        <v>2857</v>
      </c>
      <c r="AN151">
        <v>21</v>
      </c>
      <c r="AO151">
        <f t="shared" si="10"/>
        <v>9.3750000000000007E-4</v>
      </c>
      <c r="AP151">
        <f t="shared" si="11"/>
        <v>937.50000000000011</v>
      </c>
    </row>
    <row r="152" spans="1:43" ht="15" thickBot="1" x14ac:dyDescent="0.35">
      <c r="A152" s="118"/>
      <c r="B152" s="114" t="s">
        <v>2856</v>
      </c>
      <c r="C152" s="115" t="s">
        <v>2858</v>
      </c>
      <c r="D152" s="122">
        <v>10.69</v>
      </c>
      <c r="E152" s="122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 t="s">
        <v>1264</v>
      </c>
      <c r="W152" s="90">
        <f t="shared" si="9"/>
        <v>1423</v>
      </c>
      <c r="X152" s="90">
        <v>24</v>
      </c>
      <c r="Y152" s="90"/>
      <c r="Z152" s="90"/>
      <c r="AA152" s="90"/>
      <c r="AB152" s="90"/>
      <c r="AC152" s="90">
        <v>3.78</v>
      </c>
      <c r="AD152" s="90">
        <v>11.56</v>
      </c>
      <c r="AE152" s="90">
        <v>2</v>
      </c>
      <c r="AF152" s="90">
        <v>10</v>
      </c>
      <c r="AG152" s="90"/>
      <c r="AH152" s="90"/>
      <c r="AI152" s="90" t="s">
        <v>1552</v>
      </c>
      <c r="AJ152" s="90">
        <v>100</v>
      </c>
      <c r="AK152" s="90">
        <v>290</v>
      </c>
      <c r="AL152" s="92">
        <v>803.57142857142867</v>
      </c>
      <c r="AM152" s="115" t="s">
        <v>2858</v>
      </c>
      <c r="AN152">
        <v>18</v>
      </c>
      <c r="AO152">
        <f t="shared" si="10"/>
        <v>8.0357142857142867E-4</v>
      </c>
      <c r="AP152">
        <f t="shared" si="11"/>
        <v>803.57142857142867</v>
      </c>
    </row>
    <row r="153" spans="1:43" ht="15" thickBot="1" x14ac:dyDescent="0.35">
      <c r="A153" s="118"/>
      <c r="B153" s="114" t="s">
        <v>2856</v>
      </c>
      <c r="C153" s="115" t="s">
        <v>2859</v>
      </c>
      <c r="D153" s="122">
        <v>10.56</v>
      </c>
      <c r="E153" s="122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 t="s">
        <v>1264</v>
      </c>
      <c r="W153" s="90">
        <f t="shared" si="9"/>
        <v>1423</v>
      </c>
      <c r="X153" s="90">
        <v>24</v>
      </c>
      <c r="Y153" s="90"/>
      <c r="Z153" s="90"/>
      <c r="AA153" s="90"/>
      <c r="AB153" s="90"/>
      <c r="AC153" s="90">
        <v>3.87</v>
      </c>
      <c r="AD153" s="90">
        <v>12.42</v>
      </c>
      <c r="AE153" s="90">
        <v>2</v>
      </c>
      <c r="AF153" s="90">
        <v>10</v>
      </c>
      <c r="AG153" s="90"/>
      <c r="AH153" s="90"/>
      <c r="AI153" s="90" t="s">
        <v>1552</v>
      </c>
      <c r="AJ153" s="90">
        <v>100</v>
      </c>
      <c r="AK153" s="90">
        <v>290</v>
      </c>
      <c r="AL153" s="92">
        <v>758.92857142857156</v>
      </c>
      <c r="AM153" s="115" t="s">
        <v>2859</v>
      </c>
      <c r="AN153">
        <v>17</v>
      </c>
      <c r="AO153">
        <f t="shared" si="10"/>
        <v>7.5892857142857153E-4</v>
      </c>
      <c r="AP153">
        <f t="shared" si="11"/>
        <v>758.92857142857156</v>
      </c>
    </row>
    <row r="154" spans="1:43" ht="15" thickBot="1" x14ac:dyDescent="0.35">
      <c r="A154" s="118"/>
      <c r="B154" s="114" t="s">
        <v>2856</v>
      </c>
      <c r="C154" s="115" t="s">
        <v>136</v>
      </c>
      <c r="D154" s="122">
        <v>9.67</v>
      </c>
      <c r="E154" s="122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 t="s">
        <v>1264</v>
      </c>
      <c r="W154" s="90">
        <f t="shared" si="9"/>
        <v>1423</v>
      </c>
      <c r="X154" s="90">
        <v>24</v>
      </c>
      <c r="Y154" s="90"/>
      <c r="Z154" s="90"/>
      <c r="AA154" s="90"/>
      <c r="AB154" s="90"/>
      <c r="AC154" s="90">
        <v>4.25</v>
      </c>
      <c r="AD154" s="90">
        <v>13.35</v>
      </c>
      <c r="AE154" s="90">
        <v>2</v>
      </c>
      <c r="AF154" s="90">
        <v>10</v>
      </c>
      <c r="AG154" s="90"/>
      <c r="AH154" s="90"/>
      <c r="AI154" s="90" t="s">
        <v>1552</v>
      </c>
      <c r="AJ154" s="90">
        <v>100</v>
      </c>
      <c r="AK154" s="90">
        <v>290</v>
      </c>
      <c r="AL154" s="92">
        <v>267.85714285714289</v>
      </c>
      <c r="AM154" s="115" t="s">
        <v>136</v>
      </c>
      <c r="AN154">
        <v>6</v>
      </c>
      <c r="AO154">
        <f t="shared" si="10"/>
        <v>2.6785714285714287E-4</v>
      </c>
      <c r="AP154">
        <f t="shared" si="11"/>
        <v>267.85714285714289</v>
      </c>
    </row>
    <row r="155" spans="1:43" ht="15" thickBot="1" x14ac:dyDescent="0.35">
      <c r="A155" s="118"/>
      <c r="B155" s="114" t="s">
        <v>2856</v>
      </c>
      <c r="C155" s="115" t="s">
        <v>8</v>
      </c>
      <c r="D155" s="122">
        <v>0</v>
      </c>
      <c r="E155" s="122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 t="s">
        <v>1264</v>
      </c>
      <c r="W155" s="90">
        <f t="shared" si="9"/>
        <v>1423</v>
      </c>
      <c r="X155" s="90">
        <v>24</v>
      </c>
      <c r="Y155" s="90"/>
      <c r="Z155" s="90"/>
      <c r="AA155" s="90"/>
      <c r="AB155" s="90"/>
      <c r="AC155" s="90"/>
      <c r="AD155" s="90"/>
      <c r="AE155" s="90">
        <v>2</v>
      </c>
      <c r="AF155" s="90">
        <v>10</v>
      </c>
      <c r="AG155" s="90"/>
      <c r="AH155" s="90"/>
      <c r="AI155" s="90" t="s">
        <v>1552</v>
      </c>
      <c r="AJ155" s="90">
        <v>100</v>
      </c>
      <c r="AK155" s="90">
        <v>290</v>
      </c>
      <c r="AL155" s="92">
        <v>4508.9285714285716</v>
      </c>
      <c r="AM155" s="115" t="s">
        <v>8</v>
      </c>
      <c r="AN155">
        <v>101</v>
      </c>
      <c r="AO155">
        <f t="shared" si="10"/>
        <v>4.5089285714285717E-3</v>
      </c>
      <c r="AP155">
        <f t="shared" si="11"/>
        <v>4508.9285714285716</v>
      </c>
    </row>
    <row r="156" spans="1:43" ht="15" thickBot="1" x14ac:dyDescent="0.35">
      <c r="A156" s="118"/>
      <c r="B156" s="114" t="s">
        <v>2856</v>
      </c>
      <c r="C156" s="115" t="s">
        <v>153</v>
      </c>
      <c r="D156" s="122">
        <v>10.77</v>
      </c>
      <c r="E156" s="122"/>
      <c r="F156" s="90">
        <v>1.42</v>
      </c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 t="s">
        <v>1264</v>
      </c>
      <c r="W156" s="90">
        <f t="shared" si="9"/>
        <v>1423</v>
      </c>
      <c r="X156" s="90">
        <v>24</v>
      </c>
      <c r="Y156" s="90" t="s">
        <v>1533</v>
      </c>
      <c r="Z156" s="90" t="s">
        <v>863</v>
      </c>
      <c r="AA156" s="90">
        <v>1.42</v>
      </c>
      <c r="AB156" s="90"/>
      <c r="AC156" s="90">
        <v>3.42</v>
      </c>
      <c r="AD156" s="90">
        <v>10.84</v>
      </c>
      <c r="AE156" s="90">
        <v>2</v>
      </c>
      <c r="AF156" s="90">
        <v>10</v>
      </c>
      <c r="AG156" s="90"/>
      <c r="AH156" s="90"/>
      <c r="AI156" s="90" t="s">
        <v>1552</v>
      </c>
      <c r="AJ156" s="90">
        <v>100</v>
      </c>
      <c r="AK156" s="90">
        <v>290</v>
      </c>
      <c r="AL156" s="125">
        <v>1517.8571428571431</v>
      </c>
      <c r="AM156" s="115" t="s">
        <v>153</v>
      </c>
      <c r="AN156">
        <v>34</v>
      </c>
      <c r="AO156">
        <f t="shared" si="10"/>
        <v>1.5178571428571431E-3</v>
      </c>
      <c r="AP156">
        <f t="shared" si="11"/>
        <v>1517.8571428571431</v>
      </c>
      <c r="AQ156" t="e">
        <f>AP156/#REF!</f>
        <v>#REF!</v>
      </c>
    </row>
    <row r="157" spans="1:43" ht="15" thickBot="1" x14ac:dyDescent="0.35">
      <c r="A157" s="118"/>
      <c r="B157" s="114" t="s">
        <v>2856</v>
      </c>
      <c r="C157" s="115" t="s">
        <v>2857</v>
      </c>
      <c r="D157" s="122">
        <v>10.55</v>
      </c>
      <c r="E157" s="122"/>
      <c r="F157" s="90">
        <v>1.03</v>
      </c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 t="s">
        <v>1264</v>
      </c>
      <c r="W157" s="90">
        <f t="shared" si="9"/>
        <v>1423</v>
      </c>
      <c r="X157" s="90">
        <v>24</v>
      </c>
      <c r="Y157" s="90" t="s">
        <v>1533</v>
      </c>
      <c r="Z157" s="90" t="s">
        <v>863</v>
      </c>
      <c r="AA157" s="90">
        <v>1.03</v>
      </c>
      <c r="AB157" s="90"/>
      <c r="AC157" s="90">
        <v>3.6</v>
      </c>
      <c r="AD157" s="90">
        <v>11.4</v>
      </c>
      <c r="AE157" s="90">
        <v>2</v>
      </c>
      <c r="AF157" s="90">
        <v>10</v>
      </c>
      <c r="AG157" s="90"/>
      <c r="AH157" s="90"/>
      <c r="AI157" s="90" t="s">
        <v>1552</v>
      </c>
      <c r="AJ157" s="90">
        <v>100</v>
      </c>
      <c r="AK157" s="90">
        <v>290</v>
      </c>
      <c r="AL157" s="92">
        <v>6071.4285714285725</v>
      </c>
      <c r="AM157" s="115" t="s">
        <v>2857</v>
      </c>
      <c r="AN157">
        <v>136</v>
      </c>
      <c r="AO157">
        <f>AN157*0.001/22.4</f>
        <v>6.0714285714285722E-3</v>
      </c>
      <c r="AP157">
        <f t="shared" si="11"/>
        <v>6071.4285714285725</v>
      </c>
      <c r="AQ157" t="e">
        <f>AP157/#REF!</f>
        <v>#REF!</v>
      </c>
    </row>
    <row r="158" spans="1:43" ht="15" thickBot="1" x14ac:dyDescent="0.35">
      <c r="A158" s="118"/>
      <c r="B158" s="114" t="s">
        <v>2856</v>
      </c>
      <c r="C158" s="115" t="s">
        <v>2858</v>
      </c>
      <c r="D158" s="122">
        <v>10.56</v>
      </c>
      <c r="E158" s="122"/>
      <c r="F158" s="90">
        <v>1.1200000000000001</v>
      </c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 t="s">
        <v>1264</v>
      </c>
      <c r="W158" s="90">
        <f t="shared" si="9"/>
        <v>1423</v>
      </c>
      <c r="X158" s="90">
        <v>24</v>
      </c>
      <c r="Y158" s="90" t="s">
        <v>1533</v>
      </c>
      <c r="Z158" s="90" t="s">
        <v>863</v>
      </c>
      <c r="AA158" s="90">
        <v>1.1200000000000001</v>
      </c>
      <c r="AB158" s="90"/>
      <c r="AC158" s="90">
        <v>3.72</v>
      </c>
      <c r="AD158" s="90">
        <v>11.13</v>
      </c>
      <c r="AE158" s="90">
        <v>2</v>
      </c>
      <c r="AF158" s="90">
        <v>10</v>
      </c>
      <c r="AG158" s="90"/>
      <c r="AH158" s="90"/>
      <c r="AI158" s="90" t="s">
        <v>1552</v>
      </c>
      <c r="AJ158" s="90">
        <v>100</v>
      </c>
      <c r="AK158" s="90">
        <v>290</v>
      </c>
      <c r="AL158" s="92">
        <v>2232.1428571428573</v>
      </c>
      <c r="AM158" s="115" t="s">
        <v>2858</v>
      </c>
      <c r="AN158">
        <v>50</v>
      </c>
      <c r="AO158">
        <f t="shared" si="10"/>
        <v>2.2321428571428575E-3</v>
      </c>
      <c r="AP158">
        <f t="shared" si="11"/>
        <v>2232.1428571428573</v>
      </c>
      <c r="AQ158" t="e">
        <f>AP158/#REF!</f>
        <v>#REF!</v>
      </c>
    </row>
    <row r="159" spans="1:43" ht="15" thickBot="1" x14ac:dyDescent="0.35">
      <c r="A159" s="118"/>
      <c r="B159" s="114" t="s">
        <v>2856</v>
      </c>
      <c r="C159" s="115" t="s">
        <v>2859</v>
      </c>
      <c r="D159" s="122">
        <v>10.53</v>
      </c>
      <c r="E159" s="122"/>
      <c r="F159" s="90">
        <v>1.18</v>
      </c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 t="s">
        <v>1264</v>
      </c>
      <c r="W159" s="90">
        <f t="shared" si="9"/>
        <v>1423</v>
      </c>
      <c r="X159" s="90">
        <v>24</v>
      </c>
      <c r="Y159" s="90" t="s">
        <v>1533</v>
      </c>
      <c r="Z159" s="90" t="s">
        <v>863</v>
      </c>
      <c r="AA159" s="90">
        <v>1.18</v>
      </c>
      <c r="AB159" s="90"/>
      <c r="AC159" s="90">
        <v>3.81</v>
      </c>
      <c r="AD159" s="90">
        <v>11.28</v>
      </c>
      <c r="AE159" s="90">
        <v>2</v>
      </c>
      <c r="AF159" s="90">
        <v>10</v>
      </c>
      <c r="AG159" s="90"/>
      <c r="AH159" s="90"/>
      <c r="AI159" s="90" t="s">
        <v>1552</v>
      </c>
      <c r="AJ159" s="90">
        <v>100</v>
      </c>
      <c r="AK159" s="90">
        <v>290</v>
      </c>
      <c r="AL159" s="92">
        <v>1785.7142857142858</v>
      </c>
      <c r="AM159" s="115" t="s">
        <v>2859</v>
      </c>
      <c r="AN159">
        <v>40</v>
      </c>
      <c r="AO159">
        <f t="shared" si="10"/>
        <v>1.7857142857142859E-3</v>
      </c>
      <c r="AP159">
        <f t="shared" si="11"/>
        <v>1785.7142857142858</v>
      </c>
      <c r="AQ159" t="e">
        <f>AP159/#REF!</f>
        <v>#REF!</v>
      </c>
    </row>
    <row r="160" spans="1:43" ht="15" thickBot="1" x14ac:dyDescent="0.35">
      <c r="A160" s="118"/>
      <c r="B160" s="114" t="s">
        <v>2856</v>
      </c>
      <c r="C160" s="115" t="s">
        <v>136</v>
      </c>
      <c r="D160" s="122">
        <v>9.7899999999999991</v>
      </c>
      <c r="E160" s="122"/>
      <c r="F160" s="90">
        <v>1.35</v>
      </c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 t="s">
        <v>1264</v>
      </c>
      <c r="W160" s="90">
        <f t="shared" si="9"/>
        <v>1423</v>
      </c>
      <c r="X160" s="90">
        <v>24</v>
      </c>
      <c r="Y160" s="90" t="s">
        <v>1533</v>
      </c>
      <c r="Z160" s="90" t="s">
        <v>863</v>
      </c>
      <c r="AA160" s="90">
        <v>1.35</v>
      </c>
      <c r="AB160" s="90"/>
      <c r="AC160" s="90">
        <v>3.92</v>
      </c>
      <c r="AD160" s="90">
        <v>12.01</v>
      </c>
      <c r="AE160" s="90">
        <v>2</v>
      </c>
      <c r="AF160" s="90">
        <v>10</v>
      </c>
      <c r="AG160" s="90"/>
      <c r="AH160" s="90"/>
      <c r="AI160" s="90" t="s">
        <v>1552</v>
      </c>
      <c r="AJ160" s="90">
        <v>100</v>
      </c>
      <c r="AK160" s="90">
        <v>290</v>
      </c>
      <c r="AL160" s="92">
        <v>758.92857142857156</v>
      </c>
      <c r="AM160" s="115" t="s">
        <v>136</v>
      </c>
      <c r="AN160">
        <v>17</v>
      </c>
      <c r="AO160">
        <f t="shared" si="10"/>
        <v>7.5892857142857153E-4</v>
      </c>
      <c r="AP160">
        <f t="shared" si="11"/>
        <v>758.92857142857156</v>
      </c>
      <c r="AQ160" t="e">
        <f>AP160/#REF!</f>
        <v>#REF!</v>
      </c>
    </row>
    <row r="161" spans="1:39" ht="15" thickBot="1" x14ac:dyDescent="0.35">
      <c r="A161" s="118" t="s">
        <v>1599</v>
      </c>
      <c r="B161" s="114" t="s">
        <v>2861</v>
      </c>
      <c r="C161" s="115" t="s">
        <v>2862</v>
      </c>
      <c r="D161" s="122"/>
      <c r="E161" s="122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 t="s">
        <v>1336</v>
      </c>
      <c r="W161" s="90">
        <v>273</v>
      </c>
      <c r="X161" s="90">
        <v>3</v>
      </c>
      <c r="Y161" s="90"/>
      <c r="Z161" s="90"/>
      <c r="AA161" s="90"/>
      <c r="AB161" s="90"/>
      <c r="AC161" s="90">
        <v>3.6</v>
      </c>
      <c r="AD161" s="90"/>
      <c r="AE161" s="90">
        <v>0.5</v>
      </c>
      <c r="AF161" s="90">
        <v>0</v>
      </c>
      <c r="AG161" s="90" t="s">
        <v>2866</v>
      </c>
      <c r="AH161" s="90"/>
      <c r="AI161" s="90" t="s">
        <v>1534</v>
      </c>
      <c r="AJ161" s="90">
        <v>125</v>
      </c>
      <c r="AK161" s="90">
        <v>400</v>
      </c>
      <c r="AL161" s="92">
        <v>0.92</v>
      </c>
      <c r="AM161" s="126"/>
    </row>
    <row r="162" spans="1:39" ht="15" thickBot="1" x14ac:dyDescent="0.35">
      <c r="A162" s="118" t="s">
        <v>1599</v>
      </c>
      <c r="B162" s="114" t="s">
        <v>2861</v>
      </c>
      <c r="C162" s="115" t="s">
        <v>2862</v>
      </c>
      <c r="D162" s="122"/>
      <c r="E162" s="122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 t="s">
        <v>1336</v>
      </c>
      <c r="W162" s="90">
        <v>573</v>
      </c>
      <c r="X162" s="90">
        <v>3</v>
      </c>
      <c r="Y162" s="90"/>
      <c r="Z162" s="90"/>
      <c r="AA162" s="90"/>
      <c r="AB162" s="90"/>
      <c r="AC162" s="90">
        <v>2.69</v>
      </c>
      <c r="AD162" s="90"/>
      <c r="AE162" s="90">
        <v>0.5</v>
      </c>
      <c r="AF162" s="90">
        <v>0</v>
      </c>
      <c r="AG162" s="90" t="s">
        <v>2866</v>
      </c>
      <c r="AH162" s="90"/>
      <c r="AI162" s="90" t="s">
        <v>1534</v>
      </c>
      <c r="AJ162" s="90">
        <v>125</v>
      </c>
      <c r="AK162" s="90">
        <v>400</v>
      </c>
      <c r="AL162" s="92">
        <v>439</v>
      </c>
      <c r="AM162" s="126"/>
    </row>
    <row r="163" spans="1:39" ht="15" thickBot="1" x14ac:dyDescent="0.35">
      <c r="A163" s="118" t="s">
        <v>1599</v>
      </c>
      <c r="B163" s="114" t="s">
        <v>2861</v>
      </c>
      <c r="C163" s="115" t="s">
        <v>2862</v>
      </c>
      <c r="D163" s="122"/>
      <c r="E163" s="122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 t="s">
        <v>1336</v>
      </c>
      <c r="W163" s="90">
        <v>673</v>
      </c>
      <c r="X163" s="90">
        <v>3</v>
      </c>
      <c r="Y163" s="90"/>
      <c r="Z163" s="90"/>
      <c r="AA163" s="90"/>
      <c r="AB163" s="90"/>
      <c r="AC163" s="90">
        <v>2.72</v>
      </c>
      <c r="AD163" s="90"/>
      <c r="AE163" s="90">
        <v>0.5</v>
      </c>
      <c r="AF163" s="90">
        <v>0</v>
      </c>
      <c r="AG163" s="90" t="s">
        <v>2866</v>
      </c>
      <c r="AH163" s="90"/>
      <c r="AI163" s="90" t="s">
        <v>1534</v>
      </c>
      <c r="AJ163" s="90">
        <v>125</v>
      </c>
      <c r="AK163" s="90">
        <v>400</v>
      </c>
      <c r="AL163" s="92">
        <v>574</v>
      </c>
      <c r="AM163" s="126"/>
    </row>
    <row r="164" spans="1:39" ht="15" thickBot="1" x14ac:dyDescent="0.35">
      <c r="A164" s="118" t="s">
        <v>1599</v>
      </c>
      <c r="B164" s="114" t="s">
        <v>2861</v>
      </c>
      <c r="C164" s="115" t="s">
        <v>2862</v>
      </c>
      <c r="D164" s="122"/>
      <c r="E164" s="122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 t="s">
        <v>1336</v>
      </c>
      <c r="W164" s="90">
        <v>773</v>
      </c>
      <c r="X164" s="90">
        <v>3</v>
      </c>
      <c r="Y164" s="90"/>
      <c r="Z164" s="90"/>
      <c r="AA164" s="90"/>
      <c r="AB164" s="90"/>
      <c r="AC164" s="90">
        <v>2.95</v>
      </c>
      <c r="AD164" s="90"/>
      <c r="AE164" s="90">
        <v>0.5</v>
      </c>
      <c r="AF164" s="90">
        <v>0</v>
      </c>
      <c r="AG164" s="90" t="s">
        <v>2866</v>
      </c>
      <c r="AH164" s="90"/>
      <c r="AI164" s="90" t="s">
        <v>1534</v>
      </c>
      <c r="AJ164" s="90">
        <v>125</v>
      </c>
      <c r="AK164" s="90">
        <v>400</v>
      </c>
      <c r="AL164" s="92">
        <v>359</v>
      </c>
      <c r="AM164" s="126"/>
    </row>
    <row r="165" spans="1:39" ht="15" thickBot="1" x14ac:dyDescent="0.35">
      <c r="A165" s="118" t="s">
        <v>1599</v>
      </c>
      <c r="B165" s="114" t="s">
        <v>2861</v>
      </c>
      <c r="C165" s="115" t="s">
        <v>2863</v>
      </c>
      <c r="D165" s="122"/>
      <c r="E165" s="122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 t="s">
        <v>1336</v>
      </c>
      <c r="W165" s="90">
        <v>273</v>
      </c>
      <c r="X165" s="90">
        <v>3</v>
      </c>
      <c r="Y165" s="90"/>
      <c r="Z165" s="90"/>
      <c r="AA165" s="90"/>
      <c r="AB165" s="90"/>
      <c r="AC165" s="90">
        <v>3.7</v>
      </c>
      <c r="AD165" s="90"/>
      <c r="AE165" s="90">
        <v>0.5</v>
      </c>
      <c r="AF165" s="90">
        <v>0</v>
      </c>
      <c r="AG165" s="90" t="s">
        <v>2866</v>
      </c>
      <c r="AH165" s="90"/>
      <c r="AI165" s="90" t="s">
        <v>1534</v>
      </c>
      <c r="AJ165" s="90">
        <v>125</v>
      </c>
      <c r="AK165" s="90">
        <v>400</v>
      </c>
      <c r="AL165" s="92">
        <v>5.74</v>
      </c>
      <c r="AM165" s="126"/>
    </row>
    <row r="166" spans="1:39" ht="15" thickBot="1" x14ac:dyDescent="0.35">
      <c r="A166" s="118" t="s">
        <v>1599</v>
      </c>
      <c r="B166" s="114" t="s">
        <v>2861</v>
      </c>
      <c r="C166" s="115" t="s">
        <v>2863</v>
      </c>
      <c r="D166" s="122"/>
      <c r="E166" s="122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 t="s">
        <v>1336</v>
      </c>
      <c r="W166" s="90">
        <v>573</v>
      </c>
      <c r="X166" s="90">
        <v>3</v>
      </c>
      <c r="Y166" s="90"/>
      <c r="Z166" s="90"/>
      <c r="AA166" s="90"/>
      <c r="AB166" s="90"/>
      <c r="AC166" s="90">
        <v>2.8</v>
      </c>
      <c r="AD166" s="90"/>
      <c r="AE166" s="90">
        <v>0.5</v>
      </c>
      <c r="AF166" s="90">
        <v>0</v>
      </c>
      <c r="AG166" s="90" t="s">
        <v>2866</v>
      </c>
      <c r="AH166" s="90"/>
      <c r="AI166" s="90" t="s">
        <v>1534</v>
      </c>
      <c r="AJ166" s="90">
        <v>125</v>
      </c>
      <c r="AK166" s="90">
        <v>400</v>
      </c>
      <c r="AL166" s="92">
        <v>582</v>
      </c>
      <c r="AM166" s="126"/>
    </row>
    <row r="167" spans="1:39" ht="15" thickBot="1" x14ac:dyDescent="0.35">
      <c r="A167" s="118" t="s">
        <v>1599</v>
      </c>
      <c r="B167" s="114" t="s">
        <v>2861</v>
      </c>
      <c r="C167" s="115" t="s">
        <v>2864</v>
      </c>
      <c r="D167" s="122"/>
      <c r="E167" s="122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 t="s">
        <v>1336</v>
      </c>
      <c r="W167" s="90">
        <v>273</v>
      </c>
      <c r="X167" s="90">
        <v>3</v>
      </c>
      <c r="Y167" s="90"/>
      <c r="Z167" s="90"/>
      <c r="AA167" s="90"/>
      <c r="AB167" s="90"/>
      <c r="AC167" s="90">
        <v>3.6</v>
      </c>
      <c r="AD167" s="90"/>
      <c r="AE167" s="90">
        <v>0.5</v>
      </c>
      <c r="AF167" s="90">
        <v>0</v>
      </c>
      <c r="AG167" s="90" t="s">
        <v>2866</v>
      </c>
      <c r="AH167" s="90"/>
      <c r="AI167" s="90" t="s">
        <v>1534</v>
      </c>
      <c r="AJ167" s="90">
        <v>125</v>
      </c>
      <c r="AK167" s="90">
        <v>400</v>
      </c>
      <c r="AL167" s="92">
        <v>0.23</v>
      </c>
      <c r="AM167" s="126"/>
    </row>
    <row r="168" spans="1:39" ht="15" thickBot="1" x14ac:dyDescent="0.35">
      <c r="A168" s="118" t="s">
        <v>1599</v>
      </c>
      <c r="B168" s="114" t="s">
        <v>2861</v>
      </c>
      <c r="C168" s="115" t="s">
        <v>2864</v>
      </c>
      <c r="D168" s="122"/>
      <c r="E168" s="122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 t="s">
        <v>1336</v>
      </c>
      <c r="W168" s="90">
        <v>473</v>
      </c>
      <c r="X168" s="90">
        <v>3</v>
      </c>
      <c r="Y168" s="90"/>
      <c r="Z168" s="90"/>
      <c r="AA168" s="90"/>
      <c r="AB168" s="90"/>
      <c r="AC168" s="90">
        <v>2.5099999999999998</v>
      </c>
      <c r="AD168" s="90"/>
      <c r="AE168" s="90">
        <v>0.5</v>
      </c>
      <c r="AF168" s="90">
        <v>0</v>
      </c>
      <c r="AG168" s="90" t="s">
        <v>2866</v>
      </c>
      <c r="AH168" s="90"/>
      <c r="AI168" s="90" t="s">
        <v>1534</v>
      </c>
      <c r="AJ168" s="90">
        <v>125</v>
      </c>
      <c r="AK168" s="90">
        <v>400</v>
      </c>
      <c r="AL168" s="92">
        <v>1169</v>
      </c>
      <c r="AM168" s="126"/>
    </row>
    <row r="169" spans="1:39" ht="15" thickBot="1" x14ac:dyDescent="0.35">
      <c r="A169" s="118" t="s">
        <v>1599</v>
      </c>
      <c r="B169" s="114" t="s">
        <v>2861</v>
      </c>
      <c r="C169" s="115" t="s">
        <v>2864</v>
      </c>
      <c r="D169" s="122"/>
      <c r="E169" s="122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 t="s">
        <v>1336</v>
      </c>
      <c r="W169" s="90">
        <v>523</v>
      </c>
      <c r="X169" s="90">
        <v>3</v>
      </c>
      <c r="Y169" s="90"/>
      <c r="Z169" s="90"/>
      <c r="AA169" s="90"/>
      <c r="AB169" s="90"/>
      <c r="AC169" s="90">
        <v>2.54</v>
      </c>
      <c r="AD169" s="90"/>
      <c r="AE169" s="90">
        <v>0.5</v>
      </c>
      <c r="AF169" s="90">
        <v>0</v>
      </c>
      <c r="AG169" s="90" t="s">
        <v>2866</v>
      </c>
      <c r="AH169" s="90"/>
      <c r="AI169" s="90" t="s">
        <v>1534</v>
      </c>
      <c r="AJ169" s="90">
        <v>125</v>
      </c>
      <c r="AK169" s="90">
        <v>400</v>
      </c>
      <c r="AL169" s="92">
        <v>1180</v>
      </c>
      <c r="AM169" s="126"/>
    </row>
    <row r="170" spans="1:39" ht="15" thickBot="1" x14ac:dyDescent="0.35">
      <c r="A170" s="118" t="s">
        <v>1599</v>
      </c>
      <c r="B170" s="114" t="s">
        <v>2861</v>
      </c>
      <c r="C170" s="115" t="s">
        <v>2864</v>
      </c>
      <c r="D170" s="122"/>
      <c r="E170" s="122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 t="s">
        <v>1336</v>
      </c>
      <c r="W170" s="90">
        <v>573</v>
      </c>
      <c r="X170" s="90">
        <v>3</v>
      </c>
      <c r="Y170" s="90"/>
      <c r="Z170" s="90"/>
      <c r="AA170" s="90"/>
      <c r="AB170" s="90"/>
      <c r="AC170" s="90">
        <v>2.78</v>
      </c>
      <c r="AD170" s="90"/>
      <c r="AE170" s="90">
        <v>0.5</v>
      </c>
      <c r="AF170" s="90">
        <v>0</v>
      </c>
      <c r="AG170" s="90" t="s">
        <v>2866</v>
      </c>
      <c r="AH170" s="90"/>
      <c r="AI170" s="90" t="s">
        <v>1534</v>
      </c>
      <c r="AJ170" s="90">
        <v>125</v>
      </c>
      <c r="AK170" s="90">
        <v>400</v>
      </c>
      <c r="AL170" s="92">
        <v>788</v>
      </c>
      <c r="AM170" s="126"/>
    </row>
    <row r="171" spans="1:39" ht="15" thickBot="1" x14ac:dyDescent="0.35">
      <c r="A171" s="118" t="s">
        <v>1599</v>
      </c>
      <c r="B171" s="114" t="s">
        <v>2861</v>
      </c>
      <c r="C171" s="115" t="s">
        <v>2865</v>
      </c>
      <c r="D171" s="122"/>
      <c r="E171" s="122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 t="s">
        <v>1336</v>
      </c>
      <c r="W171" s="90">
        <v>273</v>
      </c>
      <c r="X171" s="90">
        <v>3</v>
      </c>
      <c r="Y171" s="90"/>
      <c r="Z171" s="90"/>
      <c r="AA171" s="90"/>
      <c r="AB171" s="90"/>
      <c r="AC171" s="90">
        <v>3.4</v>
      </c>
      <c r="AD171" s="90"/>
      <c r="AE171" s="90">
        <v>0.5</v>
      </c>
      <c r="AF171" s="90">
        <v>0</v>
      </c>
      <c r="AG171" s="90" t="s">
        <v>2866</v>
      </c>
      <c r="AH171" s="90"/>
      <c r="AI171" s="90" t="s">
        <v>1534</v>
      </c>
      <c r="AJ171" s="90">
        <v>125</v>
      </c>
      <c r="AK171" s="90">
        <v>400</v>
      </c>
      <c r="AL171" s="92">
        <v>5.66</v>
      </c>
      <c r="AM171" s="126"/>
    </row>
    <row r="172" spans="1:39" ht="15" thickBot="1" x14ac:dyDescent="0.35">
      <c r="A172" s="118" t="s">
        <v>1599</v>
      </c>
      <c r="B172" s="114" t="s">
        <v>2861</v>
      </c>
      <c r="C172" s="115" t="s">
        <v>2865</v>
      </c>
      <c r="D172" s="122"/>
      <c r="E172" s="122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 t="s">
        <v>1336</v>
      </c>
      <c r="W172" s="90">
        <v>473</v>
      </c>
      <c r="X172" s="90">
        <v>3</v>
      </c>
      <c r="Y172" s="90"/>
      <c r="Z172" s="90"/>
      <c r="AA172" s="90"/>
      <c r="AB172" s="90"/>
      <c r="AC172" s="90">
        <v>2.4700000000000002</v>
      </c>
      <c r="AD172" s="90"/>
      <c r="AE172" s="90">
        <v>0.5</v>
      </c>
      <c r="AF172" s="90">
        <v>0</v>
      </c>
      <c r="AG172" s="90" t="s">
        <v>2866</v>
      </c>
      <c r="AH172" s="90"/>
      <c r="AI172" s="90" t="s">
        <v>1534</v>
      </c>
      <c r="AJ172" s="90">
        <v>125</v>
      </c>
      <c r="AK172" s="90">
        <v>400</v>
      </c>
      <c r="AL172" s="92">
        <v>1166</v>
      </c>
      <c r="AM172" s="126"/>
    </row>
    <row r="173" spans="1:39" ht="15" thickBot="1" x14ac:dyDescent="0.35">
      <c r="A173" s="118" t="s">
        <v>1599</v>
      </c>
      <c r="B173" s="114" t="s">
        <v>2861</v>
      </c>
      <c r="C173" s="115" t="s">
        <v>2865</v>
      </c>
      <c r="D173" s="122"/>
      <c r="E173" s="122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 t="s">
        <v>1336</v>
      </c>
      <c r="W173" s="90">
        <v>523</v>
      </c>
      <c r="X173" s="90">
        <v>3</v>
      </c>
      <c r="Y173" s="90"/>
      <c r="Z173" s="90"/>
      <c r="AA173" s="90"/>
      <c r="AB173" s="90"/>
      <c r="AC173" s="90">
        <v>2.71</v>
      </c>
      <c r="AD173" s="90"/>
      <c r="AE173" s="90">
        <v>0.5</v>
      </c>
      <c r="AF173" s="90">
        <v>0</v>
      </c>
      <c r="AG173" s="90" t="s">
        <v>2866</v>
      </c>
      <c r="AH173" s="90"/>
      <c r="AI173" s="90" t="s">
        <v>1534</v>
      </c>
      <c r="AJ173" s="90">
        <v>125</v>
      </c>
      <c r="AK173" s="90">
        <v>400</v>
      </c>
      <c r="AL173" s="92">
        <v>635</v>
      </c>
      <c r="AM173" s="126"/>
    </row>
    <row r="174" spans="1:39" ht="15" thickBot="1" x14ac:dyDescent="0.35">
      <c r="A174" s="118" t="s">
        <v>1599</v>
      </c>
      <c r="B174" s="114" t="s">
        <v>2861</v>
      </c>
      <c r="C174" s="115" t="s">
        <v>2865</v>
      </c>
      <c r="D174" s="122"/>
      <c r="E174" s="122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 t="s">
        <v>1336</v>
      </c>
      <c r="W174" s="90">
        <v>573</v>
      </c>
      <c r="X174" s="90">
        <v>3</v>
      </c>
      <c r="Y174" s="90"/>
      <c r="Z174" s="90"/>
      <c r="AA174" s="90"/>
      <c r="AB174" s="90"/>
      <c r="AC174" s="90">
        <v>2.77</v>
      </c>
      <c r="AD174" s="90"/>
      <c r="AE174" s="90">
        <v>0.5</v>
      </c>
      <c r="AF174" s="90">
        <v>0</v>
      </c>
      <c r="AG174" s="90" t="s">
        <v>2866</v>
      </c>
      <c r="AH174" s="90"/>
      <c r="AI174" s="90" t="s">
        <v>1534</v>
      </c>
      <c r="AJ174" s="90">
        <v>125</v>
      </c>
      <c r="AK174" s="90">
        <v>400</v>
      </c>
      <c r="AL174" s="92">
        <v>369</v>
      </c>
      <c r="AM174" s="126"/>
    </row>
    <row r="175" spans="1:39" ht="15" thickBot="1" x14ac:dyDescent="0.35">
      <c r="A175" s="118" t="s">
        <v>1601</v>
      </c>
      <c r="B175" s="114" t="s">
        <v>2867</v>
      </c>
      <c r="C175" s="90" t="s">
        <v>28</v>
      </c>
      <c r="D175" s="90"/>
      <c r="E175" s="90"/>
      <c r="F175" s="90" t="s">
        <v>1578</v>
      </c>
      <c r="G175" s="90"/>
      <c r="H175" s="90"/>
      <c r="I175" s="90" t="s">
        <v>1558</v>
      </c>
      <c r="J175" s="90"/>
      <c r="K175" s="90"/>
      <c r="L175" s="90" t="s">
        <v>1531</v>
      </c>
      <c r="M175" s="90"/>
      <c r="N175" s="90">
        <v>0.09</v>
      </c>
      <c r="O175" s="90"/>
      <c r="P175" s="90"/>
      <c r="Q175" s="90">
        <v>0.72</v>
      </c>
      <c r="R175" s="90"/>
      <c r="S175" s="90"/>
      <c r="T175" s="90">
        <v>0.19</v>
      </c>
      <c r="U175" s="90"/>
      <c r="V175" s="90" t="s">
        <v>1264</v>
      </c>
      <c r="W175" s="90">
        <v>873</v>
      </c>
      <c r="X175" s="90">
        <v>6</v>
      </c>
      <c r="Y175" s="90"/>
      <c r="Z175" s="90"/>
      <c r="AA175" s="90"/>
      <c r="AB175" s="90"/>
      <c r="AC175" s="90">
        <v>3.96</v>
      </c>
      <c r="AD175" s="90">
        <v>14</v>
      </c>
      <c r="AE175" s="90"/>
      <c r="AF175" s="90">
        <v>0</v>
      </c>
      <c r="AG175" s="90"/>
      <c r="AH175" s="90"/>
      <c r="AI175" s="90" t="s">
        <v>1552</v>
      </c>
      <c r="AJ175" s="90">
        <v>400</v>
      </c>
      <c r="AK175" s="90">
        <v>200</v>
      </c>
      <c r="AL175" s="90">
        <v>113.67</v>
      </c>
    </row>
    <row r="176" spans="1:39" ht="15" thickBot="1" x14ac:dyDescent="0.35">
      <c r="A176" s="118" t="s">
        <v>1601</v>
      </c>
      <c r="B176" s="114" t="s">
        <v>2867</v>
      </c>
      <c r="C176" s="90" t="s">
        <v>2868</v>
      </c>
      <c r="D176" s="90"/>
      <c r="E176" s="90"/>
      <c r="F176" s="90" t="s">
        <v>1578</v>
      </c>
      <c r="G176" s="90" t="s">
        <v>1557</v>
      </c>
      <c r="H176" s="90"/>
      <c r="I176" s="90" t="s">
        <v>1558</v>
      </c>
      <c r="J176" s="90"/>
      <c r="K176" s="90"/>
      <c r="L176" s="90" t="s">
        <v>1531</v>
      </c>
      <c r="M176" s="90"/>
      <c r="N176" s="90">
        <v>0.06</v>
      </c>
      <c r="O176" s="90">
        <v>0.36</v>
      </c>
      <c r="P176" s="90"/>
      <c r="Q176" s="90">
        <v>0.46</v>
      </c>
      <c r="R176" s="90"/>
      <c r="S176" s="90"/>
      <c r="T176" s="90">
        <v>0.12</v>
      </c>
      <c r="U176" s="90"/>
      <c r="V176" s="90" t="s">
        <v>1264</v>
      </c>
      <c r="W176" s="90">
        <v>873</v>
      </c>
      <c r="X176" s="90">
        <v>6</v>
      </c>
      <c r="Y176" s="90"/>
      <c r="Z176" s="90"/>
      <c r="AA176" s="90"/>
      <c r="AB176" s="90"/>
      <c r="AC176" s="90">
        <v>4</v>
      </c>
      <c r="AD176" s="90">
        <v>14</v>
      </c>
      <c r="AE176" s="90"/>
      <c r="AF176" s="90">
        <v>0</v>
      </c>
      <c r="AG176" s="90"/>
      <c r="AH176" s="90"/>
      <c r="AI176" s="90" t="s">
        <v>1552</v>
      </c>
      <c r="AJ176" s="90">
        <v>400</v>
      </c>
      <c r="AK176" s="90">
        <v>200</v>
      </c>
      <c r="AL176" s="90">
        <v>172.33</v>
      </c>
    </row>
    <row r="177" spans="1:40" ht="15" thickBot="1" x14ac:dyDescent="0.35">
      <c r="A177" s="118" t="s">
        <v>1601</v>
      </c>
      <c r="B177" s="117" t="s">
        <v>2867</v>
      </c>
      <c r="C177" s="90" t="s">
        <v>2868</v>
      </c>
      <c r="D177" s="90">
        <v>0.6</v>
      </c>
      <c r="E177" s="90"/>
      <c r="F177" s="90" t="s">
        <v>1578</v>
      </c>
      <c r="G177" s="90" t="s">
        <v>1557</v>
      </c>
      <c r="H177" s="90"/>
      <c r="I177" s="90" t="s">
        <v>1558</v>
      </c>
      <c r="J177" s="90"/>
      <c r="K177" s="90"/>
      <c r="L177" s="90" t="s">
        <v>1531</v>
      </c>
      <c r="M177" s="90"/>
      <c r="N177" s="90">
        <v>0.06</v>
      </c>
      <c r="O177" s="90">
        <v>0.36</v>
      </c>
      <c r="P177" s="90"/>
      <c r="Q177" s="90">
        <v>0.46</v>
      </c>
      <c r="R177" s="90"/>
      <c r="S177" s="90"/>
      <c r="T177" s="90">
        <v>0.12</v>
      </c>
      <c r="U177" s="90"/>
      <c r="V177" s="90" t="s">
        <v>1264</v>
      </c>
      <c r="W177" s="90">
        <v>873</v>
      </c>
      <c r="X177" s="90">
        <v>6</v>
      </c>
      <c r="Y177" s="90" t="s">
        <v>1533</v>
      </c>
      <c r="Z177" s="90" t="s">
        <v>1313</v>
      </c>
      <c r="AA177" s="90">
        <v>0.6</v>
      </c>
      <c r="AB177" s="90"/>
      <c r="AC177" s="90">
        <v>4</v>
      </c>
      <c r="AD177" s="90">
        <v>14</v>
      </c>
      <c r="AE177" s="90"/>
      <c r="AF177" s="90">
        <v>0</v>
      </c>
      <c r="AG177" s="90"/>
      <c r="AH177" s="90"/>
      <c r="AI177" s="90" t="s">
        <v>1552</v>
      </c>
      <c r="AJ177" s="90">
        <v>400</v>
      </c>
      <c r="AK177" s="90">
        <v>200</v>
      </c>
      <c r="AL177" s="90">
        <v>3326</v>
      </c>
    </row>
    <row r="178" spans="1:40" ht="15" thickBot="1" x14ac:dyDescent="0.35">
      <c r="A178" s="118" t="s">
        <v>1601</v>
      </c>
      <c r="B178" s="114" t="s">
        <v>2867</v>
      </c>
      <c r="C178" s="90" t="s">
        <v>2868</v>
      </c>
      <c r="D178" s="90">
        <v>1</v>
      </c>
      <c r="E178" s="90"/>
      <c r="F178" s="90" t="s">
        <v>1578</v>
      </c>
      <c r="G178" s="90" t="s">
        <v>1557</v>
      </c>
      <c r="H178" s="90"/>
      <c r="I178" s="90" t="s">
        <v>1558</v>
      </c>
      <c r="J178" s="90"/>
      <c r="K178" s="90"/>
      <c r="L178" s="90" t="s">
        <v>1531</v>
      </c>
      <c r="M178" s="90"/>
      <c r="N178" s="90">
        <v>0.06</v>
      </c>
      <c r="O178" s="90">
        <v>0.36</v>
      </c>
      <c r="P178" s="90"/>
      <c r="Q178" s="90">
        <v>0.46</v>
      </c>
      <c r="R178" s="90"/>
      <c r="S178" s="90"/>
      <c r="T178" s="90">
        <v>0.12</v>
      </c>
      <c r="U178" s="90"/>
      <c r="V178" s="90" t="s">
        <v>1336</v>
      </c>
      <c r="W178" s="90">
        <v>873</v>
      </c>
      <c r="X178" s="90">
        <v>6</v>
      </c>
      <c r="Y178" s="90" t="s">
        <v>1533</v>
      </c>
      <c r="Z178" s="90" t="s">
        <v>1313</v>
      </c>
      <c r="AA178" s="90">
        <v>1</v>
      </c>
      <c r="AB178" s="90"/>
      <c r="AC178" s="90">
        <v>4</v>
      </c>
      <c r="AD178" s="90">
        <v>13</v>
      </c>
      <c r="AE178" s="90"/>
      <c r="AF178" s="90">
        <v>0</v>
      </c>
      <c r="AG178" s="90"/>
      <c r="AH178" s="90"/>
      <c r="AI178" s="90" t="s">
        <v>1552</v>
      </c>
      <c r="AJ178" s="90">
        <v>400</v>
      </c>
      <c r="AK178" s="90">
        <v>200</v>
      </c>
      <c r="AL178" s="90">
        <v>3800</v>
      </c>
    </row>
    <row r="179" spans="1:40" ht="15" thickBot="1" x14ac:dyDescent="0.35">
      <c r="A179" s="118" t="s">
        <v>1601</v>
      </c>
      <c r="B179" s="114" t="s">
        <v>2867</v>
      </c>
      <c r="C179" s="90" t="s">
        <v>2868</v>
      </c>
      <c r="D179" s="90">
        <v>0.2</v>
      </c>
      <c r="E179" s="90"/>
      <c r="F179" s="90" t="s">
        <v>1578</v>
      </c>
      <c r="G179" s="90" t="s">
        <v>1557</v>
      </c>
      <c r="H179" s="90"/>
      <c r="I179" s="90" t="s">
        <v>1558</v>
      </c>
      <c r="J179" s="90"/>
      <c r="K179" s="90"/>
      <c r="L179" s="90" t="s">
        <v>1531</v>
      </c>
      <c r="M179" s="90"/>
      <c r="N179" s="90">
        <v>0.06</v>
      </c>
      <c r="O179" s="90">
        <v>0.36</v>
      </c>
      <c r="P179" s="90"/>
      <c r="Q179" s="90">
        <v>0.46</v>
      </c>
      <c r="R179" s="90"/>
      <c r="S179" s="90"/>
      <c r="T179" s="90">
        <v>0.12</v>
      </c>
      <c r="U179" s="90"/>
      <c r="V179" s="90" t="s">
        <v>1336</v>
      </c>
      <c r="W179" s="90">
        <v>873</v>
      </c>
      <c r="X179" s="90">
        <v>6</v>
      </c>
      <c r="Y179" s="90" t="s">
        <v>1533</v>
      </c>
      <c r="Z179" s="90" t="s">
        <v>1313</v>
      </c>
      <c r="AA179" s="90">
        <v>0.2</v>
      </c>
      <c r="AB179" s="90"/>
      <c r="AC179" s="90">
        <v>4</v>
      </c>
      <c r="AD179" s="90">
        <v>14</v>
      </c>
      <c r="AE179" s="90"/>
      <c r="AF179" s="90">
        <v>0</v>
      </c>
      <c r="AG179" s="90"/>
      <c r="AH179" s="90"/>
      <c r="AI179" s="90" t="s">
        <v>1552</v>
      </c>
      <c r="AJ179" s="90">
        <v>400</v>
      </c>
      <c r="AK179" s="90">
        <v>200</v>
      </c>
      <c r="AL179" s="90">
        <v>706.67</v>
      </c>
    </row>
    <row r="180" spans="1:40" ht="15" thickBot="1" x14ac:dyDescent="0.35">
      <c r="A180" s="118" t="s">
        <v>1601</v>
      </c>
      <c r="B180" s="114" t="s">
        <v>2867</v>
      </c>
      <c r="C180" s="90" t="s">
        <v>2868</v>
      </c>
      <c r="D180" s="90">
        <v>2</v>
      </c>
      <c r="E180" s="90"/>
      <c r="F180" s="90" t="s">
        <v>1578</v>
      </c>
      <c r="G180" s="90" t="s">
        <v>1557</v>
      </c>
      <c r="H180" s="90"/>
      <c r="I180" s="90" t="s">
        <v>1558</v>
      </c>
      <c r="J180" s="90"/>
      <c r="K180" s="90"/>
      <c r="L180" s="90" t="s">
        <v>1531</v>
      </c>
      <c r="M180" s="90"/>
      <c r="N180" s="90">
        <v>0.06</v>
      </c>
      <c r="O180" s="90">
        <v>0.36</v>
      </c>
      <c r="P180" s="90"/>
      <c r="Q180" s="90">
        <v>0.46</v>
      </c>
      <c r="R180" s="90"/>
      <c r="S180" s="90"/>
      <c r="T180" s="90">
        <v>0.12</v>
      </c>
      <c r="U180" s="90"/>
      <c r="V180" s="90" t="s">
        <v>1336</v>
      </c>
      <c r="W180" s="90">
        <v>873</v>
      </c>
      <c r="X180" s="90">
        <v>6</v>
      </c>
      <c r="Y180" s="90" t="s">
        <v>1533</v>
      </c>
      <c r="Z180" s="90" t="s">
        <v>1313</v>
      </c>
      <c r="AA180" s="90">
        <v>2</v>
      </c>
      <c r="AB180" s="90"/>
      <c r="AC180" s="90">
        <v>4</v>
      </c>
      <c r="AD180" s="90">
        <v>13</v>
      </c>
      <c r="AE180" s="90"/>
      <c r="AF180" s="90">
        <v>0</v>
      </c>
      <c r="AG180" s="90"/>
      <c r="AH180" s="90"/>
      <c r="AI180" s="90" t="s">
        <v>1552</v>
      </c>
      <c r="AJ180" s="90">
        <v>400</v>
      </c>
      <c r="AK180" s="90">
        <v>200</v>
      </c>
      <c r="AL180" s="90">
        <v>1953</v>
      </c>
    </row>
    <row r="181" spans="1:40" ht="15" thickBot="1" x14ac:dyDescent="0.35">
      <c r="A181" s="118" t="s">
        <v>1602</v>
      </c>
      <c r="B181" s="114" t="s">
        <v>2869</v>
      </c>
      <c r="C181" s="114" t="s">
        <v>2851</v>
      </c>
      <c r="D181" s="120"/>
      <c r="E181" s="120"/>
      <c r="F181" s="90" t="s">
        <v>1557</v>
      </c>
      <c r="G181" s="90"/>
      <c r="H181" s="90"/>
      <c r="I181" s="90" t="s">
        <v>1530</v>
      </c>
      <c r="J181" s="90"/>
      <c r="K181" s="90"/>
      <c r="L181" s="90" t="s">
        <v>1531</v>
      </c>
      <c r="M181" s="90"/>
      <c r="N181" s="90">
        <v>0.14000000000000001</v>
      </c>
      <c r="O181" s="90"/>
      <c r="P181" s="90"/>
      <c r="Q181" s="90">
        <v>0.5</v>
      </c>
      <c r="R181" s="90"/>
      <c r="S181" s="90"/>
      <c r="T181" s="90">
        <v>0.36</v>
      </c>
      <c r="U181" s="90"/>
      <c r="V181" s="90" t="s">
        <v>1336</v>
      </c>
      <c r="W181" s="90">
        <v>1373</v>
      </c>
      <c r="X181" s="90">
        <v>10</v>
      </c>
      <c r="Y181" s="90" t="s">
        <v>1268</v>
      </c>
      <c r="Z181" s="90" t="s">
        <v>890</v>
      </c>
      <c r="AA181" s="90">
        <v>5.0000000000000001E-3</v>
      </c>
      <c r="AB181" s="90" t="s">
        <v>1171</v>
      </c>
      <c r="AC181" s="90">
        <v>3.52</v>
      </c>
      <c r="AD181" s="90">
        <v>2</v>
      </c>
      <c r="AE181" s="90">
        <v>0.4</v>
      </c>
      <c r="AF181" s="90">
        <v>0</v>
      </c>
      <c r="AG181" s="90"/>
      <c r="AH181" s="90"/>
      <c r="AI181" s="90" t="s">
        <v>1534</v>
      </c>
      <c r="AJ181" s="90">
        <v>300</v>
      </c>
      <c r="AK181" s="90">
        <v>254</v>
      </c>
      <c r="AL181" s="90">
        <v>16.2</v>
      </c>
    </row>
    <row r="182" spans="1:40" ht="15" thickBot="1" x14ac:dyDescent="0.35">
      <c r="A182" s="118" t="s">
        <v>1602</v>
      </c>
      <c r="B182" s="114" t="s">
        <v>2869</v>
      </c>
      <c r="C182" s="114" t="s">
        <v>2851</v>
      </c>
      <c r="D182" s="120"/>
      <c r="E182" s="120"/>
      <c r="F182" s="90" t="s">
        <v>1557</v>
      </c>
      <c r="G182" s="90"/>
      <c r="H182" s="90"/>
      <c r="I182" s="90" t="s">
        <v>1530</v>
      </c>
      <c r="J182" s="90"/>
      <c r="K182" s="90"/>
      <c r="L182" s="90" t="s">
        <v>1531</v>
      </c>
      <c r="M182" s="90"/>
      <c r="N182" s="90">
        <v>0.14000000000000001</v>
      </c>
      <c r="O182" s="90"/>
      <c r="P182" s="90"/>
      <c r="Q182" s="90">
        <v>0.5</v>
      </c>
      <c r="R182" s="90"/>
      <c r="S182" s="90"/>
      <c r="T182" s="90">
        <v>0.36</v>
      </c>
      <c r="U182" s="90"/>
      <c r="V182" s="90" t="s">
        <v>1336</v>
      </c>
      <c r="W182" s="90">
        <v>1373</v>
      </c>
      <c r="X182" s="90">
        <v>10</v>
      </c>
      <c r="Y182" s="90" t="s">
        <v>1268</v>
      </c>
      <c r="Z182" s="90" t="s">
        <v>890</v>
      </c>
      <c r="AA182" s="90">
        <v>5.0000000000000001E-3</v>
      </c>
      <c r="AB182" s="90" t="s">
        <v>1171</v>
      </c>
      <c r="AC182" s="90">
        <v>3.53</v>
      </c>
      <c r="AD182" s="90">
        <v>1.2</v>
      </c>
      <c r="AE182" s="90">
        <v>0.4</v>
      </c>
      <c r="AF182" s="90">
        <v>0</v>
      </c>
      <c r="AG182" s="90"/>
      <c r="AH182" s="90"/>
      <c r="AI182" s="90" t="s">
        <v>1534</v>
      </c>
      <c r="AJ182" s="90">
        <v>300</v>
      </c>
      <c r="AK182" s="90">
        <v>254</v>
      </c>
      <c r="AL182" s="90">
        <v>17.600000000000001</v>
      </c>
    </row>
    <row r="183" spans="1:40" ht="15" thickBot="1" x14ac:dyDescent="0.35">
      <c r="A183" s="118" t="s">
        <v>1602</v>
      </c>
      <c r="B183" s="114" t="s">
        <v>2869</v>
      </c>
      <c r="C183" s="114" t="s">
        <v>2851</v>
      </c>
      <c r="D183" s="120"/>
      <c r="E183" s="120"/>
      <c r="F183" s="90" t="s">
        <v>1557</v>
      </c>
      <c r="G183" s="90"/>
      <c r="H183" s="90"/>
      <c r="I183" s="90" t="s">
        <v>1530</v>
      </c>
      <c r="J183" s="90"/>
      <c r="K183" s="90"/>
      <c r="L183" s="90" t="s">
        <v>1531</v>
      </c>
      <c r="M183" s="90"/>
      <c r="N183" s="90">
        <v>0.14000000000000001</v>
      </c>
      <c r="O183" s="90"/>
      <c r="P183" s="90"/>
      <c r="Q183" s="90">
        <v>0.5</v>
      </c>
      <c r="R183" s="90"/>
      <c r="S183" s="90"/>
      <c r="T183" s="90">
        <v>0.36</v>
      </c>
      <c r="U183" s="90"/>
      <c r="V183" s="90" t="s">
        <v>1336</v>
      </c>
      <c r="W183" s="90">
        <v>1373</v>
      </c>
      <c r="X183" s="90">
        <v>10</v>
      </c>
      <c r="Y183" s="90" t="s">
        <v>1268</v>
      </c>
      <c r="Z183" s="90" t="s">
        <v>890</v>
      </c>
      <c r="AA183" s="90">
        <v>5.0000000000000001E-3</v>
      </c>
      <c r="AB183" s="90" t="s">
        <v>1171</v>
      </c>
      <c r="AC183" s="90">
        <v>3.54</v>
      </c>
      <c r="AD183" s="90">
        <v>2.1</v>
      </c>
      <c r="AE183" s="90">
        <v>0.4</v>
      </c>
      <c r="AF183" s="90">
        <v>0</v>
      </c>
      <c r="AG183" s="90"/>
      <c r="AH183" s="90"/>
      <c r="AI183" s="90" t="s">
        <v>1534</v>
      </c>
      <c r="AJ183" s="90">
        <v>300</v>
      </c>
      <c r="AK183" s="90">
        <v>254</v>
      </c>
      <c r="AL183" s="90">
        <v>14</v>
      </c>
    </row>
    <row r="184" spans="1:40" ht="15" thickBot="1" x14ac:dyDescent="0.35">
      <c r="A184" s="118" t="s">
        <v>1602</v>
      </c>
      <c r="B184" s="114" t="s">
        <v>2869</v>
      </c>
      <c r="C184" s="114" t="s">
        <v>2851</v>
      </c>
      <c r="D184" s="120"/>
      <c r="E184" s="120"/>
      <c r="F184" s="90" t="s">
        <v>1557</v>
      </c>
      <c r="G184" s="90"/>
      <c r="H184" s="90"/>
      <c r="I184" s="90" t="s">
        <v>1530</v>
      </c>
      <c r="J184" s="90"/>
      <c r="K184" s="90"/>
      <c r="L184" s="90" t="s">
        <v>1531</v>
      </c>
      <c r="M184" s="90"/>
      <c r="N184" s="90">
        <v>0.14000000000000001</v>
      </c>
      <c r="O184" s="90"/>
      <c r="P184" s="90"/>
      <c r="Q184" s="90">
        <v>0.5</v>
      </c>
      <c r="R184" s="90"/>
      <c r="S184" s="90"/>
      <c r="T184" s="90">
        <v>0.36</v>
      </c>
      <c r="U184" s="90"/>
      <c r="V184" s="90" t="s">
        <v>1532</v>
      </c>
      <c r="W184" s="90">
        <v>1373</v>
      </c>
      <c r="X184" s="90">
        <v>10</v>
      </c>
      <c r="Y184" s="90" t="s">
        <v>1268</v>
      </c>
      <c r="Z184" s="90" t="s">
        <v>890</v>
      </c>
      <c r="AA184" s="90">
        <v>3.0000000000000001E-3</v>
      </c>
      <c r="AB184" s="90" t="s">
        <v>1171</v>
      </c>
      <c r="AC184" s="90">
        <v>3.6</v>
      </c>
      <c r="AD184" s="90">
        <v>2.9</v>
      </c>
      <c r="AE184" s="90">
        <v>0.4</v>
      </c>
      <c r="AF184" s="90">
        <v>0</v>
      </c>
      <c r="AG184" s="90"/>
      <c r="AH184" s="90"/>
      <c r="AI184" s="90" t="s">
        <v>1534</v>
      </c>
      <c r="AJ184" s="90">
        <v>300</v>
      </c>
      <c r="AK184" s="90">
        <v>254</v>
      </c>
      <c r="AL184" s="90">
        <v>8</v>
      </c>
    </row>
    <row r="185" spans="1:40" ht="15" thickBot="1" x14ac:dyDescent="0.35">
      <c r="A185" s="118" t="s">
        <v>1602</v>
      </c>
      <c r="B185" s="114" t="s">
        <v>2869</v>
      </c>
      <c r="C185" s="114" t="s">
        <v>2851</v>
      </c>
      <c r="D185" s="120"/>
      <c r="E185" s="120"/>
      <c r="F185" s="90" t="s">
        <v>1557</v>
      </c>
      <c r="G185" s="90"/>
      <c r="H185" s="90"/>
      <c r="I185" s="90" t="s">
        <v>1530</v>
      </c>
      <c r="J185" s="90"/>
      <c r="K185" s="90"/>
      <c r="L185" s="90" t="s">
        <v>1531</v>
      </c>
      <c r="M185" s="90"/>
      <c r="N185" s="90">
        <v>0.14000000000000001</v>
      </c>
      <c r="O185" s="90"/>
      <c r="P185" s="90"/>
      <c r="Q185" s="90">
        <v>0.5</v>
      </c>
      <c r="R185" s="90"/>
      <c r="S185" s="90"/>
      <c r="T185" s="90">
        <v>0.36</v>
      </c>
      <c r="U185" s="90"/>
      <c r="V185" s="90" t="s">
        <v>1532</v>
      </c>
      <c r="W185" s="90">
        <v>1373</v>
      </c>
      <c r="X185" s="90">
        <v>10</v>
      </c>
      <c r="Y185" s="90" t="s">
        <v>1268</v>
      </c>
      <c r="Z185" s="90" t="s">
        <v>890</v>
      </c>
      <c r="AA185" s="90">
        <v>3.0000000000000001E-3</v>
      </c>
      <c r="AB185" s="90" t="s">
        <v>1171</v>
      </c>
      <c r="AC185" s="90">
        <v>3.6</v>
      </c>
      <c r="AD185" s="90">
        <v>2.2000000000000002</v>
      </c>
      <c r="AE185" s="90">
        <v>0.4</v>
      </c>
      <c r="AF185" s="90">
        <v>0</v>
      </c>
      <c r="AG185" s="90"/>
      <c r="AH185" s="90"/>
      <c r="AI185" s="90" t="s">
        <v>1534</v>
      </c>
      <c r="AJ185" s="90">
        <v>300</v>
      </c>
      <c r="AK185" s="90">
        <v>254</v>
      </c>
      <c r="AL185" s="90">
        <v>7.6</v>
      </c>
    </row>
    <row r="186" spans="1:40" ht="15" thickBot="1" x14ac:dyDescent="0.35">
      <c r="A186" s="118" t="s">
        <v>1602</v>
      </c>
      <c r="B186" s="114" t="s">
        <v>2869</v>
      </c>
      <c r="C186" s="114" t="s">
        <v>2851</v>
      </c>
      <c r="D186" s="120"/>
      <c r="E186" s="120"/>
      <c r="F186" s="90" t="s">
        <v>1557</v>
      </c>
      <c r="G186" s="90"/>
      <c r="H186" s="90"/>
      <c r="I186" s="90" t="s">
        <v>1530</v>
      </c>
      <c r="J186" s="90"/>
      <c r="K186" s="90"/>
      <c r="L186" s="90" t="s">
        <v>1531</v>
      </c>
      <c r="M186" s="90"/>
      <c r="N186" s="90">
        <v>0.14000000000000001</v>
      </c>
      <c r="O186" s="90"/>
      <c r="P186" s="90"/>
      <c r="Q186" s="90">
        <v>0.5</v>
      </c>
      <c r="R186" s="90"/>
      <c r="S186" s="90"/>
      <c r="T186" s="90">
        <v>0.36</v>
      </c>
      <c r="U186" s="90"/>
      <c r="V186" s="90" t="s">
        <v>1532</v>
      </c>
      <c r="W186" s="90">
        <v>1373</v>
      </c>
      <c r="X186" s="90">
        <v>10</v>
      </c>
      <c r="Y186" s="90" t="s">
        <v>1268</v>
      </c>
      <c r="Z186" s="90" t="s">
        <v>890</v>
      </c>
      <c r="AA186" s="90">
        <v>3.0000000000000001E-3</v>
      </c>
      <c r="AB186" s="90" t="s">
        <v>1171</v>
      </c>
      <c r="AC186" s="90">
        <v>3.6</v>
      </c>
      <c r="AD186" s="90">
        <v>2.6</v>
      </c>
      <c r="AE186" s="90">
        <v>0.4</v>
      </c>
      <c r="AF186" s="90">
        <v>0</v>
      </c>
      <c r="AG186" s="90"/>
      <c r="AH186" s="90"/>
      <c r="AI186" s="90" t="s">
        <v>1534</v>
      </c>
      <c r="AJ186" s="90">
        <v>300</v>
      </c>
      <c r="AK186" s="90">
        <v>254</v>
      </c>
      <c r="AL186" s="90">
        <v>2.6</v>
      </c>
    </row>
    <row r="187" spans="1:40" ht="15" thickBot="1" x14ac:dyDescent="0.35">
      <c r="A187" s="118" t="s">
        <v>1603</v>
      </c>
      <c r="B187" s="114" t="s">
        <v>2870</v>
      </c>
      <c r="C187" s="114" t="s">
        <v>2871</v>
      </c>
      <c r="D187" s="120"/>
      <c r="E187" s="120"/>
      <c r="F187" s="90" t="s">
        <v>964</v>
      </c>
      <c r="G187" s="90" t="s">
        <v>1499</v>
      </c>
      <c r="H187" s="90"/>
      <c r="I187" s="90" t="s">
        <v>1558</v>
      </c>
      <c r="J187" s="90"/>
      <c r="K187" s="90"/>
      <c r="L187" s="90" t="s">
        <v>1531</v>
      </c>
      <c r="M187" s="90" t="s">
        <v>676</v>
      </c>
      <c r="N187" s="90">
        <v>0.15</v>
      </c>
      <c r="O187" s="90">
        <v>0.02</v>
      </c>
      <c r="P187" s="90"/>
      <c r="Q187" s="90">
        <v>0.17</v>
      </c>
      <c r="R187" s="90"/>
      <c r="S187" s="90"/>
      <c r="T187" s="90">
        <v>0.54</v>
      </c>
      <c r="U187" s="90">
        <v>0.13</v>
      </c>
      <c r="V187" s="90" t="s">
        <v>1532</v>
      </c>
      <c r="W187" s="90">
        <v>1423</v>
      </c>
      <c r="X187" s="90">
        <v>48</v>
      </c>
      <c r="Y187" s="90"/>
      <c r="Z187" s="90"/>
      <c r="AA187" s="90"/>
      <c r="AB187" s="90" t="s">
        <v>1595</v>
      </c>
      <c r="AC187" s="90"/>
      <c r="AD187" s="90">
        <v>1.1399999999999999</v>
      </c>
      <c r="AE187" s="90">
        <v>2</v>
      </c>
      <c r="AF187" s="90">
        <v>0</v>
      </c>
      <c r="AG187" s="90"/>
      <c r="AH187" s="90"/>
      <c r="AI187" s="90" t="s">
        <v>1534</v>
      </c>
      <c r="AJ187" s="90">
        <v>300</v>
      </c>
      <c r="AK187" s="90">
        <v>400</v>
      </c>
      <c r="AL187" s="90">
        <v>0</v>
      </c>
      <c r="AM187">
        <v>0</v>
      </c>
      <c r="AN187">
        <f>AM187/22.4</f>
        <v>0</v>
      </c>
    </row>
    <row r="188" spans="1:40" ht="15" thickBot="1" x14ac:dyDescent="0.35">
      <c r="A188" s="118" t="s">
        <v>1603</v>
      </c>
      <c r="B188" s="114" t="s">
        <v>2870</v>
      </c>
      <c r="C188" s="114" t="s">
        <v>2872</v>
      </c>
      <c r="D188" s="120"/>
      <c r="E188" s="120"/>
      <c r="F188" s="90" t="s">
        <v>964</v>
      </c>
      <c r="G188" s="90" t="s">
        <v>1499</v>
      </c>
      <c r="H188" s="90"/>
      <c r="I188" s="90" t="s">
        <v>1558</v>
      </c>
      <c r="J188" s="90"/>
      <c r="K188" s="90"/>
      <c r="L188" s="90" t="s">
        <v>1531</v>
      </c>
      <c r="M188" s="90" t="s">
        <v>676</v>
      </c>
      <c r="N188" s="90">
        <v>0.15</v>
      </c>
      <c r="O188" s="90">
        <v>0.02</v>
      </c>
      <c r="P188" s="90"/>
      <c r="Q188" s="90">
        <v>0.17</v>
      </c>
      <c r="R188" s="90"/>
      <c r="S188" s="90"/>
      <c r="T188" s="90">
        <v>0.54</v>
      </c>
      <c r="U188" s="90">
        <v>0.13</v>
      </c>
      <c r="V188" s="90" t="s">
        <v>1532</v>
      </c>
      <c r="W188" s="90">
        <v>1423</v>
      </c>
      <c r="X188" s="90">
        <v>48</v>
      </c>
      <c r="Y188" s="90"/>
      <c r="Z188" s="90"/>
      <c r="AA188" s="90"/>
      <c r="AB188" s="90" t="s">
        <v>1595</v>
      </c>
      <c r="AC188" s="90"/>
      <c r="AD188" s="90">
        <v>1.23</v>
      </c>
      <c r="AE188" s="90">
        <v>2</v>
      </c>
      <c r="AF188" s="90">
        <v>0</v>
      </c>
      <c r="AG188" s="90"/>
      <c r="AH188" s="90"/>
      <c r="AI188" s="90" t="s">
        <v>1534</v>
      </c>
      <c r="AJ188" s="90">
        <v>300</v>
      </c>
      <c r="AK188" s="90">
        <v>400</v>
      </c>
      <c r="AL188" s="90">
        <v>2.5446428571428572</v>
      </c>
      <c r="AM188">
        <v>57</v>
      </c>
      <c r="AN188">
        <f t="shared" ref="AN188:AN192" si="12">AM188/22.4</f>
        <v>2.5446428571428572</v>
      </c>
    </row>
    <row r="189" spans="1:40" ht="15" thickBot="1" x14ac:dyDescent="0.35">
      <c r="A189" s="118" t="s">
        <v>1603</v>
      </c>
      <c r="B189" s="114" t="s">
        <v>2870</v>
      </c>
      <c r="C189" s="114" t="s">
        <v>2873</v>
      </c>
      <c r="D189" s="120"/>
      <c r="E189" s="120"/>
      <c r="F189" s="90" t="s">
        <v>964</v>
      </c>
      <c r="G189" s="90" t="s">
        <v>1499</v>
      </c>
      <c r="H189" s="90"/>
      <c r="I189" s="90" t="s">
        <v>1558</v>
      </c>
      <c r="J189" s="90"/>
      <c r="K189" s="90"/>
      <c r="L189" s="90" t="s">
        <v>1531</v>
      </c>
      <c r="M189" s="90" t="s">
        <v>676</v>
      </c>
      <c r="N189" s="90">
        <v>0.15</v>
      </c>
      <c r="O189" s="90">
        <v>0.02</v>
      </c>
      <c r="P189" s="90"/>
      <c r="Q189" s="90">
        <v>0.17</v>
      </c>
      <c r="R189" s="90"/>
      <c r="S189" s="90"/>
      <c r="T189" s="90">
        <v>0.54</v>
      </c>
      <c r="U189" s="90">
        <v>0.13</v>
      </c>
      <c r="V189" s="90" t="s">
        <v>1532</v>
      </c>
      <c r="W189" s="90">
        <v>1423</v>
      </c>
      <c r="X189" s="90">
        <v>48</v>
      </c>
      <c r="Y189" s="90"/>
      <c r="Z189" s="90"/>
      <c r="AA189" s="90"/>
      <c r="AB189" s="90" t="s">
        <v>1595</v>
      </c>
      <c r="AC189" s="90"/>
      <c r="AD189" s="90">
        <v>1.87</v>
      </c>
      <c r="AE189" s="90">
        <v>2</v>
      </c>
      <c r="AF189" s="90">
        <v>0</v>
      </c>
      <c r="AG189" s="90"/>
      <c r="AH189" s="90"/>
      <c r="AI189" s="90" t="s">
        <v>1534</v>
      </c>
      <c r="AJ189" s="90">
        <v>300</v>
      </c>
      <c r="AK189" s="90">
        <v>400</v>
      </c>
      <c r="AL189" s="90">
        <v>3.5267857142857144</v>
      </c>
      <c r="AM189">
        <v>79</v>
      </c>
      <c r="AN189">
        <f t="shared" si="12"/>
        <v>3.5267857142857144</v>
      </c>
    </row>
    <row r="190" spans="1:40" ht="15" thickBot="1" x14ac:dyDescent="0.35">
      <c r="A190" s="118" t="s">
        <v>1603</v>
      </c>
      <c r="B190" s="114" t="s">
        <v>2870</v>
      </c>
      <c r="C190" s="114" t="s">
        <v>2874</v>
      </c>
      <c r="D190" s="120"/>
      <c r="E190" s="120"/>
      <c r="F190" s="90" t="s">
        <v>964</v>
      </c>
      <c r="G190" s="90" t="s">
        <v>1499</v>
      </c>
      <c r="H190" s="90"/>
      <c r="I190" s="90" t="s">
        <v>1558</v>
      </c>
      <c r="J190" s="90"/>
      <c r="K190" s="90"/>
      <c r="L190" s="90" t="s">
        <v>1531</v>
      </c>
      <c r="M190" s="90" t="s">
        <v>676</v>
      </c>
      <c r="N190" s="90">
        <v>0.15</v>
      </c>
      <c r="O190" s="90">
        <v>0.02</v>
      </c>
      <c r="P190" s="90"/>
      <c r="Q190" s="90">
        <v>0.17</v>
      </c>
      <c r="R190" s="90"/>
      <c r="S190" s="90"/>
      <c r="T190" s="90">
        <v>0.54</v>
      </c>
      <c r="U190" s="90">
        <v>0.13</v>
      </c>
      <c r="V190" s="90" t="s">
        <v>1532</v>
      </c>
      <c r="W190" s="90">
        <v>1423</v>
      </c>
      <c r="X190" s="90">
        <v>48</v>
      </c>
      <c r="Y190" s="90"/>
      <c r="Z190" s="90"/>
      <c r="AA190" s="90"/>
      <c r="AB190" s="90" t="s">
        <v>1595</v>
      </c>
      <c r="AC190" s="90"/>
      <c r="AD190" s="90">
        <v>2.6</v>
      </c>
      <c r="AE190" s="90">
        <v>2</v>
      </c>
      <c r="AF190" s="90">
        <v>0</v>
      </c>
      <c r="AG190" s="90"/>
      <c r="AH190" s="90"/>
      <c r="AI190" s="90" t="s">
        <v>1534</v>
      </c>
      <c r="AJ190" s="90">
        <v>300</v>
      </c>
      <c r="AK190" s="90">
        <v>400</v>
      </c>
      <c r="AL190" s="90">
        <v>8.9285714285714288</v>
      </c>
      <c r="AM190">
        <v>200</v>
      </c>
      <c r="AN190">
        <f t="shared" si="12"/>
        <v>8.9285714285714288</v>
      </c>
    </row>
    <row r="191" spans="1:40" ht="15" thickBot="1" x14ac:dyDescent="0.35">
      <c r="A191" s="118" t="s">
        <v>1603</v>
      </c>
      <c r="B191" s="114" t="s">
        <v>2870</v>
      </c>
      <c r="C191" s="114" t="s">
        <v>2875</v>
      </c>
      <c r="D191" s="120"/>
      <c r="E191" s="120"/>
      <c r="F191" s="90" t="s">
        <v>964</v>
      </c>
      <c r="G191" s="90" t="s">
        <v>1499</v>
      </c>
      <c r="H191" s="90"/>
      <c r="I191" s="90" t="s">
        <v>1558</v>
      </c>
      <c r="J191" s="90"/>
      <c r="K191" s="90"/>
      <c r="L191" s="90" t="s">
        <v>1531</v>
      </c>
      <c r="M191" s="90" t="s">
        <v>676</v>
      </c>
      <c r="N191" s="90">
        <v>0.15</v>
      </c>
      <c r="O191" s="90">
        <v>0.02</v>
      </c>
      <c r="P191" s="90"/>
      <c r="Q191" s="90">
        <v>0.17</v>
      </c>
      <c r="R191" s="90"/>
      <c r="S191" s="90"/>
      <c r="T191" s="90">
        <v>0.54</v>
      </c>
      <c r="U191" s="90">
        <v>0.13</v>
      </c>
      <c r="V191" s="90" t="s">
        <v>1532</v>
      </c>
      <c r="W191" s="90">
        <v>1423</v>
      </c>
      <c r="X191" s="90">
        <v>48</v>
      </c>
      <c r="Y191" s="90"/>
      <c r="Z191" s="90"/>
      <c r="AA191" s="90"/>
      <c r="AB191" s="90" t="s">
        <v>1595</v>
      </c>
      <c r="AC191" s="90"/>
      <c r="AD191" s="90">
        <v>4.6399999999999997</v>
      </c>
      <c r="AE191" s="90">
        <v>2</v>
      </c>
      <c r="AF191" s="90">
        <v>0</v>
      </c>
      <c r="AG191" s="90"/>
      <c r="AH191" s="90"/>
      <c r="AI191" s="90" t="s">
        <v>1534</v>
      </c>
      <c r="AJ191" s="90">
        <v>300</v>
      </c>
      <c r="AK191" s="90">
        <v>400</v>
      </c>
      <c r="AL191" s="90">
        <v>10.714285714285715</v>
      </c>
      <c r="AM191">
        <v>240</v>
      </c>
      <c r="AN191">
        <f t="shared" si="12"/>
        <v>10.714285714285715</v>
      </c>
    </row>
    <row r="192" spans="1:40" ht="15" thickBot="1" x14ac:dyDescent="0.35">
      <c r="A192" s="118" t="s">
        <v>1603</v>
      </c>
      <c r="B192" s="114" t="s">
        <v>2870</v>
      </c>
      <c r="C192" s="114" t="s">
        <v>2876</v>
      </c>
      <c r="D192" s="120"/>
      <c r="E192" s="120"/>
      <c r="F192" s="90" t="s">
        <v>964</v>
      </c>
      <c r="G192" s="90" t="s">
        <v>1499</v>
      </c>
      <c r="H192" s="90"/>
      <c r="I192" s="90" t="s">
        <v>1558</v>
      </c>
      <c r="J192" s="90"/>
      <c r="K192" s="90"/>
      <c r="L192" s="90" t="s">
        <v>1531</v>
      </c>
      <c r="M192" s="90" t="s">
        <v>676</v>
      </c>
      <c r="N192" s="90">
        <v>0.15</v>
      </c>
      <c r="O192" s="90">
        <v>0.02</v>
      </c>
      <c r="P192" s="90"/>
      <c r="Q192" s="90">
        <v>0.17</v>
      </c>
      <c r="R192" s="90"/>
      <c r="S192" s="90"/>
      <c r="T192" s="90">
        <v>0.54</v>
      </c>
      <c r="U192" s="90">
        <v>0.13</v>
      </c>
      <c r="V192" s="90" t="s">
        <v>1532</v>
      </c>
      <c r="W192" s="90">
        <v>1423</v>
      </c>
      <c r="X192" s="90">
        <v>48</v>
      </c>
      <c r="Y192" s="90"/>
      <c r="Z192" s="90"/>
      <c r="AA192" s="90"/>
      <c r="AB192" s="90" t="s">
        <v>1595</v>
      </c>
      <c r="AC192" s="90"/>
      <c r="AD192" s="90">
        <v>6.17</v>
      </c>
      <c r="AE192" s="90">
        <v>2</v>
      </c>
      <c r="AF192" s="90">
        <v>0</v>
      </c>
      <c r="AG192" s="90"/>
      <c r="AH192" s="90"/>
      <c r="AI192" s="90" t="s">
        <v>1534</v>
      </c>
      <c r="AJ192" s="90">
        <v>300</v>
      </c>
      <c r="AK192" s="90">
        <v>400</v>
      </c>
      <c r="AL192" s="90">
        <v>12.5</v>
      </c>
      <c r="AM192">
        <v>280</v>
      </c>
      <c r="AN192">
        <f t="shared" si="12"/>
        <v>12.5</v>
      </c>
    </row>
    <row r="193" spans="1:40" ht="15" thickBot="1" x14ac:dyDescent="0.35">
      <c r="A193" s="118" t="s">
        <v>1604</v>
      </c>
      <c r="B193" s="114" t="s">
        <v>2877</v>
      </c>
      <c r="C193" s="114" t="s">
        <v>28</v>
      </c>
      <c r="D193" s="120"/>
      <c r="E193" s="120"/>
      <c r="F193" s="90" t="s">
        <v>1578</v>
      </c>
      <c r="G193" s="90"/>
      <c r="H193" s="90"/>
      <c r="I193" s="90" t="s">
        <v>1558</v>
      </c>
      <c r="J193" s="90"/>
      <c r="K193" s="90"/>
      <c r="L193" s="90" t="s">
        <v>1531</v>
      </c>
      <c r="M193" s="90"/>
      <c r="N193" s="90">
        <v>0.09</v>
      </c>
      <c r="O193" s="90"/>
      <c r="P193" s="90"/>
      <c r="Q193" s="90">
        <v>0.72</v>
      </c>
      <c r="R193" s="90"/>
      <c r="S193" s="90"/>
      <c r="T193" s="90">
        <v>0.19</v>
      </c>
      <c r="U193" s="90"/>
      <c r="V193" s="90" t="s">
        <v>1532</v>
      </c>
      <c r="W193" s="90">
        <v>623</v>
      </c>
      <c r="X193" s="90">
        <v>1</v>
      </c>
      <c r="Y193" s="90" t="s">
        <v>1533</v>
      </c>
      <c r="Z193" s="90" t="s">
        <v>56</v>
      </c>
      <c r="AA193" s="90">
        <v>0.1</v>
      </c>
      <c r="AB193" s="90" t="s">
        <v>1142</v>
      </c>
      <c r="AC193" s="90">
        <v>4.08</v>
      </c>
      <c r="AD193" s="90">
        <v>1.1299999999999999</v>
      </c>
      <c r="AE193" s="90">
        <v>0.625</v>
      </c>
      <c r="AF193" s="90">
        <v>0</v>
      </c>
      <c r="AG193" s="90"/>
      <c r="AH193" s="90"/>
      <c r="AI193" s="90" t="s">
        <v>1552</v>
      </c>
      <c r="AJ193" s="90">
        <v>8</v>
      </c>
      <c r="AK193" s="90">
        <v>254</v>
      </c>
      <c r="AL193" s="90">
        <v>86</v>
      </c>
    </row>
    <row r="194" spans="1:40" ht="15" thickBot="1" x14ac:dyDescent="0.35">
      <c r="A194" s="118" t="s">
        <v>1604</v>
      </c>
      <c r="B194" s="114" t="s">
        <v>2877</v>
      </c>
      <c r="C194" s="114" t="s">
        <v>28</v>
      </c>
      <c r="D194" s="120"/>
      <c r="E194" s="120"/>
      <c r="F194" s="90" t="s">
        <v>1578</v>
      </c>
      <c r="G194" s="90"/>
      <c r="H194" s="90"/>
      <c r="I194" s="90" t="s">
        <v>1558</v>
      </c>
      <c r="J194" s="90"/>
      <c r="K194" s="90"/>
      <c r="L194" s="90" t="s">
        <v>1531</v>
      </c>
      <c r="M194" s="90"/>
      <c r="N194" s="90">
        <v>0.09</v>
      </c>
      <c r="O194" s="90"/>
      <c r="P194" s="90"/>
      <c r="Q194" s="90">
        <v>0.72</v>
      </c>
      <c r="R194" s="90"/>
      <c r="S194" s="90"/>
      <c r="T194" s="90">
        <v>0.19</v>
      </c>
      <c r="U194" s="90"/>
      <c r="V194" s="90" t="s">
        <v>1532</v>
      </c>
      <c r="W194" s="90">
        <v>623</v>
      </c>
      <c r="X194" s="90">
        <v>1</v>
      </c>
      <c r="Y194" s="90" t="s">
        <v>1533</v>
      </c>
      <c r="Z194" s="90" t="s">
        <v>56</v>
      </c>
      <c r="AA194" s="90">
        <v>0.2</v>
      </c>
      <c r="AB194" s="90" t="s">
        <v>1142</v>
      </c>
      <c r="AC194" s="90">
        <v>4.08</v>
      </c>
      <c r="AD194" s="90">
        <v>1.1299999999999999</v>
      </c>
      <c r="AE194" s="90">
        <v>0.625</v>
      </c>
      <c r="AF194" s="90">
        <v>0</v>
      </c>
      <c r="AG194" s="90"/>
      <c r="AH194" s="90"/>
      <c r="AI194" s="90" t="s">
        <v>1552</v>
      </c>
      <c r="AJ194" s="90">
        <v>8</v>
      </c>
      <c r="AK194" s="90">
        <v>254</v>
      </c>
      <c r="AL194" s="90">
        <v>149</v>
      </c>
    </row>
    <row r="195" spans="1:40" ht="15" thickBot="1" x14ac:dyDescent="0.35">
      <c r="A195" s="118" t="s">
        <v>1604</v>
      </c>
      <c r="B195" s="114" t="s">
        <v>2877</v>
      </c>
      <c r="C195" s="114" t="s">
        <v>28</v>
      </c>
      <c r="D195" s="120"/>
      <c r="E195" s="120"/>
      <c r="F195" s="90" t="s">
        <v>1578</v>
      </c>
      <c r="G195" s="90"/>
      <c r="H195" s="90"/>
      <c r="I195" s="90" t="s">
        <v>1558</v>
      </c>
      <c r="J195" s="90"/>
      <c r="K195" s="90"/>
      <c r="L195" s="90" t="s">
        <v>1531</v>
      </c>
      <c r="M195" s="90"/>
      <c r="N195" s="90">
        <v>0.09</v>
      </c>
      <c r="O195" s="90"/>
      <c r="P195" s="90"/>
      <c r="Q195" s="90">
        <v>0.72</v>
      </c>
      <c r="R195" s="90"/>
      <c r="S195" s="90"/>
      <c r="T195" s="90">
        <v>0.19</v>
      </c>
      <c r="U195" s="90"/>
      <c r="V195" s="90" t="s">
        <v>1264</v>
      </c>
      <c r="W195" s="90">
        <v>623</v>
      </c>
      <c r="X195" s="90">
        <v>1</v>
      </c>
      <c r="Y195" s="90" t="s">
        <v>1533</v>
      </c>
      <c r="Z195" s="90" t="s">
        <v>56</v>
      </c>
      <c r="AA195" s="90">
        <v>0.3</v>
      </c>
      <c r="AB195" s="90" t="s">
        <v>1142</v>
      </c>
      <c r="AC195" s="90">
        <v>4.08</v>
      </c>
      <c r="AD195" s="90">
        <v>1.1299999999999999</v>
      </c>
      <c r="AE195" s="90">
        <v>0.625</v>
      </c>
      <c r="AF195" s="90">
        <v>0</v>
      </c>
      <c r="AG195" s="90"/>
      <c r="AH195" s="90"/>
      <c r="AI195" s="90" t="s">
        <v>1552</v>
      </c>
      <c r="AJ195" s="90">
        <v>8</v>
      </c>
      <c r="AK195" s="90">
        <v>254</v>
      </c>
      <c r="AL195" s="90">
        <v>275</v>
      </c>
    </row>
    <row r="196" spans="1:40" ht="15" thickBot="1" x14ac:dyDescent="0.35">
      <c r="A196" s="118" t="s">
        <v>1604</v>
      </c>
      <c r="B196" s="114" t="s">
        <v>2877</v>
      </c>
      <c r="C196" s="114" t="s">
        <v>28</v>
      </c>
      <c r="D196" s="120"/>
      <c r="E196" s="120"/>
      <c r="F196" s="90" t="s">
        <v>1578</v>
      </c>
      <c r="G196" s="90"/>
      <c r="H196" s="90"/>
      <c r="I196" s="90" t="s">
        <v>1558</v>
      </c>
      <c r="J196" s="90"/>
      <c r="K196" s="90"/>
      <c r="L196" s="90" t="s">
        <v>1531</v>
      </c>
      <c r="M196" s="90"/>
      <c r="N196" s="90">
        <v>0.09</v>
      </c>
      <c r="O196" s="90"/>
      <c r="P196" s="90"/>
      <c r="Q196" s="90">
        <v>0.72</v>
      </c>
      <c r="R196" s="90"/>
      <c r="S196" s="90"/>
      <c r="T196" s="90">
        <v>0.19</v>
      </c>
      <c r="U196" s="90"/>
      <c r="V196" s="90" t="s">
        <v>1407</v>
      </c>
      <c r="W196" s="90">
        <v>623</v>
      </c>
      <c r="X196" s="90">
        <v>1</v>
      </c>
      <c r="Y196" s="90" t="s">
        <v>1533</v>
      </c>
      <c r="Z196" s="90" t="s">
        <v>56</v>
      </c>
      <c r="AA196" s="90">
        <v>0.4</v>
      </c>
      <c r="AB196" s="90" t="s">
        <v>1142</v>
      </c>
      <c r="AC196" s="90">
        <v>4.08</v>
      </c>
      <c r="AD196" s="90">
        <v>1.1299999999999999</v>
      </c>
      <c r="AE196" s="90">
        <v>0.625</v>
      </c>
      <c r="AF196" s="90">
        <v>0</v>
      </c>
      <c r="AG196" s="90"/>
      <c r="AH196" s="90"/>
      <c r="AI196" s="90" t="s">
        <v>1552</v>
      </c>
      <c r="AJ196" s="90">
        <v>8</v>
      </c>
      <c r="AK196" s="90">
        <v>254</v>
      </c>
      <c r="AL196" s="90">
        <v>168</v>
      </c>
    </row>
    <row r="197" spans="1:40" ht="15" thickBot="1" x14ac:dyDescent="0.35">
      <c r="A197" s="118" t="s">
        <v>1605</v>
      </c>
      <c r="B197" s="114" t="s">
        <v>1315</v>
      </c>
      <c r="C197" t="s">
        <v>120</v>
      </c>
      <c r="D197" s="120"/>
      <c r="E197" s="120"/>
      <c r="F197" s="90" t="s">
        <v>1583</v>
      </c>
      <c r="G197" s="90" t="s">
        <v>1557</v>
      </c>
      <c r="H197" s="90" t="s">
        <v>1088</v>
      </c>
      <c r="I197" s="90" t="s">
        <v>1558</v>
      </c>
      <c r="J197" s="90"/>
      <c r="K197" s="90"/>
      <c r="L197" s="90" t="s">
        <v>1531</v>
      </c>
      <c r="M197" s="90"/>
      <c r="N197" s="90">
        <v>0.41</v>
      </c>
      <c r="O197" s="90">
        <v>0.02</v>
      </c>
      <c r="P197" s="90">
        <v>7.0000000000000007E-2</v>
      </c>
      <c r="Q197" s="90">
        <v>0.36</v>
      </c>
      <c r="R197" s="90"/>
      <c r="S197" s="90"/>
      <c r="T197" s="90">
        <v>0.14000000000000001</v>
      </c>
      <c r="U197" s="90"/>
      <c r="V197" s="90" t="s">
        <v>1407</v>
      </c>
      <c r="W197" s="90">
        <v>1173</v>
      </c>
      <c r="X197" s="90">
        <v>6</v>
      </c>
      <c r="Y197" s="90" t="s">
        <v>1268</v>
      </c>
      <c r="Z197" s="90" t="s">
        <v>863</v>
      </c>
      <c r="AA197" s="90">
        <v>6.0000000000000001E-3</v>
      </c>
      <c r="AB197" s="90" t="s">
        <v>519</v>
      </c>
      <c r="AC197" s="90">
        <v>4</v>
      </c>
      <c r="AD197" s="90">
        <v>3.84</v>
      </c>
      <c r="AE197" s="90">
        <v>1.54</v>
      </c>
      <c r="AF197" s="90">
        <v>0</v>
      </c>
      <c r="AG197" s="90"/>
      <c r="AH197" s="90"/>
      <c r="AI197" s="90" t="s">
        <v>1552</v>
      </c>
      <c r="AJ197" s="90">
        <v>250</v>
      </c>
      <c r="AK197" s="90">
        <v>365</v>
      </c>
      <c r="AL197" s="90">
        <v>2210</v>
      </c>
      <c r="AM197" s="1">
        <f>AL197*10</f>
        <v>22100</v>
      </c>
      <c r="AN197" t="s">
        <v>120</v>
      </c>
    </row>
    <row r="198" spans="1:40" ht="15" thickBot="1" x14ac:dyDescent="0.35">
      <c r="A198" s="118" t="s">
        <v>1605</v>
      </c>
      <c r="B198" s="114" t="s">
        <v>1315</v>
      </c>
      <c r="C198" t="s">
        <v>120</v>
      </c>
      <c r="D198" s="120"/>
      <c r="E198" s="120"/>
      <c r="F198" s="90" t="s">
        <v>1583</v>
      </c>
      <c r="G198" s="90" t="s">
        <v>1557</v>
      </c>
      <c r="H198" s="90" t="s">
        <v>1088</v>
      </c>
      <c r="I198" s="90" t="s">
        <v>1558</v>
      </c>
      <c r="J198" s="90"/>
      <c r="K198" s="90"/>
      <c r="L198" s="90" t="s">
        <v>1531</v>
      </c>
      <c r="M198" s="90"/>
      <c r="N198" s="90">
        <v>0.41</v>
      </c>
      <c r="O198" s="90">
        <v>0.02</v>
      </c>
      <c r="P198" s="90">
        <v>7.0000000000000007E-2</v>
      </c>
      <c r="Q198" s="90">
        <v>0.36</v>
      </c>
      <c r="R198" s="90"/>
      <c r="S198" s="90"/>
      <c r="T198" s="90">
        <v>0.14000000000000001</v>
      </c>
      <c r="U198" s="90"/>
      <c r="V198" s="90" t="s">
        <v>1407</v>
      </c>
      <c r="W198" s="90">
        <v>1173</v>
      </c>
      <c r="X198" s="90">
        <v>6</v>
      </c>
      <c r="Y198" s="90" t="s">
        <v>1268</v>
      </c>
      <c r="Z198" s="90" t="s">
        <v>863</v>
      </c>
      <c r="AA198" s="90">
        <v>0.124</v>
      </c>
      <c r="AB198" s="90" t="s">
        <v>519</v>
      </c>
      <c r="AC198" s="90">
        <v>4</v>
      </c>
      <c r="AD198" s="90">
        <v>3.84</v>
      </c>
      <c r="AE198" s="90">
        <v>1.54</v>
      </c>
      <c r="AF198" s="90">
        <v>0</v>
      </c>
      <c r="AG198" s="90"/>
      <c r="AH198" s="90"/>
      <c r="AI198" s="90" t="s">
        <v>1552</v>
      </c>
      <c r="AJ198" s="90">
        <v>250</v>
      </c>
      <c r="AK198" s="90">
        <v>365</v>
      </c>
      <c r="AL198" s="90">
        <v>2660</v>
      </c>
      <c r="AM198" s="1">
        <f t="shared" ref="AM198:AM216" si="13">AL198*10</f>
        <v>26600</v>
      </c>
      <c r="AN198" t="s">
        <v>120</v>
      </c>
    </row>
    <row r="199" spans="1:40" ht="15" thickBot="1" x14ac:dyDescent="0.35">
      <c r="A199" s="118" t="s">
        <v>1605</v>
      </c>
      <c r="B199" s="114" t="s">
        <v>1315</v>
      </c>
      <c r="C199" t="s">
        <v>120</v>
      </c>
      <c r="D199" s="120"/>
      <c r="E199" s="120"/>
      <c r="F199" s="90" t="s">
        <v>1583</v>
      </c>
      <c r="G199" s="90" t="s">
        <v>1557</v>
      </c>
      <c r="H199" s="90" t="s">
        <v>1088</v>
      </c>
      <c r="I199" s="90" t="s">
        <v>1558</v>
      </c>
      <c r="J199" s="90"/>
      <c r="K199" s="90"/>
      <c r="L199" s="90" t="s">
        <v>1531</v>
      </c>
      <c r="M199" s="90"/>
      <c r="N199" s="90">
        <v>0.41</v>
      </c>
      <c r="O199" s="90">
        <v>0.02</v>
      </c>
      <c r="P199" s="90">
        <v>7.0000000000000007E-2</v>
      </c>
      <c r="Q199" s="90">
        <v>0.36</v>
      </c>
      <c r="R199" s="90"/>
      <c r="S199" s="90"/>
      <c r="T199" s="90">
        <v>0.14000000000000001</v>
      </c>
      <c r="U199" s="90"/>
      <c r="V199" s="90" t="s">
        <v>1407</v>
      </c>
      <c r="W199" s="90">
        <v>1173</v>
      </c>
      <c r="X199" s="90">
        <v>6</v>
      </c>
      <c r="Y199" s="90" t="s">
        <v>1268</v>
      </c>
      <c r="Z199" s="90" t="s">
        <v>863</v>
      </c>
      <c r="AA199" s="90">
        <v>0.251</v>
      </c>
      <c r="AB199" s="90" t="s">
        <v>519</v>
      </c>
      <c r="AC199" s="90">
        <v>4</v>
      </c>
      <c r="AD199" s="90">
        <v>3.84</v>
      </c>
      <c r="AE199" s="90">
        <v>1.54</v>
      </c>
      <c r="AF199" s="90">
        <v>0</v>
      </c>
      <c r="AG199" s="90"/>
      <c r="AH199" s="90"/>
      <c r="AI199" s="90" t="s">
        <v>1552</v>
      </c>
      <c r="AJ199" s="90">
        <v>250</v>
      </c>
      <c r="AK199" s="90">
        <v>365</v>
      </c>
      <c r="AL199" s="90">
        <v>2880</v>
      </c>
      <c r="AM199" s="1">
        <f t="shared" si="13"/>
        <v>28800</v>
      </c>
      <c r="AN199" t="s">
        <v>120</v>
      </c>
    </row>
    <row r="200" spans="1:40" ht="15" thickBot="1" x14ac:dyDescent="0.35">
      <c r="A200" s="118" t="s">
        <v>1605</v>
      </c>
      <c r="B200" s="114" t="s">
        <v>1315</v>
      </c>
      <c r="C200" t="s">
        <v>120</v>
      </c>
      <c r="D200" s="120"/>
      <c r="E200" s="120"/>
      <c r="F200" s="90" t="s">
        <v>1583</v>
      </c>
      <c r="G200" s="90" t="s">
        <v>1557</v>
      </c>
      <c r="H200" s="90" t="s">
        <v>1088</v>
      </c>
      <c r="I200" s="90" t="s">
        <v>1558</v>
      </c>
      <c r="J200" s="90"/>
      <c r="K200" s="90"/>
      <c r="L200" s="90" t="s">
        <v>1531</v>
      </c>
      <c r="M200" s="90"/>
      <c r="N200" s="90">
        <v>0.41</v>
      </c>
      <c r="O200" s="90">
        <v>0.02</v>
      </c>
      <c r="P200" s="90">
        <v>7.0000000000000007E-2</v>
      </c>
      <c r="Q200" s="90">
        <v>0.36</v>
      </c>
      <c r="R200" s="90"/>
      <c r="S200" s="90"/>
      <c r="T200" s="90">
        <v>0.14000000000000001</v>
      </c>
      <c r="U200" s="90"/>
      <c r="V200" s="90" t="s">
        <v>1305</v>
      </c>
      <c r="W200" s="90">
        <v>1173</v>
      </c>
      <c r="X200" s="90">
        <v>6</v>
      </c>
      <c r="Y200" s="90" t="s">
        <v>1268</v>
      </c>
      <c r="Z200" s="90" t="s">
        <v>863</v>
      </c>
      <c r="AA200" s="90">
        <v>0.373</v>
      </c>
      <c r="AB200" s="90" t="s">
        <v>519</v>
      </c>
      <c r="AC200" s="90">
        <v>4</v>
      </c>
      <c r="AD200" s="90">
        <v>3.84</v>
      </c>
      <c r="AE200" s="90">
        <v>1.54</v>
      </c>
      <c r="AF200" s="90">
        <v>0</v>
      </c>
      <c r="AG200" s="90"/>
      <c r="AH200" s="90"/>
      <c r="AI200" s="90" t="s">
        <v>1552</v>
      </c>
      <c r="AJ200" s="90">
        <v>250</v>
      </c>
      <c r="AK200" s="90">
        <v>365</v>
      </c>
      <c r="AL200" s="90">
        <v>4040</v>
      </c>
      <c r="AM200" s="1">
        <f t="shared" si="13"/>
        <v>40400</v>
      </c>
      <c r="AN200" t="s">
        <v>120</v>
      </c>
    </row>
    <row r="201" spans="1:40" ht="15" thickBot="1" x14ac:dyDescent="0.35">
      <c r="A201" s="118" t="s">
        <v>1605</v>
      </c>
      <c r="B201" s="114" t="s">
        <v>1315</v>
      </c>
      <c r="C201" t="s">
        <v>120</v>
      </c>
      <c r="D201" s="120"/>
      <c r="E201" s="120"/>
      <c r="F201" s="90" t="s">
        <v>1583</v>
      </c>
      <c r="G201" s="90" t="s">
        <v>1557</v>
      </c>
      <c r="H201" s="90" t="s">
        <v>1088</v>
      </c>
      <c r="I201" s="90" t="s">
        <v>1558</v>
      </c>
      <c r="J201" s="90"/>
      <c r="K201" s="90"/>
      <c r="L201" s="90" t="s">
        <v>1531</v>
      </c>
      <c r="M201" s="90"/>
      <c r="N201" s="90">
        <v>0.41</v>
      </c>
      <c r="O201" s="90">
        <v>0.02</v>
      </c>
      <c r="P201" s="90">
        <v>7.0000000000000007E-2</v>
      </c>
      <c r="Q201" s="90">
        <v>0.36</v>
      </c>
      <c r="R201" s="90"/>
      <c r="S201" s="90"/>
      <c r="T201" s="90">
        <v>0.14000000000000001</v>
      </c>
      <c r="U201" s="90"/>
      <c r="V201" s="90" t="s">
        <v>1305</v>
      </c>
      <c r="W201" s="90">
        <v>1173</v>
      </c>
      <c r="X201" s="90">
        <v>6</v>
      </c>
      <c r="Y201" s="90" t="s">
        <v>1268</v>
      </c>
      <c r="Z201" s="90" t="s">
        <v>863</v>
      </c>
      <c r="AA201" s="90">
        <v>0.501</v>
      </c>
      <c r="AB201" s="90" t="s">
        <v>519</v>
      </c>
      <c r="AC201" s="90">
        <v>4</v>
      </c>
      <c r="AD201" s="90">
        <v>3.84</v>
      </c>
      <c r="AE201" s="90">
        <v>1.54</v>
      </c>
      <c r="AF201" s="90">
        <v>0</v>
      </c>
      <c r="AG201" s="90"/>
      <c r="AH201" s="90"/>
      <c r="AI201" s="90" t="s">
        <v>1552</v>
      </c>
      <c r="AJ201" s="90">
        <v>250</v>
      </c>
      <c r="AK201" s="90">
        <v>365</v>
      </c>
      <c r="AL201" s="90">
        <v>3860</v>
      </c>
      <c r="AM201" s="1">
        <f t="shared" si="13"/>
        <v>38600</v>
      </c>
      <c r="AN201" t="s">
        <v>120</v>
      </c>
    </row>
    <row r="202" spans="1:40" ht="15" thickBot="1" x14ac:dyDescent="0.35">
      <c r="A202" s="118" t="s">
        <v>1605</v>
      </c>
      <c r="B202" s="114" t="s">
        <v>1315</v>
      </c>
      <c r="C202" s="114" t="s">
        <v>124</v>
      </c>
      <c r="D202" s="120"/>
      <c r="E202" s="120"/>
      <c r="F202" s="90" t="s">
        <v>1583</v>
      </c>
      <c r="G202" s="90"/>
      <c r="H202" s="90"/>
      <c r="I202" s="90" t="s">
        <v>1558</v>
      </c>
      <c r="J202" s="90"/>
      <c r="K202" s="90"/>
      <c r="L202" s="90" t="s">
        <v>1531</v>
      </c>
      <c r="M202" s="90"/>
      <c r="N202" s="90">
        <v>0.41</v>
      </c>
      <c r="O202" s="90"/>
      <c r="P202" s="90"/>
      <c r="Q202" s="90">
        <v>0.36</v>
      </c>
      <c r="R202" s="90"/>
      <c r="S202" s="90"/>
      <c r="T202" s="90">
        <v>0.14000000000000001</v>
      </c>
      <c r="U202" s="90"/>
      <c r="V202" s="90" t="s">
        <v>1305</v>
      </c>
      <c r="W202" s="90">
        <v>1173</v>
      </c>
      <c r="X202" s="90">
        <v>6</v>
      </c>
      <c r="Y202" s="90" t="s">
        <v>1268</v>
      </c>
      <c r="Z202" s="90" t="s">
        <v>863</v>
      </c>
      <c r="AA202" s="90">
        <v>8.0000000000000002E-3</v>
      </c>
      <c r="AB202" s="90" t="s">
        <v>519</v>
      </c>
      <c r="AC202" s="90">
        <v>3.9</v>
      </c>
      <c r="AD202" s="90">
        <v>6.88</v>
      </c>
      <c r="AE202" s="90">
        <v>1.54</v>
      </c>
      <c r="AF202" s="90">
        <v>0</v>
      </c>
      <c r="AG202" s="90"/>
      <c r="AH202" s="90"/>
      <c r="AI202" s="90" t="s">
        <v>1552</v>
      </c>
      <c r="AJ202" s="90">
        <v>250</v>
      </c>
      <c r="AK202" s="90">
        <v>365</v>
      </c>
      <c r="AL202" s="90">
        <v>1590</v>
      </c>
      <c r="AM202" s="1">
        <f t="shared" si="13"/>
        <v>15900</v>
      </c>
      <c r="AN202" s="114" t="s">
        <v>124</v>
      </c>
    </row>
    <row r="203" spans="1:40" ht="15" thickBot="1" x14ac:dyDescent="0.35">
      <c r="A203" s="118" t="s">
        <v>1605</v>
      </c>
      <c r="B203" s="114" t="s">
        <v>1315</v>
      </c>
      <c r="C203" s="114" t="s">
        <v>124</v>
      </c>
      <c r="D203" s="120"/>
      <c r="E203" s="120"/>
      <c r="F203" s="90" t="s">
        <v>1583</v>
      </c>
      <c r="G203" s="90"/>
      <c r="H203" s="90"/>
      <c r="I203" s="90" t="s">
        <v>1558</v>
      </c>
      <c r="J203" s="90"/>
      <c r="K203" s="90"/>
      <c r="L203" s="90" t="s">
        <v>1531</v>
      </c>
      <c r="M203" s="90"/>
      <c r="N203" s="90">
        <v>0.41</v>
      </c>
      <c r="O203" s="90"/>
      <c r="P203" s="90"/>
      <c r="Q203" s="90">
        <v>0.36</v>
      </c>
      <c r="R203" s="90"/>
      <c r="S203" s="90"/>
      <c r="T203" s="90">
        <v>0.14000000000000001</v>
      </c>
      <c r="U203" s="90"/>
      <c r="V203" s="90" t="s">
        <v>1305</v>
      </c>
      <c r="W203" s="90">
        <v>1173</v>
      </c>
      <c r="X203" s="90">
        <v>6</v>
      </c>
      <c r="Y203" s="90" t="s">
        <v>1268</v>
      </c>
      <c r="Z203" s="90" t="s">
        <v>863</v>
      </c>
      <c r="AA203" s="90">
        <v>0.123</v>
      </c>
      <c r="AB203" s="90" t="s">
        <v>519</v>
      </c>
      <c r="AC203" s="90">
        <v>3.9</v>
      </c>
      <c r="AD203" s="90">
        <v>6.88</v>
      </c>
      <c r="AE203" s="90">
        <v>1.54</v>
      </c>
      <c r="AF203" s="90">
        <v>0</v>
      </c>
      <c r="AG203" s="90"/>
      <c r="AH203" s="90"/>
      <c r="AI203" s="90" t="s">
        <v>1552</v>
      </c>
      <c r="AJ203" s="90">
        <v>250</v>
      </c>
      <c r="AK203" s="90">
        <v>365</v>
      </c>
      <c r="AL203" s="90">
        <v>4050</v>
      </c>
      <c r="AM203" s="1">
        <f t="shared" si="13"/>
        <v>40500</v>
      </c>
      <c r="AN203" s="114" t="s">
        <v>124</v>
      </c>
    </row>
    <row r="204" spans="1:40" ht="15" thickBot="1" x14ac:dyDescent="0.35">
      <c r="A204" s="118" t="s">
        <v>1605</v>
      </c>
      <c r="B204" s="114" t="s">
        <v>1315</v>
      </c>
      <c r="C204" s="114" t="s">
        <v>124</v>
      </c>
      <c r="D204" s="120"/>
      <c r="E204" s="120"/>
      <c r="F204" s="90" t="s">
        <v>1583</v>
      </c>
      <c r="G204" s="90"/>
      <c r="H204" s="90"/>
      <c r="I204" s="90" t="s">
        <v>1558</v>
      </c>
      <c r="J204" s="90"/>
      <c r="K204" s="90"/>
      <c r="L204" s="90" t="s">
        <v>1531</v>
      </c>
      <c r="M204" s="90"/>
      <c r="N204" s="90">
        <v>0.41</v>
      </c>
      <c r="O204" s="90"/>
      <c r="P204" s="90"/>
      <c r="Q204" s="90">
        <v>0.36</v>
      </c>
      <c r="R204" s="90"/>
      <c r="S204" s="90"/>
      <c r="T204" s="90">
        <v>0.14000000000000001</v>
      </c>
      <c r="U204" s="90"/>
      <c r="V204" s="90" t="s">
        <v>1305</v>
      </c>
      <c r="W204" s="90">
        <v>1173</v>
      </c>
      <c r="X204" s="90">
        <v>6</v>
      </c>
      <c r="Y204" s="90" t="s">
        <v>1268</v>
      </c>
      <c r="Z204" s="90" t="s">
        <v>863</v>
      </c>
      <c r="AA204" s="90">
        <v>0.251</v>
      </c>
      <c r="AB204" s="90" t="s">
        <v>519</v>
      </c>
      <c r="AC204" s="90">
        <v>3.9</v>
      </c>
      <c r="AD204" s="90">
        <v>6.88</v>
      </c>
      <c r="AE204" s="90">
        <v>1.54</v>
      </c>
      <c r="AF204" s="90">
        <v>0</v>
      </c>
      <c r="AG204" s="90"/>
      <c r="AH204" s="90"/>
      <c r="AI204" s="90" t="s">
        <v>1552</v>
      </c>
      <c r="AJ204" s="90">
        <v>250</v>
      </c>
      <c r="AK204" s="90">
        <v>365</v>
      </c>
      <c r="AL204" s="90">
        <v>4910</v>
      </c>
      <c r="AM204" s="1">
        <f t="shared" si="13"/>
        <v>49100</v>
      </c>
      <c r="AN204" s="114" t="s">
        <v>124</v>
      </c>
    </row>
    <row r="205" spans="1:40" ht="15" thickBot="1" x14ac:dyDescent="0.35">
      <c r="A205" s="118" t="s">
        <v>1605</v>
      </c>
      <c r="B205" s="114" t="s">
        <v>1315</v>
      </c>
      <c r="C205" s="114" t="s">
        <v>124</v>
      </c>
      <c r="D205" s="120"/>
      <c r="E205" s="120"/>
      <c r="F205" s="90" t="s">
        <v>1583</v>
      </c>
      <c r="G205" s="90"/>
      <c r="H205" s="90"/>
      <c r="I205" s="90" t="s">
        <v>1558</v>
      </c>
      <c r="J205" s="90"/>
      <c r="K205" s="90"/>
      <c r="L205" s="90" t="s">
        <v>1531</v>
      </c>
      <c r="M205" s="90"/>
      <c r="N205" s="90">
        <v>0.41</v>
      </c>
      <c r="O205" s="90"/>
      <c r="P205" s="90"/>
      <c r="Q205" s="90">
        <v>0.36</v>
      </c>
      <c r="R205" s="90"/>
      <c r="S205" s="90"/>
      <c r="T205" s="90">
        <v>0.14000000000000001</v>
      </c>
      <c r="U205" s="90"/>
      <c r="V205" s="90" t="s">
        <v>1305</v>
      </c>
      <c r="W205" s="90">
        <v>1173</v>
      </c>
      <c r="X205" s="90">
        <v>6</v>
      </c>
      <c r="Y205" s="90" t="s">
        <v>1268</v>
      </c>
      <c r="Z205" s="90" t="s">
        <v>863</v>
      </c>
      <c r="AA205" s="90">
        <v>0.376</v>
      </c>
      <c r="AB205" s="90" t="s">
        <v>519</v>
      </c>
      <c r="AC205" s="90">
        <v>3.9</v>
      </c>
      <c r="AD205" s="90">
        <v>6.88</v>
      </c>
      <c r="AE205" s="90">
        <v>1.54</v>
      </c>
      <c r="AF205" s="90">
        <v>0</v>
      </c>
      <c r="AG205" s="90"/>
      <c r="AH205" s="90"/>
      <c r="AI205" s="90" t="s">
        <v>1552</v>
      </c>
      <c r="AJ205" s="90">
        <v>250</v>
      </c>
      <c r="AK205" s="90">
        <v>365</v>
      </c>
      <c r="AL205" s="90">
        <v>4480</v>
      </c>
      <c r="AM205" s="1">
        <f t="shared" si="13"/>
        <v>44800</v>
      </c>
      <c r="AN205" s="114" t="s">
        <v>124</v>
      </c>
    </row>
    <row r="206" spans="1:40" ht="15" thickBot="1" x14ac:dyDescent="0.35">
      <c r="A206" s="118" t="s">
        <v>1605</v>
      </c>
      <c r="B206" s="114" t="s">
        <v>1315</v>
      </c>
      <c r="C206" s="114" t="s">
        <v>124</v>
      </c>
      <c r="D206" s="120"/>
      <c r="E206" s="120"/>
      <c r="F206" s="90" t="s">
        <v>1583</v>
      </c>
      <c r="G206" s="90"/>
      <c r="H206" s="90"/>
      <c r="I206" s="90" t="s">
        <v>1558</v>
      </c>
      <c r="J206" s="90"/>
      <c r="K206" s="90"/>
      <c r="L206" s="90" t="s">
        <v>1531</v>
      </c>
      <c r="M206" s="90"/>
      <c r="N206" s="90">
        <v>0.41</v>
      </c>
      <c r="O206" s="90"/>
      <c r="P206" s="90"/>
      <c r="Q206" s="90">
        <v>0.36</v>
      </c>
      <c r="R206" s="90"/>
      <c r="S206" s="90"/>
      <c r="T206" s="90">
        <v>0.14000000000000001</v>
      </c>
      <c r="U206" s="90"/>
      <c r="V206" s="90" t="s">
        <v>1305</v>
      </c>
      <c r="W206" s="90">
        <v>1173</v>
      </c>
      <c r="X206" s="90">
        <v>6</v>
      </c>
      <c r="Y206" s="90" t="s">
        <v>1268</v>
      </c>
      <c r="Z206" s="90" t="s">
        <v>863</v>
      </c>
      <c r="AA206" s="90">
        <v>0.501</v>
      </c>
      <c r="AB206" s="90" t="s">
        <v>519</v>
      </c>
      <c r="AC206" s="90">
        <v>3.9</v>
      </c>
      <c r="AD206" s="90">
        <v>6.88</v>
      </c>
      <c r="AE206" s="90">
        <v>1.54</v>
      </c>
      <c r="AF206" s="90">
        <v>0</v>
      </c>
      <c r="AG206" s="90"/>
      <c r="AH206" s="90"/>
      <c r="AI206" s="90" t="s">
        <v>1552</v>
      </c>
      <c r="AJ206" s="90">
        <v>250</v>
      </c>
      <c r="AK206" s="90">
        <v>365</v>
      </c>
      <c r="AL206" s="90">
        <v>3540</v>
      </c>
      <c r="AM206" s="1">
        <f t="shared" si="13"/>
        <v>35400</v>
      </c>
      <c r="AN206" s="114" t="s">
        <v>124</v>
      </c>
    </row>
    <row r="207" spans="1:40" ht="15" thickBot="1" x14ac:dyDescent="0.35">
      <c r="A207" s="118" t="s">
        <v>1605</v>
      </c>
      <c r="B207" s="114" t="s">
        <v>1315</v>
      </c>
      <c r="C207" s="114" t="s">
        <v>123</v>
      </c>
      <c r="D207" s="120"/>
      <c r="E207" s="120"/>
      <c r="F207" s="90" t="s">
        <v>1583</v>
      </c>
      <c r="G207" s="90" t="s">
        <v>1091</v>
      </c>
      <c r="H207" s="90"/>
      <c r="I207" s="90" t="s">
        <v>1558</v>
      </c>
      <c r="J207" s="90"/>
      <c r="K207" s="90"/>
      <c r="L207" s="90" t="s">
        <v>1531</v>
      </c>
      <c r="M207" s="90"/>
      <c r="N207" s="90">
        <v>0.43</v>
      </c>
      <c r="O207" s="90">
        <v>0.04</v>
      </c>
      <c r="P207" s="90"/>
      <c r="Q207" s="90">
        <v>0.38</v>
      </c>
      <c r="R207" s="90"/>
      <c r="S207" s="90"/>
      <c r="T207" s="90">
        <v>0.15</v>
      </c>
      <c r="U207" s="90"/>
      <c r="V207" s="90" t="s">
        <v>1305</v>
      </c>
      <c r="W207" s="90">
        <v>1173</v>
      </c>
      <c r="X207" s="90">
        <v>6</v>
      </c>
      <c r="Y207" s="90" t="s">
        <v>1268</v>
      </c>
      <c r="Z207" s="90" t="s">
        <v>863</v>
      </c>
      <c r="AA207" s="90">
        <v>4.3E-3</v>
      </c>
      <c r="AB207" s="90" t="s">
        <v>519</v>
      </c>
      <c r="AC207" s="90">
        <v>3.7</v>
      </c>
      <c r="AD207" s="90">
        <v>4.3499999999999996</v>
      </c>
      <c r="AE207" s="90">
        <v>1.54</v>
      </c>
      <c r="AF207" s="90">
        <v>0</v>
      </c>
      <c r="AG207" s="90"/>
      <c r="AH207" s="90"/>
      <c r="AI207" s="90" t="s">
        <v>1552</v>
      </c>
      <c r="AJ207" s="90">
        <v>250</v>
      </c>
      <c r="AK207" s="90">
        <v>365</v>
      </c>
      <c r="AL207" s="90">
        <v>1120</v>
      </c>
      <c r="AM207" s="1">
        <f t="shared" si="13"/>
        <v>11200</v>
      </c>
      <c r="AN207" s="114" t="s">
        <v>123</v>
      </c>
    </row>
    <row r="208" spans="1:40" ht="15" thickBot="1" x14ac:dyDescent="0.35">
      <c r="A208" s="118" t="s">
        <v>1605</v>
      </c>
      <c r="B208" s="114" t="s">
        <v>1315</v>
      </c>
      <c r="C208" s="114" t="s">
        <v>123</v>
      </c>
      <c r="D208" s="120"/>
      <c r="E208" s="120"/>
      <c r="F208" s="90" t="s">
        <v>1583</v>
      </c>
      <c r="G208" s="90" t="s">
        <v>1091</v>
      </c>
      <c r="H208" s="90"/>
      <c r="I208" s="90" t="s">
        <v>1558</v>
      </c>
      <c r="J208" s="90"/>
      <c r="K208" s="90"/>
      <c r="L208" s="90" t="s">
        <v>1531</v>
      </c>
      <c r="M208" s="90"/>
      <c r="N208" s="90">
        <v>0.43</v>
      </c>
      <c r="O208" s="90">
        <v>0.04</v>
      </c>
      <c r="P208" s="90"/>
      <c r="Q208" s="90">
        <v>0.38</v>
      </c>
      <c r="R208" s="90"/>
      <c r="S208" s="90"/>
      <c r="T208" s="90">
        <v>0.15</v>
      </c>
      <c r="U208" s="90"/>
      <c r="V208" s="90" t="s">
        <v>1305</v>
      </c>
      <c r="W208" s="90">
        <v>1173</v>
      </c>
      <c r="X208" s="90">
        <v>6</v>
      </c>
      <c r="Y208" s="90" t="s">
        <v>1268</v>
      </c>
      <c r="Z208" s="90" t="s">
        <v>863</v>
      </c>
      <c r="AA208" s="90">
        <v>0.128</v>
      </c>
      <c r="AB208" s="90" t="s">
        <v>519</v>
      </c>
      <c r="AC208" s="90">
        <v>3.7</v>
      </c>
      <c r="AD208" s="90">
        <v>4.3499999999999996</v>
      </c>
      <c r="AE208" s="90">
        <v>1.54</v>
      </c>
      <c r="AF208" s="90">
        <v>0</v>
      </c>
      <c r="AG208" s="90"/>
      <c r="AH208" s="90"/>
      <c r="AI208" s="90" t="s">
        <v>1552</v>
      </c>
      <c r="AJ208" s="90">
        <v>250</v>
      </c>
      <c r="AK208" s="90">
        <v>365</v>
      </c>
      <c r="AL208" s="90">
        <v>1790</v>
      </c>
      <c r="AM208" s="1">
        <f t="shared" si="13"/>
        <v>17900</v>
      </c>
      <c r="AN208" s="114" t="s">
        <v>123</v>
      </c>
    </row>
    <row r="209" spans="1:40" ht="15" thickBot="1" x14ac:dyDescent="0.35">
      <c r="A209" s="118" t="s">
        <v>1605</v>
      </c>
      <c r="B209" s="114" t="s">
        <v>1315</v>
      </c>
      <c r="C209" s="114" t="s">
        <v>123</v>
      </c>
      <c r="D209" s="120"/>
      <c r="E209" s="120"/>
      <c r="F209" s="90" t="s">
        <v>1583</v>
      </c>
      <c r="G209" s="90" t="s">
        <v>1091</v>
      </c>
      <c r="H209" s="90"/>
      <c r="I209" s="90" t="s">
        <v>1558</v>
      </c>
      <c r="J209" s="90"/>
      <c r="K209" s="90"/>
      <c r="L209" s="90" t="s">
        <v>1531</v>
      </c>
      <c r="M209" s="90"/>
      <c r="N209" s="90">
        <v>0.43</v>
      </c>
      <c r="O209" s="90">
        <v>0.04</v>
      </c>
      <c r="P209" s="90"/>
      <c r="Q209" s="90">
        <v>0.38</v>
      </c>
      <c r="R209" s="90"/>
      <c r="S209" s="90"/>
      <c r="T209" s="90">
        <v>0.15</v>
      </c>
      <c r="U209" s="90"/>
      <c r="V209" s="90" t="s">
        <v>1305</v>
      </c>
      <c r="W209" s="90">
        <v>1173</v>
      </c>
      <c r="X209" s="90">
        <v>6</v>
      </c>
      <c r="Y209" s="90" t="s">
        <v>1268</v>
      </c>
      <c r="Z209" s="90" t="s">
        <v>863</v>
      </c>
      <c r="AA209" s="90">
        <v>0.249</v>
      </c>
      <c r="AB209" s="90" t="s">
        <v>519</v>
      </c>
      <c r="AC209" s="90">
        <v>3.7</v>
      </c>
      <c r="AD209" s="90">
        <v>4.3499999999999996</v>
      </c>
      <c r="AE209" s="90">
        <v>1.54</v>
      </c>
      <c r="AF209" s="90">
        <v>0</v>
      </c>
      <c r="AG209" s="90"/>
      <c r="AH209" s="90"/>
      <c r="AI209" s="90" t="s">
        <v>1552</v>
      </c>
      <c r="AJ209" s="90">
        <v>250</v>
      </c>
      <c r="AK209" s="90">
        <v>365</v>
      </c>
      <c r="AL209" s="90">
        <v>2960</v>
      </c>
      <c r="AM209" s="1">
        <f t="shared" si="13"/>
        <v>29600</v>
      </c>
      <c r="AN209" s="114" t="s">
        <v>123</v>
      </c>
    </row>
    <row r="210" spans="1:40" ht="15" thickBot="1" x14ac:dyDescent="0.35">
      <c r="A210" s="118" t="s">
        <v>1605</v>
      </c>
      <c r="B210" s="114" t="s">
        <v>1315</v>
      </c>
      <c r="C210" s="114" t="s">
        <v>123</v>
      </c>
      <c r="D210" s="120"/>
      <c r="E210" s="120"/>
      <c r="F210" s="90" t="s">
        <v>1583</v>
      </c>
      <c r="G210" s="90" t="s">
        <v>1091</v>
      </c>
      <c r="H210" s="90"/>
      <c r="I210" s="90" t="s">
        <v>1558</v>
      </c>
      <c r="J210" s="90"/>
      <c r="K210" s="90"/>
      <c r="L210" s="90" t="s">
        <v>1531</v>
      </c>
      <c r="M210" s="90"/>
      <c r="N210" s="90">
        <v>0.43</v>
      </c>
      <c r="O210" s="90">
        <v>0.04</v>
      </c>
      <c r="P210" s="90"/>
      <c r="Q210" s="90">
        <v>0.38</v>
      </c>
      <c r="R210" s="90"/>
      <c r="S210" s="90"/>
      <c r="T210" s="90">
        <v>0.15</v>
      </c>
      <c r="U210" s="90"/>
      <c r="V210" s="90" t="s">
        <v>1305</v>
      </c>
      <c r="W210" s="90">
        <v>1173</v>
      </c>
      <c r="X210" s="90">
        <v>6</v>
      </c>
      <c r="Y210" s="90" t="s">
        <v>1268</v>
      </c>
      <c r="Z210" s="90" t="s">
        <v>863</v>
      </c>
      <c r="AA210" s="90">
        <v>0.376</v>
      </c>
      <c r="AB210" s="90" t="s">
        <v>519</v>
      </c>
      <c r="AC210" s="90">
        <v>3.7</v>
      </c>
      <c r="AD210" s="90">
        <v>4.3499999999999996</v>
      </c>
      <c r="AE210" s="90">
        <v>1.54</v>
      </c>
      <c r="AF210" s="90">
        <v>0</v>
      </c>
      <c r="AG210" s="90"/>
      <c r="AH210" s="90"/>
      <c r="AI210" s="90" t="s">
        <v>1552</v>
      </c>
      <c r="AJ210" s="90">
        <v>250</v>
      </c>
      <c r="AK210" s="90">
        <v>365</v>
      </c>
      <c r="AL210" s="90">
        <v>2410</v>
      </c>
      <c r="AM210" s="1">
        <f t="shared" si="13"/>
        <v>24100</v>
      </c>
      <c r="AN210" s="114" t="s">
        <v>123</v>
      </c>
    </row>
    <row r="211" spans="1:40" ht="15" thickBot="1" x14ac:dyDescent="0.35">
      <c r="A211" s="118" t="s">
        <v>1605</v>
      </c>
      <c r="B211" s="114" t="s">
        <v>1315</v>
      </c>
      <c r="C211" s="114" t="s">
        <v>123</v>
      </c>
      <c r="D211" s="120"/>
      <c r="E211" s="120"/>
      <c r="F211" s="90" t="s">
        <v>1583</v>
      </c>
      <c r="G211" s="90" t="s">
        <v>1091</v>
      </c>
      <c r="H211" s="90"/>
      <c r="I211" s="90" t="s">
        <v>1558</v>
      </c>
      <c r="J211" s="90"/>
      <c r="K211" s="90"/>
      <c r="L211" s="90" t="s">
        <v>1531</v>
      </c>
      <c r="M211" s="90"/>
      <c r="N211" s="90">
        <v>0.43</v>
      </c>
      <c r="O211" s="90">
        <v>0.04</v>
      </c>
      <c r="P211" s="90"/>
      <c r="Q211" s="90">
        <v>0.38</v>
      </c>
      <c r="R211" s="90"/>
      <c r="S211" s="90"/>
      <c r="T211" s="90">
        <v>0.15</v>
      </c>
      <c r="U211" s="90"/>
      <c r="V211" s="90" t="s">
        <v>1305</v>
      </c>
      <c r="W211" s="90">
        <v>1173</v>
      </c>
      <c r="X211" s="90">
        <v>6</v>
      </c>
      <c r="Y211" s="90" t="s">
        <v>1268</v>
      </c>
      <c r="Z211" s="90" t="s">
        <v>863</v>
      </c>
      <c r="AA211" s="90">
        <v>0.501</v>
      </c>
      <c r="AB211" s="90" t="s">
        <v>519</v>
      </c>
      <c r="AC211" s="90">
        <v>3.7</v>
      </c>
      <c r="AD211" s="90">
        <v>4.3499999999999996</v>
      </c>
      <c r="AE211" s="90">
        <v>1.54</v>
      </c>
      <c r="AF211" s="90">
        <v>0</v>
      </c>
      <c r="AG211" s="90"/>
      <c r="AH211" s="90"/>
      <c r="AI211" s="90" t="s">
        <v>1552</v>
      </c>
      <c r="AJ211" s="90">
        <v>250</v>
      </c>
      <c r="AK211" s="90">
        <v>365</v>
      </c>
      <c r="AL211" s="90">
        <v>1560</v>
      </c>
      <c r="AM211" s="1">
        <f t="shared" si="13"/>
        <v>15600</v>
      </c>
      <c r="AN211" s="114" t="s">
        <v>123</v>
      </c>
    </row>
    <row r="212" spans="1:40" ht="15" thickBot="1" x14ac:dyDescent="0.35">
      <c r="A212" s="118" t="s">
        <v>1605</v>
      </c>
      <c r="B212" s="114" t="s">
        <v>1315</v>
      </c>
      <c r="C212" s="114" t="s">
        <v>125</v>
      </c>
      <c r="D212" s="120"/>
      <c r="E212" s="120"/>
      <c r="F212" s="90" t="s">
        <v>1583</v>
      </c>
      <c r="G212" s="90" t="s">
        <v>1568</v>
      </c>
      <c r="H212" s="90"/>
      <c r="I212" s="90" t="s">
        <v>1558</v>
      </c>
      <c r="J212" s="90"/>
      <c r="K212" s="90"/>
      <c r="L212" s="90" t="s">
        <v>1531</v>
      </c>
      <c r="M212" s="90"/>
      <c r="N212" s="90">
        <v>0.39</v>
      </c>
      <c r="O212" s="90">
        <v>0.13</v>
      </c>
      <c r="P212" s="90"/>
      <c r="Q212" s="90">
        <v>0.34</v>
      </c>
      <c r="R212" s="90"/>
      <c r="S212" s="90"/>
      <c r="T212" s="90">
        <v>0.14000000000000001</v>
      </c>
      <c r="U212" s="90"/>
      <c r="V212" s="90" t="s">
        <v>1305</v>
      </c>
      <c r="W212" s="90">
        <v>1173</v>
      </c>
      <c r="X212" s="90">
        <v>6</v>
      </c>
      <c r="Y212" s="90" t="s">
        <v>1268</v>
      </c>
      <c r="Z212" s="90" t="s">
        <v>863</v>
      </c>
      <c r="AA212" s="90">
        <v>2E-3</v>
      </c>
      <c r="AB212" s="90" t="s">
        <v>519</v>
      </c>
      <c r="AC212" s="90">
        <v>4.3</v>
      </c>
      <c r="AD212" s="90">
        <v>3.52</v>
      </c>
      <c r="AE212" s="90">
        <v>1.54</v>
      </c>
      <c r="AF212" s="90">
        <v>0</v>
      </c>
      <c r="AG212" s="90"/>
      <c r="AH212" s="90"/>
      <c r="AI212" s="90" t="s">
        <v>1552</v>
      </c>
      <c r="AJ212" s="90">
        <v>250</v>
      </c>
      <c r="AK212" s="90">
        <v>365</v>
      </c>
      <c r="AL212" s="90">
        <v>1230</v>
      </c>
      <c r="AM212" s="1">
        <f t="shared" si="13"/>
        <v>12300</v>
      </c>
      <c r="AN212" s="114" t="s">
        <v>125</v>
      </c>
    </row>
    <row r="213" spans="1:40" ht="15" thickBot="1" x14ac:dyDescent="0.35">
      <c r="A213" s="118" t="s">
        <v>1605</v>
      </c>
      <c r="B213" s="114" t="s">
        <v>1315</v>
      </c>
      <c r="C213" s="114" t="s">
        <v>125</v>
      </c>
      <c r="D213" s="120"/>
      <c r="E213" s="120"/>
      <c r="F213" s="90" t="s">
        <v>1583</v>
      </c>
      <c r="G213" s="90" t="s">
        <v>1568</v>
      </c>
      <c r="H213" s="90"/>
      <c r="I213" s="90" t="s">
        <v>1558</v>
      </c>
      <c r="J213" s="90"/>
      <c r="K213" s="90"/>
      <c r="L213" s="90" t="s">
        <v>1531</v>
      </c>
      <c r="M213" s="90"/>
      <c r="N213" s="90">
        <v>0.39</v>
      </c>
      <c r="O213" s="90">
        <v>0.13</v>
      </c>
      <c r="P213" s="90"/>
      <c r="Q213" s="90">
        <v>0.34</v>
      </c>
      <c r="R213" s="90"/>
      <c r="S213" s="90"/>
      <c r="T213" s="90">
        <v>0.14000000000000001</v>
      </c>
      <c r="U213" s="90"/>
      <c r="V213" s="90" t="s">
        <v>1305</v>
      </c>
      <c r="W213" s="90">
        <v>1173</v>
      </c>
      <c r="X213" s="90">
        <v>6</v>
      </c>
      <c r="Y213" s="90" t="s">
        <v>1268</v>
      </c>
      <c r="Z213" s="90" t="s">
        <v>863</v>
      </c>
      <c r="AA213" s="90">
        <v>0.125</v>
      </c>
      <c r="AB213" s="90" t="s">
        <v>519</v>
      </c>
      <c r="AC213" s="90">
        <v>4.3</v>
      </c>
      <c r="AD213" s="90">
        <v>3.52</v>
      </c>
      <c r="AE213" s="90">
        <v>1.54</v>
      </c>
      <c r="AF213" s="90">
        <v>0</v>
      </c>
      <c r="AG213" s="90"/>
      <c r="AH213" s="90"/>
      <c r="AI213" s="90" t="s">
        <v>1552</v>
      </c>
      <c r="AJ213" s="90">
        <v>250</v>
      </c>
      <c r="AK213" s="90">
        <v>365</v>
      </c>
      <c r="AL213" s="90">
        <v>1360</v>
      </c>
      <c r="AM213" s="1">
        <f t="shared" si="13"/>
        <v>13600</v>
      </c>
      <c r="AN213" s="114" t="s">
        <v>125</v>
      </c>
    </row>
    <row r="214" spans="1:40" ht="15" thickBot="1" x14ac:dyDescent="0.35">
      <c r="A214" s="118" t="s">
        <v>1605</v>
      </c>
      <c r="B214" s="114" t="s">
        <v>1315</v>
      </c>
      <c r="C214" s="114" t="s">
        <v>125</v>
      </c>
      <c r="D214" s="120"/>
      <c r="E214" s="120"/>
      <c r="F214" s="90" t="s">
        <v>1583</v>
      </c>
      <c r="G214" s="90" t="s">
        <v>1568</v>
      </c>
      <c r="H214" s="90"/>
      <c r="I214" s="90" t="s">
        <v>1558</v>
      </c>
      <c r="J214" s="90"/>
      <c r="K214" s="90"/>
      <c r="L214" s="90" t="s">
        <v>1531</v>
      </c>
      <c r="M214" s="90"/>
      <c r="N214" s="90">
        <v>0.39</v>
      </c>
      <c r="O214" s="90">
        <v>0.13</v>
      </c>
      <c r="P214" s="90"/>
      <c r="Q214" s="90">
        <v>0.34</v>
      </c>
      <c r="R214" s="90"/>
      <c r="S214" s="90"/>
      <c r="T214" s="90">
        <v>0.14000000000000001</v>
      </c>
      <c r="U214" s="90"/>
      <c r="V214" s="90" t="s">
        <v>1305</v>
      </c>
      <c r="W214" s="90">
        <v>1173</v>
      </c>
      <c r="X214" s="90">
        <v>6</v>
      </c>
      <c r="Y214" s="90" t="s">
        <v>1268</v>
      </c>
      <c r="Z214" s="90" t="s">
        <v>863</v>
      </c>
      <c r="AA214" s="90">
        <v>0.252</v>
      </c>
      <c r="AB214" s="90" t="s">
        <v>519</v>
      </c>
      <c r="AC214" s="90">
        <v>4.3</v>
      </c>
      <c r="AD214" s="90">
        <v>3.52</v>
      </c>
      <c r="AE214" s="90">
        <v>1.54</v>
      </c>
      <c r="AF214" s="90">
        <v>0</v>
      </c>
      <c r="AG214" s="90"/>
      <c r="AH214" s="90"/>
      <c r="AI214" s="90" t="s">
        <v>1552</v>
      </c>
      <c r="AJ214" s="90">
        <v>250</v>
      </c>
      <c r="AK214" s="90">
        <v>365</v>
      </c>
      <c r="AL214" s="90">
        <v>2320</v>
      </c>
      <c r="AM214" s="1">
        <f t="shared" si="13"/>
        <v>23200</v>
      </c>
      <c r="AN214" s="114" t="s">
        <v>125</v>
      </c>
    </row>
    <row r="215" spans="1:40" ht="15" thickBot="1" x14ac:dyDescent="0.35">
      <c r="A215" s="118" t="s">
        <v>1605</v>
      </c>
      <c r="B215" s="114" t="s">
        <v>1315</v>
      </c>
      <c r="C215" s="114" t="s">
        <v>125</v>
      </c>
      <c r="D215" s="120"/>
      <c r="E215" s="120"/>
      <c r="F215" s="90" t="s">
        <v>1583</v>
      </c>
      <c r="G215" s="90" t="s">
        <v>1568</v>
      </c>
      <c r="H215" s="90"/>
      <c r="I215" s="90" t="s">
        <v>1558</v>
      </c>
      <c r="J215" s="90"/>
      <c r="K215" s="90"/>
      <c r="L215" s="90" t="s">
        <v>1531</v>
      </c>
      <c r="M215" s="90"/>
      <c r="N215" s="90">
        <v>0.39</v>
      </c>
      <c r="O215" s="90">
        <v>0.13</v>
      </c>
      <c r="P215" s="90"/>
      <c r="Q215" s="90">
        <v>0.34</v>
      </c>
      <c r="R215" s="90"/>
      <c r="S215" s="90"/>
      <c r="T215" s="90">
        <v>0.14000000000000001</v>
      </c>
      <c r="U215" s="90"/>
      <c r="V215" s="90" t="s">
        <v>1305</v>
      </c>
      <c r="W215" s="90">
        <v>1173</v>
      </c>
      <c r="X215" s="90">
        <v>6</v>
      </c>
      <c r="Y215" s="90" t="s">
        <v>1268</v>
      </c>
      <c r="Z215" s="90" t="s">
        <v>863</v>
      </c>
      <c r="AA215" s="90">
        <v>0.379</v>
      </c>
      <c r="AB215" s="90" t="s">
        <v>519</v>
      </c>
      <c r="AC215" s="90">
        <v>4.3</v>
      </c>
      <c r="AD215" s="90">
        <v>3.52</v>
      </c>
      <c r="AE215" s="90">
        <v>1.54</v>
      </c>
      <c r="AF215" s="90">
        <v>0</v>
      </c>
      <c r="AG215" s="90"/>
      <c r="AH215" s="90"/>
      <c r="AI215" s="90" t="s">
        <v>1552</v>
      </c>
      <c r="AJ215" s="90">
        <v>250</v>
      </c>
      <c r="AK215" s="90">
        <v>365</v>
      </c>
      <c r="AL215" s="90">
        <v>1420</v>
      </c>
      <c r="AM215" s="1">
        <f t="shared" si="13"/>
        <v>14200</v>
      </c>
      <c r="AN215" s="114" t="s">
        <v>125</v>
      </c>
    </row>
    <row r="216" spans="1:40" ht="15" thickBot="1" x14ac:dyDescent="0.35">
      <c r="A216" s="118" t="s">
        <v>1605</v>
      </c>
      <c r="B216" s="114" t="s">
        <v>1315</v>
      </c>
      <c r="C216" s="114" t="s">
        <v>125</v>
      </c>
      <c r="D216" s="120"/>
      <c r="E216" s="120"/>
      <c r="F216" s="90" t="s">
        <v>1583</v>
      </c>
      <c r="G216" s="90" t="s">
        <v>1568</v>
      </c>
      <c r="H216" s="90"/>
      <c r="I216" s="90" t="s">
        <v>1558</v>
      </c>
      <c r="J216" s="90"/>
      <c r="K216" s="90"/>
      <c r="L216" s="90" t="s">
        <v>1531</v>
      </c>
      <c r="M216" s="90"/>
      <c r="N216" s="90">
        <v>0.39</v>
      </c>
      <c r="O216" s="90">
        <v>0.13</v>
      </c>
      <c r="P216" s="90"/>
      <c r="Q216" s="90">
        <v>0.34</v>
      </c>
      <c r="R216" s="90"/>
      <c r="S216" s="90"/>
      <c r="T216" s="90">
        <v>0.14000000000000001</v>
      </c>
      <c r="U216" s="90"/>
      <c r="V216" s="90" t="s">
        <v>1305</v>
      </c>
      <c r="W216" s="90">
        <v>1173</v>
      </c>
      <c r="X216" s="90">
        <v>6</v>
      </c>
      <c r="Y216" s="90" t="s">
        <v>1268</v>
      </c>
      <c r="Z216" s="90" t="s">
        <v>863</v>
      </c>
      <c r="AA216" s="90">
        <v>0.5</v>
      </c>
      <c r="AB216" s="90" t="s">
        <v>519</v>
      </c>
      <c r="AC216" s="90">
        <v>4.3</v>
      </c>
      <c r="AD216" s="90">
        <v>3.52</v>
      </c>
      <c r="AE216" s="90">
        <v>1.54</v>
      </c>
      <c r="AF216" s="90">
        <v>0</v>
      </c>
      <c r="AG216" s="90"/>
      <c r="AH216" s="90"/>
      <c r="AI216" s="90" t="s">
        <v>1552</v>
      </c>
      <c r="AJ216" s="90">
        <v>250</v>
      </c>
      <c r="AK216" s="90">
        <v>365</v>
      </c>
      <c r="AL216" s="90">
        <v>770</v>
      </c>
      <c r="AM216" s="1">
        <f t="shared" si="13"/>
        <v>7700</v>
      </c>
      <c r="AN216" s="114" t="s">
        <v>125</v>
      </c>
    </row>
    <row r="217" spans="1:40" ht="15" thickBot="1" x14ac:dyDescent="0.35">
      <c r="A217" s="118" t="s">
        <v>1606</v>
      </c>
      <c r="B217" s="114" t="s">
        <v>2878</v>
      </c>
      <c r="C217" s="114" t="s">
        <v>2880</v>
      </c>
      <c r="D217" s="90">
        <v>4.08</v>
      </c>
      <c r="E217" s="90">
        <v>4.4000000000000004</v>
      </c>
      <c r="F217" s="90" t="s">
        <v>1578</v>
      </c>
      <c r="G217" s="90" t="s">
        <v>1607</v>
      </c>
      <c r="H217" s="90"/>
      <c r="I217" s="90" t="s">
        <v>1558</v>
      </c>
      <c r="J217" s="90"/>
      <c r="K217" s="90"/>
      <c r="L217" s="90" t="s">
        <v>1531</v>
      </c>
      <c r="M217" s="90"/>
      <c r="N217" s="90">
        <v>7.0000000000000007E-2</v>
      </c>
      <c r="O217" s="90">
        <v>0.26</v>
      </c>
      <c r="P217" s="90"/>
      <c r="Q217" s="90">
        <v>0.53</v>
      </c>
      <c r="R217" s="90"/>
      <c r="S217" s="90"/>
      <c r="T217" s="90">
        <v>0.14000000000000001</v>
      </c>
      <c r="U217" s="90"/>
      <c r="V217" s="90" t="s">
        <v>1305</v>
      </c>
      <c r="W217" s="90">
        <v>1173</v>
      </c>
      <c r="X217" s="90">
        <v>12</v>
      </c>
      <c r="Y217" s="90"/>
      <c r="Z217" s="90"/>
      <c r="AA217" s="90"/>
      <c r="AB217" s="90" t="s">
        <v>1142</v>
      </c>
      <c r="AC217" s="90">
        <v>4.08</v>
      </c>
      <c r="AD217" s="90">
        <v>4.4000000000000004</v>
      </c>
      <c r="AE217" s="90">
        <v>0.2</v>
      </c>
      <c r="AF217" s="90">
        <v>10</v>
      </c>
      <c r="AG217" s="90"/>
      <c r="AH217" s="90"/>
      <c r="AI217" s="90" t="s">
        <v>1552</v>
      </c>
      <c r="AJ217" s="90">
        <v>150</v>
      </c>
      <c r="AK217" s="90">
        <v>365</v>
      </c>
      <c r="AL217" s="90">
        <v>238.3</v>
      </c>
    </row>
    <row r="218" spans="1:40" ht="15" thickBot="1" x14ac:dyDescent="0.35">
      <c r="A218" s="118" t="s">
        <v>1606</v>
      </c>
      <c r="B218" s="114" t="s">
        <v>2878</v>
      </c>
      <c r="C218" s="114" t="s">
        <v>2881</v>
      </c>
      <c r="D218" s="90">
        <v>4.07</v>
      </c>
      <c r="E218" s="90">
        <v>2.4</v>
      </c>
      <c r="F218" s="90" t="s">
        <v>1578</v>
      </c>
      <c r="G218" s="90" t="s">
        <v>1088</v>
      </c>
      <c r="H218" s="90"/>
      <c r="I218" s="90" t="s">
        <v>1558</v>
      </c>
      <c r="J218" s="90"/>
      <c r="K218" s="90"/>
      <c r="L218" s="90" t="s">
        <v>1531</v>
      </c>
      <c r="M218" s="90"/>
      <c r="N218" s="90">
        <v>0.06</v>
      </c>
      <c r="O218" s="90">
        <v>0.36</v>
      </c>
      <c r="P218" s="90"/>
      <c r="Q218" s="90">
        <v>0.46</v>
      </c>
      <c r="R218" s="90"/>
      <c r="S218" s="90"/>
      <c r="T218" s="90">
        <v>0.12</v>
      </c>
      <c r="U218" s="90"/>
      <c r="V218" s="90" t="s">
        <v>1305</v>
      </c>
      <c r="W218" s="90">
        <v>1173</v>
      </c>
      <c r="X218" s="90">
        <v>12</v>
      </c>
      <c r="Y218" s="90"/>
      <c r="Z218" s="90"/>
      <c r="AA218" s="90"/>
      <c r="AB218" s="90" t="s">
        <v>1142</v>
      </c>
      <c r="AC218" s="90">
        <v>4.07</v>
      </c>
      <c r="AD218" s="90">
        <v>2.4</v>
      </c>
      <c r="AE218" s="90">
        <v>0.2</v>
      </c>
      <c r="AF218" s="90">
        <v>10</v>
      </c>
      <c r="AG218" s="90"/>
      <c r="AH218" s="90"/>
      <c r="AI218" s="90" t="s">
        <v>1552</v>
      </c>
      <c r="AJ218" s="90">
        <v>150</v>
      </c>
      <c r="AK218" s="90">
        <v>365</v>
      </c>
      <c r="AL218" s="90">
        <v>161.5</v>
      </c>
    </row>
    <row r="219" spans="1:40" ht="15" thickBot="1" x14ac:dyDescent="0.35">
      <c r="A219" s="118" t="s">
        <v>1606</v>
      </c>
      <c r="B219" s="114" t="s">
        <v>2878</v>
      </c>
      <c r="C219" s="114" t="s">
        <v>2882</v>
      </c>
      <c r="D219" s="90">
        <v>4.09</v>
      </c>
      <c r="E219" s="90">
        <v>2.4</v>
      </c>
      <c r="F219" s="90" t="s">
        <v>1578</v>
      </c>
      <c r="G219" s="90" t="s">
        <v>1608</v>
      </c>
      <c r="H219" s="90"/>
      <c r="I219" s="90" t="s">
        <v>1558</v>
      </c>
      <c r="J219" s="90"/>
      <c r="K219" s="90"/>
      <c r="L219" s="90" t="s">
        <v>1531</v>
      </c>
      <c r="M219" s="90"/>
      <c r="N219" s="90">
        <v>0.05</v>
      </c>
      <c r="O219" s="90">
        <v>0.46</v>
      </c>
      <c r="P219" s="90"/>
      <c r="Q219" s="90">
        <v>0.43</v>
      </c>
      <c r="R219" s="90"/>
      <c r="S219" s="90"/>
      <c r="T219" s="90">
        <v>0.11</v>
      </c>
      <c r="U219" s="90"/>
      <c r="V219" s="90" t="s">
        <v>1305</v>
      </c>
      <c r="W219" s="90">
        <v>1173</v>
      </c>
      <c r="X219" s="90">
        <v>12</v>
      </c>
      <c r="Y219" s="90"/>
      <c r="Z219" s="90"/>
      <c r="AA219" s="90"/>
      <c r="AB219" s="90" t="s">
        <v>1142</v>
      </c>
      <c r="AC219" s="90">
        <v>4.09</v>
      </c>
      <c r="AD219" s="90">
        <v>2.4</v>
      </c>
      <c r="AE219" s="90">
        <v>0.2</v>
      </c>
      <c r="AF219" s="90">
        <v>10</v>
      </c>
      <c r="AG219" s="90"/>
      <c r="AH219" s="90"/>
      <c r="AI219" s="90" t="s">
        <v>1552</v>
      </c>
      <c r="AJ219" s="90">
        <v>150</v>
      </c>
      <c r="AK219" s="90">
        <v>365</v>
      </c>
      <c r="AL219" s="90">
        <v>166.5</v>
      </c>
    </row>
    <row r="220" spans="1:40" ht="15" thickBot="1" x14ac:dyDescent="0.35">
      <c r="A220" s="118" t="s">
        <v>1606</v>
      </c>
      <c r="B220" s="114" t="s">
        <v>2878</v>
      </c>
      <c r="C220" s="114" t="s">
        <v>28</v>
      </c>
      <c r="D220" s="90">
        <v>4.05</v>
      </c>
      <c r="E220" s="90">
        <v>1.9</v>
      </c>
      <c r="F220" s="90" t="s">
        <v>1578</v>
      </c>
      <c r="G220" s="90"/>
      <c r="H220" s="90"/>
      <c r="I220" s="90" t="s">
        <v>1558</v>
      </c>
      <c r="J220" s="90"/>
      <c r="K220" s="90"/>
      <c r="L220" s="90" t="s">
        <v>1531</v>
      </c>
      <c r="M220" s="90"/>
      <c r="N220" s="90">
        <v>0.09</v>
      </c>
      <c r="O220" s="90"/>
      <c r="P220" s="90"/>
      <c r="Q220" s="90">
        <v>0.72</v>
      </c>
      <c r="R220" s="90"/>
      <c r="S220" s="90"/>
      <c r="T220" s="90">
        <v>0.19</v>
      </c>
      <c r="U220" s="90"/>
      <c r="V220" s="90" t="s">
        <v>1264</v>
      </c>
      <c r="W220" s="90">
        <v>1173</v>
      </c>
      <c r="X220" s="90">
        <v>12</v>
      </c>
      <c r="Y220" s="90"/>
      <c r="Z220" s="90"/>
      <c r="AA220" s="90"/>
      <c r="AB220" s="90" t="s">
        <v>1142</v>
      </c>
      <c r="AC220" s="90">
        <v>4.05</v>
      </c>
      <c r="AD220" s="90">
        <v>1.9</v>
      </c>
      <c r="AE220" s="90">
        <v>0.2</v>
      </c>
      <c r="AF220" s="90">
        <v>10</v>
      </c>
      <c r="AG220" s="90"/>
      <c r="AH220" s="90"/>
      <c r="AI220" s="90" t="s">
        <v>1552</v>
      </c>
      <c r="AJ220" s="90">
        <v>150</v>
      </c>
      <c r="AK220" s="90">
        <v>365</v>
      </c>
      <c r="AL220" s="90">
        <v>59.67</v>
      </c>
    </row>
    <row r="221" spans="1:40" ht="15" thickBot="1" x14ac:dyDescent="0.35">
      <c r="A221" s="118" t="s">
        <v>1606</v>
      </c>
      <c r="B221" s="114" t="s">
        <v>2878</v>
      </c>
      <c r="C221" s="114" t="s">
        <v>2883</v>
      </c>
      <c r="D221" s="90">
        <v>4.04</v>
      </c>
      <c r="E221" s="90">
        <v>4.7</v>
      </c>
      <c r="F221" s="90" t="s">
        <v>1578</v>
      </c>
      <c r="G221" s="90" t="s">
        <v>1609</v>
      </c>
      <c r="H221" s="90"/>
      <c r="I221" s="90" t="s">
        <v>1558</v>
      </c>
      <c r="J221" s="90"/>
      <c r="K221" s="90"/>
      <c r="L221" s="90" t="s">
        <v>1531</v>
      </c>
      <c r="M221" s="90"/>
      <c r="N221" s="90">
        <v>0.09</v>
      </c>
      <c r="O221" s="90">
        <v>0.36</v>
      </c>
      <c r="P221" s="90"/>
      <c r="Q221" s="90">
        <v>0.72</v>
      </c>
      <c r="R221" s="90"/>
      <c r="S221" s="90"/>
      <c r="T221" s="90">
        <v>0.19</v>
      </c>
      <c r="U221" s="90"/>
      <c r="V221" s="90" t="s">
        <v>1264</v>
      </c>
      <c r="W221" s="90">
        <v>1173</v>
      </c>
      <c r="X221" s="90">
        <v>12</v>
      </c>
      <c r="Y221" s="90"/>
      <c r="Z221" s="90"/>
      <c r="AA221" s="90"/>
      <c r="AB221" s="90" t="s">
        <v>1142</v>
      </c>
      <c r="AC221" s="90">
        <v>4.04</v>
      </c>
      <c r="AD221" s="90">
        <v>4.7</v>
      </c>
      <c r="AE221" s="90">
        <v>0.2</v>
      </c>
      <c r="AF221" s="90">
        <v>10</v>
      </c>
      <c r="AG221" s="90"/>
      <c r="AH221" s="90"/>
      <c r="AI221" s="90" t="s">
        <v>1552</v>
      </c>
      <c r="AJ221" s="90">
        <v>150</v>
      </c>
      <c r="AK221" s="90">
        <v>365</v>
      </c>
      <c r="AL221" s="90">
        <v>25.83</v>
      </c>
    </row>
    <row r="222" spans="1:40" ht="15" thickBot="1" x14ac:dyDescent="0.35">
      <c r="A222" s="118" t="s">
        <v>1606</v>
      </c>
      <c r="B222" s="114" t="s">
        <v>2878</v>
      </c>
      <c r="C222" s="114" t="s">
        <v>2880</v>
      </c>
      <c r="D222" s="90">
        <v>4.08</v>
      </c>
      <c r="E222" s="90">
        <v>4.4000000000000004</v>
      </c>
      <c r="F222" s="90" t="s">
        <v>1578</v>
      </c>
      <c r="G222" s="90" t="s">
        <v>1607</v>
      </c>
      <c r="H222" s="90"/>
      <c r="I222" s="90" t="s">
        <v>1558</v>
      </c>
      <c r="J222" s="90"/>
      <c r="K222" s="90"/>
      <c r="L222" s="90" t="s">
        <v>1531</v>
      </c>
      <c r="M222" s="90"/>
      <c r="N222" s="90">
        <v>7.0000000000000007E-2</v>
      </c>
      <c r="O222" s="90">
        <v>0.26</v>
      </c>
      <c r="P222" s="90"/>
      <c r="Q222" s="90">
        <v>0.53</v>
      </c>
      <c r="R222" s="90"/>
      <c r="S222" s="90"/>
      <c r="T222" s="90">
        <v>0.14000000000000001</v>
      </c>
      <c r="U222" s="90"/>
      <c r="V222" s="90" t="s">
        <v>1264</v>
      </c>
      <c r="W222" s="90">
        <v>1173</v>
      </c>
      <c r="X222" s="90">
        <v>12</v>
      </c>
      <c r="Y222" s="90" t="s">
        <v>1268</v>
      </c>
      <c r="Z222" s="90" t="s">
        <v>863</v>
      </c>
      <c r="AA222" s="90">
        <v>0.5</v>
      </c>
      <c r="AB222" s="90" t="s">
        <v>1142</v>
      </c>
      <c r="AC222" s="90">
        <v>4.08</v>
      </c>
      <c r="AD222" s="90">
        <v>4.4000000000000004</v>
      </c>
      <c r="AE222" s="90">
        <v>0.2</v>
      </c>
      <c r="AF222" s="90">
        <v>10</v>
      </c>
      <c r="AG222" s="90"/>
      <c r="AH222" s="90"/>
      <c r="AI222" s="90" t="s">
        <v>1552</v>
      </c>
      <c r="AJ222" s="90">
        <v>150</v>
      </c>
      <c r="AK222" s="90">
        <v>365</v>
      </c>
      <c r="AL222" s="90">
        <v>286.67</v>
      </c>
    </row>
    <row r="223" spans="1:40" ht="15" thickBot="1" x14ac:dyDescent="0.35">
      <c r="A223" s="118" t="s">
        <v>1606</v>
      </c>
      <c r="B223" s="114" t="s">
        <v>2878</v>
      </c>
      <c r="C223" s="114" t="s">
        <v>2881</v>
      </c>
      <c r="D223" s="90">
        <v>4.07</v>
      </c>
      <c r="E223" s="90">
        <v>2.4</v>
      </c>
      <c r="F223" s="90" t="s">
        <v>1578</v>
      </c>
      <c r="G223" s="90" t="s">
        <v>1088</v>
      </c>
      <c r="H223" s="90"/>
      <c r="I223" s="90" t="s">
        <v>1558</v>
      </c>
      <c r="J223" s="90"/>
      <c r="K223" s="90"/>
      <c r="L223" s="90" t="s">
        <v>1531</v>
      </c>
      <c r="M223" s="90"/>
      <c r="N223" s="90">
        <v>0.06</v>
      </c>
      <c r="O223" s="90">
        <v>0.36</v>
      </c>
      <c r="P223" s="90"/>
      <c r="Q223" s="90">
        <v>0.46</v>
      </c>
      <c r="R223" s="90"/>
      <c r="S223" s="90"/>
      <c r="T223" s="90">
        <v>0.12</v>
      </c>
      <c r="U223" s="90"/>
      <c r="V223" s="90" t="s">
        <v>1264</v>
      </c>
      <c r="W223" s="90">
        <v>1173</v>
      </c>
      <c r="X223" s="90">
        <v>12</v>
      </c>
      <c r="Y223" s="90" t="s">
        <v>1268</v>
      </c>
      <c r="Z223" s="90" t="s">
        <v>863</v>
      </c>
      <c r="AA223" s="90">
        <v>0.4</v>
      </c>
      <c r="AB223" s="90" t="s">
        <v>1142</v>
      </c>
      <c r="AC223" s="90">
        <v>4.07</v>
      </c>
      <c r="AD223" s="90">
        <v>2.4</v>
      </c>
      <c r="AE223" s="90">
        <v>0.2</v>
      </c>
      <c r="AF223" s="90">
        <v>10</v>
      </c>
      <c r="AG223" s="90"/>
      <c r="AH223" s="90"/>
      <c r="AI223" s="90" t="s">
        <v>1552</v>
      </c>
      <c r="AJ223" s="90">
        <v>150</v>
      </c>
      <c r="AK223" s="90">
        <v>365</v>
      </c>
      <c r="AL223" s="90">
        <v>115.67</v>
      </c>
    </row>
    <row r="224" spans="1:40" ht="15" thickBot="1" x14ac:dyDescent="0.35">
      <c r="A224" s="118" t="s">
        <v>1606</v>
      </c>
      <c r="B224" s="114" t="s">
        <v>2878</v>
      </c>
      <c r="C224" s="114" t="s">
        <v>2882</v>
      </c>
      <c r="D224" s="90">
        <v>4.09</v>
      </c>
      <c r="E224" s="90">
        <v>2.4</v>
      </c>
      <c r="F224" s="90" t="s">
        <v>1578</v>
      </c>
      <c r="G224" s="90" t="s">
        <v>1608</v>
      </c>
      <c r="H224" s="90"/>
      <c r="I224" s="90" t="s">
        <v>1558</v>
      </c>
      <c r="J224" s="90"/>
      <c r="K224" s="90"/>
      <c r="L224" s="90" t="s">
        <v>1531</v>
      </c>
      <c r="M224" s="90"/>
      <c r="N224" s="90">
        <v>0.05</v>
      </c>
      <c r="O224" s="90">
        <v>0.46</v>
      </c>
      <c r="P224" s="90"/>
      <c r="Q224" s="90">
        <v>0.43</v>
      </c>
      <c r="R224" s="90"/>
      <c r="S224" s="90"/>
      <c r="T224" s="90">
        <v>0.11</v>
      </c>
      <c r="U224" s="90"/>
      <c r="V224" s="90" t="s">
        <v>1264</v>
      </c>
      <c r="W224" s="90">
        <v>1173</v>
      </c>
      <c r="X224" s="90">
        <v>12</v>
      </c>
      <c r="Y224" s="90" t="s">
        <v>1268</v>
      </c>
      <c r="Z224" s="90" t="s">
        <v>863</v>
      </c>
      <c r="AA224" s="90">
        <v>0.5</v>
      </c>
      <c r="AB224" s="90" t="s">
        <v>1142</v>
      </c>
      <c r="AC224" s="90">
        <v>4.09</v>
      </c>
      <c r="AD224" s="90">
        <v>2.4</v>
      </c>
      <c r="AE224" s="90">
        <v>0.2</v>
      </c>
      <c r="AF224" s="90">
        <v>10</v>
      </c>
      <c r="AG224" s="90"/>
      <c r="AH224" s="90"/>
      <c r="AI224" s="90" t="s">
        <v>1552</v>
      </c>
      <c r="AJ224" s="90">
        <v>150</v>
      </c>
      <c r="AK224" s="90">
        <v>365</v>
      </c>
      <c r="AL224" s="90">
        <v>256.67</v>
      </c>
    </row>
    <row r="225" spans="1:38" ht="15" thickBot="1" x14ac:dyDescent="0.35">
      <c r="A225" s="118" t="s">
        <v>1606</v>
      </c>
      <c r="B225" s="114" t="s">
        <v>2878</v>
      </c>
      <c r="C225" s="114" t="s">
        <v>28</v>
      </c>
      <c r="D225" s="90">
        <v>4.05</v>
      </c>
      <c r="E225" s="90">
        <v>1.9</v>
      </c>
      <c r="F225" s="90" t="s">
        <v>1578</v>
      </c>
      <c r="G225" s="90"/>
      <c r="H225" s="90"/>
      <c r="I225" s="90" t="s">
        <v>1558</v>
      </c>
      <c r="J225" s="90"/>
      <c r="K225" s="90"/>
      <c r="L225" s="90" t="s">
        <v>1531</v>
      </c>
      <c r="M225" s="90"/>
      <c r="N225" s="90">
        <v>0.09</v>
      </c>
      <c r="O225" s="90"/>
      <c r="P225" s="90"/>
      <c r="Q225" s="90">
        <v>0.72</v>
      </c>
      <c r="R225" s="90"/>
      <c r="S225" s="90"/>
      <c r="T225" s="90">
        <v>0.19</v>
      </c>
      <c r="U225" s="90"/>
      <c r="V225" s="90" t="s">
        <v>1264</v>
      </c>
      <c r="W225" s="90">
        <v>1173</v>
      </c>
      <c r="X225" s="90">
        <v>12</v>
      </c>
      <c r="Y225" s="90" t="s">
        <v>1268</v>
      </c>
      <c r="Z225" s="90" t="s">
        <v>863</v>
      </c>
      <c r="AA225" s="90">
        <v>0.5</v>
      </c>
      <c r="AB225" s="90" t="s">
        <v>1142</v>
      </c>
      <c r="AC225" s="90">
        <v>4.05</v>
      </c>
      <c r="AD225" s="90">
        <v>1.9</v>
      </c>
      <c r="AE225" s="90">
        <v>0.2</v>
      </c>
      <c r="AF225" s="90">
        <v>10</v>
      </c>
      <c r="AG225" s="90"/>
      <c r="AH225" s="90"/>
      <c r="AI225" s="90" t="s">
        <v>1552</v>
      </c>
      <c r="AJ225" s="90">
        <v>150</v>
      </c>
      <c r="AK225" s="90">
        <v>365</v>
      </c>
      <c r="AL225" s="90">
        <v>78.67</v>
      </c>
    </row>
    <row r="226" spans="1:38" ht="15" thickBot="1" x14ac:dyDescent="0.35">
      <c r="A226" s="118" t="s">
        <v>1606</v>
      </c>
      <c r="B226" s="114" t="s">
        <v>2878</v>
      </c>
      <c r="C226" s="114" t="s">
        <v>2883</v>
      </c>
      <c r="D226" s="90">
        <v>4.04</v>
      </c>
      <c r="E226" s="90">
        <v>4.7</v>
      </c>
      <c r="F226" s="90" t="s">
        <v>1578</v>
      </c>
      <c r="G226" s="90" t="s">
        <v>1609</v>
      </c>
      <c r="H226" s="90"/>
      <c r="I226" s="90" t="s">
        <v>1558</v>
      </c>
      <c r="J226" s="90"/>
      <c r="K226" s="90"/>
      <c r="L226" s="90" t="s">
        <v>1531</v>
      </c>
      <c r="M226" s="90"/>
      <c r="N226" s="90">
        <v>0.09</v>
      </c>
      <c r="O226" s="90">
        <v>0.36</v>
      </c>
      <c r="P226" s="90"/>
      <c r="Q226" s="90">
        <v>0.72</v>
      </c>
      <c r="R226" s="90"/>
      <c r="S226" s="90"/>
      <c r="T226" s="90">
        <v>0.19</v>
      </c>
      <c r="U226" s="90"/>
      <c r="V226" s="90" t="s">
        <v>1264</v>
      </c>
      <c r="W226" s="90">
        <v>1173</v>
      </c>
      <c r="X226" s="90">
        <v>12</v>
      </c>
      <c r="Y226" s="90" t="s">
        <v>1268</v>
      </c>
      <c r="Z226" s="90" t="s">
        <v>863</v>
      </c>
      <c r="AA226" s="90">
        <v>0.3</v>
      </c>
      <c r="AB226" s="90" t="s">
        <v>1142</v>
      </c>
      <c r="AC226" s="90">
        <v>4.04</v>
      </c>
      <c r="AD226" s="90">
        <v>4.7</v>
      </c>
      <c r="AE226" s="90">
        <v>0.2</v>
      </c>
      <c r="AF226" s="90">
        <v>10</v>
      </c>
      <c r="AG226" s="90"/>
      <c r="AH226" s="90"/>
      <c r="AI226" s="90" t="s">
        <v>1552</v>
      </c>
      <c r="AJ226" s="90">
        <v>150</v>
      </c>
      <c r="AK226" s="90">
        <v>365</v>
      </c>
      <c r="AL226" s="90">
        <v>24.83</v>
      </c>
    </row>
    <row r="227" spans="1:38" ht="15" thickBot="1" x14ac:dyDescent="0.35">
      <c r="A227" s="118" t="s">
        <v>1610</v>
      </c>
      <c r="B227" s="114" t="s">
        <v>2884</v>
      </c>
      <c r="C227" s="114" t="s">
        <v>28</v>
      </c>
      <c r="E227" s="120"/>
      <c r="F227" s="90" t="s">
        <v>1578</v>
      </c>
      <c r="G227" s="90"/>
      <c r="H227" s="90"/>
      <c r="I227" s="90" t="s">
        <v>1558</v>
      </c>
      <c r="J227" s="90"/>
      <c r="K227" s="90"/>
      <c r="L227" s="90" t="s">
        <v>1531</v>
      </c>
      <c r="M227" s="90"/>
      <c r="N227" s="90">
        <v>0.09</v>
      </c>
      <c r="O227" s="90"/>
      <c r="P227" s="90"/>
      <c r="Q227" s="90">
        <v>0.72</v>
      </c>
      <c r="R227" s="90"/>
      <c r="S227" s="90"/>
      <c r="T227" s="90">
        <v>0.19</v>
      </c>
      <c r="U227" s="90"/>
      <c r="V227" s="90" t="s">
        <v>1264</v>
      </c>
      <c r="W227" s="90">
        <v>673</v>
      </c>
      <c r="X227" s="90">
        <v>2</v>
      </c>
      <c r="Y227" s="90"/>
      <c r="Z227" s="90"/>
      <c r="AA227" s="90"/>
      <c r="AB227" s="90" t="s">
        <v>1595</v>
      </c>
      <c r="AC227" s="90">
        <v>3.94</v>
      </c>
      <c r="AD227" s="90">
        <v>118</v>
      </c>
      <c r="AE227" s="90">
        <v>1</v>
      </c>
      <c r="AF227" s="90">
        <v>0</v>
      </c>
      <c r="AG227" s="90"/>
      <c r="AH227" s="90"/>
      <c r="AI227" s="90" t="s">
        <v>1552</v>
      </c>
      <c r="AJ227" s="90">
        <v>400</v>
      </c>
      <c r="AK227" s="90">
        <v>200</v>
      </c>
      <c r="AL227" s="90">
        <v>680.67</v>
      </c>
    </row>
    <row r="228" spans="1:38" ht="15" thickBot="1" x14ac:dyDescent="0.35">
      <c r="A228" s="118" t="s">
        <v>1610</v>
      </c>
      <c r="B228" s="114" t="s">
        <v>2884</v>
      </c>
      <c r="C228" s="114" t="s">
        <v>28</v>
      </c>
      <c r="D228" s="120"/>
      <c r="E228" s="120"/>
      <c r="F228" s="90" t="s">
        <v>1578</v>
      </c>
      <c r="G228" s="90"/>
      <c r="H228" s="90"/>
      <c r="I228" s="90" t="s">
        <v>1558</v>
      </c>
      <c r="J228" s="90"/>
      <c r="K228" s="90"/>
      <c r="L228" s="90" t="s">
        <v>1531</v>
      </c>
      <c r="M228" s="90"/>
      <c r="N228" s="90">
        <v>0.09</v>
      </c>
      <c r="O228" s="90"/>
      <c r="P228" s="90"/>
      <c r="Q228" s="90">
        <v>0.72</v>
      </c>
      <c r="R228" s="90"/>
      <c r="S228" s="90"/>
      <c r="T228" s="90">
        <v>0.19</v>
      </c>
      <c r="U228" s="90"/>
      <c r="V228" s="90" t="s">
        <v>1264</v>
      </c>
      <c r="W228" s="90">
        <v>773</v>
      </c>
      <c r="X228" s="90">
        <v>2</v>
      </c>
      <c r="Y228" s="90"/>
      <c r="Z228" s="90"/>
      <c r="AA228" s="90"/>
      <c r="AB228" s="90" t="s">
        <v>1595</v>
      </c>
      <c r="AC228" s="90">
        <v>3.98</v>
      </c>
      <c r="AD228" s="90">
        <v>75</v>
      </c>
      <c r="AE228" s="90">
        <v>1</v>
      </c>
      <c r="AF228" s="90">
        <v>0</v>
      </c>
      <c r="AG228" s="90"/>
      <c r="AH228" s="90"/>
      <c r="AI228" s="90" t="s">
        <v>1552</v>
      </c>
      <c r="AJ228" s="90">
        <v>400</v>
      </c>
      <c r="AK228" s="90">
        <v>200</v>
      </c>
      <c r="AL228" s="90">
        <v>422</v>
      </c>
    </row>
    <row r="229" spans="1:38" ht="15" thickBot="1" x14ac:dyDescent="0.35">
      <c r="A229" s="118" t="s">
        <v>1610</v>
      </c>
      <c r="B229" s="114" t="s">
        <v>2884</v>
      </c>
      <c r="C229" s="114" t="s">
        <v>28</v>
      </c>
      <c r="D229" s="120"/>
      <c r="E229" s="120"/>
      <c r="F229" s="90" t="s">
        <v>1578</v>
      </c>
      <c r="G229" s="90"/>
      <c r="H229" s="90"/>
      <c r="I229" s="90" t="s">
        <v>1558</v>
      </c>
      <c r="J229" s="90"/>
      <c r="K229" s="90"/>
      <c r="L229" s="90" t="s">
        <v>1531</v>
      </c>
      <c r="M229" s="90"/>
      <c r="N229" s="90">
        <v>0.09</v>
      </c>
      <c r="O229" s="90"/>
      <c r="P229" s="90"/>
      <c r="Q229" s="90">
        <v>0.72</v>
      </c>
      <c r="R229" s="90"/>
      <c r="S229" s="90"/>
      <c r="T229" s="90">
        <v>0.19</v>
      </c>
      <c r="U229" s="90"/>
      <c r="V229" s="90" t="s">
        <v>1264</v>
      </c>
      <c r="W229" s="90">
        <v>873</v>
      </c>
      <c r="X229" s="90">
        <v>2</v>
      </c>
      <c r="Y229" s="90"/>
      <c r="Z229" s="90"/>
      <c r="AA229" s="90"/>
      <c r="AB229" s="90" t="s">
        <v>1142</v>
      </c>
      <c r="AC229" s="90">
        <v>4.01</v>
      </c>
      <c r="AD229" s="90">
        <v>41</v>
      </c>
      <c r="AE229" s="90">
        <v>1</v>
      </c>
      <c r="AF229" s="90">
        <v>0</v>
      </c>
      <c r="AG229" s="90"/>
      <c r="AH229" s="90"/>
      <c r="AI229" s="90" t="s">
        <v>1552</v>
      </c>
      <c r="AJ229" s="90">
        <v>400</v>
      </c>
      <c r="AK229" s="90">
        <v>200</v>
      </c>
      <c r="AL229" s="90">
        <v>1056</v>
      </c>
    </row>
    <row r="230" spans="1:38" ht="15" thickBot="1" x14ac:dyDescent="0.35">
      <c r="A230" s="118" t="s">
        <v>1610</v>
      </c>
      <c r="B230" s="114" t="s">
        <v>2884</v>
      </c>
      <c r="C230" s="114" t="s">
        <v>28</v>
      </c>
      <c r="D230" s="120"/>
      <c r="E230" s="120"/>
      <c r="F230" s="90" t="s">
        <v>1578</v>
      </c>
      <c r="G230" s="90"/>
      <c r="H230" s="90"/>
      <c r="I230" s="90" t="s">
        <v>1558</v>
      </c>
      <c r="J230" s="90"/>
      <c r="K230" s="90"/>
      <c r="L230" s="90" t="s">
        <v>1531</v>
      </c>
      <c r="M230" s="90"/>
      <c r="N230" s="90">
        <v>0.09</v>
      </c>
      <c r="O230" s="90"/>
      <c r="P230" s="90"/>
      <c r="Q230" s="90">
        <v>0.72</v>
      </c>
      <c r="R230" s="90"/>
      <c r="S230" s="90"/>
      <c r="T230" s="90">
        <v>0.19</v>
      </c>
      <c r="U230" s="90"/>
      <c r="V230" s="90" t="s">
        <v>1407</v>
      </c>
      <c r="W230" s="90">
        <v>973</v>
      </c>
      <c r="X230" s="90">
        <v>2</v>
      </c>
      <c r="Y230" s="90"/>
      <c r="Z230" s="90"/>
      <c r="AA230" s="90"/>
      <c r="AB230" s="90" t="s">
        <v>1142</v>
      </c>
      <c r="AC230" s="90">
        <v>4</v>
      </c>
      <c r="AD230" s="90">
        <v>34</v>
      </c>
      <c r="AE230" s="90">
        <v>1</v>
      </c>
      <c r="AF230" s="90">
        <v>0</v>
      </c>
      <c r="AG230" s="90"/>
      <c r="AH230" s="90"/>
      <c r="AI230" s="90" t="s">
        <v>1552</v>
      </c>
      <c r="AJ230" s="90">
        <v>400</v>
      </c>
      <c r="AK230" s="90">
        <v>200</v>
      </c>
      <c r="AL230" s="90">
        <v>399.83</v>
      </c>
    </row>
    <row r="231" spans="1:38" ht="15" thickBot="1" x14ac:dyDescent="0.35">
      <c r="A231" s="118" t="s">
        <v>1610</v>
      </c>
      <c r="B231" s="114" t="s">
        <v>2884</v>
      </c>
      <c r="C231" s="114" t="s">
        <v>28</v>
      </c>
      <c r="D231" s="120"/>
      <c r="E231" s="120"/>
      <c r="F231" s="90" t="s">
        <v>1578</v>
      </c>
      <c r="G231" s="90"/>
      <c r="H231" s="90"/>
      <c r="I231" s="90" t="s">
        <v>1558</v>
      </c>
      <c r="J231" s="90"/>
      <c r="K231" s="90"/>
      <c r="L231" s="90" t="s">
        <v>1531</v>
      </c>
      <c r="M231" s="90"/>
      <c r="N231" s="90">
        <v>0.09</v>
      </c>
      <c r="O231" s="90"/>
      <c r="P231" s="90"/>
      <c r="Q231" s="90">
        <v>0.72</v>
      </c>
      <c r="R231" s="90"/>
      <c r="S231" s="90"/>
      <c r="T231" s="90">
        <v>0.19</v>
      </c>
      <c r="U231" s="90"/>
      <c r="V231" s="90" t="s">
        <v>1407</v>
      </c>
      <c r="W231" s="90">
        <v>873</v>
      </c>
      <c r="X231" s="90">
        <v>2</v>
      </c>
      <c r="Y231" s="90" t="s">
        <v>1533</v>
      </c>
      <c r="Z231" s="90" t="s">
        <v>1313</v>
      </c>
      <c r="AA231" s="90">
        <v>0.5</v>
      </c>
      <c r="AB231" s="90" t="s">
        <v>1142</v>
      </c>
      <c r="AC231" s="90">
        <v>4.01</v>
      </c>
      <c r="AD231" s="90">
        <v>41</v>
      </c>
      <c r="AE231" s="90">
        <v>1</v>
      </c>
      <c r="AF231" s="90">
        <v>0</v>
      </c>
      <c r="AG231" s="90"/>
      <c r="AH231" s="90"/>
      <c r="AI231" s="90" t="s">
        <v>1552</v>
      </c>
      <c r="AJ231" s="90">
        <v>400</v>
      </c>
      <c r="AK231" s="90">
        <v>200</v>
      </c>
      <c r="AL231" s="90">
        <v>2333.33</v>
      </c>
    </row>
    <row r="232" spans="1:38" ht="15" thickBot="1" x14ac:dyDescent="0.35">
      <c r="A232" s="118" t="s">
        <v>1610</v>
      </c>
      <c r="B232" s="114" t="s">
        <v>2884</v>
      </c>
      <c r="C232" s="114" t="s">
        <v>28</v>
      </c>
      <c r="D232" s="120"/>
      <c r="E232" s="120"/>
      <c r="F232" s="90" t="s">
        <v>1578</v>
      </c>
      <c r="G232" s="90"/>
      <c r="H232" s="90"/>
      <c r="I232" s="90" t="s">
        <v>1558</v>
      </c>
      <c r="J232" s="90"/>
      <c r="K232" s="90"/>
      <c r="L232" s="90" t="s">
        <v>1531</v>
      </c>
      <c r="M232" s="90"/>
      <c r="N232" s="90">
        <v>0.09</v>
      </c>
      <c r="O232" s="90"/>
      <c r="P232" s="90"/>
      <c r="Q232" s="90">
        <v>0.72</v>
      </c>
      <c r="R232" s="90"/>
      <c r="S232" s="90"/>
      <c r="T232" s="90">
        <v>0.19</v>
      </c>
      <c r="U232" s="90"/>
      <c r="V232" s="90" t="s">
        <v>1407</v>
      </c>
      <c r="W232" s="90">
        <v>873</v>
      </c>
      <c r="X232" s="90">
        <v>2</v>
      </c>
      <c r="Y232" s="90" t="s">
        <v>1533</v>
      </c>
      <c r="Z232" s="90" t="s">
        <v>1313</v>
      </c>
      <c r="AA232" s="90">
        <v>1</v>
      </c>
      <c r="AB232" s="90" t="s">
        <v>1142</v>
      </c>
      <c r="AC232" s="90">
        <v>4.01</v>
      </c>
      <c r="AD232" s="90">
        <v>41</v>
      </c>
      <c r="AE232" s="90">
        <v>1</v>
      </c>
      <c r="AF232" s="90">
        <v>0</v>
      </c>
      <c r="AG232" s="90"/>
      <c r="AH232" s="90"/>
      <c r="AI232" s="90" t="s">
        <v>1552</v>
      </c>
      <c r="AJ232" s="90">
        <v>400</v>
      </c>
      <c r="AK232" s="90">
        <v>200</v>
      </c>
      <c r="AL232" s="90">
        <v>25833.33</v>
      </c>
    </row>
    <row r="233" spans="1:38" ht="15" thickBot="1" x14ac:dyDescent="0.35">
      <c r="A233" s="118" t="s">
        <v>1610</v>
      </c>
      <c r="B233" s="114" t="s">
        <v>2884</v>
      </c>
      <c r="C233" s="114" t="s">
        <v>28</v>
      </c>
      <c r="D233" s="120"/>
      <c r="E233" s="120"/>
      <c r="F233" s="90" t="s">
        <v>1578</v>
      </c>
      <c r="G233" s="90"/>
      <c r="H233" s="90"/>
      <c r="I233" s="90" t="s">
        <v>1558</v>
      </c>
      <c r="J233" s="90"/>
      <c r="K233" s="90"/>
      <c r="L233" s="90" t="s">
        <v>1531</v>
      </c>
      <c r="M233" s="90"/>
      <c r="N233" s="90">
        <v>0.09</v>
      </c>
      <c r="O233" s="90"/>
      <c r="P233" s="90"/>
      <c r="Q233" s="90">
        <v>0.72</v>
      </c>
      <c r="R233" s="90"/>
      <c r="S233" s="90"/>
      <c r="T233" s="90">
        <v>0.19</v>
      </c>
      <c r="U233" s="90"/>
      <c r="V233" s="90" t="s">
        <v>1407</v>
      </c>
      <c r="W233" s="90">
        <v>873</v>
      </c>
      <c r="X233" s="90">
        <v>2</v>
      </c>
      <c r="Y233" s="90" t="s">
        <v>1533</v>
      </c>
      <c r="Z233" s="90" t="s">
        <v>1313</v>
      </c>
      <c r="AA233" s="90">
        <v>1.5</v>
      </c>
      <c r="AB233" s="90" t="s">
        <v>1142</v>
      </c>
      <c r="AC233" s="90">
        <v>4.01</v>
      </c>
      <c r="AD233" s="90">
        <v>41</v>
      </c>
      <c r="AE233" s="90">
        <v>1</v>
      </c>
      <c r="AF233" s="90">
        <v>0</v>
      </c>
      <c r="AG233" s="90"/>
      <c r="AH233" s="90"/>
      <c r="AI233" s="90" t="s">
        <v>1552</v>
      </c>
      <c r="AJ233" s="90">
        <v>400</v>
      </c>
      <c r="AK233" s="90">
        <v>200</v>
      </c>
      <c r="AL233" s="90">
        <v>12716.67</v>
      </c>
    </row>
    <row r="234" spans="1:38" ht="15" thickBot="1" x14ac:dyDescent="0.35">
      <c r="A234" s="118" t="s">
        <v>1611</v>
      </c>
      <c r="B234" s="114" t="s">
        <v>2885</v>
      </c>
      <c r="C234" s="114" t="s">
        <v>2881</v>
      </c>
      <c r="D234" s="120"/>
      <c r="E234" s="120"/>
      <c r="F234" s="90" t="s">
        <v>1578</v>
      </c>
      <c r="G234" s="90" t="s">
        <v>1088</v>
      </c>
      <c r="H234" s="90"/>
      <c r="I234" s="90" t="s">
        <v>1558</v>
      </c>
      <c r="J234" s="90"/>
      <c r="K234" s="90"/>
      <c r="L234" s="90" t="s">
        <v>1531</v>
      </c>
      <c r="M234" s="90"/>
      <c r="N234" s="90">
        <v>8.7999999999999995E-2</v>
      </c>
      <c r="O234" s="90">
        <v>1.9E-2</v>
      </c>
      <c r="P234" s="90"/>
      <c r="Q234" s="90">
        <v>0.70499999999999996</v>
      </c>
      <c r="R234" s="90"/>
      <c r="S234" s="90"/>
      <c r="T234" s="90">
        <v>0.186</v>
      </c>
      <c r="U234" s="90"/>
      <c r="V234" s="90" t="s">
        <v>1407</v>
      </c>
      <c r="W234" s="90">
        <v>1423</v>
      </c>
      <c r="X234" s="90">
        <v>5</v>
      </c>
      <c r="Y234" s="90"/>
      <c r="Z234" s="90"/>
      <c r="AA234" s="90"/>
      <c r="AB234" s="90"/>
      <c r="AC234" s="90">
        <v>3.97</v>
      </c>
      <c r="AD234" s="90">
        <v>4.9000000000000004</v>
      </c>
      <c r="AE234" s="90">
        <v>1</v>
      </c>
      <c r="AF234" s="90">
        <v>0</v>
      </c>
      <c r="AG234" s="90"/>
      <c r="AH234" s="90"/>
      <c r="AI234" s="90" t="s">
        <v>1534</v>
      </c>
      <c r="AJ234" s="90">
        <v>300</v>
      </c>
      <c r="AK234" s="90">
        <v>400</v>
      </c>
      <c r="AL234" s="90">
        <v>3433</v>
      </c>
    </row>
    <row r="235" spans="1:38" ht="15" thickBot="1" x14ac:dyDescent="0.35">
      <c r="A235" s="118" t="s">
        <v>1611</v>
      </c>
      <c r="B235" s="114" t="s">
        <v>2885</v>
      </c>
      <c r="C235" s="114" t="s">
        <v>2881</v>
      </c>
      <c r="D235" s="120"/>
      <c r="E235" s="120"/>
      <c r="F235" s="90" t="s">
        <v>1578</v>
      </c>
      <c r="G235" s="90" t="s">
        <v>1088</v>
      </c>
      <c r="H235" s="90"/>
      <c r="I235" s="90" t="s">
        <v>1558</v>
      </c>
      <c r="J235" s="90"/>
      <c r="K235" s="90"/>
      <c r="L235" s="90" t="s">
        <v>1531</v>
      </c>
      <c r="M235" s="90"/>
      <c r="N235" s="90">
        <v>8.7999999999999995E-2</v>
      </c>
      <c r="O235" s="90">
        <v>1.9E-2</v>
      </c>
      <c r="P235" s="90"/>
      <c r="Q235" s="90">
        <v>0.70499999999999996</v>
      </c>
      <c r="R235" s="90"/>
      <c r="S235" s="90"/>
      <c r="T235" s="90">
        <v>0.186</v>
      </c>
      <c r="U235" s="90"/>
      <c r="V235" s="90" t="s">
        <v>1407</v>
      </c>
      <c r="W235" s="90">
        <v>1423</v>
      </c>
      <c r="X235" s="90">
        <v>5</v>
      </c>
      <c r="Y235" s="90"/>
      <c r="Z235" s="90"/>
      <c r="AA235" s="90"/>
      <c r="AB235" s="90"/>
      <c r="AC235" s="90">
        <v>3.97</v>
      </c>
      <c r="AD235" s="90">
        <v>4.9000000000000004</v>
      </c>
      <c r="AE235" s="90">
        <v>1</v>
      </c>
      <c r="AF235" s="90">
        <v>20</v>
      </c>
      <c r="AG235" s="90"/>
      <c r="AH235" s="90"/>
      <c r="AI235" s="90" t="s">
        <v>1534</v>
      </c>
      <c r="AJ235" s="90">
        <v>300</v>
      </c>
      <c r="AK235" s="90">
        <v>400</v>
      </c>
      <c r="AL235" s="90">
        <v>9933</v>
      </c>
    </row>
    <row r="236" spans="1:38" ht="15" thickBot="1" x14ac:dyDescent="0.35">
      <c r="A236" s="118" t="s">
        <v>1612</v>
      </c>
      <c r="B236" s="114" t="s">
        <v>2886</v>
      </c>
      <c r="C236" s="114" t="s">
        <v>2887</v>
      </c>
      <c r="D236" s="120"/>
      <c r="E236" s="120"/>
      <c r="F236" s="90" t="s">
        <v>964</v>
      </c>
      <c r="G236" s="90"/>
      <c r="H236" s="90"/>
      <c r="I236" s="90" t="s">
        <v>1558</v>
      </c>
      <c r="J236" s="90"/>
      <c r="K236" s="90"/>
      <c r="L236" s="90" t="s">
        <v>1531</v>
      </c>
      <c r="M236" s="90"/>
      <c r="N236" s="90">
        <v>0.32</v>
      </c>
      <c r="O236" s="90"/>
      <c r="P236" s="90"/>
      <c r="Q236" s="90">
        <v>0.5</v>
      </c>
      <c r="R236" s="90"/>
      <c r="S236" s="90"/>
      <c r="T236" s="90">
        <v>0.18</v>
      </c>
      <c r="U236" s="90"/>
      <c r="V236" s="90" t="s">
        <v>1336</v>
      </c>
      <c r="W236" s="90">
        <v>1373</v>
      </c>
      <c r="X236" s="90">
        <v>12</v>
      </c>
      <c r="Y236" s="90" t="s">
        <v>1533</v>
      </c>
      <c r="Z236" s="90" t="s">
        <v>56</v>
      </c>
      <c r="AA236" s="90">
        <v>0</v>
      </c>
      <c r="AB236" s="90"/>
      <c r="AC236" s="90">
        <v>2.62</v>
      </c>
      <c r="AD236" s="90">
        <v>1.2</v>
      </c>
      <c r="AE236" s="90">
        <v>1.42</v>
      </c>
      <c r="AF236" s="90">
        <v>0</v>
      </c>
      <c r="AG236" s="90"/>
      <c r="AH236" s="90"/>
      <c r="AI236" s="90" t="s">
        <v>1613</v>
      </c>
      <c r="AJ236" s="90">
        <v>500</v>
      </c>
      <c r="AK236" s="90">
        <v>420</v>
      </c>
      <c r="AL236" s="90">
        <v>0.2</v>
      </c>
    </row>
    <row r="237" spans="1:38" ht="15" thickBot="1" x14ac:dyDescent="0.35">
      <c r="A237" s="118" t="s">
        <v>1612</v>
      </c>
      <c r="B237" s="114" t="s">
        <v>2886</v>
      </c>
      <c r="C237" s="114" t="s">
        <v>2887</v>
      </c>
      <c r="D237" s="120"/>
      <c r="E237" s="120"/>
      <c r="F237" s="90" t="s">
        <v>964</v>
      </c>
      <c r="G237" s="90"/>
      <c r="H237" s="90"/>
      <c r="I237" s="90" t="s">
        <v>1558</v>
      </c>
      <c r="J237" s="90"/>
      <c r="K237" s="90"/>
      <c r="L237" s="90" t="s">
        <v>1531</v>
      </c>
      <c r="M237" s="90"/>
      <c r="N237" s="90">
        <v>0.32</v>
      </c>
      <c r="O237" s="90"/>
      <c r="P237" s="90"/>
      <c r="Q237" s="90">
        <v>0.5</v>
      </c>
      <c r="R237" s="90"/>
      <c r="S237" s="90"/>
      <c r="T237" s="90">
        <v>0.18</v>
      </c>
      <c r="U237" s="90"/>
      <c r="V237" s="90" t="s">
        <v>1336</v>
      </c>
      <c r="W237" s="90">
        <v>1373</v>
      </c>
      <c r="X237" s="90">
        <v>12</v>
      </c>
      <c r="Y237" s="90" t="s">
        <v>1533</v>
      </c>
      <c r="Z237" s="90" t="s">
        <v>56</v>
      </c>
      <c r="AA237" s="90">
        <v>2</v>
      </c>
      <c r="AB237" s="90"/>
      <c r="AC237" s="90">
        <v>2.62</v>
      </c>
      <c r="AD237" s="90">
        <v>1.18</v>
      </c>
      <c r="AE237" s="90">
        <v>1.42</v>
      </c>
      <c r="AF237" s="90">
        <v>0</v>
      </c>
      <c r="AG237" s="90"/>
      <c r="AH237" s="90"/>
      <c r="AI237" s="90" t="s">
        <v>1613</v>
      </c>
      <c r="AJ237" s="90">
        <v>500</v>
      </c>
      <c r="AK237" s="90">
        <v>420</v>
      </c>
      <c r="AL237" s="90">
        <v>1.88</v>
      </c>
    </row>
    <row r="238" spans="1:38" ht="15" thickBot="1" x14ac:dyDescent="0.35">
      <c r="A238" s="118" t="s">
        <v>1612</v>
      </c>
      <c r="B238" s="114" t="s">
        <v>2886</v>
      </c>
      <c r="C238" s="114" t="s">
        <v>2887</v>
      </c>
      <c r="D238" s="120"/>
      <c r="E238" s="120"/>
      <c r="F238" s="90" t="s">
        <v>964</v>
      </c>
      <c r="G238" s="90"/>
      <c r="H238" s="90"/>
      <c r="I238" s="90" t="s">
        <v>1558</v>
      </c>
      <c r="J238" s="90"/>
      <c r="K238" s="90"/>
      <c r="L238" s="90" t="s">
        <v>1531</v>
      </c>
      <c r="M238" s="90"/>
      <c r="N238" s="90">
        <v>0.32</v>
      </c>
      <c r="O238" s="90"/>
      <c r="P238" s="90"/>
      <c r="Q238" s="90">
        <v>0.5</v>
      </c>
      <c r="R238" s="90"/>
      <c r="S238" s="90"/>
      <c r="T238" s="90">
        <v>0.18</v>
      </c>
      <c r="U238" s="90"/>
      <c r="V238" s="90" t="s">
        <v>1336</v>
      </c>
      <c r="W238" s="90">
        <v>1373</v>
      </c>
      <c r="X238" s="90">
        <v>12</v>
      </c>
      <c r="Y238" s="90" t="s">
        <v>1533</v>
      </c>
      <c r="Z238" s="90" t="s">
        <v>56</v>
      </c>
      <c r="AA238" s="90">
        <v>3</v>
      </c>
      <c r="AB238" s="90"/>
      <c r="AC238" s="90">
        <v>2.62</v>
      </c>
      <c r="AD238" s="90">
        <v>1.43</v>
      </c>
      <c r="AE238" s="90">
        <v>1.42</v>
      </c>
      <c r="AF238" s="90">
        <v>0</v>
      </c>
      <c r="AG238" s="90"/>
      <c r="AH238" s="90"/>
      <c r="AI238" s="90" t="s">
        <v>1613</v>
      </c>
      <c r="AJ238" s="90">
        <v>500</v>
      </c>
      <c r="AK238" s="90">
        <v>420</v>
      </c>
      <c r="AL238" s="90">
        <v>2.1</v>
      </c>
    </row>
    <row r="239" spans="1:38" ht="15" thickBot="1" x14ac:dyDescent="0.35">
      <c r="A239" s="118" t="s">
        <v>1612</v>
      </c>
      <c r="B239" s="114" t="s">
        <v>2886</v>
      </c>
      <c r="C239" s="114" t="s">
        <v>2887</v>
      </c>
      <c r="D239" s="120"/>
      <c r="E239" s="120"/>
      <c r="F239" s="90" t="s">
        <v>964</v>
      </c>
      <c r="G239" s="90"/>
      <c r="H239" s="90"/>
      <c r="I239" s="90" t="s">
        <v>1558</v>
      </c>
      <c r="J239" s="90"/>
      <c r="K239" s="90"/>
      <c r="L239" s="90" t="s">
        <v>1531</v>
      </c>
      <c r="M239" s="90"/>
      <c r="N239" s="90">
        <v>0.32</v>
      </c>
      <c r="O239" s="90"/>
      <c r="P239" s="90"/>
      <c r="Q239" s="90">
        <v>0.5</v>
      </c>
      <c r="R239" s="90"/>
      <c r="S239" s="90"/>
      <c r="T239" s="90">
        <v>0.18</v>
      </c>
      <c r="U239" s="90"/>
      <c r="V239" s="90" t="s">
        <v>1336</v>
      </c>
      <c r="W239" s="90">
        <v>1373</v>
      </c>
      <c r="X239" s="90">
        <v>12</v>
      </c>
      <c r="Y239" s="90" t="s">
        <v>1533</v>
      </c>
      <c r="Z239" s="90" t="s">
        <v>56</v>
      </c>
      <c r="AA239" s="90">
        <v>5</v>
      </c>
      <c r="AB239" s="90"/>
      <c r="AC239" s="90">
        <v>2.62</v>
      </c>
      <c r="AD239" s="90">
        <v>1.52</v>
      </c>
      <c r="AE239" s="90">
        <v>1.42</v>
      </c>
      <c r="AF239" s="90">
        <v>0</v>
      </c>
      <c r="AG239" s="90"/>
      <c r="AH239" s="90"/>
      <c r="AI239" s="90" t="s">
        <v>1613</v>
      </c>
      <c r="AJ239" s="90">
        <v>500</v>
      </c>
      <c r="AK239" s="90">
        <v>420</v>
      </c>
      <c r="AL239" s="90">
        <v>1.61</v>
      </c>
    </row>
    <row r="240" spans="1:38" ht="15" thickBot="1" x14ac:dyDescent="0.35">
      <c r="A240" s="118" t="s">
        <v>1612</v>
      </c>
      <c r="B240" s="114" t="s">
        <v>2886</v>
      </c>
      <c r="C240" s="114" t="s">
        <v>2887</v>
      </c>
      <c r="D240" s="120"/>
      <c r="E240" s="120"/>
      <c r="F240" s="90" t="s">
        <v>964</v>
      </c>
      <c r="G240" s="90"/>
      <c r="H240" s="90"/>
      <c r="I240" s="90" t="s">
        <v>1558</v>
      </c>
      <c r="J240" s="90"/>
      <c r="K240" s="90"/>
      <c r="L240" s="90" t="s">
        <v>1531</v>
      </c>
      <c r="M240" s="90"/>
      <c r="N240" s="90">
        <v>0.32</v>
      </c>
      <c r="O240" s="90"/>
      <c r="P240" s="90"/>
      <c r="Q240" s="90">
        <v>0.5</v>
      </c>
      <c r="R240" s="90"/>
      <c r="S240" s="90"/>
      <c r="T240" s="90">
        <v>0.18</v>
      </c>
      <c r="U240" s="90"/>
      <c r="V240" s="90" t="s">
        <v>1336</v>
      </c>
      <c r="W240" s="90">
        <v>1373</v>
      </c>
      <c r="X240" s="90">
        <v>12</v>
      </c>
      <c r="Y240" s="90" t="s">
        <v>1533</v>
      </c>
      <c r="Z240" s="90" t="s">
        <v>56</v>
      </c>
      <c r="AA240" s="90">
        <v>10</v>
      </c>
      <c r="AB240" s="90"/>
      <c r="AC240" s="90">
        <v>2.62</v>
      </c>
      <c r="AD240" s="90">
        <v>1.57</v>
      </c>
      <c r="AE240" s="90">
        <v>1.42</v>
      </c>
      <c r="AF240" s="90">
        <v>0</v>
      </c>
      <c r="AG240" s="90"/>
      <c r="AH240" s="90"/>
      <c r="AI240" s="90" t="s">
        <v>1613</v>
      </c>
      <c r="AJ240" s="90">
        <v>500</v>
      </c>
      <c r="AK240" s="90">
        <v>420</v>
      </c>
      <c r="AL240" s="90">
        <v>1.19</v>
      </c>
    </row>
    <row r="241" spans="1:38" ht="15" thickBot="1" x14ac:dyDescent="0.35">
      <c r="A241" s="118" t="s">
        <v>1612</v>
      </c>
      <c r="B241" s="114" t="s">
        <v>2886</v>
      </c>
      <c r="C241" s="114" t="s">
        <v>2887</v>
      </c>
      <c r="D241" s="120"/>
      <c r="E241" s="120"/>
      <c r="F241" s="90" t="s">
        <v>964</v>
      </c>
      <c r="G241" s="90"/>
      <c r="H241" s="90"/>
      <c r="I241" s="90" t="s">
        <v>1558</v>
      </c>
      <c r="J241" s="90"/>
      <c r="K241" s="90"/>
      <c r="L241" s="90" t="s">
        <v>1531</v>
      </c>
      <c r="M241" s="90"/>
      <c r="N241" s="90">
        <v>0.32</v>
      </c>
      <c r="O241" s="90"/>
      <c r="P241" s="90"/>
      <c r="Q241" s="90">
        <v>0.5</v>
      </c>
      <c r="R241" s="90"/>
      <c r="S241" s="90"/>
      <c r="T241" s="90">
        <v>0.18</v>
      </c>
      <c r="U241" s="90"/>
      <c r="V241" s="90" t="s">
        <v>1264</v>
      </c>
      <c r="W241" s="90">
        <v>1373</v>
      </c>
      <c r="X241" s="90">
        <v>12</v>
      </c>
      <c r="Y241" s="90" t="s">
        <v>1533</v>
      </c>
      <c r="Z241" s="90" t="s">
        <v>56</v>
      </c>
      <c r="AA241" s="90">
        <v>3</v>
      </c>
      <c r="AB241" s="90"/>
      <c r="AC241" s="90">
        <v>2.73</v>
      </c>
      <c r="AD241" s="90">
        <v>0.7</v>
      </c>
      <c r="AE241" s="90">
        <v>1.42</v>
      </c>
      <c r="AF241" s="90">
        <v>0</v>
      </c>
      <c r="AG241" s="90"/>
      <c r="AH241" s="90"/>
      <c r="AI241" s="90" t="s">
        <v>1613</v>
      </c>
      <c r="AJ241" s="90">
        <v>500</v>
      </c>
      <c r="AK241" s="90">
        <v>420</v>
      </c>
      <c r="AL241" s="90">
        <v>1.2</v>
      </c>
    </row>
    <row r="242" spans="1:38" ht="15" thickBot="1" x14ac:dyDescent="0.35">
      <c r="A242" s="118" t="s">
        <v>1614</v>
      </c>
      <c r="B242" s="114" t="s">
        <v>2888</v>
      </c>
      <c r="C242" s="114" t="s">
        <v>2881</v>
      </c>
      <c r="D242" s="120"/>
      <c r="E242" s="120"/>
      <c r="F242" s="90" t="s">
        <v>1578</v>
      </c>
      <c r="G242" s="90" t="s">
        <v>1088</v>
      </c>
      <c r="H242" s="90"/>
      <c r="I242" s="90" t="s">
        <v>1558</v>
      </c>
      <c r="J242" s="90"/>
      <c r="K242" s="90"/>
      <c r="L242" s="90" t="s">
        <v>1531</v>
      </c>
      <c r="M242" s="90"/>
      <c r="N242" s="90">
        <v>8.8999999999999996E-2</v>
      </c>
      <c r="O242" s="90">
        <v>1.0999999999999999E-2</v>
      </c>
      <c r="P242" s="90"/>
      <c r="Q242" s="90">
        <v>0.71199999999999997</v>
      </c>
      <c r="R242" s="90"/>
      <c r="S242" s="90"/>
      <c r="T242" s="90">
        <v>0.189</v>
      </c>
      <c r="U242" s="90"/>
      <c r="V242" s="90" t="s">
        <v>1264</v>
      </c>
      <c r="W242" s="90">
        <v>1420</v>
      </c>
      <c r="X242" s="90">
        <v>10</v>
      </c>
      <c r="Y242" s="90" t="s">
        <v>1533</v>
      </c>
      <c r="Z242" s="90" t="s">
        <v>56</v>
      </c>
      <c r="AA242" s="90">
        <v>0.2</v>
      </c>
      <c r="AB242" s="90" t="s">
        <v>1142</v>
      </c>
      <c r="AC242" s="90">
        <v>4.01</v>
      </c>
      <c r="AD242" s="90">
        <v>3.5</v>
      </c>
      <c r="AE242" s="90">
        <v>2.56</v>
      </c>
      <c r="AF242" s="90">
        <v>0</v>
      </c>
      <c r="AG242" s="90"/>
      <c r="AH242" s="90"/>
      <c r="AI242" s="90" t="s">
        <v>1552</v>
      </c>
      <c r="AJ242" s="90">
        <v>400</v>
      </c>
      <c r="AK242" s="90">
        <v>365</v>
      </c>
      <c r="AL242" s="90">
        <v>3565</v>
      </c>
    </row>
    <row r="243" spans="1:38" ht="15" thickBot="1" x14ac:dyDescent="0.35">
      <c r="A243" s="118" t="s">
        <v>1615</v>
      </c>
      <c r="B243" s="114" t="s">
        <v>2890</v>
      </c>
      <c r="C243" s="114" t="s">
        <v>2889</v>
      </c>
      <c r="D243" s="120"/>
      <c r="E243" s="120"/>
      <c r="F243" s="90" t="s">
        <v>1088</v>
      </c>
      <c r="G243" s="90"/>
      <c r="H243" s="90"/>
      <c r="I243" s="90" t="s">
        <v>1558</v>
      </c>
      <c r="J243" s="90" t="s">
        <v>1535</v>
      </c>
      <c r="K243" s="90"/>
      <c r="L243" s="90" t="s">
        <v>1531</v>
      </c>
      <c r="M243" s="90"/>
      <c r="N243" s="90">
        <v>0.47</v>
      </c>
      <c r="O243" s="90"/>
      <c r="P243" s="90"/>
      <c r="Q243" s="90">
        <v>0.3</v>
      </c>
      <c r="R243" s="90">
        <v>0.05</v>
      </c>
      <c r="S243" s="90"/>
      <c r="T243" s="90">
        <v>0.19</v>
      </c>
      <c r="U243" s="90"/>
      <c r="V243" s="90" t="s">
        <v>1336</v>
      </c>
      <c r="W243" s="90">
        <v>1473</v>
      </c>
      <c r="X243" s="90">
        <v>24</v>
      </c>
      <c r="Y243" s="90" t="s">
        <v>1533</v>
      </c>
      <c r="Z243" s="90" t="s">
        <v>56</v>
      </c>
      <c r="AA243" s="90">
        <v>0.2</v>
      </c>
      <c r="AB243" s="90" t="s">
        <v>1142</v>
      </c>
      <c r="AC243" s="90">
        <v>4.5999999999999996</v>
      </c>
      <c r="AD243" s="90">
        <v>2.14</v>
      </c>
      <c r="AE243" s="90">
        <v>0.23799999999999999</v>
      </c>
      <c r="AF243" s="90">
        <v>5</v>
      </c>
      <c r="AG243" s="90"/>
      <c r="AH243" s="90"/>
      <c r="AI243" s="90" t="s">
        <v>1552</v>
      </c>
      <c r="AJ243" s="90">
        <v>350</v>
      </c>
      <c r="AK243" s="90">
        <v>365</v>
      </c>
      <c r="AL243" s="90">
        <v>109</v>
      </c>
    </row>
    <row r="244" spans="1:38" ht="15" thickBot="1" x14ac:dyDescent="0.35">
      <c r="A244" s="118" t="s">
        <v>1615</v>
      </c>
      <c r="B244" s="114" t="s">
        <v>2890</v>
      </c>
      <c r="C244" s="114" t="s">
        <v>2889</v>
      </c>
      <c r="D244" s="120"/>
      <c r="E244" s="120"/>
      <c r="F244" s="90" t="s">
        <v>1088</v>
      </c>
      <c r="G244" s="90"/>
      <c r="H244" s="90"/>
      <c r="I244" s="90" t="s">
        <v>1558</v>
      </c>
      <c r="J244" s="90" t="s">
        <v>1535</v>
      </c>
      <c r="K244" s="90"/>
      <c r="L244" s="90" t="s">
        <v>1531</v>
      </c>
      <c r="M244" s="90"/>
      <c r="N244" s="90">
        <v>0.47</v>
      </c>
      <c r="O244" s="90"/>
      <c r="P244" s="90"/>
      <c r="Q244" s="90">
        <v>0.3</v>
      </c>
      <c r="R244" s="90">
        <v>0.05</v>
      </c>
      <c r="S244" s="90"/>
      <c r="T244" s="90">
        <v>0.19</v>
      </c>
      <c r="U244" s="90"/>
      <c r="V244" s="90" t="s">
        <v>1264</v>
      </c>
      <c r="W244" s="90">
        <v>1473</v>
      </c>
      <c r="X244" s="90">
        <v>24</v>
      </c>
      <c r="Y244" s="90" t="s">
        <v>1533</v>
      </c>
      <c r="Z244" s="90" t="s">
        <v>56</v>
      </c>
      <c r="AA244" s="90">
        <v>0.2</v>
      </c>
      <c r="AB244" s="90" t="s">
        <v>1142</v>
      </c>
      <c r="AC244" s="90">
        <v>4.5999999999999996</v>
      </c>
      <c r="AD244" s="90">
        <v>2.14</v>
      </c>
      <c r="AE244" s="90">
        <v>0.25</v>
      </c>
      <c r="AF244" s="90">
        <v>0</v>
      </c>
      <c r="AG244" s="90"/>
      <c r="AH244" s="90"/>
      <c r="AI244" s="90" t="s">
        <v>1552</v>
      </c>
      <c r="AJ244" s="90">
        <v>350</v>
      </c>
      <c r="AK244" s="90">
        <v>365</v>
      </c>
      <c r="AL244" s="90">
        <v>94.4</v>
      </c>
    </row>
    <row r="245" spans="1:38" ht="15" thickBot="1" x14ac:dyDescent="0.35">
      <c r="A245" s="118" t="s">
        <v>1615</v>
      </c>
      <c r="B245" s="114" t="s">
        <v>2890</v>
      </c>
      <c r="C245" s="114" t="s">
        <v>2889</v>
      </c>
      <c r="D245" s="120"/>
      <c r="E245" s="120"/>
      <c r="F245" s="90" t="s">
        <v>1088</v>
      </c>
      <c r="G245" s="90"/>
      <c r="H245" s="90"/>
      <c r="I245" s="90" t="s">
        <v>1558</v>
      </c>
      <c r="J245" s="90" t="s">
        <v>1535</v>
      </c>
      <c r="K245" s="90"/>
      <c r="L245" s="90" t="s">
        <v>1531</v>
      </c>
      <c r="M245" s="90"/>
      <c r="N245" s="90">
        <v>0.47</v>
      </c>
      <c r="O245" s="90"/>
      <c r="P245" s="90"/>
      <c r="Q245" s="90">
        <v>0.3</v>
      </c>
      <c r="R245" s="90">
        <v>0.05</v>
      </c>
      <c r="S245" s="90"/>
      <c r="T245" s="90">
        <v>0.19</v>
      </c>
      <c r="U245" s="90"/>
      <c r="V245" s="90" t="s">
        <v>1264</v>
      </c>
      <c r="W245" s="90">
        <v>1473</v>
      </c>
      <c r="X245" s="90">
        <v>24</v>
      </c>
      <c r="Y245" s="90"/>
      <c r="Z245" s="90"/>
      <c r="AA245" s="90"/>
      <c r="AB245" s="90" t="s">
        <v>1142</v>
      </c>
      <c r="AC245" s="90">
        <v>4.5999999999999996</v>
      </c>
      <c r="AD245" s="90">
        <v>2.14</v>
      </c>
      <c r="AE245" s="90">
        <v>0.25</v>
      </c>
      <c r="AF245" s="90">
        <v>0</v>
      </c>
      <c r="AG245" s="90"/>
      <c r="AH245" s="90"/>
      <c r="AI245" s="90" t="s">
        <v>1552</v>
      </c>
      <c r="AJ245" s="90">
        <v>350</v>
      </c>
      <c r="AK245" s="90">
        <v>365</v>
      </c>
      <c r="AL245" s="90">
        <v>39</v>
      </c>
    </row>
    <row r="246" spans="1:38" ht="15" thickBot="1" x14ac:dyDescent="0.35">
      <c r="A246" s="118" t="s">
        <v>1615</v>
      </c>
      <c r="B246" s="114" t="s">
        <v>2890</v>
      </c>
      <c r="C246" s="114" t="s">
        <v>2889</v>
      </c>
      <c r="D246" s="120"/>
      <c r="E246" s="120"/>
      <c r="F246" s="90" t="s">
        <v>1088</v>
      </c>
      <c r="G246" s="90"/>
      <c r="H246" s="90"/>
      <c r="I246" s="90" t="s">
        <v>1558</v>
      </c>
      <c r="J246" s="90" t="s">
        <v>1535</v>
      </c>
      <c r="K246" s="90"/>
      <c r="L246" s="90" t="s">
        <v>1531</v>
      </c>
      <c r="M246" s="90"/>
      <c r="N246" s="90">
        <v>0.47</v>
      </c>
      <c r="O246" s="90"/>
      <c r="P246" s="90"/>
      <c r="Q246" s="90">
        <v>0.3</v>
      </c>
      <c r="R246" s="90">
        <v>0.05</v>
      </c>
      <c r="S246" s="90"/>
      <c r="T246" s="90">
        <v>0.19</v>
      </c>
      <c r="U246" s="90"/>
      <c r="V246" s="90" t="s">
        <v>1264</v>
      </c>
      <c r="W246" s="90">
        <v>1473</v>
      </c>
      <c r="X246" s="90">
        <v>24</v>
      </c>
      <c r="Y246" s="90" t="s">
        <v>1533</v>
      </c>
      <c r="Z246" s="90" t="s">
        <v>56</v>
      </c>
      <c r="AA246" s="90">
        <v>0.1</v>
      </c>
      <c r="AB246" s="90" t="s">
        <v>1142</v>
      </c>
      <c r="AC246" s="90">
        <v>4.5999999999999996</v>
      </c>
      <c r="AD246" s="90">
        <v>2.14</v>
      </c>
      <c r="AE246" s="90">
        <v>0.25</v>
      </c>
      <c r="AF246" s="90">
        <v>0</v>
      </c>
      <c r="AG246" s="90"/>
      <c r="AH246" s="90"/>
      <c r="AI246" s="90" t="s">
        <v>1552</v>
      </c>
      <c r="AJ246" s="90">
        <v>350</v>
      </c>
      <c r="AK246" s="90">
        <v>365</v>
      </c>
      <c r="AL246" s="90">
        <v>55</v>
      </c>
    </row>
    <row r="247" spans="1:38" ht="15" thickBot="1" x14ac:dyDescent="0.35">
      <c r="A247" s="118" t="s">
        <v>1615</v>
      </c>
      <c r="B247" s="114" t="s">
        <v>2890</v>
      </c>
      <c r="C247" s="114" t="s">
        <v>2889</v>
      </c>
      <c r="D247" s="120"/>
      <c r="E247" s="120"/>
      <c r="F247" s="90" t="s">
        <v>1088</v>
      </c>
      <c r="G247" s="90"/>
      <c r="H247" s="90"/>
      <c r="I247" s="90" t="s">
        <v>1558</v>
      </c>
      <c r="J247" s="90" t="s">
        <v>1535</v>
      </c>
      <c r="K247" s="90"/>
      <c r="L247" s="90" t="s">
        <v>1531</v>
      </c>
      <c r="M247" s="90"/>
      <c r="N247" s="90">
        <v>0.47</v>
      </c>
      <c r="O247" s="90"/>
      <c r="P247" s="90"/>
      <c r="Q247" s="90">
        <v>0.3</v>
      </c>
      <c r="R247" s="90">
        <v>0.05</v>
      </c>
      <c r="S247" s="90"/>
      <c r="T247" s="90">
        <v>0.19</v>
      </c>
      <c r="U247" s="90"/>
      <c r="V247" s="90" t="s">
        <v>1264</v>
      </c>
      <c r="W247" s="90">
        <v>1473</v>
      </c>
      <c r="X247" s="90">
        <v>24</v>
      </c>
      <c r="Y247" s="90" t="s">
        <v>1533</v>
      </c>
      <c r="Z247" s="90" t="s">
        <v>56</v>
      </c>
      <c r="AA247" s="90">
        <v>0.3</v>
      </c>
      <c r="AB247" s="90" t="s">
        <v>1142</v>
      </c>
      <c r="AC247" s="90">
        <v>4.5999999999999996</v>
      </c>
      <c r="AD247" s="90">
        <v>2.14</v>
      </c>
      <c r="AE247" s="90">
        <v>0.25</v>
      </c>
      <c r="AF247" s="90">
        <v>0</v>
      </c>
      <c r="AG247" s="90"/>
      <c r="AH247" s="90"/>
      <c r="AI247" s="90" t="s">
        <v>1552</v>
      </c>
      <c r="AJ247" s="90">
        <v>350</v>
      </c>
      <c r="AK247" s="90">
        <v>365</v>
      </c>
      <c r="AL247" s="90">
        <v>87</v>
      </c>
    </row>
    <row r="248" spans="1:38" ht="15" thickBot="1" x14ac:dyDescent="0.35">
      <c r="A248" s="118" t="s">
        <v>1615</v>
      </c>
      <c r="B248" s="114" t="s">
        <v>2890</v>
      </c>
      <c r="C248" s="114" t="s">
        <v>2889</v>
      </c>
      <c r="D248" s="120"/>
      <c r="E248" s="120"/>
      <c r="F248" s="90" t="s">
        <v>1088</v>
      </c>
      <c r="G248" s="90"/>
      <c r="H248" s="90"/>
      <c r="I248" s="90" t="s">
        <v>1558</v>
      </c>
      <c r="J248" s="90" t="s">
        <v>1535</v>
      </c>
      <c r="K248" s="90"/>
      <c r="L248" s="90" t="s">
        <v>1531</v>
      </c>
      <c r="M248" s="90"/>
      <c r="N248" s="90">
        <v>0.47</v>
      </c>
      <c r="O248" s="90"/>
      <c r="P248" s="90"/>
      <c r="Q248" s="90">
        <v>0.3</v>
      </c>
      <c r="R248" s="90">
        <v>0.05</v>
      </c>
      <c r="S248" s="90"/>
      <c r="T248" s="90">
        <v>0.19</v>
      </c>
      <c r="U248" s="90"/>
      <c r="V248" s="90" t="s">
        <v>1264</v>
      </c>
      <c r="W248" s="90">
        <v>1473</v>
      </c>
      <c r="X248" s="90">
        <v>24</v>
      </c>
      <c r="Y248" s="90" t="s">
        <v>1533</v>
      </c>
      <c r="Z248" s="90" t="s">
        <v>56</v>
      </c>
      <c r="AA248" s="90">
        <v>0.4</v>
      </c>
      <c r="AB248" s="90" t="s">
        <v>1142</v>
      </c>
      <c r="AC248" s="90">
        <v>4.5999999999999996</v>
      </c>
      <c r="AD248" s="90">
        <v>2.14</v>
      </c>
      <c r="AE248" s="90">
        <v>0.25</v>
      </c>
      <c r="AF248" s="90">
        <v>0</v>
      </c>
      <c r="AG248" s="90"/>
      <c r="AH248" s="90"/>
      <c r="AI248" s="90" t="s">
        <v>1552</v>
      </c>
      <c r="AJ248" s="90">
        <v>350</v>
      </c>
      <c r="AK248" s="90">
        <v>365</v>
      </c>
      <c r="AL248" s="90">
        <v>72</v>
      </c>
    </row>
    <row r="249" spans="1:38" ht="15" thickBot="1" x14ac:dyDescent="0.35">
      <c r="A249" s="118" t="s">
        <v>1615</v>
      </c>
      <c r="B249" s="114" t="s">
        <v>2890</v>
      </c>
      <c r="C249" s="114" t="s">
        <v>2889</v>
      </c>
      <c r="D249" s="120"/>
      <c r="E249" s="120"/>
      <c r="F249" s="90" t="s">
        <v>1088</v>
      </c>
      <c r="G249" s="90"/>
      <c r="H249" s="90"/>
      <c r="I249" s="90" t="s">
        <v>1558</v>
      </c>
      <c r="J249" s="90" t="s">
        <v>1535</v>
      </c>
      <c r="K249" s="90"/>
      <c r="L249" s="90" t="s">
        <v>1531</v>
      </c>
      <c r="M249" s="90"/>
      <c r="N249" s="90">
        <v>0.47</v>
      </c>
      <c r="O249" s="90"/>
      <c r="P249" s="90"/>
      <c r="Q249" s="90">
        <v>0.3</v>
      </c>
      <c r="R249" s="90">
        <v>0.05</v>
      </c>
      <c r="S249" s="90"/>
      <c r="T249" s="90">
        <v>0.19</v>
      </c>
      <c r="U249" s="90"/>
      <c r="V249" s="90" t="s">
        <v>1264</v>
      </c>
      <c r="W249" s="90">
        <v>1473</v>
      </c>
      <c r="X249" s="90">
        <v>24</v>
      </c>
      <c r="Y249" s="90" t="s">
        <v>1533</v>
      </c>
      <c r="Z249" s="90" t="s">
        <v>56</v>
      </c>
      <c r="AA249" s="90">
        <v>0.5</v>
      </c>
      <c r="AB249" s="90" t="s">
        <v>1142</v>
      </c>
      <c r="AC249" s="90">
        <v>4.5999999999999996</v>
      </c>
      <c r="AD249" s="90">
        <v>2.14</v>
      </c>
      <c r="AE249" s="90">
        <v>0.25</v>
      </c>
      <c r="AF249" s="90">
        <v>0</v>
      </c>
      <c r="AG249" s="90"/>
      <c r="AH249" s="90"/>
      <c r="AI249" s="90" t="s">
        <v>1552</v>
      </c>
      <c r="AJ249" s="90">
        <v>350</v>
      </c>
      <c r="AK249" s="90">
        <v>365</v>
      </c>
      <c r="AL249" s="90">
        <v>61</v>
      </c>
    </row>
    <row r="250" spans="1:38" ht="15" thickBot="1" x14ac:dyDescent="0.35">
      <c r="A250" s="118" t="s">
        <v>1616</v>
      </c>
      <c r="B250" s="114" t="s">
        <v>2891</v>
      </c>
      <c r="C250" s="114" t="s">
        <v>2892</v>
      </c>
      <c r="D250" s="120"/>
      <c r="E250" s="120"/>
      <c r="F250" s="90" t="s">
        <v>1583</v>
      </c>
      <c r="G250" s="90" t="s">
        <v>1088</v>
      </c>
      <c r="H250" s="90"/>
      <c r="I250" s="90" t="s">
        <v>1068</v>
      </c>
      <c r="J250" s="90" t="s">
        <v>1535</v>
      </c>
      <c r="K250" s="90"/>
      <c r="L250" s="90" t="s">
        <v>1531</v>
      </c>
      <c r="M250" s="90"/>
      <c r="N250" s="90">
        <v>0.59199999999999997</v>
      </c>
      <c r="O250" s="90">
        <v>4.3999999999999997E-2</v>
      </c>
      <c r="P250" s="90"/>
      <c r="Q250" s="90">
        <v>0.14599999999999999</v>
      </c>
      <c r="R250" s="90">
        <v>4.2000000000000003E-2</v>
      </c>
      <c r="S250" s="90"/>
      <c r="T250" s="90">
        <v>0.17599999999999999</v>
      </c>
      <c r="U250" s="90"/>
      <c r="V250" s="90" t="s">
        <v>1264</v>
      </c>
      <c r="W250" s="90">
        <v>1223</v>
      </c>
      <c r="X250" s="90">
        <v>24</v>
      </c>
      <c r="Y250" s="90" t="s">
        <v>1533</v>
      </c>
      <c r="Z250" s="90" t="s">
        <v>56</v>
      </c>
      <c r="AA250" s="90">
        <v>2.1999999999999999E-2</v>
      </c>
      <c r="AB250" s="90" t="s">
        <v>518</v>
      </c>
      <c r="AC250" s="90">
        <v>2.89</v>
      </c>
      <c r="AD250" s="90"/>
      <c r="AE250" s="90">
        <v>0.23799999999999999</v>
      </c>
      <c r="AF250" s="90">
        <v>5</v>
      </c>
      <c r="AG250" s="90"/>
      <c r="AH250" s="90"/>
      <c r="AI250" s="90" t="s">
        <v>1552</v>
      </c>
      <c r="AJ250" s="90">
        <v>350</v>
      </c>
      <c r="AK250" s="90">
        <v>365</v>
      </c>
      <c r="AL250" s="90">
        <v>106</v>
      </c>
    </row>
    <row r="251" spans="1:38" ht="15" thickBot="1" x14ac:dyDescent="0.35">
      <c r="A251" s="118" t="s">
        <v>1616</v>
      </c>
      <c r="B251" s="114" t="s">
        <v>2891</v>
      </c>
      <c r="C251" s="114" t="s">
        <v>2892</v>
      </c>
      <c r="D251" s="120"/>
      <c r="E251" s="120"/>
      <c r="F251" s="90" t="s">
        <v>1583</v>
      </c>
      <c r="G251" s="90" t="s">
        <v>1088</v>
      </c>
      <c r="H251" s="90"/>
      <c r="I251" s="90" t="s">
        <v>1068</v>
      </c>
      <c r="J251" s="90" t="s">
        <v>1535</v>
      </c>
      <c r="K251" s="90"/>
      <c r="L251" s="90" t="s">
        <v>1531</v>
      </c>
      <c r="M251" s="90"/>
      <c r="N251" s="90">
        <v>0.59199999999999997</v>
      </c>
      <c r="O251" s="90">
        <v>4.3999999999999997E-2</v>
      </c>
      <c r="P251" s="90"/>
      <c r="Q251" s="90">
        <v>0.14599999999999999</v>
      </c>
      <c r="R251" s="90">
        <v>4.2000000000000003E-2</v>
      </c>
      <c r="S251" s="90"/>
      <c r="T251" s="90">
        <v>0.17599999999999999</v>
      </c>
      <c r="U251" s="90"/>
      <c r="V251" s="90" t="s">
        <v>1264</v>
      </c>
      <c r="W251" s="90">
        <v>1223</v>
      </c>
      <c r="X251" s="90">
        <v>24</v>
      </c>
      <c r="Y251" s="90" t="s">
        <v>1533</v>
      </c>
      <c r="Z251" s="90" t="s">
        <v>56</v>
      </c>
      <c r="AA251" s="90">
        <v>0.98699999999999999</v>
      </c>
      <c r="AB251" s="90" t="s">
        <v>518</v>
      </c>
      <c r="AC251" s="90">
        <v>2.89</v>
      </c>
      <c r="AD251" s="90"/>
      <c r="AE251" s="90">
        <v>0.23799999999999999</v>
      </c>
      <c r="AF251" s="90">
        <v>5</v>
      </c>
      <c r="AG251" s="90"/>
      <c r="AH251" s="90"/>
      <c r="AI251" s="90" t="s">
        <v>1552</v>
      </c>
      <c r="AJ251" s="90">
        <v>350</v>
      </c>
      <c r="AK251" s="90">
        <v>365</v>
      </c>
      <c r="AL251" s="90">
        <v>124</v>
      </c>
    </row>
    <row r="252" spans="1:38" ht="15" thickBot="1" x14ac:dyDescent="0.35">
      <c r="A252" s="118" t="s">
        <v>1616</v>
      </c>
      <c r="B252" s="114" t="s">
        <v>2891</v>
      </c>
      <c r="C252" s="114" t="s">
        <v>2892</v>
      </c>
      <c r="D252" s="120"/>
      <c r="E252" s="120"/>
      <c r="F252" s="90" t="s">
        <v>1583</v>
      </c>
      <c r="G252" s="90" t="s">
        <v>1088</v>
      </c>
      <c r="H252" s="90"/>
      <c r="I252" s="90" t="s">
        <v>1068</v>
      </c>
      <c r="J252" s="90" t="s">
        <v>1535</v>
      </c>
      <c r="K252" s="90"/>
      <c r="L252" s="90" t="s">
        <v>1531</v>
      </c>
      <c r="M252" s="90"/>
      <c r="N252" s="90">
        <v>0.59199999999999997</v>
      </c>
      <c r="O252" s="90">
        <v>4.3999999999999997E-2</v>
      </c>
      <c r="P252" s="90"/>
      <c r="Q252" s="90">
        <v>0.14599999999999999</v>
      </c>
      <c r="R252" s="90">
        <v>4.2000000000000003E-2</v>
      </c>
      <c r="S252" s="90"/>
      <c r="T252" s="90">
        <v>0.17599999999999999</v>
      </c>
      <c r="U252" s="90"/>
      <c r="V252" s="90" t="s">
        <v>1264</v>
      </c>
      <c r="W252" s="90">
        <v>1223</v>
      </c>
      <c r="X252" s="90">
        <v>24</v>
      </c>
      <c r="Y252" s="90" t="s">
        <v>1533</v>
      </c>
      <c r="Z252" s="90" t="s">
        <v>56</v>
      </c>
      <c r="AA252" s="90">
        <v>1.5</v>
      </c>
      <c r="AB252" s="90" t="s">
        <v>518</v>
      </c>
      <c r="AC252" s="90">
        <v>2.89</v>
      </c>
      <c r="AD252" s="90"/>
      <c r="AE252" s="90">
        <v>0.23799999999999999</v>
      </c>
      <c r="AF252" s="90">
        <v>5</v>
      </c>
      <c r="AG252" s="90"/>
      <c r="AH252" s="90"/>
      <c r="AI252" s="90" t="s">
        <v>1552</v>
      </c>
      <c r="AJ252" s="90">
        <v>350</v>
      </c>
      <c r="AK252" s="90">
        <v>365</v>
      </c>
      <c r="AL252" s="90">
        <v>135</v>
      </c>
    </row>
    <row r="253" spans="1:38" ht="15" thickBot="1" x14ac:dyDescent="0.35">
      <c r="A253" s="118" t="s">
        <v>1616</v>
      </c>
      <c r="B253" s="114" t="s">
        <v>2891</v>
      </c>
      <c r="C253" s="114" t="s">
        <v>2892</v>
      </c>
      <c r="D253" s="120"/>
      <c r="E253" s="120"/>
      <c r="F253" s="90" t="s">
        <v>1583</v>
      </c>
      <c r="G253" s="90" t="s">
        <v>1088</v>
      </c>
      <c r="H253" s="90"/>
      <c r="I253" s="90" t="s">
        <v>1068</v>
      </c>
      <c r="J253" s="90" t="s">
        <v>1535</v>
      </c>
      <c r="K253" s="90"/>
      <c r="L253" s="90" t="s">
        <v>1531</v>
      </c>
      <c r="M253" s="90"/>
      <c r="N253" s="90">
        <v>0.59199999999999997</v>
      </c>
      <c r="O253" s="90">
        <v>4.3999999999999997E-2</v>
      </c>
      <c r="P253" s="90"/>
      <c r="Q253" s="90">
        <v>0.14599999999999999</v>
      </c>
      <c r="R253" s="90">
        <v>4.2000000000000003E-2</v>
      </c>
      <c r="S253" s="90"/>
      <c r="T253" s="90">
        <v>0.17599999999999999</v>
      </c>
      <c r="U253" s="90"/>
      <c r="V253" s="90" t="s">
        <v>1264</v>
      </c>
      <c r="W253" s="90">
        <v>1223</v>
      </c>
      <c r="X253" s="90">
        <v>24</v>
      </c>
      <c r="Y253" s="90" t="s">
        <v>1533</v>
      </c>
      <c r="Z253" s="90" t="s">
        <v>56</v>
      </c>
      <c r="AA253" s="90">
        <v>2.0299999999999998</v>
      </c>
      <c r="AB253" s="90" t="s">
        <v>518</v>
      </c>
      <c r="AC253" s="90">
        <v>2.89</v>
      </c>
      <c r="AD253" s="90"/>
      <c r="AE253" s="90">
        <v>0.23799999999999999</v>
      </c>
      <c r="AF253" s="90">
        <v>5</v>
      </c>
      <c r="AG253" s="90"/>
      <c r="AH253" s="90"/>
      <c r="AI253" s="90" t="s">
        <v>1552</v>
      </c>
      <c r="AJ253" s="90">
        <v>350</v>
      </c>
      <c r="AK253" s="90">
        <v>365</v>
      </c>
      <c r="AL253" s="90">
        <v>141</v>
      </c>
    </row>
    <row r="254" spans="1:38" ht="15" thickBot="1" x14ac:dyDescent="0.35">
      <c r="A254" s="118" t="s">
        <v>1616</v>
      </c>
      <c r="B254" s="114" t="s">
        <v>2891</v>
      </c>
      <c r="C254" s="114" t="s">
        <v>2892</v>
      </c>
      <c r="D254" s="120"/>
      <c r="E254" s="120"/>
      <c r="F254" s="90" t="s">
        <v>1583</v>
      </c>
      <c r="G254" s="90" t="s">
        <v>1088</v>
      </c>
      <c r="H254" s="90"/>
      <c r="I254" s="90" t="s">
        <v>1068</v>
      </c>
      <c r="J254" s="90" t="s">
        <v>1535</v>
      </c>
      <c r="K254" s="90"/>
      <c r="L254" s="90" t="s">
        <v>1531</v>
      </c>
      <c r="M254" s="90"/>
      <c r="N254" s="90">
        <v>0.59199999999999997</v>
      </c>
      <c r="O254" s="90">
        <v>4.3999999999999997E-2</v>
      </c>
      <c r="P254" s="90"/>
      <c r="Q254" s="90">
        <v>0.14599999999999999</v>
      </c>
      <c r="R254" s="90">
        <v>4.2000000000000003E-2</v>
      </c>
      <c r="S254" s="90"/>
      <c r="T254" s="90">
        <v>0.17599999999999999</v>
      </c>
      <c r="U254" s="90"/>
      <c r="V254" s="90" t="s">
        <v>1264</v>
      </c>
      <c r="W254" s="90">
        <v>1223</v>
      </c>
      <c r="X254" s="90">
        <v>24</v>
      </c>
      <c r="Y254" s="90" t="s">
        <v>1533</v>
      </c>
      <c r="Z254" s="90" t="s">
        <v>56</v>
      </c>
      <c r="AA254" s="90">
        <v>2.96</v>
      </c>
      <c r="AB254" s="90" t="s">
        <v>518</v>
      </c>
      <c r="AC254" s="90">
        <v>2.89</v>
      </c>
      <c r="AD254" s="90"/>
      <c r="AE254" s="90">
        <v>0.23799999999999999</v>
      </c>
      <c r="AF254" s="90">
        <v>5</v>
      </c>
      <c r="AG254" s="90"/>
      <c r="AH254" s="90"/>
      <c r="AI254" s="90" t="s">
        <v>1552</v>
      </c>
      <c r="AJ254" s="90">
        <v>350</v>
      </c>
      <c r="AK254" s="90">
        <v>365</v>
      </c>
      <c r="AL254" s="90">
        <v>134</v>
      </c>
    </row>
    <row r="255" spans="1:38" ht="15" thickBot="1" x14ac:dyDescent="0.35">
      <c r="A255" s="118" t="s">
        <v>1616</v>
      </c>
      <c r="B255" s="114" t="s">
        <v>2891</v>
      </c>
      <c r="C255" s="114" t="s">
        <v>2892</v>
      </c>
      <c r="D255" s="120"/>
      <c r="E255" s="120"/>
      <c r="F255" s="90" t="s">
        <v>1583</v>
      </c>
      <c r="G255" s="90" t="s">
        <v>1088</v>
      </c>
      <c r="H255" s="90"/>
      <c r="I255" s="90" t="s">
        <v>1068</v>
      </c>
      <c r="J255" s="90" t="s">
        <v>1535</v>
      </c>
      <c r="K255" s="90"/>
      <c r="L255" s="90" t="s">
        <v>1531</v>
      </c>
      <c r="M255" s="90"/>
      <c r="N255" s="90">
        <v>0.59199999999999997</v>
      </c>
      <c r="O255" s="90">
        <v>4.3999999999999997E-2</v>
      </c>
      <c r="P255" s="90"/>
      <c r="Q255" s="90">
        <v>0.14599999999999999</v>
      </c>
      <c r="R255" s="90">
        <v>4.2000000000000003E-2</v>
      </c>
      <c r="S255" s="90"/>
      <c r="T255" s="90">
        <v>0.17599999999999999</v>
      </c>
      <c r="U255" s="90"/>
      <c r="V255" s="90" t="s">
        <v>1264</v>
      </c>
      <c r="W255" s="90">
        <v>1223</v>
      </c>
      <c r="X255" s="90">
        <v>24</v>
      </c>
      <c r="Y255" s="90" t="s">
        <v>1533</v>
      </c>
      <c r="Z255" s="90" t="s">
        <v>56</v>
      </c>
      <c r="AA255" s="90">
        <v>5.0199999999999996</v>
      </c>
      <c r="AB255" s="90" t="s">
        <v>518</v>
      </c>
      <c r="AC255" s="90">
        <v>2.89</v>
      </c>
      <c r="AD255" s="90"/>
      <c r="AE255" s="90">
        <v>0.23799999999999999</v>
      </c>
      <c r="AF255" s="90">
        <v>5</v>
      </c>
      <c r="AG255" s="90"/>
      <c r="AH255" s="90"/>
      <c r="AI255" s="90" t="s">
        <v>1552</v>
      </c>
      <c r="AJ255" s="90">
        <v>350</v>
      </c>
      <c r="AK255" s="90">
        <v>365</v>
      </c>
      <c r="AL255" s="90">
        <v>125</v>
      </c>
    </row>
    <row r="256" spans="1:38" ht="15" thickBot="1" x14ac:dyDescent="0.35">
      <c r="A256" s="118" t="s">
        <v>1617</v>
      </c>
      <c r="B256" s="114" t="s">
        <v>2893</v>
      </c>
      <c r="C256" s="114" t="s">
        <v>185</v>
      </c>
      <c r="D256" s="120"/>
      <c r="E256" s="120"/>
      <c r="F256" s="90" t="s">
        <v>1529</v>
      </c>
      <c r="G256" s="90"/>
      <c r="H256" s="90"/>
      <c r="I256" s="90" t="s">
        <v>1558</v>
      </c>
      <c r="J256" s="90"/>
      <c r="K256" s="90"/>
      <c r="L256" s="90" t="s">
        <v>1531</v>
      </c>
      <c r="M256" s="90"/>
      <c r="N256" s="90">
        <v>0.27</v>
      </c>
      <c r="O256" s="90"/>
      <c r="P256" s="90"/>
      <c r="Q256" s="90">
        <v>0.55800000000000005</v>
      </c>
      <c r="R256" s="90"/>
      <c r="S256" s="90"/>
      <c r="T256" s="90">
        <v>0.17299999999999999</v>
      </c>
      <c r="U256" s="90"/>
      <c r="V256" s="90" t="s">
        <v>1264</v>
      </c>
      <c r="W256" s="90"/>
      <c r="X256" s="90"/>
      <c r="Y256" s="90"/>
      <c r="Z256" s="90"/>
      <c r="AA256" s="90"/>
      <c r="AB256" s="90" t="s">
        <v>1549</v>
      </c>
      <c r="AC256" s="90">
        <v>4.5999999999999996</v>
      </c>
      <c r="AD256" s="90"/>
      <c r="AE256" s="90">
        <v>1.25</v>
      </c>
      <c r="AF256" s="90">
        <v>0</v>
      </c>
      <c r="AG256" s="90"/>
      <c r="AH256" s="90"/>
      <c r="AI256" s="90" t="s">
        <v>1552</v>
      </c>
      <c r="AJ256" s="90">
        <v>350</v>
      </c>
      <c r="AK256" s="90">
        <v>365</v>
      </c>
      <c r="AL256" s="90">
        <v>1287.5</v>
      </c>
    </row>
    <row r="257" spans="1:38" ht="15" thickBot="1" x14ac:dyDescent="0.35">
      <c r="A257" s="118" t="s">
        <v>1617</v>
      </c>
      <c r="B257" s="114" t="s">
        <v>2893</v>
      </c>
      <c r="C257" s="114" t="s">
        <v>185</v>
      </c>
      <c r="D257" s="120"/>
      <c r="E257" s="120"/>
      <c r="F257" s="90" t="s">
        <v>1529</v>
      </c>
      <c r="G257" s="90"/>
      <c r="H257" s="90"/>
      <c r="I257" s="90" t="s">
        <v>1558</v>
      </c>
      <c r="J257" s="90"/>
      <c r="K257" s="90"/>
      <c r="L257" s="90" t="s">
        <v>1531</v>
      </c>
      <c r="M257" s="90"/>
      <c r="N257" s="90">
        <v>0.27</v>
      </c>
      <c r="O257" s="90"/>
      <c r="P257" s="90"/>
      <c r="Q257" s="90">
        <v>0.55800000000000005</v>
      </c>
      <c r="R257" s="90"/>
      <c r="S257" s="90"/>
      <c r="T257" s="90">
        <v>0.17299999999999999</v>
      </c>
      <c r="U257" s="90"/>
      <c r="V257" s="90" t="s">
        <v>1264</v>
      </c>
      <c r="W257" s="90">
        <v>643</v>
      </c>
      <c r="X257" s="90">
        <v>1</v>
      </c>
      <c r="Y257" s="90" t="s">
        <v>1533</v>
      </c>
      <c r="Z257" s="90" t="s">
        <v>56</v>
      </c>
      <c r="AA257" s="90">
        <v>0.15</v>
      </c>
      <c r="AB257" s="90" t="s">
        <v>1549</v>
      </c>
      <c r="AC257" s="90">
        <v>4.5999999999999996</v>
      </c>
      <c r="AD257" s="90"/>
      <c r="AE257" s="90">
        <v>1.25</v>
      </c>
      <c r="AF257" s="90">
        <v>0</v>
      </c>
      <c r="AG257" s="90"/>
      <c r="AH257" s="90"/>
      <c r="AI257" s="90" t="s">
        <v>1552</v>
      </c>
      <c r="AJ257" s="90">
        <v>350</v>
      </c>
      <c r="AK257" s="90">
        <v>365</v>
      </c>
      <c r="AL257" s="90">
        <v>2345</v>
      </c>
    </row>
    <row r="258" spans="1:38" ht="15" thickBot="1" x14ac:dyDescent="0.35">
      <c r="A258" s="118" t="s">
        <v>1618</v>
      </c>
      <c r="B258" s="114" t="s">
        <v>2894</v>
      </c>
      <c r="C258" s="114" t="s">
        <v>2895</v>
      </c>
      <c r="D258" s="90"/>
      <c r="E258" s="120"/>
      <c r="F258" s="90" t="s">
        <v>1583</v>
      </c>
      <c r="G258" s="90"/>
      <c r="H258" s="90"/>
      <c r="I258" s="90" t="s">
        <v>1558</v>
      </c>
      <c r="J258" s="90"/>
      <c r="K258" s="90"/>
      <c r="L258" s="90" t="s">
        <v>1531</v>
      </c>
      <c r="M258" s="90"/>
      <c r="N258" s="90">
        <v>0.46</v>
      </c>
      <c r="O258" s="90"/>
      <c r="P258" s="90"/>
      <c r="Q258" s="90">
        <v>0.39900000000000002</v>
      </c>
      <c r="R258" s="90"/>
      <c r="S258" s="90"/>
      <c r="T258" s="90">
        <v>0.14099999999999999</v>
      </c>
      <c r="U258" s="90"/>
      <c r="V258" s="90" t="s">
        <v>1598</v>
      </c>
      <c r="W258" s="90">
        <v>1373</v>
      </c>
      <c r="X258" s="90">
        <v>48</v>
      </c>
      <c r="Y258" s="90"/>
      <c r="Z258" s="90"/>
      <c r="AA258" s="90"/>
      <c r="AB258" s="90" t="s">
        <v>1539</v>
      </c>
      <c r="AC258" s="90">
        <v>3.3</v>
      </c>
      <c r="AD258" s="90">
        <v>1.1499999999999999</v>
      </c>
      <c r="AE258" s="90">
        <v>0.23799999999999999</v>
      </c>
      <c r="AF258" s="90">
        <v>5</v>
      </c>
      <c r="AG258" s="90" t="s">
        <v>1592</v>
      </c>
      <c r="AH258" s="90"/>
      <c r="AI258" s="90" t="s">
        <v>1552</v>
      </c>
      <c r="AJ258" s="90">
        <v>350</v>
      </c>
      <c r="AK258" s="90">
        <v>400</v>
      </c>
      <c r="AL258" s="90">
        <v>528</v>
      </c>
    </row>
    <row r="259" spans="1:38" ht="15" thickBot="1" x14ac:dyDescent="0.35">
      <c r="A259" s="118" t="s">
        <v>1618</v>
      </c>
      <c r="B259" s="114" t="s">
        <v>2894</v>
      </c>
      <c r="C259" s="114" t="s">
        <v>2896</v>
      </c>
      <c r="D259" s="90"/>
      <c r="E259" s="120"/>
      <c r="F259" s="90" t="s">
        <v>1583</v>
      </c>
      <c r="G259" s="90"/>
      <c r="H259" s="90"/>
      <c r="I259" s="90" t="s">
        <v>1558</v>
      </c>
      <c r="J259" s="90" t="s">
        <v>1559</v>
      </c>
      <c r="K259" s="90"/>
      <c r="L259" s="90" t="s">
        <v>1531</v>
      </c>
      <c r="M259" s="90"/>
      <c r="N259" s="90">
        <v>0.46200000000000002</v>
      </c>
      <c r="O259" s="90"/>
      <c r="P259" s="90"/>
      <c r="Q259" s="90">
        <v>0.39600000000000002</v>
      </c>
      <c r="R259" s="90">
        <v>1E-3</v>
      </c>
      <c r="S259" s="90"/>
      <c r="T259" s="90">
        <v>0.14099999999999999</v>
      </c>
      <c r="U259" s="90"/>
      <c r="V259" s="90" t="s">
        <v>1598</v>
      </c>
      <c r="W259" s="90">
        <v>1373</v>
      </c>
      <c r="X259" s="90">
        <v>48</v>
      </c>
      <c r="Y259" s="90"/>
      <c r="Z259" s="90"/>
      <c r="AA259" s="90"/>
      <c r="AB259" s="90" t="s">
        <v>1539</v>
      </c>
      <c r="AC259" s="90">
        <v>3.1</v>
      </c>
      <c r="AD259" s="90">
        <v>1.22</v>
      </c>
      <c r="AE259" s="90">
        <v>0.23799999999999999</v>
      </c>
      <c r="AF259" s="90">
        <v>5</v>
      </c>
      <c r="AG259" s="90" t="s">
        <v>1592</v>
      </c>
      <c r="AH259" s="90"/>
      <c r="AI259" s="90" t="s">
        <v>1552</v>
      </c>
      <c r="AJ259" s="90">
        <v>350</v>
      </c>
      <c r="AK259" s="90">
        <v>400</v>
      </c>
      <c r="AL259" s="90">
        <v>746</v>
      </c>
    </row>
    <row r="260" spans="1:38" ht="15" thickBot="1" x14ac:dyDescent="0.35">
      <c r="A260" s="118" t="s">
        <v>1618</v>
      </c>
      <c r="B260" s="114" t="s">
        <v>2894</v>
      </c>
      <c r="C260" s="114" t="s">
        <v>2897</v>
      </c>
      <c r="D260" s="90"/>
      <c r="E260" s="120"/>
      <c r="F260" s="90" t="s">
        <v>1583</v>
      </c>
      <c r="G260" s="90"/>
      <c r="H260" s="90"/>
      <c r="I260" s="90" t="s">
        <v>1558</v>
      </c>
      <c r="J260" s="90" t="s">
        <v>1559</v>
      </c>
      <c r="K260" s="90"/>
      <c r="L260" s="90" t="s">
        <v>1531</v>
      </c>
      <c r="M260" s="90"/>
      <c r="N260" s="90">
        <v>0.46300000000000002</v>
      </c>
      <c r="O260" s="90"/>
      <c r="P260" s="90"/>
      <c r="Q260" s="90">
        <v>0.39300000000000002</v>
      </c>
      <c r="R260" s="90">
        <v>3.0000000000000001E-3</v>
      </c>
      <c r="S260" s="90"/>
      <c r="T260" s="90">
        <v>0.14199999999999999</v>
      </c>
      <c r="U260" s="90"/>
      <c r="V260" s="90" t="s">
        <v>1598</v>
      </c>
      <c r="W260" s="90">
        <v>1373</v>
      </c>
      <c r="X260" s="90">
        <v>48</v>
      </c>
      <c r="Y260" s="90"/>
      <c r="Z260" s="90"/>
      <c r="AA260" s="90"/>
      <c r="AB260" s="90" t="s">
        <v>1539</v>
      </c>
      <c r="AC260" s="90">
        <v>2.9</v>
      </c>
      <c r="AD260" s="90">
        <v>1.43</v>
      </c>
      <c r="AE260" s="90">
        <v>0.23799999999999999</v>
      </c>
      <c r="AF260" s="90">
        <v>5</v>
      </c>
      <c r="AG260" s="90" t="s">
        <v>1592</v>
      </c>
      <c r="AH260" s="90"/>
      <c r="AI260" s="90" t="s">
        <v>1552</v>
      </c>
      <c r="AJ260" s="90">
        <v>350</v>
      </c>
      <c r="AK260" s="90">
        <v>400</v>
      </c>
      <c r="AL260" s="90">
        <v>884</v>
      </c>
    </row>
    <row r="261" spans="1:38" ht="15" thickBot="1" x14ac:dyDescent="0.35">
      <c r="A261" s="118" t="s">
        <v>1618</v>
      </c>
      <c r="B261" s="114" t="s">
        <v>2894</v>
      </c>
      <c r="C261" s="114" t="s">
        <v>2898</v>
      </c>
      <c r="D261" s="90"/>
      <c r="E261" s="120"/>
      <c r="F261" s="90" t="s">
        <v>1583</v>
      </c>
      <c r="G261" s="90"/>
      <c r="H261" s="90"/>
      <c r="I261" s="90" t="s">
        <v>1558</v>
      </c>
      <c r="J261" s="90" t="s">
        <v>1559</v>
      </c>
      <c r="K261" s="90"/>
      <c r="L261" s="90" t="s">
        <v>1531</v>
      </c>
      <c r="M261" s="90"/>
      <c r="N261" s="90">
        <v>0.44600000000000001</v>
      </c>
      <c r="O261" s="90"/>
      <c r="P261" s="90"/>
      <c r="Q261" s="90">
        <v>0.39</v>
      </c>
      <c r="R261" s="90">
        <v>4.0000000000000001E-3</v>
      </c>
      <c r="S261" s="90"/>
      <c r="T261" s="90">
        <v>0.14199999999999999</v>
      </c>
      <c r="U261" s="90"/>
      <c r="V261" s="90" t="s">
        <v>1264</v>
      </c>
      <c r="W261" s="90">
        <v>1373</v>
      </c>
      <c r="X261" s="90">
        <v>48</v>
      </c>
      <c r="Y261" s="90"/>
      <c r="Z261" s="90"/>
      <c r="AA261" s="90"/>
      <c r="AB261" s="90" t="s">
        <v>1539</v>
      </c>
      <c r="AC261" s="90">
        <v>2.8</v>
      </c>
      <c r="AD261" s="90">
        <v>1.47</v>
      </c>
      <c r="AE261" s="90">
        <v>0.23799999999999999</v>
      </c>
      <c r="AF261" s="90">
        <v>5</v>
      </c>
      <c r="AG261" s="90" t="s">
        <v>1592</v>
      </c>
      <c r="AH261" s="90"/>
      <c r="AI261" s="90" t="s">
        <v>1552</v>
      </c>
      <c r="AJ261" s="90">
        <v>350</v>
      </c>
      <c r="AK261" s="90">
        <v>400</v>
      </c>
      <c r="AL261" s="90">
        <v>649</v>
      </c>
    </row>
    <row r="262" spans="1:38" ht="15" thickBot="1" x14ac:dyDescent="0.35">
      <c r="A262" s="118" t="s">
        <v>1618</v>
      </c>
      <c r="B262" s="114" t="s">
        <v>2894</v>
      </c>
      <c r="C262" s="114" t="s">
        <v>2899</v>
      </c>
      <c r="D262" s="90"/>
      <c r="E262" s="120"/>
      <c r="F262" s="90" t="s">
        <v>1583</v>
      </c>
      <c r="G262" s="90"/>
      <c r="H262" s="90"/>
      <c r="I262" s="90" t="s">
        <v>1558</v>
      </c>
      <c r="J262" s="90" t="s">
        <v>1559</v>
      </c>
      <c r="K262" s="90"/>
      <c r="L262" s="90" t="s">
        <v>1531</v>
      </c>
      <c r="M262" s="90"/>
      <c r="N262" s="90">
        <v>0.46500000000000002</v>
      </c>
      <c r="O262" s="90"/>
      <c r="P262" s="90"/>
      <c r="Q262" s="90">
        <v>0.38700000000000001</v>
      </c>
      <c r="R262" s="90">
        <v>6.0000000000000001E-3</v>
      </c>
      <c r="S262" s="90"/>
      <c r="T262" s="90">
        <v>0.14199999999999999</v>
      </c>
      <c r="U262" s="90"/>
      <c r="V262" s="90" t="s">
        <v>1264</v>
      </c>
      <c r="W262" s="90">
        <v>1373</v>
      </c>
      <c r="X262" s="90">
        <v>48</v>
      </c>
      <c r="Y262" s="90"/>
      <c r="Z262" s="90"/>
      <c r="AA262" s="90"/>
      <c r="AB262" s="90" t="s">
        <v>1539</v>
      </c>
      <c r="AC262" s="90">
        <v>2.7</v>
      </c>
      <c r="AD262" s="90">
        <v>0.94</v>
      </c>
      <c r="AE262" s="90">
        <v>0.23799999999999999</v>
      </c>
      <c r="AF262" s="90">
        <v>5</v>
      </c>
      <c r="AG262" s="90" t="s">
        <v>1592</v>
      </c>
      <c r="AH262" s="90"/>
      <c r="AI262" s="90" t="s">
        <v>1552</v>
      </c>
      <c r="AJ262" s="90">
        <v>350</v>
      </c>
      <c r="AK262" s="90">
        <v>400</v>
      </c>
      <c r="AL262" s="90">
        <v>387</v>
      </c>
    </row>
    <row r="263" spans="1:38" ht="15" thickBot="1" x14ac:dyDescent="0.35">
      <c r="A263" s="118" t="s">
        <v>1618</v>
      </c>
      <c r="B263" s="114" t="s">
        <v>2894</v>
      </c>
      <c r="C263" s="114" t="s">
        <v>2895</v>
      </c>
      <c r="D263" s="90"/>
      <c r="E263" s="120"/>
      <c r="F263" s="90" t="s">
        <v>1583</v>
      </c>
      <c r="G263" s="90"/>
      <c r="H263" s="90"/>
      <c r="I263" s="90" t="s">
        <v>1558</v>
      </c>
      <c r="J263" s="90"/>
      <c r="K263" s="90"/>
      <c r="L263" s="90" t="s">
        <v>1531</v>
      </c>
      <c r="M263" s="90"/>
      <c r="N263" s="90">
        <v>0.46</v>
      </c>
      <c r="O263" s="90"/>
      <c r="P263" s="90"/>
      <c r="Q263" s="90">
        <v>0.39900000000000002</v>
      </c>
      <c r="R263" s="90"/>
      <c r="S263" s="90"/>
      <c r="T263" s="90">
        <v>0.14099999999999999</v>
      </c>
      <c r="U263" s="90"/>
      <c r="V263" s="90" t="s">
        <v>1264</v>
      </c>
      <c r="W263" s="90">
        <v>1373</v>
      </c>
      <c r="X263" s="90">
        <v>48</v>
      </c>
      <c r="Y263" s="90" t="s">
        <v>1533</v>
      </c>
      <c r="Z263" s="90" t="s">
        <v>1313</v>
      </c>
      <c r="AA263" s="90">
        <v>0.1</v>
      </c>
      <c r="AB263" s="90" t="s">
        <v>1539</v>
      </c>
      <c r="AC263" s="90">
        <v>3.3</v>
      </c>
      <c r="AD263" s="90">
        <v>1.1499999999999999</v>
      </c>
      <c r="AE263" s="90">
        <v>0.23799999999999999</v>
      </c>
      <c r="AF263" s="90">
        <v>5</v>
      </c>
      <c r="AG263" s="90" t="s">
        <v>1592</v>
      </c>
      <c r="AH263" s="90"/>
      <c r="AI263" s="90" t="s">
        <v>1552</v>
      </c>
      <c r="AJ263" s="90">
        <v>350</v>
      </c>
      <c r="AK263" s="90">
        <v>400</v>
      </c>
      <c r="AL263" s="90">
        <v>490</v>
      </c>
    </row>
    <row r="264" spans="1:38" ht="15" thickBot="1" x14ac:dyDescent="0.35">
      <c r="A264" s="118" t="s">
        <v>1618</v>
      </c>
      <c r="B264" s="114" t="s">
        <v>2894</v>
      </c>
      <c r="C264" s="114" t="s">
        <v>2895</v>
      </c>
      <c r="D264" s="90"/>
      <c r="E264" s="120"/>
      <c r="F264" s="90" t="s">
        <v>1583</v>
      </c>
      <c r="G264" s="90"/>
      <c r="H264" s="90"/>
      <c r="I264" s="90" t="s">
        <v>1558</v>
      </c>
      <c r="J264" s="90"/>
      <c r="K264" s="90"/>
      <c r="L264" s="90" t="s">
        <v>1531</v>
      </c>
      <c r="M264" s="90"/>
      <c r="N264" s="90">
        <v>0.46</v>
      </c>
      <c r="O264" s="90"/>
      <c r="P264" s="90"/>
      <c r="Q264" s="90">
        <v>0.39900000000000002</v>
      </c>
      <c r="R264" s="90"/>
      <c r="S264" s="90"/>
      <c r="T264" s="90">
        <v>0.14099999999999999</v>
      </c>
      <c r="U264" s="90"/>
      <c r="V264" s="90" t="s">
        <v>1264</v>
      </c>
      <c r="W264" s="90">
        <v>1373</v>
      </c>
      <c r="X264" s="90">
        <v>48</v>
      </c>
      <c r="Y264" s="90" t="s">
        <v>1533</v>
      </c>
      <c r="Z264" s="90" t="s">
        <v>1313</v>
      </c>
      <c r="AA264" s="90">
        <v>0.2</v>
      </c>
      <c r="AB264" s="90" t="s">
        <v>1539</v>
      </c>
      <c r="AC264" s="90">
        <v>3.3</v>
      </c>
      <c r="AD264" s="90">
        <v>1.1499999999999999</v>
      </c>
      <c r="AE264" s="90">
        <v>0.23799999999999999</v>
      </c>
      <c r="AF264" s="90">
        <v>5</v>
      </c>
      <c r="AG264" s="90" t="s">
        <v>1592</v>
      </c>
      <c r="AH264" s="90"/>
      <c r="AI264" s="90" t="s">
        <v>1552</v>
      </c>
      <c r="AJ264" s="90">
        <v>350</v>
      </c>
      <c r="AK264" s="90">
        <v>400</v>
      </c>
      <c r="AL264" s="90">
        <v>560</v>
      </c>
    </row>
    <row r="265" spans="1:38" ht="15" thickBot="1" x14ac:dyDescent="0.35">
      <c r="A265" s="118" t="s">
        <v>1618</v>
      </c>
      <c r="B265" s="114" t="s">
        <v>2894</v>
      </c>
      <c r="C265" s="114" t="s">
        <v>2895</v>
      </c>
      <c r="D265" s="90"/>
      <c r="E265" s="120"/>
      <c r="F265" s="90" t="s">
        <v>1583</v>
      </c>
      <c r="G265" s="90"/>
      <c r="H265" s="90"/>
      <c r="I265" s="90" t="s">
        <v>1558</v>
      </c>
      <c r="J265" s="90"/>
      <c r="K265" s="90"/>
      <c r="L265" s="90" t="s">
        <v>1531</v>
      </c>
      <c r="M265" s="90"/>
      <c r="N265" s="90">
        <v>0.46</v>
      </c>
      <c r="O265" s="90"/>
      <c r="P265" s="90"/>
      <c r="Q265" s="90">
        <v>0.39900000000000002</v>
      </c>
      <c r="R265" s="90"/>
      <c r="S265" s="90"/>
      <c r="T265" s="90">
        <v>0.14099999999999999</v>
      </c>
      <c r="U265" s="90"/>
      <c r="V265" s="90" t="s">
        <v>1264</v>
      </c>
      <c r="W265" s="90">
        <v>1373</v>
      </c>
      <c r="X265" s="90">
        <v>48</v>
      </c>
      <c r="Y265" s="90" t="s">
        <v>1533</v>
      </c>
      <c r="Z265" s="90" t="s">
        <v>1313</v>
      </c>
      <c r="AA265" s="90">
        <v>0.3</v>
      </c>
      <c r="AB265" s="90" t="s">
        <v>1539</v>
      </c>
      <c r="AC265" s="90">
        <v>3.3</v>
      </c>
      <c r="AD265" s="90">
        <v>1.1499999999999999</v>
      </c>
      <c r="AE265" s="90">
        <v>0.23799999999999999</v>
      </c>
      <c r="AF265" s="90">
        <v>5</v>
      </c>
      <c r="AG265" s="90" t="s">
        <v>1592</v>
      </c>
      <c r="AH265" s="90"/>
      <c r="AI265" s="90" t="s">
        <v>1552</v>
      </c>
      <c r="AJ265" s="90">
        <v>350</v>
      </c>
      <c r="AK265" s="90">
        <v>400</v>
      </c>
      <c r="AL265" s="90">
        <v>929</v>
      </c>
    </row>
    <row r="266" spans="1:38" ht="15" thickBot="1" x14ac:dyDescent="0.35">
      <c r="A266" s="118" t="s">
        <v>1618</v>
      </c>
      <c r="B266" s="114" t="s">
        <v>2894</v>
      </c>
      <c r="C266" s="114" t="s">
        <v>2895</v>
      </c>
      <c r="D266" s="90"/>
      <c r="E266" s="120"/>
      <c r="F266" s="90" t="s">
        <v>1583</v>
      </c>
      <c r="G266" s="90"/>
      <c r="H266" s="90"/>
      <c r="I266" s="90" t="s">
        <v>1558</v>
      </c>
      <c r="J266" s="90"/>
      <c r="K266" s="90"/>
      <c r="L266" s="90" t="s">
        <v>1531</v>
      </c>
      <c r="M266" s="90"/>
      <c r="N266" s="90">
        <v>0.46</v>
      </c>
      <c r="O266" s="90"/>
      <c r="P266" s="90"/>
      <c r="Q266" s="90">
        <v>0.39900000000000002</v>
      </c>
      <c r="R266" s="90"/>
      <c r="S266" s="90"/>
      <c r="T266" s="90">
        <v>0.14099999999999999</v>
      </c>
      <c r="U266" s="90"/>
      <c r="V266" s="90" t="s">
        <v>1264</v>
      </c>
      <c r="W266" s="90">
        <v>1373</v>
      </c>
      <c r="X266" s="90">
        <v>48</v>
      </c>
      <c r="Y266" s="90" t="s">
        <v>1533</v>
      </c>
      <c r="Z266" s="90" t="s">
        <v>1313</v>
      </c>
      <c r="AA266" s="90">
        <v>0.4</v>
      </c>
      <c r="AB266" s="90" t="s">
        <v>1539</v>
      </c>
      <c r="AC266" s="90">
        <v>3.3</v>
      </c>
      <c r="AD266" s="90">
        <v>1.1499999999999999</v>
      </c>
      <c r="AE266" s="90">
        <v>0.23799999999999999</v>
      </c>
      <c r="AF266" s="90">
        <v>5</v>
      </c>
      <c r="AG266" s="90" t="s">
        <v>1592</v>
      </c>
      <c r="AH266" s="90"/>
      <c r="AI266" s="90" t="s">
        <v>1552</v>
      </c>
      <c r="AJ266" s="90">
        <v>350</v>
      </c>
      <c r="AK266" s="90">
        <v>400</v>
      </c>
      <c r="AL266" s="90">
        <v>785</v>
      </c>
    </row>
    <row r="267" spans="1:38" ht="15" thickBot="1" x14ac:dyDescent="0.35">
      <c r="A267" s="118" t="s">
        <v>1618</v>
      </c>
      <c r="B267" s="114" t="s">
        <v>2894</v>
      </c>
      <c r="C267" s="114" t="s">
        <v>2895</v>
      </c>
      <c r="D267" s="90"/>
      <c r="E267" s="120"/>
      <c r="F267" s="90" t="s">
        <v>1583</v>
      </c>
      <c r="G267" s="90"/>
      <c r="H267" s="90"/>
      <c r="I267" s="90" t="s">
        <v>1558</v>
      </c>
      <c r="J267" s="90"/>
      <c r="K267" s="90"/>
      <c r="L267" s="90" t="s">
        <v>1531</v>
      </c>
      <c r="M267" s="90"/>
      <c r="N267" s="90">
        <v>0.46</v>
      </c>
      <c r="O267" s="90"/>
      <c r="P267" s="90"/>
      <c r="Q267" s="90">
        <v>0.39900000000000002</v>
      </c>
      <c r="R267" s="90"/>
      <c r="S267" s="90"/>
      <c r="T267" s="90">
        <v>0.14099999999999999</v>
      </c>
      <c r="U267" s="90"/>
      <c r="V267" s="90" t="s">
        <v>1264</v>
      </c>
      <c r="W267" s="90">
        <v>1373</v>
      </c>
      <c r="X267" s="90">
        <v>48</v>
      </c>
      <c r="Y267" s="90" t="s">
        <v>1533</v>
      </c>
      <c r="Z267" s="90" t="s">
        <v>1313</v>
      </c>
      <c r="AA267" s="90">
        <v>0.5</v>
      </c>
      <c r="AB267" s="90" t="s">
        <v>1539</v>
      </c>
      <c r="AC267" s="90">
        <v>3.3</v>
      </c>
      <c r="AD267" s="90">
        <v>1.1499999999999999</v>
      </c>
      <c r="AE267" s="90">
        <v>0.23799999999999999</v>
      </c>
      <c r="AF267" s="90">
        <v>5</v>
      </c>
      <c r="AG267" s="90" t="s">
        <v>1592</v>
      </c>
      <c r="AH267" s="90"/>
      <c r="AI267" s="90" t="s">
        <v>1552</v>
      </c>
      <c r="AJ267" s="90">
        <v>350</v>
      </c>
      <c r="AK267" s="90">
        <v>400</v>
      </c>
      <c r="AL267" s="90">
        <v>663</v>
      </c>
    </row>
    <row r="268" spans="1:38" ht="15" thickBot="1" x14ac:dyDescent="0.35">
      <c r="A268" s="118" t="s">
        <v>1619</v>
      </c>
      <c r="B268" s="114" t="s">
        <v>2900</v>
      </c>
      <c r="C268" s="114" t="s">
        <v>1376</v>
      </c>
      <c r="D268" s="120"/>
      <c r="E268" s="120"/>
      <c r="F268" s="90" t="s">
        <v>1529</v>
      </c>
      <c r="G268" s="90"/>
      <c r="H268" s="90"/>
      <c r="I268" s="90" t="s">
        <v>1530</v>
      </c>
      <c r="J268" s="90"/>
      <c r="K268" s="90"/>
      <c r="L268" s="90" t="s">
        <v>1531</v>
      </c>
      <c r="M268" s="90"/>
      <c r="N268" s="90">
        <v>0.48</v>
      </c>
      <c r="O268" s="90"/>
      <c r="P268" s="90"/>
      <c r="Q268" s="90">
        <v>0.26</v>
      </c>
      <c r="R268" s="90"/>
      <c r="S268" s="90"/>
      <c r="T268" s="90">
        <v>0.26</v>
      </c>
      <c r="U268" s="90"/>
      <c r="V268" s="90" t="s">
        <v>1264</v>
      </c>
      <c r="W268" s="90">
        <v>973</v>
      </c>
      <c r="X268" s="90">
        <v>4</v>
      </c>
      <c r="Y268" s="90" t="s">
        <v>1533</v>
      </c>
      <c r="Z268" s="90" t="s">
        <v>863</v>
      </c>
      <c r="AA268" s="90">
        <v>0.5</v>
      </c>
      <c r="AB268" s="90" t="s">
        <v>518</v>
      </c>
      <c r="AC268" s="90">
        <v>3.16</v>
      </c>
      <c r="AD268" s="90">
        <v>10</v>
      </c>
      <c r="AE268" s="90">
        <v>1</v>
      </c>
      <c r="AF268" s="90">
        <v>0</v>
      </c>
      <c r="AG268" s="90"/>
      <c r="AH268" s="90"/>
      <c r="AI268" s="90" t="s">
        <v>1552</v>
      </c>
      <c r="AJ268" s="90">
        <v>176</v>
      </c>
      <c r="AK268" s="90">
        <v>254</v>
      </c>
      <c r="AL268" s="90">
        <v>80</v>
      </c>
    </row>
    <row r="269" spans="1:38" ht="15" thickBot="1" x14ac:dyDescent="0.35">
      <c r="A269" s="118" t="s">
        <v>1619</v>
      </c>
      <c r="B269" s="114" t="s">
        <v>2900</v>
      </c>
      <c r="C269" s="114" t="s">
        <v>1376</v>
      </c>
      <c r="D269" s="120"/>
      <c r="E269" s="120"/>
      <c r="F269" s="90" t="s">
        <v>1529</v>
      </c>
      <c r="G269" s="90"/>
      <c r="H269" s="90"/>
      <c r="I269" s="90" t="s">
        <v>1530</v>
      </c>
      <c r="J269" s="90"/>
      <c r="K269" s="90"/>
      <c r="L269" s="90" t="s">
        <v>1531</v>
      </c>
      <c r="M269" s="90"/>
      <c r="N269" s="90">
        <v>0.48</v>
      </c>
      <c r="O269" s="90"/>
      <c r="P269" s="90"/>
      <c r="Q269" s="90">
        <v>0.26</v>
      </c>
      <c r="R269" s="90"/>
      <c r="S269" s="90"/>
      <c r="T269" s="90">
        <v>0.26</v>
      </c>
      <c r="U269" s="90"/>
      <c r="V269" s="90" t="s">
        <v>1264</v>
      </c>
      <c r="W269" s="90">
        <v>973</v>
      </c>
      <c r="X269" s="90">
        <v>4</v>
      </c>
      <c r="Y269" s="90" t="s">
        <v>1533</v>
      </c>
      <c r="Z269" s="90" t="s">
        <v>863</v>
      </c>
      <c r="AA269" s="90">
        <v>0.5</v>
      </c>
      <c r="AB269" s="90" t="s">
        <v>518</v>
      </c>
      <c r="AC269" s="90">
        <v>3.16</v>
      </c>
      <c r="AD269" s="90">
        <v>10</v>
      </c>
      <c r="AE269" s="90">
        <v>1</v>
      </c>
      <c r="AF269" s="90">
        <v>20</v>
      </c>
      <c r="AG269" s="90"/>
      <c r="AH269" s="90"/>
      <c r="AI269" s="90" t="s">
        <v>1552</v>
      </c>
      <c r="AJ269" s="90">
        <v>176</v>
      </c>
      <c r="AK269" s="90">
        <v>254</v>
      </c>
      <c r="AL269" s="90">
        <v>212</v>
      </c>
    </row>
    <row r="270" spans="1:38" ht="15" thickBot="1" x14ac:dyDescent="0.35">
      <c r="A270" s="118" t="s">
        <v>1619</v>
      </c>
      <c r="B270" s="114" t="s">
        <v>2900</v>
      </c>
      <c r="C270" s="114" t="s">
        <v>1376</v>
      </c>
      <c r="D270" s="120"/>
      <c r="E270" s="120"/>
      <c r="F270" s="90" t="s">
        <v>1529</v>
      </c>
      <c r="G270" s="90"/>
      <c r="H270" s="90"/>
      <c r="I270" s="90" t="s">
        <v>1530</v>
      </c>
      <c r="J270" s="90"/>
      <c r="K270" s="90"/>
      <c r="L270" s="90" t="s">
        <v>1531</v>
      </c>
      <c r="M270" s="90"/>
      <c r="N270" s="90">
        <v>0.48</v>
      </c>
      <c r="O270" s="90"/>
      <c r="P270" s="90"/>
      <c r="Q270" s="90">
        <v>0.26</v>
      </c>
      <c r="R270" s="90"/>
      <c r="S270" s="90"/>
      <c r="T270" s="90">
        <v>0.26</v>
      </c>
      <c r="U270" s="90"/>
      <c r="V270" s="90" t="s">
        <v>1264</v>
      </c>
      <c r="W270" s="90">
        <v>973</v>
      </c>
      <c r="X270" s="90">
        <v>4</v>
      </c>
      <c r="Y270" s="90" t="s">
        <v>1533</v>
      </c>
      <c r="Z270" s="90" t="s">
        <v>863</v>
      </c>
      <c r="AA270" s="90">
        <v>0.5</v>
      </c>
      <c r="AB270" s="90" t="s">
        <v>518</v>
      </c>
      <c r="AC270" s="90">
        <v>3.16</v>
      </c>
      <c r="AD270" s="90">
        <v>10</v>
      </c>
      <c r="AE270" s="90">
        <v>1</v>
      </c>
      <c r="AF270" s="90">
        <v>40</v>
      </c>
      <c r="AG270" s="90"/>
      <c r="AH270" s="90"/>
      <c r="AI270" s="90" t="s">
        <v>1552</v>
      </c>
      <c r="AJ270" s="90">
        <v>176</v>
      </c>
      <c r="AK270" s="90">
        <v>254</v>
      </c>
      <c r="AL270" s="90">
        <v>226</v>
      </c>
    </row>
    <row r="271" spans="1:38" ht="15" thickBot="1" x14ac:dyDescent="0.35">
      <c r="A271" s="118" t="s">
        <v>1619</v>
      </c>
      <c r="B271" s="114" t="s">
        <v>2900</v>
      </c>
      <c r="C271" s="114" t="s">
        <v>1376</v>
      </c>
      <c r="D271" s="120"/>
      <c r="E271" s="120"/>
      <c r="F271" s="90" t="s">
        <v>1529</v>
      </c>
      <c r="G271" s="90"/>
      <c r="H271" s="90"/>
      <c r="I271" s="90" t="s">
        <v>1530</v>
      </c>
      <c r="J271" s="90"/>
      <c r="K271" s="90"/>
      <c r="L271" s="90" t="s">
        <v>1531</v>
      </c>
      <c r="M271" s="90"/>
      <c r="N271" s="90">
        <v>0.48</v>
      </c>
      <c r="O271" s="90"/>
      <c r="P271" s="90"/>
      <c r="Q271" s="90">
        <v>0.26</v>
      </c>
      <c r="R271" s="90"/>
      <c r="S271" s="90"/>
      <c r="T271" s="90">
        <v>0.26</v>
      </c>
      <c r="U271" s="90"/>
      <c r="V271" s="90" t="s">
        <v>1336</v>
      </c>
      <c r="W271" s="90">
        <v>973</v>
      </c>
      <c r="X271" s="90">
        <v>4</v>
      </c>
      <c r="Y271" s="90" t="s">
        <v>1533</v>
      </c>
      <c r="Z271" s="90" t="s">
        <v>863</v>
      </c>
      <c r="AA271" s="90">
        <v>0.5</v>
      </c>
      <c r="AB271" s="90" t="s">
        <v>518</v>
      </c>
      <c r="AC271" s="90">
        <v>3.16</v>
      </c>
      <c r="AD271" s="90">
        <v>10</v>
      </c>
      <c r="AE271" s="90">
        <v>1</v>
      </c>
      <c r="AF271" s="90">
        <v>60</v>
      </c>
      <c r="AG271" s="90"/>
      <c r="AH271" s="90"/>
      <c r="AI271" s="90" t="s">
        <v>1552</v>
      </c>
      <c r="AJ271" s="90">
        <v>176</v>
      </c>
      <c r="AK271" s="90">
        <v>254</v>
      </c>
      <c r="AL271" s="90">
        <v>237</v>
      </c>
    </row>
    <row r="272" spans="1:38" ht="15" thickBot="1" x14ac:dyDescent="0.35">
      <c r="A272" s="118" t="s">
        <v>1619</v>
      </c>
      <c r="B272" s="114" t="s">
        <v>2900</v>
      </c>
      <c r="C272" s="114" t="s">
        <v>1376</v>
      </c>
      <c r="D272" s="120"/>
      <c r="E272" s="120"/>
      <c r="F272" s="90" t="s">
        <v>1529</v>
      </c>
      <c r="G272" s="90"/>
      <c r="H272" s="90"/>
      <c r="I272" s="90" t="s">
        <v>1530</v>
      </c>
      <c r="J272" s="90"/>
      <c r="K272" s="90"/>
      <c r="L272" s="90" t="s">
        <v>1531</v>
      </c>
      <c r="M272" s="90"/>
      <c r="N272" s="90">
        <v>0.48</v>
      </c>
      <c r="O272" s="90"/>
      <c r="P272" s="90"/>
      <c r="Q272" s="90">
        <v>0.26</v>
      </c>
      <c r="R272" s="90"/>
      <c r="S272" s="90"/>
      <c r="T272" s="90">
        <v>0.26</v>
      </c>
      <c r="U272" s="90"/>
      <c r="V272" s="90" t="s">
        <v>1336</v>
      </c>
      <c r="W272" s="90">
        <v>973</v>
      </c>
      <c r="X272" s="90">
        <v>4</v>
      </c>
      <c r="Y272" s="90" t="s">
        <v>1533</v>
      </c>
      <c r="Z272" s="90" t="s">
        <v>863</v>
      </c>
      <c r="AA272" s="90">
        <v>0.5</v>
      </c>
      <c r="AB272" s="90" t="s">
        <v>518</v>
      </c>
      <c r="AC272" s="90">
        <v>3.16</v>
      </c>
      <c r="AD272" s="90">
        <v>10</v>
      </c>
      <c r="AE272" s="90">
        <v>1</v>
      </c>
      <c r="AF272" s="90">
        <v>80</v>
      </c>
      <c r="AG272" s="90"/>
      <c r="AH272" s="90"/>
      <c r="AI272" s="90" t="s">
        <v>1552</v>
      </c>
      <c r="AJ272" s="90">
        <v>176</v>
      </c>
      <c r="AK272" s="90">
        <v>254</v>
      </c>
      <c r="AL272" s="90">
        <v>243</v>
      </c>
    </row>
    <row r="273" spans="1:38" ht="15" thickBot="1" x14ac:dyDescent="0.35">
      <c r="A273" s="118" t="s">
        <v>1619</v>
      </c>
      <c r="B273" s="114" t="s">
        <v>2900</v>
      </c>
      <c r="C273" s="114" t="s">
        <v>1376</v>
      </c>
      <c r="D273" s="120"/>
      <c r="E273" s="120"/>
      <c r="F273" s="90" t="s">
        <v>1529</v>
      </c>
      <c r="G273" s="90"/>
      <c r="H273" s="90"/>
      <c r="I273" s="90" t="s">
        <v>1530</v>
      </c>
      <c r="J273" s="90"/>
      <c r="K273" s="90"/>
      <c r="L273" s="90" t="s">
        <v>1531</v>
      </c>
      <c r="M273" s="90"/>
      <c r="N273" s="90">
        <v>0.48</v>
      </c>
      <c r="O273" s="90"/>
      <c r="P273" s="90"/>
      <c r="Q273" s="90">
        <v>0.26</v>
      </c>
      <c r="R273" s="90"/>
      <c r="S273" s="90"/>
      <c r="T273" s="90">
        <v>0.26</v>
      </c>
      <c r="U273" s="90"/>
      <c r="V273" s="90" t="s">
        <v>1336</v>
      </c>
      <c r="W273" s="90">
        <v>973</v>
      </c>
      <c r="X273" s="90">
        <v>4</v>
      </c>
      <c r="Y273" s="90" t="s">
        <v>1533</v>
      </c>
      <c r="Z273" s="90" t="s">
        <v>863</v>
      </c>
      <c r="AA273" s="90">
        <v>0.5</v>
      </c>
      <c r="AB273" s="90" t="s">
        <v>518</v>
      </c>
      <c r="AC273" s="90">
        <v>3.16</v>
      </c>
      <c r="AD273" s="90">
        <v>10</v>
      </c>
      <c r="AE273" s="90">
        <v>1</v>
      </c>
      <c r="AF273" s="90">
        <v>100</v>
      </c>
      <c r="AG273" s="90"/>
      <c r="AH273" s="90"/>
      <c r="AI273" s="90" t="s">
        <v>1552</v>
      </c>
      <c r="AJ273" s="90">
        <v>176</v>
      </c>
      <c r="AK273" s="90">
        <v>254</v>
      </c>
      <c r="AL273" s="90">
        <v>246</v>
      </c>
    </row>
    <row r="274" spans="1:38" ht="15" thickBot="1" x14ac:dyDescent="0.35">
      <c r="A274" s="118" t="s">
        <v>1619</v>
      </c>
      <c r="B274" s="114" t="s">
        <v>2900</v>
      </c>
      <c r="C274" s="114" t="s">
        <v>1376</v>
      </c>
      <c r="D274" s="120"/>
      <c r="E274" s="120"/>
      <c r="F274" s="90" t="s">
        <v>1529</v>
      </c>
      <c r="G274" s="90"/>
      <c r="H274" s="90"/>
      <c r="I274" s="90" t="s">
        <v>1530</v>
      </c>
      <c r="J274" s="90"/>
      <c r="K274" s="90"/>
      <c r="L274" s="90" t="s">
        <v>1531</v>
      </c>
      <c r="M274" s="90"/>
      <c r="N274" s="90">
        <v>0.48</v>
      </c>
      <c r="O274" s="90"/>
      <c r="P274" s="90"/>
      <c r="Q274" s="90">
        <v>0.26</v>
      </c>
      <c r="R274" s="90"/>
      <c r="S274" s="90"/>
      <c r="T274" s="90">
        <v>0.26</v>
      </c>
      <c r="U274" s="90"/>
      <c r="V274" s="90" t="s">
        <v>1336</v>
      </c>
      <c r="W274" s="90">
        <v>973</v>
      </c>
      <c r="X274" s="90">
        <v>4</v>
      </c>
      <c r="Y274" s="90" t="s">
        <v>1533</v>
      </c>
      <c r="Z274" s="90" t="s">
        <v>863</v>
      </c>
      <c r="AA274" s="90">
        <v>0.5</v>
      </c>
      <c r="AB274" s="90" t="s">
        <v>518</v>
      </c>
      <c r="AC274" s="90">
        <v>3.16</v>
      </c>
      <c r="AD274" s="90">
        <v>10</v>
      </c>
      <c r="AE274" s="90">
        <v>1</v>
      </c>
      <c r="AF274" s="90">
        <v>50</v>
      </c>
      <c r="AG274" s="90"/>
      <c r="AH274" s="90"/>
      <c r="AI274" s="90" t="s">
        <v>1552</v>
      </c>
      <c r="AJ274" s="90">
        <v>176</v>
      </c>
      <c r="AK274" s="90">
        <v>254</v>
      </c>
      <c r="AL274" s="90">
        <v>453.87</v>
      </c>
    </row>
    <row r="275" spans="1:38" ht="15" thickBot="1" x14ac:dyDescent="0.35">
      <c r="A275" s="118" t="s">
        <v>1620</v>
      </c>
      <c r="B275" s="114" t="s">
        <v>2901</v>
      </c>
      <c r="C275" s="114" t="s">
        <v>2902</v>
      </c>
      <c r="D275" s="120"/>
      <c r="E275" s="120"/>
      <c r="F275" s="90" t="s">
        <v>1578</v>
      </c>
      <c r="G275" s="90"/>
      <c r="H275" s="90"/>
      <c r="I275" s="90" t="s">
        <v>1068</v>
      </c>
      <c r="J275" s="90"/>
      <c r="K275" s="90"/>
      <c r="L275" s="90" t="s">
        <v>1531</v>
      </c>
      <c r="M275" s="90"/>
      <c r="N275" s="90">
        <v>0.14000000000000001</v>
      </c>
      <c r="O275" s="90"/>
      <c r="P275" s="90"/>
      <c r="Q275" s="90">
        <v>0.56999999999999995</v>
      </c>
      <c r="R275" s="90"/>
      <c r="S275" s="90"/>
      <c r="T275" s="90">
        <v>0.28999999999999998</v>
      </c>
      <c r="U275" s="90"/>
      <c r="V275" s="90" t="s">
        <v>1336</v>
      </c>
      <c r="W275" s="90">
        <v>1173</v>
      </c>
      <c r="X275" s="90">
        <v>10</v>
      </c>
      <c r="Y275" s="90" t="s">
        <v>1268</v>
      </c>
      <c r="Z275" s="90" t="s">
        <v>863</v>
      </c>
      <c r="AA275" s="90">
        <v>0.5</v>
      </c>
      <c r="AB275" s="90" t="s">
        <v>1142</v>
      </c>
      <c r="AC275" s="90">
        <v>3.4</v>
      </c>
      <c r="AD275" s="90">
        <v>1.7</v>
      </c>
      <c r="AE275" s="90">
        <v>0.27</v>
      </c>
      <c r="AF275" s="90">
        <v>13.5</v>
      </c>
      <c r="AG275" s="90"/>
      <c r="AH275" s="90"/>
      <c r="AI275" s="90" t="s">
        <v>1552</v>
      </c>
      <c r="AJ275" s="90">
        <v>400</v>
      </c>
      <c r="AK275" s="90">
        <v>365</v>
      </c>
      <c r="AL275" s="90">
        <v>9133.33</v>
      </c>
    </row>
    <row r="276" spans="1:38" ht="15" thickBot="1" x14ac:dyDescent="0.35">
      <c r="A276" s="118" t="s">
        <v>1620</v>
      </c>
      <c r="B276" s="114" t="s">
        <v>2901</v>
      </c>
      <c r="C276" s="114" t="s">
        <v>2902</v>
      </c>
      <c r="D276" s="120"/>
      <c r="E276" s="120"/>
      <c r="F276" s="90" t="s">
        <v>1578</v>
      </c>
      <c r="G276" s="90"/>
      <c r="H276" s="90"/>
      <c r="I276" s="90" t="s">
        <v>1068</v>
      </c>
      <c r="J276" s="90"/>
      <c r="K276" s="90"/>
      <c r="L276" s="90" t="s">
        <v>1531</v>
      </c>
      <c r="M276" s="90"/>
      <c r="N276" s="90">
        <v>0.14000000000000001</v>
      </c>
      <c r="O276" s="90"/>
      <c r="P276" s="90"/>
      <c r="Q276" s="90">
        <v>0.56999999999999995</v>
      </c>
      <c r="R276" s="90"/>
      <c r="S276" s="90"/>
      <c r="T276" s="90">
        <v>0.28999999999999998</v>
      </c>
      <c r="U276" s="90"/>
      <c r="V276" s="90" t="s">
        <v>1336</v>
      </c>
      <c r="W276" s="90"/>
      <c r="X276" s="90"/>
      <c r="Y276" s="90" t="s">
        <v>1268</v>
      </c>
      <c r="Z276" s="90" t="s">
        <v>863</v>
      </c>
      <c r="AA276" s="90">
        <v>0.5</v>
      </c>
      <c r="AB276" s="90" t="s">
        <v>1142</v>
      </c>
      <c r="AC276" s="90">
        <v>3.4</v>
      </c>
      <c r="AD276" s="90">
        <v>2</v>
      </c>
      <c r="AE276" s="90">
        <v>0.27</v>
      </c>
      <c r="AF276" s="90">
        <v>13.5</v>
      </c>
      <c r="AG276" s="90"/>
      <c r="AH276" s="90"/>
      <c r="AI276" s="90" t="s">
        <v>1552</v>
      </c>
      <c r="AJ276" s="90">
        <v>400</v>
      </c>
      <c r="AK276" s="90">
        <v>365</v>
      </c>
      <c r="AL276" s="90">
        <v>9150</v>
      </c>
    </row>
    <row r="277" spans="1:38" ht="15" thickBot="1" x14ac:dyDescent="0.35">
      <c r="A277" s="118" t="s">
        <v>1620</v>
      </c>
      <c r="B277" s="114" t="s">
        <v>2901</v>
      </c>
      <c r="C277" s="114" t="s">
        <v>2902</v>
      </c>
      <c r="D277" s="120"/>
      <c r="E277" s="120"/>
      <c r="F277" s="90" t="s">
        <v>1578</v>
      </c>
      <c r="G277" s="90"/>
      <c r="H277" s="90"/>
      <c r="I277" s="90" t="s">
        <v>1068</v>
      </c>
      <c r="J277" s="90"/>
      <c r="K277" s="90"/>
      <c r="L277" s="90" t="s">
        <v>1531</v>
      </c>
      <c r="M277" s="90"/>
      <c r="N277" s="90">
        <v>0.14000000000000001</v>
      </c>
      <c r="O277" s="90"/>
      <c r="P277" s="90"/>
      <c r="Q277" s="90">
        <v>0.56999999999999995</v>
      </c>
      <c r="R277" s="90"/>
      <c r="S277" s="90"/>
      <c r="T277" s="90">
        <v>0.28999999999999998</v>
      </c>
      <c r="U277" s="90"/>
      <c r="V277" s="90" t="s">
        <v>1336</v>
      </c>
      <c r="W277" s="90">
        <v>873</v>
      </c>
      <c r="X277" s="90">
        <v>1</v>
      </c>
      <c r="Y277" s="90" t="s">
        <v>1268</v>
      </c>
      <c r="Z277" s="90" t="s">
        <v>863</v>
      </c>
      <c r="AA277" s="90">
        <v>0.5</v>
      </c>
      <c r="AB277" s="90" t="s">
        <v>1142</v>
      </c>
      <c r="AC277" s="90">
        <v>3.3</v>
      </c>
      <c r="AD277" s="90">
        <v>37.799999999999997</v>
      </c>
      <c r="AE277" s="90">
        <v>0.27</v>
      </c>
      <c r="AF277" s="90">
        <v>13.5</v>
      </c>
      <c r="AG277" s="90"/>
      <c r="AH277" s="90"/>
      <c r="AI277" s="90" t="s">
        <v>1552</v>
      </c>
      <c r="AJ277" s="90">
        <v>400</v>
      </c>
      <c r="AK277" s="90">
        <v>365</v>
      </c>
      <c r="AL277" s="90">
        <v>10466</v>
      </c>
    </row>
    <row r="278" spans="1:38" ht="15" thickBot="1" x14ac:dyDescent="0.35">
      <c r="A278" s="118" t="s">
        <v>1620</v>
      </c>
      <c r="B278" s="114" t="s">
        <v>2901</v>
      </c>
      <c r="C278" s="114" t="s">
        <v>2902</v>
      </c>
      <c r="D278" s="120"/>
      <c r="E278" s="120"/>
      <c r="F278" s="90" t="s">
        <v>1578</v>
      </c>
      <c r="G278" s="90"/>
      <c r="H278" s="90"/>
      <c r="I278" s="90" t="s">
        <v>1068</v>
      </c>
      <c r="J278" s="90"/>
      <c r="K278" s="90"/>
      <c r="L278" s="90" t="s">
        <v>1531</v>
      </c>
      <c r="M278" s="90"/>
      <c r="N278" s="90">
        <v>0.14000000000000001</v>
      </c>
      <c r="O278" s="90"/>
      <c r="P278" s="90"/>
      <c r="Q278" s="90">
        <v>0.56999999999999995</v>
      </c>
      <c r="R278" s="90"/>
      <c r="S278" s="90"/>
      <c r="T278" s="90">
        <v>0.28999999999999998</v>
      </c>
      <c r="U278" s="90"/>
      <c r="V278" s="90" t="s">
        <v>1264</v>
      </c>
      <c r="W278" s="90">
        <v>1173</v>
      </c>
      <c r="X278" s="90">
        <v>5</v>
      </c>
      <c r="Y278" s="90" t="s">
        <v>1268</v>
      </c>
      <c r="Z278" s="90" t="s">
        <v>863</v>
      </c>
      <c r="AA278" s="90">
        <v>0.5</v>
      </c>
      <c r="AB278" s="90" t="s">
        <v>1142</v>
      </c>
      <c r="AC278" s="90">
        <v>3.35</v>
      </c>
      <c r="AD278" s="90">
        <v>4.4000000000000004</v>
      </c>
      <c r="AE278" s="90">
        <v>0.27</v>
      </c>
      <c r="AF278" s="90">
        <v>13.5</v>
      </c>
      <c r="AG278" s="90"/>
      <c r="AH278" s="90"/>
      <c r="AI278" s="90" t="s">
        <v>1552</v>
      </c>
      <c r="AJ278" s="90">
        <v>400</v>
      </c>
      <c r="AK278" s="90">
        <v>365</v>
      </c>
      <c r="AL278" s="90">
        <v>10116</v>
      </c>
    </row>
    <row r="279" spans="1:38" ht="15" thickBot="1" x14ac:dyDescent="0.35">
      <c r="A279" s="118" t="s">
        <v>1620</v>
      </c>
      <c r="B279" s="114" t="s">
        <v>2901</v>
      </c>
      <c r="C279" s="114" t="s">
        <v>2902</v>
      </c>
      <c r="D279" s="120"/>
      <c r="E279" s="120"/>
      <c r="F279" s="90" t="s">
        <v>1578</v>
      </c>
      <c r="G279" s="90"/>
      <c r="H279" s="90"/>
      <c r="I279" s="90" t="s">
        <v>1068</v>
      </c>
      <c r="J279" s="90"/>
      <c r="K279" s="90"/>
      <c r="L279" s="90" t="s">
        <v>1531</v>
      </c>
      <c r="M279" s="90"/>
      <c r="N279" s="90">
        <v>0.14000000000000001</v>
      </c>
      <c r="O279" s="90"/>
      <c r="P279" s="90"/>
      <c r="Q279" s="90">
        <v>0.56999999999999995</v>
      </c>
      <c r="R279" s="90"/>
      <c r="S279" s="90"/>
      <c r="T279" s="90">
        <v>0.28999999999999998</v>
      </c>
      <c r="U279" s="90"/>
      <c r="V279" s="90" t="s">
        <v>1407</v>
      </c>
      <c r="W279" s="90">
        <v>1173</v>
      </c>
      <c r="X279" s="90">
        <v>10</v>
      </c>
      <c r="Y279" s="90" t="s">
        <v>1268</v>
      </c>
      <c r="Z279" s="90" t="s">
        <v>1313</v>
      </c>
      <c r="AA279" s="90">
        <v>1.25</v>
      </c>
      <c r="AB279" s="90" t="s">
        <v>1142</v>
      </c>
      <c r="AC279" s="90">
        <v>3.4</v>
      </c>
      <c r="AD279" s="90">
        <v>1.7</v>
      </c>
      <c r="AE279" s="90">
        <v>0.27</v>
      </c>
      <c r="AF279" s="90">
        <v>0</v>
      </c>
      <c r="AG279" s="90"/>
      <c r="AH279" s="90"/>
      <c r="AI279" s="90" t="s">
        <v>1552</v>
      </c>
      <c r="AJ279" s="90">
        <v>400</v>
      </c>
      <c r="AK279" s="90">
        <v>365</v>
      </c>
      <c r="AL279" s="90">
        <v>102</v>
      </c>
    </row>
    <row r="280" spans="1:38" ht="15" thickBot="1" x14ac:dyDescent="0.35">
      <c r="A280" s="118" t="s">
        <v>1620</v>
      </c>
      <c r="B280" s="114" t="s">
        <v>2901</v>
      </c>
      <c r="C280" s="114" t="s">
        <v>2902</v>
      </c>
      <c r="D280" s="120"/>
      <c r="E280" s="120"/>
      <c r="F280" s="90" t="s">
        <v>1578</v>
      </c>
      <c r="G280" s="90"/>
      <c r="H280" s="90"/>
      <c r="I280" s="90" t="s">
        <v>1068</v>
      </c>
      <c r="J280" s="90"/>
      <c r="K280" s="90"/>
      <c r="L280" s="90" t="s">
        <v>1531</v>
      </c>
      <c r="M280" s="90"/>
      <c r="N280" s="90">
        <v>0.14000000000000001</v>
      </c>
      <c r="O280" s="90"/>
      <c r="P280" s="90"/>
      <c r="Q280" s="90">
        <v>0.56999999999999995</v>
      </c>
      <c r="R280" s="90"/>
      <c r="S280" s="90"/>
      <c r="T280" s="90">
        <v>0.28999999999999998</v>
      </c>
      <c r="U280" s="90"/>
      <c r="V280" s="90" t="s">
        <v>1305</v>
      </c>
      <c r="W280" s="90"/>
      <c r="X280" s="90"/>
      <c r="Y280" s="90" t="s">
        <v>1268</v>
      </c>
      <c r="Z280" s="90" t="s">
        <v>1313</v>
      </c>
      <c r="AA280" s="90">
        <v>1.25</v>
      </c>
      <c r="AB280" s="90" t="s">
        <v>1142</v>
      </c>
      <c r="AC280" s="90">
        <v>3.4</v>
      </c>
      <c r="AD280" s="90">
        <v>2</v>
      </c>
      <c r="AE280" s="90">
        <v>0.27</v>
      </c>
      <c r="AF280" s="90">
        <v>0</v>
      </c>
      <c r="AG280" s="90"/>
      <c r="AH280" s="90"/>
      <c r="AI280" s="90" t="s">
        <v>1552</v>
      </c>
      <c r="AJ280" s="90">
        <v>400</v>
      </c>
      <c r="AK280" s="90">
        <v>365</v>
      </c>
      <c r="AL280" s="90">
        <v>82.83</v>
      </c>
    </row>
    <row r="281" spans="1:38" ht="15" thickBot="1" x14ac:dyDescent="0.35">
      <c r="A281" s="118" t="s">
        <v>1620</v>
      </c>
      <c r="B281" s="114" t="s">
        <v>2901</v>
      </c>
      <c r="C281" s="114" t="s">
        <v>2902</v>
      </c>
      <c r="D281" s="120"/>
      <c r="E281" s="120"/>
      <c r="F281" s="90" t="s">
        <v>1578</v>
      </c>
      <c r="G281" s="90"/>
      <c r="H281" s="90"/>
      <c r="I281" s="90" t="s">
        <v>1068</v>
      </c>
      <c r="J281" s="90"/>
      <c r="K281" s="90"/>
      <c r="L281" s="90" t="s">
        <v>1531</v>
      </c>
      <c r="M281" s="90"/>
      <c r="N281" s="90">
        <v>0.14000000000000001</v>
      </c>
      <c r="O281" s="90"/>
      <c r="P281" s="90"/>
      <c r="Q281" s="90">
        <v>0.56999999999999995</v>
      </c>
      <c r="R281" s="90"/>
      <c r="S281" s="90"/>
      <c r="T281" s="90">
        <v>0.28999999999999998</v>
      </c>
      <c r="U281" s="90"/>
      <c r="V281" s="90" t="s">
        <v>1305</v>
      </c>
      <c r="W281" s="90">
        <v>873</v>
      </c>
      <c r="X281" s="90">
        <v>1</v>
      </c>
      <c r="Y281" s="90" t="s">
        <v>1268</v>
      </c>
      <c r="Z281" s="90" t="s">
        <v>1313</v>
      </c>
      <c r="AA281" s="90">
        <v>1.25</v>
      </c>
      <c r="AB281" s="90" t="s">
        <v>1142</v>
      </c>
      <c r="AC281" s="90">
        <v>3.3</v>
      </c>
      <c r="AD281" s="90">
        <v>37.799999999999997</v>
      </c>
      <c r="AE281" s="90">
        <v>0.27</v>
      </c>
      <c r="AF281" s="90">
        <v>0</v>
      </c>
      <c r="AG281" s="90"/>
      <c r="AH281" s="90"/>
      <c r="AI281" s="90" t="s">
        <v>1552</v>
      </c>
      <c r="AJ281" s="90">
        <v>400</v>
      </c>
      <c r="AK281" s="90">
        <v>365</v>
      </c>
      <c r="AL281" s="90">
        <v>335</v>
      </c>
    </row>
    <row r="282" spans="1:38" ht="15" thickBot="1" x14ac:dyDescent="0.35">
      <c r="A282" s="118" t="s">
        <v>1620</v>
      </c>
      <c r="B282" s="114" t="s">
        <v>2901</v>
      </c>
      <c r="C282" s="114" t="s">
        <v>2902</v>
      </c>
      <c r="D282" s="120"/>
      <c r="E282" s="120"/>
      <c r="F282" s="90" t="s">
        <v>1578</v>
      </c>
      <c r="G282" s="90"/>
      <c r="H282" s="90"/>
      <c r="I282" s="90" t="s">
        <v>1068</v>
      </c>
      <c r="J282" s="90"/>
      <c r="K282" s="90"/>
      <c r="L282" s="90" t="s">
        <v>1531</v>
      </c>
      <c r="M282" s="90"/>
      <c r="N282" s="90">
        <v>0.14000000000000001</v>
      </c>
      <c r="O282" s="90"/>
      <c r="P282" s="90"/>
      <c r="Q282" s="90">
        <v>0.56999999999999995</v>
      </c>
      <c r="R282" s="90"/>
      <c r="S282" s="90"/>
      <c r="T282" s="90">
        <v>0.28999999999999998</v>
      </c>
      <c r="U282" s="90"/>
      <c r="V282" s="90" t="s">
        <v>1264</v>
      </c>
      <c r="W282" s="90">
        <v>1173</v>
      </c>
      <c r="X282" s="90">
        <v>5</v>
      </c>
      <c r="Y282" s="90" t="s">
        <v>1268</v>
      </c>
      <c r="Z282" s="90" t="s">
        <v>1313</v>
      </c>
      <c r="AA282" s="90">
        <v>1.25</v>
      </c>
      <c r="AB282" s="90" t="s">
        <v>1142</v>
      </c>
      <c r="AC282" s="90">
        <v>3.35</v>
      </c>
      <c r="AD282" s="90">
        <v>4.4000000000000004</v>
      </c>
      <c r="AE282" s="90">
        <v>0.27</v>
      </c>
      <c r="AF282" s="90">
        <v>0</v>
      </c>
      <c r="AG282" s="90"/>
      <c r="AH282" s="90"/>
      <c r="AI282" s="90" t="s">
        <v>1552</v>
      </c>
      <c r="AJ282" s="90">
        <v>400</v>
      </c>
      <c r="AK282" s="90">
        <v>365</v>
      </c>
      <c r="AL282" s="90">
        <v>78</v>
      </c>
    </row>
    <row r="283" spans="1:38" ht="15" thickBot="1" x14ac:dyDescent="0.35">
      <c r="A283" s="118" t="s">
        <v>1621</v>
      </c>
      <c r="B283" s="114" t="s">
        <v>2903</v>
      </c>
      <c r="C283" s="114" t="s">
        <v>1376</v>
      </c>
      <c r="D283" s="120"/>
      <c r="E283" s="120"/>
      <c r="F283" s="90" t="s">
        <v>1529</v>
      </c>
      <c r="G283" s="90"/>
      <c r="H283" s="90"/>
      <c r="I283" s="90" t="s">
        <v>1530</v>
      </c>
      <c r="J283" s="90"/>
      <c r="K283" s="90"/>
      <c r="L283" s="90" t="s">
        <v>1531</v>
      </c>
      <c r="M283" s="90"/>
      <c r="N283" s="90">
        <v>0.47799999999999998</v>
      </c>
      <c r="O283" s="90"/>
      <c r="P283" s="90"/>
      <c r="Q283" s="90">
        <v>0.26100000000000001</v>
      </c>
      <c r="R283" s="90"/>
      <c r="S283" s="90"/>
      <c r="T283" s="90">
        <v>0.26200000000000001</v>
      </c>
      <c r="U283" s="90"/>
      <c r="V283" s="90" t="s">
        <v>1264</v>
      </c>
      <c r="W283" s="90">
        <v>773</v>
      </c>
      <c r="X283" s="90">
        <v>5</v>
      </c>
      <c r="Y283" s="90" t="s">
        <v>1268</v>
      </c>
      <c r="Z283" s="90" t="s">
        <v>863</v>
      </c>
      <c r="AA283" s="90">
        <v>0.32</v>
      </c>
      <c r="AB283" s="90" t="s">
        <v>518</v>
      </c>
      <c r="AC283" s="90">
        <v>3.1</v>
      </c>
      <c r="AD283" s="90"/>
      <c r="AE283" s="90">
        <v>1</v>
      </c>
      <c r="AF283" s="90">
        <v>41.67</v>
      </c>
      <c r="AG283" s="90"/>
      <c r="AH283" s="90"/>
      <c r="AI283" s="90" t="s">
        <v>1552</v>
      </c>
      <c r="AJ283" s="90">
        <v>500</v>
      </c>
      <c r="AK283" s="90">
        <v>365</v>
      </c>
      <c r="AL283" s="90">
        <v>1948</v>
      </c>
    </row>
    <row r="284" spans="1:38" ht="15" thickBot="1" x14ac:dyDescent="0.35">
      <c r="A284" s="118" t="s">
        <v>1621</v>
      </c>
      <c r="B284" s="114" t="s">
        <v>2903</v>
      </c>
      <c r="C284" s="114" t="s">
        <v>1376</v>
      </c>
      <c r="D284" s="120"/>
      <c r="E284" s="120"/>
      <c r="F284" s="90" t="s">
        <v>1529</v>
      </c>
      <c r="G284" s="90"/>
      <c r="H284" s="90"/>
      <c r="I284" s="90" t="s">
        <v>1530</v>
      </c>
      <c r="J284" s="90"/>
      <c r="K284" s="90"/>
      <c r="L284" s="90" t="s">
        <v>1531</v>
      </c>
      <c r="M284" s="90"/>
      <c r="N284" s="90">
        <v>0.47799999999999998</v>
      </c>
      <c r="O284" s="90"/>
      <c r="P284" s="90"/>
      <c r="Q284" s="90">
        <v>0.26100000000000001</v>
      </c>
      <c r="R284" s="90"/>
      <c r="S284" s="90"/>
      <c r="T284" s="90">
        <v>0.26200000000000001</v>
      </c>
      <c r="U284" s="90"/>
      <c r="V284" s="90" t="s">
        <v>1264</v>
      </c>
      <c r="W284" s="90">
        <v>873</v>
      </c>
      <c r="X284" s="90">
        <v>5</v>
      </c>
      <c r="Y284" s="90" t="s">
        <v>1268</v>
      </c>
      <c r="Z284" s="90" t="s">
        <v>863</v>
      </c>
      <c r="AA284" s="90">
        <v>0.32</v>
      </c>
      <c r="AB284" s="90" t="s">
        <v>518</v>
      </c>
      <c r="AC284" s="90">
        <v>3.1</v>
      </c>
      <c r="AD284" s="90"/>
      <c r="AE284" s="90">
        <v>1</v>
      </c>
      <c r="AF284" s="90">
        <v>41.67</v>
      </c>
      <c r="AG284" s="90"/>
      <c r="AH284" s="90"/>
      <c r="AI284" s="90" t="s">
        <v>1552</v>
      </c>
      <c r="AJ284" s="90">
        <v>500</v>
      </c>
      <c r="AK284" s="90">
        <v>365</v>
      </c>
      <c r="AL284" s="90">
        <v>3020</v>
      </c>
    </row>
    <row r="285" spans="1:38" ht="15" thickBot="1" x14ac:dyDescent="0.35">
      <c r="A285" s="118" t="s">
        <v>1621</v>
      </c>
      <c r="B285" s="114" t="s">
        <v>2903</v>
      </c>
      <c r="C285" s="114" t="s">
        <v>1376</v>
      </c>
      <c r="D285" s="120"/>
      <c r="E285" s="120"/>
      <c r="F285" s="90" t="s">
        <v>1529</v>
      </c>
      <c r="G285" s="90"/>
      <c r="H285" s="90"/>
      <c r="I285" s="90" t="s">
        <v>1530</v>
      </c>
      <c r="J285" s="90"/>
      <c r="K285" s="90"/>
      <c r="L285" s="90" t="s">
        <v>1531</v>
      </c>
      <c r="M285" s="90"/>
      <c r="N285" s="90">
        <v>0.47799999999999998</v>
      </c>
      <c r="O285" s="90"/>
      <c r="P285" s="90"/>
      <c r="Q285" s="90">
        <v>0.26100000000000001</v>
      </c>
      <c r="R285" s="90"/>
      <c r="S285" s="90"/>
      <c r="T285" s="90">
        <v>0.26200000000000001</v>
      </c>
      <c r="U285" s="90"/>
      <c r="V285" s="90" t="s">
        <v>1264</v>
      </c>
      <c r="W285" s="90">
        <v>973</v>
      </c>
      <c r="X285" s="90">
        <v>5</v>
      </c>
      <c r="Y285" s="90" t="s">
        <v>1268</v>
      </c>
      <c r="Z285" s="90" t="s">
        <v>863</v>
      </c>
      <c r="AA285" s="90">
        <v>0.32</v>
      </c>
      <c r="AB285" s="90" t="s">
        <v>518</v>
      </c>
      <c r="AC285" s="90">
        <v>3.1</v>
      </c>
      <c r="AD285" s="90"/>
      <c r="AE285" s="90">
        <v>1</v>
      </c>
      <c r="AF285" s="90">
        <v>41.67</v>
      </c>
      <c r="AG285" s="90"/>
      <c r="AH285" s="90"/>
      <c r="AI285" s="90" t="s">
        <v>1552</v>
      </c>
      <c r="AJ285" s="90">
        <v>500</v>
      </c>
      <c r="AK285" s="90">
        <v>365</v>
      </c>
      <c r="AL285" s="90">
        <v>2540</v>
      </c>
    </row>
    <row r="286" spans="1:38" ht="15" thickBot="1" x14ac:dyDescent="0.35">
      <c r="A286" s="118" t="s">
        <v>1621</v>
      </c>
      <c r="B286" s="114" t="s">
        <v>2903</v>
      </c>
      <c r="C286" s="114" t="s">
        <v>1376</v>
      </c>
      <c r="D286" s="120"/>
      <c r="E286" s="120"/>
      <c r="F286" s="90" t="s">
        <v>1529</v>
      </c>
      <c r="G286" s="90"/>
      <c r="H286" s="90"/>
      <c r="I286" s="90" t="s">
        <v>1530</v>
      </c>
      <c r="J286" s="90"/>
      <c r="K286" s="90"/>
      <c r="L286" s="90" t="s">
        <v>1531</v>
      </c>
      <c r="M286" s="90"/>
      <c r="N286" s="90">
        <v>0.47799999999999998</v>
      </c>
      <c r="O286" s="90"/>
      <c r="P286" s="90"/>
      <c r="Q286" s="90">
        <v>0.26100000000000001</v>
      </c>
      <c r="R286" s="90"/>
      <c r="S286" s="90"/>
      <c r="T286" s="90">
        <v>0.26200000000000001</v>
      </c>
      <c r="U286" s="90"/>
      <c r="V286" s="90" t="s">
        <v>1305</v>
      </c>
      <c r="W286" s="90">
        <v>1073</v>
      </c>
      <c r="X286" s="90">
        <v>5</v>
      </c>
      <c r="Y286" s="90" t="s">
        <v>1268</v>
      </c>
      <c r="Z286" s="90" t="s">
        <v>863</v>
      </c>
      <c r="AA286" s="90">
        <v>0.32</v>
      </c>
      <c r="AB286" s="90" t="s">
        <v>518</v>
      </c>
      <c r="AC286" s="90">
        <v>3.1</v>
      </c>
      <c r="AD286" s="90"/>
      <c r="AE286" s="90">
        <v>1</v>
      </c>
      <c r="AF286" s="90">
        <v>41.67</v>
      </c>
      <c r="AG286" s="90"/>
      <c r="AH286" s="90"/>
      <c r="AI286" s="90" t="s">
        <v>1552</v>
      </c>
      <c r="AJ286" s="90">
        <v>500</v>
      </c>
      <c r="AK286" s="90">
        <v>365</v>
      </c>
      <c r="AL286" s="90">
        <v>1686</v>
      </c>
    </row>
    <row r="287" spans="1:38" ht="15" thickBot="1" x14ac:dyDescent="0.35">
      <c r="A287" s="118" t="s">
        <v>1621</v>
      </c>
      <c r="B287" s="114" t="s">
        <v>2903</v>
      </c>
      <c r="C287" s="114" t="s">
        <v>1376</v>
      </c>
      <c r="D287" s="120"/>
      <c r="E287" s="120"/>
      <c r="F287" s="90" t="s">
        <v>1529</v>
      </c>
      <c r="G287" s="90"/>
      <c r="H287" s="90"/>
      <c r="I287" s="90" t="s">
        <v>1530</v>
      </c>
      <c r="J287" s="90"/>
      <c r="K287" s="90"/>
      <c r="L287" s="90" t="s">
        <v>1531</v>
      </c>
      <c r="M287" s="90"/>
      <c r="N287" s="90">
        <v>0.47799999999999998</v>
      </c>
      <c r="O287" s="90"/>
      <c r="P287" s="90"/>
      <c r="Q287" s="90">
        <v>0.26100000000000001</v>
      </c>
      <c r="R287" s="90"/>
      <c r="S287" s="90"/>
      <c r="T287" s="90">
        <v>0.26200000000000001</v>
      </c>
      <c r="U287" s="90"/>
      <c r="V287" s="90" t="s">
        <v>1305</v>
      </c>
      <c r="W287" s="90">
        <v>1273</v>
      </c>
      <c r="X287" s="90">
        <v>5</v>
      </c>
      <c r="Y287" s="90" t="s">
        <v>1268</v>
      </c>
      <c r="Z287" s="90" t="s">
        <v>863</v>
      </c>
      <c r="AA287" s="90">
        <v>0.32</v>
      </c>
      <c r="AB287" s="90" t="s">
        <v>518</v>
      </c>
      <c r="AC287" s="90">
        <v>3.1</v>
      </c>
      <c r="AD287" s="90"/>
      <c r="AE287" s="90">
        <v>1</v>
      </c>
      <c r="AF287" s="90">
        <v>41.67</v>
      </c>
      <c r="AG287" s="90"/>
      <c r="AH287" s="90"/>
      <c r="AI287" s="90" t="s">
        <v>1552</v>
      </c>
      <c r="AJ287" s="90">
        <v>500</v>
      </c>
      <c r="AK287" s="90">
        <v>365</v>
      </c>
      <c r="AL287" s="90">
        <v>580</v>
      </c>
    </row>
    <row r="288" spans="1:38" ht="15" thickBot="1" x14ac:dyDescent="0.35">
      <c r="A288" s="118" t="s">
        <v>1621</v>
      </c>
      <c r="B288" s="114" t="s">
        <v>2903</v>
      </c>
      <c r="C288" s="114" t="s">
        <v>1376</v>
      </c>
      <c r="D288" s="120"/>
      <c r="E288" s="120"/>
      <c r="F288" s="90" t="s">
        <v>1529</v>
      </c>
      <c r="G288" s="90"/>
      <c r="H288" s="90"/>
      <c r="I288" s="90" t="s">
        <v>1530</v>
      </c>
      <c r="J288" s="90"/>
      <c r="K288" s="90"/>
      <c r="L288" s="90" t="s">
        <v>1531</v>
      </c>
      <c r="M288" s="90"/>
      <c r="N288" s="90">
        <v>0.47799999999999998</v>
      </c>
      <c r="O288" s="90"/>
      <c r="P288" s="90"/>
      <c r="Q288" s="90">
        <v>0.26100000000000001</v>
      </c>
      <c r="R288" s="90"/>
      <c r="S288" s="90"/>
      <c r="T288" s="90">
        <v>0.26200000000000001</v>
      </c>
      <c r="U288" s="90"/>
      <c r="V288" s="90" t="s">
        <v>1305</v>
      </c>
      <c r="W288" s="90">
        <v>1073</v>
      </c>
      <c r="X288" s="90">
        <v>2</v>
      </c>
      <c r="Y288" s="90" t="s">
        <v>1268</v>
      </c>
      <c r="Z288" s="90" t="s">
        <v>863</v>
      </c>
      <c r="AA288" s="90">
        <v>0.32</v>
      </c>
      <c r="AB288" s="90" t="s">
        <v>518</v>
      </c>
      <c r="AC288" s="90">
        <v>2</v>
      </c>
      <c r="AD288" s="90"/>
      <c r="AE288" s="90">
        <v>1</v>
      </c>
      <c r="AF288" s="90">
        <v>41.67</v>
      </c>
      <c r="AG288" s="90"/>
      <c r="AH288" s="90"/>
      <c r="AI288" s="90" t="s">
        <v>1552</v>
      </c>
      <c r="AJ288" s="90">
        <v>500</v>
      </c>
      <c r="AK288" s="90">
        <v>365</v>
      </c>
      <c r="AL288" s="90">
        <v>16</v>
      </c>
    </row>
    <row r="289" spans="1:38" ht="15" thickBot="1" x14ac:dyDescent="0.35">
      <c r="A289" s="118" t="s">
        <v>1621</v>
      </c>
      <c r="B289" s="114" t="s">
        <v>2903</v>
      </c>
      <c r="C289" s="114" t="s">
        <v>1376</v>
      </c>
      <c r="D289" s="120"/>
      <c r="E289" s="120"/>
      <c r="F289" s="90" t="s">
        <v>1529</v>
      </c>
      <c r="G289" s="90"/>
      <c r="H289" s="90"/>
      <c r="I289" s="90" t="s">
        <v>1530</v>
      </c>
      <c r="J289" s="90"/>
      <c r="K289" s="90"/>
      <c r="L289" s="90" t="s">
        <v>1531</v>
      </c>
      <c r="M289" s="90"/>
      <c r="N289" s="90">
        <v>0.47799999999999998</v>
      </c>
      <c r="O289" s="90"/>
      <c r="P289" s="90"/>
      <c r="Q289" s="90">
        <v>0.26100000000000001</v>
      </c>
      <c r="R289" s="90"/>
      <c r="S289" s="90"/>
      <c r="T289" s="90">
        <v>0.26200000000000001</v>
      </c>
      <c r="U289" s="90"/>
      <c r="V289" s="90" t="s">
        <v>1305</v>
      </c>
      <c r="W289" s="90">
        <v>1073</v>
      </c>
      <c r="X289" s="90">
        <v>5</v>
      </c>
      <c r="Y289" s="90" t="s">
        <v>1268</v>
      </c>
      <c r="Z289" s="90" t="s">
        <v>863</v>
      </c>
      <c r="AA289" s="90">
        <v>0.32</v>
      </c>
      <c r="AB289" s="90" t="s">
        <v>518</v>
      </c>
      <c r="AC289" s="90">
        <v>3.1</v>
      </c>
      <c r="AD289" s="90"/>
      <c r="AE289" s="90">
        <v>1</v>
      </c>
      <c r="AF289" s="90">
        <v>41.67</v>
      </c>
      <c r="AG289" s="90"/>
      <c r="AH289" s="90"/>
      <c r="AI289" s="90" t="s">
        <v>1552</v>
      </c>
      <c r="AJ289" s="90">
        <v>500</v>
      </c>
      <c r="AK289" s="90">
        <v>365</v>
      </c>
      <c r="AL289" s="90">
        <v>988</v>
      </c>
    </row>
    <row r="290" spans="1:38" ht="15" thickBot="1" x14ac:dyDescent="0.35">
      <c r="A290" s="118" t="s">
        <v>1621</v>
      </c>
      <c r="B290" s="114" t="s">
        <v>2903</v>
      </c>
      <c r="C290" s="114" t="s">
        <v>1376</v>
      </c>
      <c r="D290" s="120"/>
      <c r="E290" s="120"/>
      <c r="F290" s="90" t="s">
        <v>1529</v>
      </c>
      <c r="G290" s="90"/>
      <c r="H290" s="90"/>
      <c r="I290" s="90" t="s">
        <v>1530</v>
      </c>
      <c r="J290" s="90"/>
      <c r="K290" s="90"/>
      <c r="L290" s="90" t="s">
        <v>1531</v>
      </c>
      <c r="M290" s="90"/>
      <c r="N290" s="90">
        <v>0.47799999999999998</v>
      </c>
      <c r="O290" s="90"/>
      <c r="P290" s="90"/>
      <c r="Q290" s="90">
        <v>0.26100000000000001</v>
      </c>
      <c r="R290" s="90"/>
      <c r="S290" s="90"/>
      <c r="T290" s="90">
        <v>0.26200000000000001</v>
      </c>
      <c r="U290" s="90"/>
      <c r="V290" s="90" t="s">
        <v>1305</v>
      </c>
      <c r="W290" s="90">
        <v>1273</v>
      </c>
      <c r="X290" s="90">
        <v>3</v>
      </c>
      <c r="Y290" s="90" t="s">
        <v>1268</v>
      </c>
      <c r="Z290" s="90" t="s">
        <v>863</v>
      </c>
      <c r="AA290" s="90">
        <v>0.32</v>
      </c>
      <c r="AB290" s="90" t="s">
        <v>518</v>
      </c>
      <c r="AC290" s="90">
        <v>3.1</v>
      </c>
      <c r="AD290" s="90"/>
      <c r="AE290" s="90">
        <v>1</v>
      </c>
      <c r="AF290" s="90">
        <v>41.67</v>
      </c>
      <c r="AG290" s="90"/>
      <c r="AH290" s="90"/>
      <c r="AI290" s="90" t="s">
        <v>1552</v>
      </c>
      <c r="AJ290" s="90">
        <v>500</v>
      </c>
      <c r="AK290" s="90">
        <v>365</v>
      </c>
      <c r="AL290" s="90">
        <v>1272</v>
      </c>
    </row>
    <row r="291" spans="1:38" ht="15" thickBot="1" x14ac:dyDescent="0.35">
      <c r="A291" s="118" t="s">
        <v>1621</v>
      </c>
      <c r="B291" s="114" t="s">
        <v>2903</v>
      </c>
      <c r="C291" s="114" t="s">
        <v>1376</v>
      </c>
      <c r="D291" s="120"/>
      <c r="E291" s="120"/>
      <c r="F291" s="90" t="s">
        <v>1529</v>
      </c>
      <c r="G291" s="90"/>
      <c r="H291" s="90"/>
      <c r="I291" s="90" t="s">
        <v>1530</v>
      </c>
      <c r="J291" s="90"/>
      <c r="K291" s="90"/>
      <c r="L291" s="90" t="s">
        <v>1531</v>
      </c>
      <c r="M291" s="90"/>
      <c r="N291" s="90">
        <v>0.47799999999999998</v>
      </c>
      <c r="O291" s="90"/>
      <c r="P291" s="90"/>
      <c r="Q291" s="90">
        <v>0.26100000000000001</v>
      </c>
      <c r="R291" s="90"/>
      <c r="S291" s="90"/>
      <c r="T291" s="90">
        <v>0.26200000000000001</v>
      </c>
      <c r="U291" s="90"/>
      <c r="V291" s="90" t="s">
        <v>1538</v>
      </c>
      <c r="W291" s="90">
        <v>1273</v>
      </c>
      <c r="X291" s="90">
        <v>3</v>
      </c>
      <c r="Y291" s="90" t="s">
        <v>1268</v>
      </c>
      <c r="Z291" s="90" t="s">
        <v>863</v>
      </c>
      <c r="AA291" s="90">
        <v>0.32</v>
      </c>
      <c r="AB291" s="90" t="s">
        <v>518</v>
      </c>
      <c r="AC291" s="90">
        <v>3.1</v>
      </c>
      <c r="AD291" s="90"/>
      <c r="AE291" s="90">
        <v>1</v>
      </c>
      <c r="AF291" s="90">
        <v>41.67</v>
      </c>
      <c r="AG291" s="90"/>
      <c r="AH291" s="90"/>
      <c r="AI291" s="90" t="s">
        <v>1552</v>
      </c>
      <c r="AJ291" s="90">
        <v>500</v>
      </c>
      <c r="AK291" s="90">
        <v>365</v>
      </c>
      <c r="AL291" s="90">
        <v>185</v>
      </c>
    </row>
    <row r="292" spans="1:38" ht="15" thickBot="1" x14ac:dyDescent="0.35">
      <c r="A292" s="118" t="s">
        <v>1622</v>
      </c>
      <c r="B292" s="114" t="s">
        <v>2904</v>
      </c>
      <c r="C292" s="114" t="s">
        <v>28</v>
      </c>
      <c r="D292" s="120"/>
      <c r="E292" s="120"/>
      <c r="F292" s="90" t="s">
        <v>1578</v>
      </c>
      <c r="G292" s="90"/>
      <c r="H292" s="90"/>
      <c r="I292" s="90" t="s">
        <v>1558</v>
      </c>
      <c r="J292" s="90"/>
      <c r="K292" s="90"/>
      <c r="L292" s="90" t="s">
        <v>1531</v>
      </c>
      <c r="M292" s="90"/>
      <c r="N292" s="90">
        <v>9.0999999999999998E-2</v>
      </c>
      <c r="O292" s="90"/>
      <c r="P292" s="90"/>
      <c r="Q292" s="90">
        <v>0.71799999999999997</v>
      </c>
      <c r="R292" s="90"/>
      <c r="S292" s="90"/>
      <c r="T292" s="90">
        <v>0.191</v>
      </c>
      <c r="U292" s="90"/>
      <c r="V292" s="90" t="s">
        <v>1264</v>
      </c>
      <c r="W292" s="90">
        <v>773</v>
      </c>
      <c r="X292" s="90">
        <v>3</v>
      </c>
      <c r="Y292" s="90"/>
      <c r="Z292" s="90"/>
      <c r="AA292" s="90"/>
      <c r="AB292" s="90" t="s">
        <v>1142</v>
      </c>
      <c r="AC292" s="90">
        <v>4.0999999999999996</v>
      </c>
      <c r="AD292" s="90">
        <v>0.6</v>
      </c>
      <c r="AE292" s="90">
        <v>1.1100000000000001</v>
      </c>
      <c r="AF292" s="90">
        <v>0</v>
      </c>
      <c r="AG292" s="90"/>
      <c r="AH292" s="90"/>
      <c r="AI292" s="90" t="s">
        <v>1552</v>
      </c>
      <c r="AJ292" s="90">
        <v>400</v>
      </c>
      <c r="AK292" s="90">
        <v>365</v>
      </c>
      <c r="AL292" s="90">
        <v>89.25</v>
      </c>
    </row>
    <row r="293" spans="1:38" ht="15" thickBot="1" x14ac:dyDescent="0.35">
      <c r="A293" s="118" t="s">
        <v>1622</v>
      </c>
      <c r="B293" s="114" t="s">
        <v>2904</v>
      </c>
      <c r="C293" s="114" t="s">
        <v>28</v>
      </c>
      <c r="D293" s="120"/>
      <c r="E293" s="120"/>
      <c r="F293" s="90" t="s">
        <v>1578</v>
      </c>
      <c r="G293" s="90"/>
      <c r="H293" s="90"/>
      <c r="I293" s="90" t="s">
        <v>1558</v>
      </c>
      <c r="J293" s="90"/>
      <c r="K293" s="90"/>
      <c r="L293" s="90" t="s">
        <v>1531</v>
      </c>
      <c r="M293" s="90"/>
      <c r="N293" s="90">
        <v>9.0999999999999998E-2</v>
      </c>
      <c r="O293" s="90"/>
      <c r="P293" s="90"/>
      <c r="Q293" s="90">
        <v>0.71799999999999997</v>
      </c>
      <c r="R293" s="90"/>
      <c r="S293" s="90"/>
      <c r="T293" s="90">
        <v>0.191</v>
      </c>
      <c r="U293" s="90"/>
      <c r="V293" s="90" t="s">
        <v>1264</v>
      </c>
      <c r="W293" s="90">
        <v>1473</v>
      </c>
      <c r="X293" s="90">
        <v>1</v>
      </c>
      <c r="Y293" s="90"/>
      <c r="Z293" s="90"/>
      <c r="AA293" s="90"/>
      <c r="AB293" s="90" t="s">
        <v>518</v>
      </c>
      <c r="AC293" s="90">
        <v>3.9</v>
      </c>
      <c r="AD293" s="90">
        <v>23</v>
      </c>
      <c r="AE293" s="90">
        <v>1.1100000000000001</v>
      </c>
      <c r="AF293" s="90">
        <v>0</v>
      </c>
      <c r="AG293" s="90"/>
      <c r="AH293" s="90"/>
      <c r="AI293" s="90" t="s">
        <v>1552</v>
      </c>
      <c r="AJ293" s="90">
        <v>400</v>
      </c>
      <c r="AK293" s="90">
        <v>365</v>
      </c>
      <c r="AL293" s="90">
        <v>2097.5</v>
      </c>
    </row>
    <row r="294" spans="1:38" ht="15" thickBot="1" x14ac:dyDescent="0.35">
      <c r="A294" s="118" t="s">
        <v>1623</v>
      </c>
      <c r="B294" s="114" t="s">
        <v>94</v>
      </c>
      <c r="C294" s="114" t="s">
        <v>34</v>
      </c>
      <c r="D294" s="120"/>
      <c r="E294" s="120"/>
      <c r="F294" s="90" t="s">
        <v>1529</v>
      </c>
      <c r="G294" s="90"/>
      <c r="H294" s="90"/>
      <c r="I294" s="90" t="s">
        <v>1530</v>
      </c>
      <c r="J294" s="90"/>
      <c r="K294" s="90"/>
      <c r="L294" s="90" t="s">
        <v>1531</v>
      </c>
      <c r="M294" s="90"/>
      <c r="N294" s="90">
        <v>0.55900000000000005</v>
      </c>
      <c r="O294" s="90"/>
      <c r="P294" s="90"/>
      <c r="Q294" s="90">
        <v>0.20300000000000001</v>
      </c>
      <c r="R294" s="90"/>
      <c r="S294" s="90"/>
      <c r="T294" s="90">
        <v>0.23799999999999999</v>
      </c>
      <c r="U294" s="90"/>
      <c r="V294" s="90" t="s">
        <v>1264</v>
      </c>
      <c r="W294" s="90">
        <v>1373</v>
      </c>
      <c r="X294" s="90">
        <v>30</v>
      </c>
      <c r="Y294" s="90" t="s">
        <v>1533</v>
      </c>
      <c r="Z294" s="90" t="s">
        <v>56</v>
      </c>
      <c r="AA294" s="90">
        <v>1</v>
      </c>
      <c r="AB294" s="90" t="s">
        <v>1539</v>
      </c>
      <c r="AC294" s="90">
        <v>3.2</v>
      </c>
      <c r="AD294" s="90">
        <v>8.1449999999999996</v>
      </c>
      <c r="AE294" s="90">
        <v>2.1</v>
      </c>
      <c r="AF294" s="90">
        <v>0</v>
      </c>
      <c r="AG294" s="90"/>
      <c r="AH294" s="90"/>
      <c r="AI294" s="90" t="s">
        <v>1552</v>
      </c>
      <c r="AJ294" s="90">
        <v>400</v>
      </c>
      <c r="AK294" s="90">
        <v>365</v>
      </c>
      <c r="AL294" s="90">
        <v>61.9</v>
      </c>
    </row>
    <row r="295" spans="1:38" ht="15" thickBot="1" x14ac:dyDescent="0.35">
      <c r="A295" s="118" t="s">
        <v>1623</v>
      </c>
      <c r="B295" s="114" t="s">
        <v>94</v>
      </c>
      <c r="C295" s="114" t="s">
        <v>34</v>
      </c>
      <c r="D295" s="120"/>
      <c r="E295" s="120"/>
      <c r="F295" s="90" t="s">
        <v>1529</v>
      </c>
      <c r="G295" s="90"/>
      <c r="H295" s="90"/>
      <c r="I295" s="90" t="s">
        <v>1530</v>
      </c>
      <c r="J295" s="90"/>
      <c r="K295" s="90"/>
      <c r="L295" s="90" t="s">
        <v>1531</v>
      </c>
      <c r="M295" s="90"/>
      <c r="N295" s="90">
        <v>0.55900000000000005</v>
      </c>
      <c r="O295" s="90"/>
      <c r="P295" s="90"/>
      <c r="Q295" s="90">
        <v>0.20300000000000001</v>
      </c>
      <c r="R295" s="90"/>
      <c r="S295" s="90"/>
      <c r="T295" s="90">
        <v>0.23799999999999999</v>
      </c>
      <c r="U295" s="90"/>
      <c r="V295" s="90" t="s">
        <v>1336</v>
      </c>
      <c r="W295" s="90">
        <v>1073</v>
      </c>
      <c r="X295" s="90">
        <v>2</v>
      </c>
      <c r="Y295" s="90" t="s">
        <v>1533</v>
      </c>
      <c r="Z295" s="90" t="s">
        <v>56</v>
      </c>
      <c r="AA295" s="90">
        <v>1</v>
      </c>
      <c r="AB295" s="90" t="s">
        <v>1539</v>
      </c>
      <c r="AC295" s="90">
        <v>3.2</v>
      </c>
      <c r="AD295" s="90">
        <v>3.49</v>
      </c>
      <c r="AE295" s="90">
        <v>2.1</v>
      </c>
      <c r="AF295" s="90">
        <v>0</v>
      </c>
      <c r="AG295" s="90"/>
      <c r="AH295" s="90"/>
      <c r="AI295" s="90" t="s">
        <v>1552</v>
      </c>
      <c r="AJ295" s="90">
        <v>400</v>
      </c>
      <c r="AK295" s="90">
        <v>365</v>
      </c>
      <c r="AL295" s="90">
        <v>82.5</v>
      </c>
    </row>
    <row r="296" spans="1:38" ht="15" thickBot="1" x14ac:dyDescent="0.35">
      <c r="A296" s="118" t="s">
        <v>1624</v>
      </c>
      <c r="B296" s="114" t="s">
        <v>2905</v>
      </c>
      <c r="C296" s="114" t="s">
        <v>2906</v>
      </c>
      <c r="D296" s="90"/>
      <c r="E296" s="120"/>
      <c r="F296" s="90" t="s">
        <v>1554</v>
      </c>
      <c r="G296" s="90"/>
      <c r="H296" s="90"/>
      <c r="I296" s="90" t="s">
        <v>964</v>
      </c>
      <c r="J296" s="90"/>
      <c r="K296" s="90"/>
      <c r="L296" s="90" t="s">
        <v>1548</v>
      </c>
      <c r="M296" s="90"/>
      <c r="N296" s="90">
        <v>0.16</v>
      </c>
      <c r="O296" s="90"/>
      <c r="P296" s="90"/>
      <c r="Q296" s="90">
        <v>0.44900000000000001</v>
      </c>
      <c r="R296" s="90"/>
      <c r="S296" s="90"/>
      <c r="T296" s="90">
        <v>0.39200000000000002</v>
      </c>
      <c r="U296" s="90"/>
      <c r="V296" s="90" t="s">
        <v>1264</v>
      </c>
      <c r="W296" s="90"/>
      <c r="X296" s="90"/>
      <c r="Y296" s="90" t="s">
        <v>1268</v>
      </c>
      <c r="Z296" s="90" t="s">
        <v>863</v>
      </c>
      <c r="AA296" s="90">
        <v>1</v>
      </c>
      <c r="AB296" s="90" t="s">
        <v>1171</v>
      </c>
      <c r="AC296" s="90">
        <v>2.35</v>
      </c>
      <c r="AD296" s="90">
        <v>119.2</v>
      </c>
      <c r="AE296" s="90">
        <v>1</v>
      </c>
      <c r="AF296" s="90">
        <v>0</v>
      </c>
      <c r="AG296" s="90" t="s">
        <v>1550</v>
      </c>
      <c r="AH296" s="90" t="s">
        <v>1551</v>
      </c>
      <c r="AI296" s="90" t="s">
        <v>1534</v>
      </c>
      <c r="AJ296" s="90">
        <v>350</v>
      </c>
      <c r="AK296" s="90">
        <v>420</v>
      </c>
      <c r="AL296" s="90">
        <v>157</v>
      </c>
    </row>
    <row r="297" spans="1:38" ht="15" thickBot="1" x14ac:dyDescent="0.35">
      <c r="A297" s="118" t="s">
        <v>1624</v>
      </c>
      <c r="B297" s="114" t="s">
        <v>2905</v>
      </c>
      <c r="C297" s="114" t="s">
        <v>2907</v>
      </c>
      <c r="D297" s="90"/>
      <c r="E297" s="120"/>
      <c r="F297" s="90" t="s">
        <v>1554</v>
      </c>
      <c r="G297" s="90"/>
      <c r="H297" s="90"/>
      <c r="I297" s="90" t="s">
        <v>964</v>
      </c>
      <c r="J297" s="90"/>
      <c r="K297" s="90"/>
      <c r="L297" s="90" t="s">
        <v>1548</v>
      </c>
      <c r="M297" s="90"/>
      <c r="N297" s="90">
        <v>0.14399999999999999</v>
      </c>
      <c r="O297" s="90"/>
      <c r="P297" s="90"/>
      <c r="Q297" s="90">
        <v>0.504</v>
      </c>
      <c r="R297" s="90"/>
      <c r="S297" s="90"/>
      <c r="T297" s="90">
        <v>0.35199999999999998</v>
      </c>
      <c r="U297" s="90"/>
      <c r="V297" s="90" t="s">
        <v>1264</v>
      </c>
      <c r="W297" s="90"/>
      <c r="X297" s="90"/>
      <c r="Y297" s="90" t="s">
        <v>1268</v>
      </c>
      <c r="Z297" s="90" t="s">
        <v>863</v>
      </c>
      <c r="AA297" s="90">
        <v>1</v>
      </c>
      <c r="AB297" s="90" t="s">
        <v>1171</v>
      </c>
      <c r="AC297" s="90">
        <v>2.3199999999999998</v>
      </c>
      <c r="AD297" s="90">
        <v>123.3</v>
      </c>
      <c r="AE297" s="90">
        <v>1</v>
      </c>
      <c r="AF297" s="90">
        <v>0</v>
      </c>
      <c r="AG297" s="90" t="s">
        <v>1550</v>
      </c>
      <c r="AH297" s="90" t="s">
        <v>1551</v>
      </c>
      <c r="AI297" s="90" t="s">
        <v>1534</v>
      </c>
      <c r="AJ297" s="90">
        <v>350</v>
      </c>
      <c r="AK297" s="90">
        <v>420</v>
      </c>
      <c r="AL297" s="90">
        <v>259.33</v>
      </c>
    </row>
    <row r="298" spans="1:38" ht="15" thickBot="1" x14ac:dyDescent="0.35">
      <c r="A298" s="118" t="s">
        <v>1624</v>
      </c>
      <c r="B298" s="114" t="s">
        <v>2905</v>
      </c>
      <c r="C298" s="114" t="s">
        <v>2908</v>
      </c>
      <c r="D298" s="90"/>
      <c r="E298" s="120"/>
      <c r="F298" s="90" t="s">
        <v>1554</v>
      </c>
      <c r="G298" s="90"/>
      <c r="H298" s="90"/>
      <c r="I298" s="90" t="s">
        <v>964</v>
      </c>
      <c r="J298" s="90"/>
      <c r="K298" s="90"/>
      <c r="L298" s="90" t="s">
        <v>1548</v>
      </c>
      <c r="M298" s="90"/>
      <c r="N298" s="90">
        <v>0.13400000000000001</v>
      </c>
      <c r="O298" s="90"/>
      <c r="P298" s="90"/>
      <c r="Q298" s="90">
        <v>0.53900000000000003</v>
      </c>
      <c r="R298" s="90"/>
      <c r="S298" s="90"/>
      <c r="T298" s="90">
        <v>0.32700000000000001</v>
      </c>
      <c r="U298" s="90"/>
      <c r="V298" s="90" t="s">
        <v>1264</v>
      </c>
      <c r="W298" s="90"/>
      <c r="X298" s="90"/>
      <c r="Y298" s="90" t="s">
        <v>1268</v>
      </c>
      <c r="Z298" s="90" t="s">
        <v>863</v>
      </c>
      <c r="AA298" s="90">
        <v>1</v>
      </c>
      <c r="AB298" s="90" t="s">
        <v>1171</v>
      </c>
      <c r="AC298" s="90">
        <v>2.2999999999999998</v>
      </c>
      <c r="AD298" s="90">
        <v>124.4</v>
      </c>
      <c r="AE298" s="90">
        <v>1</v>
      </c>
      <c r="AF298" s="90">
        <v>0</v>
      </c>
      <c r="AG298" s="90" t="s">
        <v>1550</v>
      </c>
      <c r="AH298" s="90" t="s">
        <v>1551</v>
      </c>
      <c r="AI298" s="90" t="s">
        <v>1534</v>
      </c>
      <c r="AJ298" s="90">
        <v>350</v>
      </c>
      <c r="AK298" s="90">
        <v>420</v>
      </c>
      <c r="AL298" s="90">
        <v>360</v>
      </c>
    </row>
    <row r="299" spans="1:38" ht="15" thickBot="1" x14ac:dyDescent="0.35">
      <c r="A299" s="118" t="s">
        <v>1624</v>
      </c>
      <c r="B299" s="114" t="s">
        <v>2905</v>
      </c>
      <c r="C299" s="114" t="s">
        <v>2909</v>
      </c>
      <c r="D299" s="90"/>
      <c r="E299" s="120"/>
      <c r="F299" s="90" t="s">
        <v>1554</v>
      </c>
      <c r="G299" s="90"/>
      <c r="H299" s="90"/>
      <c r="I299" s="90" t="s">
        <v>964</v>
      </c>
      <c r="J299" s="90"/>
      <c r="K299" s="90"/>
      <c r="L299" s="90" t="s">
        <v>1548</v>
      </c>
      <c r="M299" s="90"/>
      <c r="N299" s="90">
        <v>0.125</v>
      </c>
      <c r="O299" s="90"/>
      <c r="P299" s="90"/>
      <c r="Q299" s="90">
        <v>0.56899999999999995</v>
      </c>
      <c r="R299" s="90"/>
      <c r="S299" s="90"/>
      <c r="T299" s="90">
        <v>0.30599999999999999</v>
      </c>
      <c r="U299" s="90"/>
      <c r="V299" s="90" t="s">
        <v>1407</v>
      </c>
      <c r="W299" s="90"/>
      <c r="X299" s="90"/>
      <c r="Y299" s="90" t="s">
        <v>1268</v>
      </c>
      <c r="Z299" s="90" t="s">
        <v>863</v>
      </c>
      <c r="AA299" s="90">
        <v>1</v>
      </c>
      <c r="AB299" s="90" t="s">
        <v>1171</v>
      </c>
      <c r="AC299" s="90">
        <v>2.25</v>
      </c>
      <c r="AD299" s="90">
        <v>109</v>
      </c>
      <c r="AE299" s="90">
        <v>1</v>
      </c>
      <c r="AF299" s="90">
        <v>0</v>
      </c>
      <c r="AG299" s="90" t="s">
        <v>1550</v>
      </c>
      <c r="AH299" s="90" t="s">
        <v>1551</v>
      </c>
      <c r="AI299" s="90" t="s">
        <v>1534</v>
      </c>
      <c r="AJ299" s="90">
        <v>350</v>
      </c>
      <c r="AK299" s="90">
        <v>420</v>
      </c>
      <c r="AL299" s="90">
        <v>323.67</v>
      </c>
    </row>
    <row r="300" spans="1:38" ht="15" thickBot="1" x14ac:dyDescent="0.35">
      <c r="A300" s="118" t="s">
        <v>1624</v>
      </c>
      <c r="B300" s="114" t="s">
        <v>2905</v>
      </c>
      <c r="C300" s="114" t="s">
        <v>2910</v>
      </c>
      <c r="D300" s="90"/>
      <c r="E300" s="120"/>
      <c r="F300" s="90" t="s">
        <v>1554</v>
      </c>
      <c r="G300" s="90"/>
      <c r="H300" s="90"/>
      <c r="I300" s="90" t="s">
        <v>964</v>
      </c>
      <c r="J300" s="90"/>
      <c r="K300" s="90"/>
      <c r="L300" s="90" t="s">
        <v>1548</v>
      </c>
      <c r="M300" s="90"/>
      <c r="N300" s="90">
        <v>0.11700000000000001</v>
      </c>
      <c r="O300" s="90"/>
      <c r="P300" s="90"/>
      <c r="Q300" s="90">
        <v>0.59599999999999997</v>
      </c>
      <c r="R300" s="90"/>
      <c r="S300" s="90"/>
      <c r="T300" s="90">
        <v>0.28699999999999998</v>
      </c>
      <c r="U300" s="90"/>
      <c r="V300" s="90" t="s">
        <v>1407</v>
      </c>
      <c r="W300" s="90"/>
      <c r="X300" s="90"/>
      <c r="Y300" s="90" t="s">
        <v>1268</v>
      </c>
      <c r="Z300" s="90" t="s">
        <v>863</v>
      </c>
      <c r="AA300" s="90">
        <v>1</v>
      </c>
      <c r="AB300" s="90" t="s">
        <v>1171</v>
      </c>
      <c r="AC300" s="90">
        <v>2.23</v>
      </c>
      <c r="AD300" s="90">
        <v>100.5</v>
      </c>
      <c r="AE300" s="90">
        <v>1</v>
      </c>
      <c r="AF300" s="90">
        <v>0</v>
      </c>
      <c r="AG300" s="90" t="s">
        <v>1550</v>
      </c>
      <c r="AH300" s="90" t="s">
        <v>1551</v>
      </c>
      <c r="AI300" s="90" t="s">
        <v>1534</v>
      </c>
      <c r="AJ300" s="90">
        <v>350</v>
      </c>
      <c r="AK300" s="90">
        <v>420</v>
      </c>
      <c r="AL300" s="90">
        <v>307.67</v>
      </c>
    </row>
    <row r="301" spans="1:38" ht="15" thickBot="1" x14ac:dyDescent="0.35">
      <c r="A301" s="118" t="s">
        <v>1624</v>
      </c>
      <c r="B301" s="114" t="s">
        <v>2905</v>
      </c>
      <c r="C301" s="114" t="s">
        <v>2911</v>
      </c>
      <c r="D301" s="90"/>
      <c r="E301" s="120"/>
      <c r="F301" s="90" t="s">
        <v>1554</v>
      </c>
      <c r="G301" s="90"/>
      <c r="H301" s="90"/>
      <c r="I301" s="90" t="s">
        <v>964</v>
      </c>
      <c r="J301" s="90"/>
      <c r="K301" s="90"/>
      <c r="L301" s="90" t="s">
        <v>1548</v>
      </c>
      <c r="M301" s="90"/>
      <c r="N301" s="90">
        <v>0.112</v>
      </c>
      <c r="O301" s="90"/>
      <c r="P301" s="90"/>
      <c r="Q301" s="90">
        <v>0.61199999999999999</v>
      </c>
      <c r="R301" s="90"/>
      <c r="S301" s="90"/>
      <c r="T301" s="90">
        <v>0.27600000000000002</v>
      </c>
      <c r="U301" s="90"/>
      <c r="V301" s="90" t="s">
        <v>1407</v>
      </c>
      <c r="W301" s="90"/>
      <c r="X301" s="90"/>
      <c r="Y301" s="90" t="s">
        <v>1268</v>
      </c>
      <c r="Z301" s="90" t="s">
        <v>863</v>
      </c>
      <c r="AA301" s="90">
        <v>1</v>
      </c>
      <c r="AB301" s="90" t="s">
        <v>1171</v>
      </c>
      <c r="AC301" s="90">
        <v>2.25</v>
      </c>
      <c r="AD301" s="90">
        <v>97.3</v>
      </c>
      <c r="AE301" s="90">
        <v>1</v>
      </c>
      <c r="AF301" s="90">
        <v>0</v>
      </c>
      <c r="AG301" s="90" t="s">
        <v>1550</v>
      </c>
      <c r="AH301" s="90" t="s">
        <v>1551</v>
      </c>
      <c r="AI301" s="90" t="s">
        <v>1534</v>
      </c>
      <c r="AJ301" s="90">
        <v>350</v>
      </c>
      <c r="AK301" s="90">
        <v>420</v>
      </c>
      <c r="AL301" s="90">
        <v>282.33</v>
      </c>
    </row>
    <row r="302" spans="1:38" ht="15" thickBot="1" x14ac:dyDescent="0.35">
      <c r="A302" s="118" t="s">
        <v>1625</v>
      </c>
      <c r="B302" s="114" t="s">
        <v>2913</v>
      </c>
      <c r="C302" s="114" t="s">
        <v>2912</v>
      </c>
      <c r="D302" s="120"/>
      <c r="E302" s="120"/>
      <c r="F302" s="90" t="s">
        <v>1529</v>
      </c>
      <c r="G302" s="90"/>
      <c r="H302" s="90"/>
      <c r="I302" s="90" t="s">
        <v>1569</v>
      </c>
      <c r="J302" s="90"/>
      <c r="K302" s="90"/>
      <c r="L302" s="90" t="s">
        <v>1531</v>
      </c>
      <c r="M302" s="90"/>
      <c r="N302" s="90">
        <v>0.38600000000000001</v>
      </c>
      <c r="O302" s="90"/>
      <c r="P302" s="90"/>
      <c r="Q302" s="90">
        <v>0.40200000000000002</v>
      </c>
      <c r="R302" s="90"/>
      <c r="S302" s="90"/>
      <c r="T302" s="90">
        <v>0.21199999999999999</v>
      </c>
      <c r="U302" s="90"/>
      <c r="V302" s="90" t="s">
        <v>1407</v>
      </c>
      <c r="W302" s="90">
        <v>1373</v>
      </c>
      <c r="X302" s="90">
        <v>24</v>
      </c>
      <c r="Y302" s="90"/>
      <c r="Z302" s="90"/>
      <c r="AA302" s="90"/>
      <c r="AB302" s="90" t="s">
        <v>1142</v>
      </c>
      <c r="AC302" s="90">
        <v>4.0999999999999996</v>
      </c>
      <c r="AD302" s="90">
        <v>2</v>
      </c>
      <c r="AE302" s="90">
        <v>1</v>
      </c>
      <c r="AF302" s="90">
        <v>0</v>
      </c>
      <c r="AG302" s="90"/>
      <c r="AH302" s="90"/>
      <c r="AI302" s="90" t="s">
        <v>1572</v>
      </c>
      <c r="AJ302" s="90"/>
      <c r="AK302" s="90">
        <v>254</v>
      </c>
      <c r="AL302" s="90">
        <v>8</v>
      </c>
    </row>
    <row r="303" spans="1:38" ht="15" thickBot="1" x14ac:dyDescent="0.35">
      <c r="A303" s="118" t="s">
        <v>1626</v>
      </c>
      <c r="B303" s="114" t="s">
        <v>2914</v>
      </c>
      <c r="C303" s="114" t="s">
        <v>2915</v>
      </c>
      <c r="D303" s="120"/>
      <c r="E303" s="120"/>
      <c r="F303" s="90" t="s">
        <v>1554</v>
      </c>
      <c r="G303" s="90"/>
      <c r="H303" s="90"/>
      <c r="I303" s="90" t="s">
        <v>1562</v>
      </c>
      <c r="J303" s="90"/>
      <c r="K303" s="90"/>
      <c r="L303" s="90" t="s">
        <v>1531</v>
      </c>
      <c r="M303" s="90"/>
      <c r="N303" s="90">
        <v>0.24299999999999999</v>
      </c>
      <c r="O303" s="90"/>
      <c r="P303" s="90"/>
      <c r="Q303" s="90">
        <v>0.51900000000000002</v>
      </c>
      <c r="R303" s="90"/>
      <c r="S303" s="90"/>
      <c r="T303" s="90">
        <v>0.23799999999999999</v>
      </c>
      <c r="U303" s="90"/>
      <c r="V303" s="90" t="s">
        <v>1407</v>
      </c>
      <c r="W303" s="90">
        <v>1173</v>
      </c>
      <c r="X303" s="90">
        <v>15</v>
      </c>
      <c r="Y303" s="90"/>
      <c r="Z303" s="90"/>
      <c r="AA303" s="90"/>
      <c r="AB303" s="90" t="s">
        <v>518</v>
      </c>
      <c r="AC303" s="90">
        <v>4.75</v>
      </c>
      <c r="AD303" s="90">
        <v>5.2</v>
      </c>
      <c r="AE303" s="90">
        <v>1</v>
      </c>
      <c r="AF303" s="90">
        <v>0</v>
      </c>
      <c r="AG303" s="90"/>
      <c r="AH303" s="90"/>
      <c r="AI303" s="90" t="s">
        <v>1552</v>
      </c>
      <c r="AJ303" s="90">
        <v>500</v>
      </c>
      <c r="AK303" s="90">
        <v>365</v>
      </c>
      <c r="AL303" s="90">
        <v>9</v>
      </c>
    </row>
    <row r="304" spans="1:38" ht="15" thickBot="1" x14ac:dyDescent="0.35">
      <c r="A304" s="118" t="s">
        <v>1626</v>
      </c>
      <c r="B304" s="114" t="s">
        <v>2914</v>
      </c>
      <c r="C304" s="114" t="s">
        <v>2915</v>
      </c>
      <c r="D304" s="120"/>
      <c r="E304" s="120"/>
      <c r="F304" s="90" t="s">
        <v>1554</v>
      </c>
      <c r="G304" s="90"/>
      <c r="H304" s="90"/>
      <c r="I304" s="90" t="s">
        <v>1562</v>
      </c>
      <c r="J304" s="90"/>
      <c r="K304" s="90"/>
      <c r="L304" s="90" t="s">
        <v>1531</v>
      </c>
      <c r="M304" s="90"/>
      <c r="N304" s="90">
        <v>0.24299999999999999</v>
      </c>
      <c r="O304" s="90"/>
      <c r="P304" s="90"/>
      <c r="Q304" s="90">
        <v>0.51900000000000002</v>
      </c>
      <c r="R304" s="90"/>
      <c r="S304" s="90"/>
      <c r="T304" s="90">
        <v>0.23799999999999999</v>
      </c>
      <c r="U304" s="90"/>
      <c r="V304" s="90" t="s">
        <v>1407</v>
      </c>
      <c r="W304" s="90"/>
      <c r="X304" s="90"/>
      <c r="Y304" s="90"/>
      <c r="Z304" s="90"/>
      <c r="AA304" s="90"/>
      <c r="AB304" s="90" t="s">
        <v>518</v>
      </c>
      <c r="AC304" s="90">
        <v>4.7699999999999996</v>
      </c>
      <c r="AD304" s="90">
        <v>20</v>
      </c>
      <c r="AE304" s="90">
        <v>1</v>
      </c>
      <c r="AF304" s="90">
        <v>0</v>
      </c>
      <c r="AG304" s="90"/>
      <c r="AH304" s="90"/>
      <c r="AI304" s="90" t="s">
        <v>1552</v>
      </c>
      <c r="AJ304" s="90">
        <v>500</v>
      </c>
      <c r="AK304" s="90">
        <v>365</v>
      </c>
      <c r="AL304" s="90">
        <v>14.6</v>
      </c>
    </row>
    <row r="305" spans="1:39" ht="15" thickBot="1" x14ac:dyDescent="0.35">
      <c r="A305" s="118" t="s">
        <v>1626</v>
      </c>
      <c r="B305" s="114" t="s">
        <v>2914</v>
      </c>
      <c r="C305" s="114" t="s">
        <v>2915</v>
      </c>
      <c r="D305" s="120"/>
      <c r="E305" s="120"/>
      <c r="F305" s="90" t="s">
        <v>1554</v>
      </c>
      <c r="G305" s="90"/>
      <c r="H305" s="90"/>
      <c r="I305" s="90" t="s">
        <v>1562</v>
      </c>
      <c r="J305" s="90"/>
      <c r="K305" s="90"/>
      <c r="L305" s="90" t="s">
        <v>1531</v>
      </c>
      <c r="M305" s="90"/>
      <c r="N305" s="90">
        <v>0.24299999999999999</v>
      </c>
      <c r="O305" s="90"/>
      <c r="P305" s="90"/>
      <c r="Q305" s="90">
        <v>0.51900000000000002</v>
      </c>
      <c r="R305" s="90"/>
      <c r="S305" s="90"/>
      <c r="T305" s="90">
        <v>0.23799999999999999</v>
      </c>
      <c r="U305" s="90"/>
      <c r="V305" s="90" t="s">
        <v>1264</v>
      </c>
      <c r="W305" s="90">
        <v>873</v>
      </c>
      <c r="X305" s="90">
        <v>2</v>
      </c>
      <c r="Y305" s="90"/>
      <c r="Z305" s="90"/>
      <c r="AA305" s="90"/>
      <c r="AB305" s="90" t="s">
        <v>518</v>
      </c>
      <c r="AC305" s="90">
        <v>4.37</v>
      </c>
      <c r="AD305" s="90">
        <v>29</v>
      </c>
      <c r="AE305" s="90">
        <v>1</v>
      </c>
      <c r="AF305" s="90">
        <v>0</v>
      </c>
      <c r="AG305" s="90"/>
      <c r="AH305" s="90"/>
      <c r="AI305" s="90" t="s">
        <v>1552</v>
      </c>
      <c r="AJ305" s="90">
        <v>500</v>
      </c>
      <c r="AK305" s="90">
        <v>365</v>
      </c>
      <c r="AL305" s="90">
        <v>29</v>
      </c>
    </row>
    <row r="306" spans="1:39" ht="15" thickBot="1" x14ac:dyDescent="0.35">
      <c r="A306" s="118" t="s">
        <v>1626</v>
      </c>
      <c r="B306" s="114" t="s">
        <v>2914</v>
      </c>
      <c r="C306" s="114" t="s">
        <v>2915</v>
      </c>
      <c r="D306" s="120"/>
      <c r="E306" s="120"/>
      <c r="F306" s="90" t="s">
        <v>1554</v>
      </c>
      <c r="G306" s="90"/>
      <c r="H306" s="90"/>
      <c r="I306" s="90" t="s">
        <v>1562</v>
      </c>
      <c r="J306" s="90"/>
      <c r="K306" s="90"/>
      <c r="L306" s="90" t="s">
        <v>1531</v>
      </c>
      <c r="M306" s="90"/>
      <c r="N306" s="90">
        <v>0.24299999999999999</v>
      </c>
      <c r="O306" s="90"/>
      <c r="P306" s="90"/>
      <c r="Q306" s="90">
        <v>0.51900000000000002</v>
      </c>
      <c r="R306" s="90"/>
      <c r="S306" s="90"/>
      <c r="T306" s="90">
        <v>0.23799999999999999</v>
      </c>
      <c r="U306" s="90"/>
      <c r="V306" s="90" t="s">
        <v>1264</v>
      </c>
      <c r="W306" s="90">
        <v>1173</v>
      </c>
      <c r="X306" s="90">
        <v>15</v>
      </c>
      <c r="Y306" s="90"/>
      <c r="Z306" s="90"/>
      <c r="AA306" s="90"/>
      <c r="AB306" s="90" t="s">
        <v>518</v>
      </c>
      <c r="AC306" s="90">
        <v>4.75</v>
      </c>
      <c r="AD306" s="90">
        <v>5.2</v>
      </c>
      <c r="AE306" s="90">
        <v>1</v>
      </c>
      <c r="AF306" s="90">
        <v>20</v>
      </c>
      <c r="AG306" s="90"/>
      <c r="AH306" s="90"/>
      <c r="AI306" s="90" t="s">
        <v>1552</v>
      </c>
      <c r="AJ306" s="90">
        <v>500</v>
      </c>
      <c r="AK306" s="90">
        <v>365</v>
      </c>
      <c r="AL306" s="90">
        <v>27.2</v>
      </c>
    </row>
    <row r="307" spans="1:39" ht="15" thickBot="1" x14ac:dyDescent="0.35">
      <c r="A307" s="118" t="s">
        <v>1626</v>
      </c>
      <c r="B307" s="114" t="s">
        <v>2914</v>
      </c>
      <c r="C307" s="114" t="s">
        <v>2915</v>
      </c>
      <c r="D307" s="120"/>
      <c r="E307" s="120"/>
      <c r="F307" s="90" t="s">
        <v>1554</v>
      </c>
      <c r="G307" s="90"/>
      <c r="H307" s="90"/>
      <c r="I307" s="90" t="s">
        <v>1562</v>
      </c>
      <c r="J307" s="90"/>
      <c r="K307" s="90"/>
      <c r="L307" s="90" t="s">
        <v>1531</v>
      </c>
      <c r="M307" s="90"/>
      <c r="N307" s="90">
        <v>0.24299999999999999</v>
      </c>
      <c r="O307" s="90"/>
      <c r="P307" s="90"/>
      <c r="Q307" s="90">
        <v>0.51900000000000002</v>
      </c>
      <c r="R307" s="90"/>
      <c r="S307" s="90"/>
      <c r="T307" s="90">
        <v>0.23799999999999999</v>
      </c>
      <c r="U307" s="90"/>
      <c r="V307" s="90" t="s">
        <v>1407</v>
      </c>
      <c r="W307" s="90"/>
      <c r="X307" s="90"/>
      <c r="Y307" s="90"/>
      <c r="Z307" s="90"/>
      <c r="AA307" s="90"/>
      <c r="AB307" s="90" t="s">
        <v>518</v>
      </c>
      <c r="AC307" s="90">
        <v>4.7699999999999996</v>
      </c>
      <c r="AD307" s="90">
        <v>20</v>
      </c>
      <c r="AE307" s="90">
        <v>1</v>
      </c>
      <c r="AF307" s="90">
        <v>20</v>
      </c>
      <c r="AG307" s="90"/>
      <c r="AH307" s="90"/>
      <c r="AI307" s="90" t="s">
        <v>1552</v>
      </c>
      <c r="AJ307" s="90">
        <v>500</v>
      </c>
      <c r="AK307" s="90">
        <v>365</v>
      </c>
      <c r="AL307" s="90">
        <v>97.8</v>
      </c>
    </row>
    <row r="308" spans="1:39" ht="15" thickBot="1" x14ac:dyDescent="0.35">
      <c r="A308" s="118" t="s">
        <v>1626</v>
      </c>
      <c r="B308" s="114" t="s">
        <v>2914</v>
      </c>
      <c r="C308" s="114" t="s">
        <v>2915</v>
      </c>
      <c r="D308" s="120"/>
      <c r="E308" s="120"/>
      <c r="F308" s="90" t="s">
        <v>1554</v>
      </c>
      <c r="G308" s="90"/>
      <c r="H308" s="90"/>
      <c r="I308" s="90" t="s">
        <v>1562</v>
      </c>
      <c r="J308" s="90"/>
      <c r="K308" s="90"/>
      <c r="L308" s="90" t="s">
        <v>1531</v>
      </c>
      <c r="M308" s="90"/>
      <c r="N308" s="90">
        <v>0.24299999999999999</v>
      </c>
      <c r="O308" s="90"/>
      <c r="P308" s="90"/>
      <c r="Q308" s="90">
        <v>0.51900000000000002</v>
      </c>
      <c r="R308" s="90"/>
      <c r="S308" s="90"/>
      <c r="T308" s="90">
        <v>0.23799999999999999</v>
      </c>
      <c r="U308" s="90"/>
      <c r="V308" s="90" t="s">
        <v>1336</v>
      </c>
      <c r="W308" s="90">
        <v>873</v>
      </c>
      <c r="X308" s="90">
        <v>2</v>
      </c>
      <c r="Y308" s="90"/>
      <c r="Z308" s="90"/>
      <c r="AA308" s="90"/>
      <c r="AB308" s="90" t="s">
        <v>518</v>
      </c>
      <c r="AC308" s="90">
        <v>4.37</v>
      </c>
      <c r="AD308" s="90">
        <v>29</v>
      </c>
      <c r="AE308" s="90">
        <v>1</v>
      </c>
      <c r="AF308" s="90">
        <v>20</v>
      </c>
      <c r="AG308" s="90"/>
      <c r="AH308" s="90"/>
      <c r="AI308" s="90" t="s">
        <v>1552</v>
      </c>
      <c r="AJ308" s="90">
        <v>500</v>
      </c>
      <c r="AK308" s="90">
        <v>365</v>
      </c>
      <c r="AL308" s="90">
        <v>134.80000000000001</v>
      </c>
    </row>
    <row r="309" spans="1:39" ht="15" thickBot="1" x14ac:dyDescent="0.35">
      <c r="A309" s="118" t="s">
        <v>1627</v>
      </c>
      <c r="B309" s="114" t="s">
        <v>2917</v>
      </c>
      <c r="C309" s="114" t="s">
        <v>2916</v>
      </c>
      <c r="D309" s="120"/>
      <c r="E309" s="120"/>
      <c r="F309" s="90" t="s">
        <v>1499</v>
      </c>
      <c r="G309" s="90"/>
      <c r="H309" s="90"/>
      <c r="I309" s="90" t="s">
        <v>1562</v>
      </c>
      <c r="J309" s="90"/>
      <c r="K309" s="90"/>
      <c r="L309" s="90" t="s">
        <v>1531</v>
      </c>
      <c r="M309" s="90"/>
      <c r="N309" s="90">
        <v>0.22500000000000001</v>
      </c>
      <c r="O309" s="90"/>
      <c r="P309" s="90"/>
      <c r="Q309" s="90">
        <v>0.53100000000000003</v>
      </c>
      <c r="R309" s="90"/>
      <c r="S309" s="90"/>
      <c r="T309" s="90">
        <v>0.24399999999999999</v>
      </c>
      <c r="U309" s="90"/>
      <c r="V309" s="90" t="s">
        <v>1264</v>
      </c>
      <c r="W309" s="90">
        <v>773</v>
      </c>
      <c r="X309" s="90">
        <v>5</v>
      </c>
      <c r="Y309" s="90" t="s">
        <v>1533</v>
      </c>
      <c r="Z309" s="90" t="s">
        <v>1313</v>
      </c>
      <c r="AA309" s="90">
        <v>1</v>
      </c>
      <c r="AB309" s="90" t="s">
        <v>1539</v>
      </c>
      <c r="AC309" s="90">
        <v>3.85</v>
      </c>
      <c r="AD309" s="90">
        <v>17</v>
      </c>
      <c r="AE309" s="90">
        <v>2</v>
      </c>
      <c r="AF309" s="90">
        <v>33</v>
      </c>
      <c r="AG309" s="90"/>
      <c r="AH309" s="90"/>
      <c r="AI309" s="90" t="s">
        <v>1552</v>
      </c>
      <c r="AJ309" s="90">
        <v>300</v>
      </c>
      <c r="AK309" s="90">
        <v>320</v>
      </c>
      <c r="AL309" s="90">
        <v>3</v>
      </c>
    </row>
    <row r="310" spans="1:39" ht="15" thickBot="1" x14ac:dyDescent="0.35">
      <c r="A310" s="118" t="s">
        <v>1628</v>
      </c>
      <c r="B310" s="114" t="s">
        <v>242</v>
      </c>
      <c r="C310" s="114" t="s">
        <v>2920</v>
      </c>
      <c r="D310" s="120"/>
      <c r="E310" s="120"/>
      <c r="F310" s="90" t="s">
        <v>1568</v>
      </c>
      <c r="G310" s="90"/>
      <c r="H310" s="90"/>
      <c r="I310" s="90" t="s">
        <v>1068</v>
      </c>
      <c r="J310" s="90" t="s">
        <v>1558</v>
      </c>
      <c r="K310" s="90"/>
      <c r="L310" s="90" t="s">
        <v>1531</v>
      </c>
      <c r="M310" s="90"/>
      <c r="N310" s="90">
        <v>0.46600000000000003</v>
      </c>
      <c r="O310" s="90"/>
      <c r="P310" s="90"/>
      <c r="Q310" s="90">
        <v>0.126</v>
      </c>
      <c r="R310" s="90">
        <v>0.245</v>
      </c>
      <c r="S310" s="90"/>
      <c r="T310" s="90">
        <v>0.16300000000000001</v>
      </c>
      <c r="U310" s="90"/>
      <c r="V310" s="90" t="s">
        <v>1407</v>
      </c>
      <c r="W310" s="90">
        <v>1173</v>
      </c>
      <c r="X310" s="90">
        <v>3</v>
      </c>
      <c r="Y310" s="90"/>
      <c r="Z310" s="90"/>
      <c r="AA310" s="90"/>
      <c r="AB310" s="90" t="s">
        <v>1549</v>
      </c>
      <c r="AC310" s="90">
        <v>4.2</v>
      </c>
      <c r="AD310" s="90">
        <v>5</v>
      </c>
      <c r="AE310" s="90">
        <v>0.5</v>
      </c>
      <c r="AF310" s="90">
        <v>8.3000000000000007</v>
      </c>
      <c r="AG310" s="90"/>
      <c r="AH310" s="90"/>
      <c r="AI310" s="90" t="s">
        <v>1552</v>
      </c>
      <c r="AJ310" s="90">
        <v>500</v>
      </c>
      <c r="AK310" s="90">
        <v>250</v>
      </c>
      <c r="AL310" s="90">
        <v>356</v>
      </c>
    </row>
    <row r="311" spans="1:39" ht="15" thickBot="1" x14ac:dyDescent="0.35">
      <c r="A311" s="118" t="s">
        <v>1628</v>
      </c>
      <c r="B311" s="114" t="s">
        <v>242</v>
      </c>
      <c r="C311" s="114" t="s">
        <v>2918</v>
      </c>
      <c r="D311" s="120"/>
      <c r="E311" s="120"/>
      <c r="F311" s="90" t="s">
        <v>1568</v>
      </c>
      <c r="G311" s="90"/>
      <c r="H311" s="90"/>
      <c r="I311" s="90" t="s">
        <v>1558</v>
      </c>
      <c r="J311" s="90"/>
      <c r="K311" s="90"/>
      <c r="L311" s="90" t="s">
        <v>1531</v>
      </c>
      <c r="M311" s="90"/>
      <c r="N311" s="90">
        <v>0.41599999999999998</v>
      </c>
      <c r="O311" s="90"/>
      <c r="P311" s="90"/>
      <c r="Q311" s="90">
        <v>0.439</v>
      </c>
      <c r="R311" s="90">
        <v>0.245</v>
      </c>
      <c r="S311" s="90"/>
      <c r="T311" s="90">
        <v>0.14499999999999999</v>
      </c>
      <c r="U311" s="90"/>
      <c r="V311" s="90" t="s">
        <v>1336</v>
      </c>
      <c r="W311" s="90">
        <v>1173</v>
      </c>
      <c r="X311" s="90">
        <v>3</v>
      </c>
      <c r="Y311" s="90"/>
      <c r="Z311" s="90"/>
      <c r="AA311" s="90"/>
      <c r="AB311" s="90" t="s">
        <v>1549</v>
      </c>
      <c r="AC311" s="90">
        <v>4.5</v>
      </c>
      <c r="AD311" s="90">
        <v>5</v>
      </c>
      <c r="AE311" s="90">
        <v>0.5</v>
      </c>
      <c r="AF311" s="90">
        <v>8.3000000000000007</v>
      </c>
      <c r="AG311" s="90"/>
      <c r="AH311" s="90"/>
      <c r="AI311" s="90" t="s">
        <v>1552</v>
      </c>
      <c r="AJ311" s="90">
        <v>500</v>
      </c>
      <c r="AK311" s="90">
        <v>250</v>
      </c>
      <c r="AL311" s="90">
        <v>485.5</v>
      </c>
    </row>
    <row r="312" spans="1:39" ht="15" thickBot="1" x14ac:dyDescent="0.35">
      <c r="A312" s="118" t="s">
        <v>1628</v>
      </c>
      <c r="B312" s="114" t="s">
        <v>242</v>
      </c>
      <c r="C312" s="114" t="s">
        <v>2919</v>
      </c>
      <c r="D312" s="120"/>
      <c r="E312" s="120"/>
      <c r="F312" s="90" t="s">
        <v>1568</v>
      </c>
      <c r="G312" s="90"/>
      <c r="H312" s="90"/>
      <c r="I312" s="90" t="s">
        <v>1068</v>
      </c>
      <c r="J312" s="90"/>
      <c r="K312" s="90"/>
      <c r="L312" s="90" t="s">
        <v>1531</v>
      </c>
      <c r="M312" s="90"/>
      <c r="N312" s="90">
        <v>0.52900000000000003</v>
      </c>
      <c r="O312" s="90"/>
      <c r="P312" s="90"/>
      <c r="Q312" s="90">
        <v>0.28599999999999998</v>
      </c>
      <c r="R312" s="90">
        <v>0.245</v>
      </c>
      <c r="S312" s="90"/>
      <c r="T312" s="90">
        <v>0.185</v>
      </c>
      <c r="U312" s="90"/>
      <c r="V312" s="90" t="s">
        <v>1598</v>
      </c>
      <c r="W312" s="90">
        <v>1173</v>
      </c>
      <c r="X312" s="90">
        <v>3</v>
      </c>
      <c r="Y312" s="90"/>
      <c r="Z312" s="90"/>
      <c r="AA312" s="90"/>
      <c r="AB312" s="90" t="s">
        <v>1549</v>
      </c>
      <c r="AC312" s="90">
        <v>3.9</v>
      </c>
      <c r="AD312" s="90">
        <v>5</v>
      </c>
      <c r="AE312" s="90">
        <v>0.5</v>
      </c>
      <c r="AF312" s="90">
        <v>8.3000000000000007</v>
      </c>
      <c r="AG312" s="90"/>
      <c r="AH312" s="90"/>
      <c r="AI312" s="90" t="s">
        <v>1552</v>
      </c>
      <c r="AJ312" s="90">
        <v>500</v>
      </c>
      <c r="AK312" s="90">
        <v>250</v>
      </c>
      <c r="AL312" s="90">
        <v>590</v>
      </c>
    </row>
    <row r="313" spans="1:39" ht="15" thickBot="1" x14ac:dyDescent="0.35">
      <c r="A313" s="118" t="s">
        <v>1629</v>
      </c>
      <c r="B313" s="114" t="s">
        <v>2922</v>
      </c>
      <c r="C313" s="114" t="s">
        <v>2921</v>
      </c>
      <c r="D313" s="120"/>
      <c r="E313" s="120"/>
      <c r="F313" s="90" t="s">
        <v>1568</v>
      </c>
      <c r="G313" s="90"/>
      <c r="H313" s="90"/>
      <c r="I313" s="90" t="s">
        <v>964</v>
      </c>
      <c r="J313" s="90" t="s">
        <v>1558</v>
      </c>
      <c r="K313" s="90"/>
      <c r="L313" s="90" t="s">
        <v>1531</v>
      </c>
      <c r="M313" s="90"/>
      <c r="N313" s="90">
        <v>0.41</v>
      </c>
      <c r="O313" s="90"/>
      <c r="P313" s="90"/>
      <c r="Q313" s="90">
        <v>0.17</v>
      </c>
      <c r="R313" s="90">
        <v>0.27</v>
      </c>
      <c r="S313" s="90"/>
      <c r="T313" s="90">
        <v>0.14000000000000001</v>
      </c>
      <c r="U313" s="90"/>
      <c r="V313" s="90" t="s">
        <v>1597</v>
      </c>
      <c r="W313" s="90">
        <v>1400</v>
      </c>
      <c r="X313" s="90">
        <v>15</v>
      </c>
      <c r="Y313" s="90" t="s">
        <v>1533</v>
      </c>
      <c r="Z313" s="90" t="s">
        <v>863</v>
      </c>
      <c r="AA313" s="90">
        <v>1</v>
      </c>
      <c r="AB313" s="90" t="s">
        <v>1539</v>
      </c>
      <c r="AC313" s="90">
        <v>4.17</v>
      </c>
      <c r="AD313" s="90">
        <v>1</v>
      </c>
      <c r="AE313" s="90">
        <v>0.5</v>
      </c>
      <c r="AF313" s="90">
        <v>0</v>
      </c>
      <c r="AG313" s="90"/>
      <c r="AH313" s="90"/>
      <c r="AI313" s="90" t="s">
        <v>1552</v>
      </c>
      <c r="AJ313" s="90">
        <v>500</v>
      </c>
      <c r="AK313" s="90">
        <v>250</v>
      </c>
      <c r="AL313" s="90">
        <v>15.2</v>
      </c>
    </row>
    <row r="314" spans="1:39" ht="15" thickBot="1" x14ac:dyDescent="0.35">
      <c r="A314" s="118" t="s">
        <v>1630</v>
      </c>
      <c r="B314" s="114" t="s">
        <v>2923</v>
      </c>
      <c r="C314" s="114" t="s">
        <v>2924</v>
      </c>
      <c r="D314" s="120"/>
      <c r="E314" s="120"/>
      <c r="F314" s="90" t="s">
        <v>1607</v>
      </c>
      <c r="G314" s="90"/>
      <c r="H314" s="90"/>
      <c r="I314" s="90" t="s">
        <v>1558</v>
      </c>
      <c r="J314" s="90"/>
      <c r="K314" s="90"/>
      <c r="L314" s="90" t="s">
        <v>1531</v>
      </c>
      <c r="M314" s="90"/>
      <c r="N314" s="90">
        <v>0.47699999999999998</v>
      </c>
      <c r="O314" s="90"/>
      <c r="P314" s="90"/>
      <c r="Q314" s="90">
        <v>0.32300000000000001</v>
      </c>
      <c r="R314" s="90"/>
      <c r="S314" s="90"/>
      <c r="T314" s="90">
        <v>0.2</v>
      </c>
      <c r="U314" s="90"/>
      <c r="V314" s="90" t="s">
        <v>1305</v>
      </c>
      <c r="W314" s="90">
        <v>1623</v>
      </c>
      <c r="X314" s="90">
        <v>2</v>
      </c>
      <c r="Y314" s="90" t="s">
        <v>1533</v>
      </c>
      <c r="Z314" s="90" t="s">
        <v>56</v>
      </c>
      <c r="AA314" s="90">
        <v>1</v>
      </c>
      <c r="AB314" s="90" t="s">
        <v>518</v>
      </c>
      <c r="AC314" s="90">
        <v>4.5999999999999996</v>
      </c>
      <c r="AD314" s="90">
        <v>1.6</v>
      </c>
      <c r="AE314" s="90">
        <v>1.2</v>
      </c>
      <c r="AF314" s="90">
        <v>0</v>
      </c>
      <c r="AG314" s="90"/>
      <c r="AH314" s="90"/>
      <c r="AI314" s="90" t="s">
        <v>1552</v>
      </c>
      <c r="AJ314" s="90">
        <v>400</v>
      </c>
      <c r="AK314" s="90">
        <v>200</v>
      </c>
      <c r="AL314" s="90">
        <v>0</v>
      </c>
      <c r="AM314" s="1"/>
    </row>
    <row r="315" spans="1:39" ht="15" thickBot="1" x14ac:dyDescent="0.35">
      <c r="A315" s="118" t="s">
        <v>1630</v>
      </c>
      <c r="B315" s="114" t="s">
        <v>2923</v>
      </c>
      <c r="C315" s="114" t="s">
        <v>2925</v>
      </c>
      <c r="D315" s="120"/>
      <c r="E315" s="120"/>
      <c r="F315" s="90" t="s">
        <v>1088</v>
      </c>
      <c r="G315" s="90"/>
      <c r="H315" s="90"/>
      <c r="I315" s="90" t="s">
        <v>1558</v>
      </c>
      <c r="J315" s="90"/>
      <c r="K315" s="90"/>
      <c r="L315" s="90" t="s">
        <v>1531</v>
      </c>
      <c r="M315" s="90"/>
      <c r="N315" s="90">
        <v>0.58699999999999997</v>
      </c>
      <c r="O315" s="90"/>
      <c r="P315" s="90"/>
      <c r="Q315" s="90">
        <v>0.255</v>
      </c>
      <c r="R315" s="90"/>
      <c r="S315" s="90"/>
      <c r="T315" s="90">
        <v>0.158</v>
      </c>
      <c r="U315" s="90"/>
      <c r="V315" s="90" t="s">
        <v>1305</v>
      </c>
      <c r="W315" s="90">
        <v>1623</v>
      </c>
      <c r="X315" s="90">
        <v>2</v>
      </c>
      <c r="Y315" s="90" t="s">
        <v>1533</v>
      </c>
      <c r="Z315" s="90" t="s">
        <v>56</v>
      </c>
      <c r="AA315" s="90">
        <v>1</v>
      </c>
      <c r="AB315" s="90" t="s">
        <v>518</v>
      </c>
      <c r="AC315" s="90">
        <v>4.5999999999999996</v>
      </c>
      <c r="AD315" s="90">
        <v>2.2999999999999998</v>
      </c>
      <c r="AE315" s="90">
        <v>1.2</v>
      </c>
      <c r="AF315" s="90">
        <v>0</v>
      </c>
      <c r="AG315" s="90"/>
      <c r="AH315" s="90"/>
      <c r="AI315" s="90" t="s">
        <v>1552</v>
      </c>
      <c r="AJ315" s="90">
        <v>400</v>
      </c>
      <c r="AK315" s="90">
        <v>200</v>
      </c>
      <c r="AL315" s="90">
        <v>4</v>
      </c>
      <c r="AM315" s="1"/>
    </row>
    <row r="316" spans="1:39" ht="15" thickBot="1" x14ac:dyDescent="0.35">
      <c r="A316" s="118" t="s">
        <v>1630</v>
      </c>
      <c r="B316" s="114" t="s">
        <v>2923</v>
      </c>
      <c r="C316" s="114" t="s">
        <v>2926</v>
      </c>
      <c r="D316" s="120"/>
      <c r="E316" s="120"/>
      <c r="F316" s="90" t="s">
        <v>1088</v>
      </c>
      <c r="G316" s="90"/>
      <c r="H316" s="90"/>
      <c r="I316" s="90" t="s">
        <v>1558</v>
      </c>
      <c r="J316" s="90"/>
      <c r="K316" s="90"/>
      <c r="L316" s="90" t="s">
        <v>1531</v>
      </c>
      <c r="M316" s="90"/>
      <c r="N316" s="90">
        <v>0.58699999999999997</v>
      </c>
      <c r="O316" s="90"/>
      <c r="P316" s="90"/>
      <c r="Q316" s="90">
        <v>0.255</v>
      </c>
      <c r="R316" s="90"/>
      <c r="S316" s="90"/>
      <c r="T316" s="90">
        <v>0.158</v>
      </c>
      <c r="U316" s="90"/>
      <c r="V316" s="90" t="s">
        <v>1305</v>
      </c>
      <c r="W316" s="90">
        <v>1273</v>
      </c>
      <c r="X316" s="90">
        <v>2</v>
      </c>
      <c r="Y316" s="90" t="s">
        <v>1533</v>
      </c>
      <c r="Z316" s="90" t="s">
        <v>56</v>
      </c>
      <c r="AA316" s="90">
        <v>1</v>
      </c>
      <c r="AB316" s="90" t="s">
        <v>1142</v>
      </c>
      <c r="AC316" s="90">
        <v>4.5999999999999996</v>
      </c>
      <c r="AD316" s="90">
        <v>3</v>
      </c>
      <c r="AE316" s="90">
        <v>1.2</v>
      </c>
      <c r="AF316" s="90">
        <v>0</v>
      </c>
      <c r="AG316" s="90"/>
      <c r="AH316" s="90"/>
      <c r="AI316" s="90" t="s">
        <v>1552</v>
      </c>
      <c r="AJ316" s="90">
        <v>400</v>
      </c>
      <c r="AK316" s="90">
        <v>200</v>
      </c>
      <c r="AL316" s="90">
        <v>8</v>
      </c>
      <c r="AM316" s="1"/>
    </row>
    <row r="317" spans="1:39" ht="15" thickBot="1" x14ac:dyDescent="0.35">
      <c r="A317" s="118" t="s">
        <v>1630</v>
      </c>
      <c r="B317" s="114" t="s">
        <v>2923</v>
      </c>
      <c r="C317" s="114" t="s">
        <v>2926</v>
      </c>
      <c r="D317" s="120"/>
      <c r="E317" s="120"/>
      <c r="F317" s="90" t="s">
        <v>1607</v>
      </c>
      <c r="G317" s="90"/>
      <c r="H317" s="90"/>
      <c r="I317" s="90" t="s">
        <v>1068</v>
      </c>
      <c r="J317" s="90"/>
      <c r="K317" s="90"/>
      <c r="L317" s="90" t="s">
        <v>1531</v>
      </c>
      <c r="M317" s="90"/>
      <c r="N317" s="90">
        <v>0.56599999999999995</v>
      </c>
      <c r="O317" s="90"/>
      <c r="P317" s="90"/>
      <c r="Q317" s="90">
        <v>0.19700000000000001</v>
      </c>
      <c r="R317" s="90"/>
      <c r="S317" s="90"/>
      <c r="T317" s="90">
        <v>0.23699999999999999</v>
      </c>
      <c r="U317" s="90"/>
      <c r="V317" s="90" t="s">
        <v>1305</v>
      </c>
      <c r="W317" s="90">
        <v>1373</v>
      </c>
      <c r="X317" s="90">
        <v>2</v>
      </c>
      <c r="Y317" s="90" t="s">
        <v>1533</v>
      </c>
      <c r="Z317" s="90" t="s">
        <v>56</v>
      </c>
      <c r="AA317" s="90">
        <v>1</v>
      </c>
      <c r="AB317" s="90" t="s">
        <v>518</v>
      </c>
      <c r="AC317" s="90">
        <v>4.5999999999999996</v>
      </c>
      <c r="AD317" s="90">
        <v>2.8</v>
      </c>
      <c r="AE317" s="90">
        <v>1.2</v>
      </c>
      <c r="AF317" s="90">
        <v>0</v>
      </c>
      <c r="AG317" s="90"/>
      <c r="AH317" s="90"/>
      <c r="AI317" s="90" t="s">
        <v>1552</v>
      </c>
      <c r="AJ317" s="90">
        <v>400</v>
      </c>
      <c r="AK317" s="90">
        <v>200</v>
      </c>
      <c r="AL317" s="90">
        <v>328</v>
      </c>
      <c r="AM317" s="1"/>
    </row>
    <row r="318" spans="1:39" ht="15" thickBot="1" x14ac:dyDescent="0.35">
      <c r="A318" s="118" t="s">
        <v>1630</v>
      </c>
      <c r="B318" s="114" t="s">
        <v>2923</v>
      </c>
      <c r="C318" s="114" t="s">
        <v>2927</v>
      </c>
      <c r="D318" s="120"/>
      <c r="E318" s="120"/>
      <c r="F318" s="90" t="s">
        <v>1088</v>
      </c>
      <c r="G318" s="90"/>
      <c r="H318" s="90"/>
      <c r="I318" s="90" t="s">
        <v>1068</v>
      </c>
      <c r="J318" s="90"/>
      <c r="K318" s="90"/>
      <c r="L318" s="90" t="s">
        <v>1531</v>
      </c>
      <c r="M318" s="90"/>
      <c r="N318" s="90">
        <v>0.67</v>
      </c>
      <c r="O318" s="90"/>
      <c r="P318" s="90"/>
      <c r="Q318" s="90">
        <v>0.14899999999999999</v>
      </c>
      <c r="R318" s="90"/>
      <c r="S318" s="90"/>
      <c r="T318" s="90">
        <v>0.18</v>
      </c>
      <c r="U318" s="90"/>
      <c r="V318" s="90" t="s">
        <v>1305</v>
      </c>
      <c r="W318" s="90">
        <v>1623</v>
      </c>
      <c r="X318" s="90">
        <v>2</v>
      </c>
      <c r="Y318" s="90" t="s">
        <v>1533</v>
      </c>
      <c r="Z318" s="90" t="s">
        <v>56</v>
      </c>
      <c r="AA318" s="90">
        <v>1</v>
      </c>
      <c r="AB318" s="90" t="s">
        <v>518</v>
      </c>
      <c r="AC318" s="90">
        <v>3.9</v>
      </c>
      <c r="AD318" s="90">
        <v>1.2</v>
      </c>
      <c r="AE318" s="90">
        <v>1.2</v>
      </c>
      <c r="AF318" s="90">
        <v>0</v>
      </c>
      <c r="AG318" s="90"/>
      <c r="AH318" s="90"/>
      <c r="AI318" s="90" t="s">
        <v>1552</v>
      </c>
      <c r="AJ318" s="90">
        <v>400</v>
      </c>
      <c r="AK318" s="90">
        <v>200</v>
      </c>
      <c r="AL318" s="90">
        <v>0</v>
      </c>
      <c r="AM318" s="1"/>
    </row>
    <row r="319" spans="1:39" ht="15" thickBot="1" x14ac:dyDescent="0.35">
      <c r="A319" s="118" t="s">
        <v>1630</v>
      </c>
      <c r="B319" s="114" t="s">
        <v>2923</v>
      </c>
      <c r="C319" s="114" t="s">
        <v>2928</v>
      </c>
      <c r="D319" s="120"/>
      <c r="E319" s="120"/>
      <c r="F319" s="90" t="s">
        <v>1088</v>
      </c>
      <c r="G319" s="90"/>
      <c r="H319" s="90"/>
      <c r="I319" s="90" t="s">
        <v>1068</v>
      </c>
      <c r="J319" s="90"/>
      <c r="K319" s="90"/>
      <c r="L319" s="90" t="s">
        <v>1531</v>
      </c>
      <c r="M319" s="90"/>
      <c r="N319" s="90">
        <v>0.67</v>
      </c>
      <c r="O319" s="90"/>
      <c r="P319" s="90"/>
      <c r="Q319" s="90">
        <v>0.14899999999999999</v>
      </c>
      <c r="R319" s="90"/>
      <c r="S319" s="90"/>
      <c r="T319" s="90">
        <v>0.18</v>
      </c>
      <c r="U319" s="90"/>
      <c r="V319" s="90" t="s">
        <v>1305</v>
      </c>
      <c r="W319" s="90">
        <v>1623</v>
      </c>
      <c r="X319" s="90">
        <v>2</v>
      </c>
      <c r="Y319" s="90" t="s">
        <v>1533</v>
      </c>
      <c r="Z319" s="90" t="s">
        <v>56</v>
      </c>
      <c r="AA319" s="90">
        <v>1</v>
      </c>
      <c r="AB319" s="90" t="s">
        <v>518</v>
      </c>
      <c r="AC319" s="90">
        <v>3.9</v>
      </c>
      <c r="AD319" s="90">
        <v>3</v>
      </c>
      <c r="AE319" s="90">
        <v>1.2</v>
      </c>
      <c r="AF319" s="90">
        <v>0</v>
      </c>
      <c r="AG319" s="90"/>
      <c r="AH319" s="90"/>
      <c r="AI319" s="90" t="s">
        <v>1552</v>
      </c>
      <c r="AJ319" s="90">
        <v>400</v>
      </c>
      <c r="AK319" s="90">
        <v>200</v>
      </c>
      <c r="AL319" s="90">
        <v>1</v>
      </c>
      <c r="AM319" s="1"/>
    </row>
    <row r="320" spans="1:39" ht="15" thickBot="1" x14ac:dyDescent="0.35">
      <c r="A320" s="118" t="s">
        <v>1630</v>
      </c>
      <c r="B320" s="114" t="s">
        <v>2923</v>
      </c>
      <c r="C320" s="114" t="s">
        <v>2929</v>
      </c>
      <c r="D320" s="120"/>
      <c r="E320" s="120"/>
      <c r="F320" s="90" t="s">
        <v>1607</v>
      </c>
      <c r="G320" s="90"/>
      <c r="H320" s="90"/>
      <c r="I320" s="90" t="s">
        <v>1530</v>
      </c>
      <c r="J320" s="90"/>
      <c r="K320" s="90"/>
      <c r="L320" s="90" t="s">
        <v>1531</v>
      </c>
      <c r="M320" s="90"/>
      <c r="N320" s="90">
        <v>0.46100000000000002</v>
      </c>
      <c r="O320" s="90"/>
      <c r="P320" s="90"/>
      <c r="Q320" s="90">
        <v>0.46100000000000002</v>
      </c>
      <c r="R320" s="90"/>
      <c r="S320" s="90"/>
      <c r="T320" s="90">
        <v>0.28999999999999998</v>
      </c>
      <c r="U320" s="90"/>
      <c r="V320" s="90" t="s">
        <v>1305</v>
      </c>
      <c r="W320" s="90">
        <v>1173</v>
      </c>
      <c r="X320" s="90">
        <v>2</v>
      </c>
      <c r="Y320" s="90" t="s">
        <v>1533</v>
      </c>
      <c r="Z320" s="90" t="s">
        <v>56</v>
      </c>
      <c r="AA320" s="90">
        <v>1</v>
      </c>
      <c r="AB320" s="90" t="s">
        <v>518</v>
      </c>
      <c r="AC320" s="90">
        <v>3.9</v>
      </c>
      <c r="AD320" s="90">
        <v>2.8</v>
      </c>
      <c r="AE320" s="90">
        <v>1.2</v>
      </c>
      <c r="AF320" s="90">
        <v>0</v>
      </c>
      <c r="AG320" s="90"/>
      <c r="AH320" s="90"/>
      <c r="AI320" s="90" t="s">
        <v>1552</v>
      </c>
      <c r="AJ320" s="90">
        <v>400</v>
      </c>
      <c r="AK320" s="90">
        <v>200</v>
      </c>
      <c r="AL320" s="90">
        <v>2</v>
      </c>
      <c r="AM320" s="1"/>
    </row>
    <row r="321" spans="1:39" ht="15" thickBot="1" x14ac:dyDescent="0.35">
      <c r="A321" s="118" t="s">
        <v>1630</v>
      </c>
      <c r="B321" s="114" t="s">
        <v>2923</v>
      </c>
      <c r="C321" s="114" t="s">
        <v>2929</v>
      </c>
      <c r="D321" s="120"/>
      <c r="E321" s="12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 t="s">
        <v>1305</v>
      </c>
      <c r="W321" s="90">
        <v>1373</v>
      </c>
      <c r="X321" s="90">
        <v>2</v>
      </c>
      <c r="Y321" s="90" t="s">
        <v>1533</v>
      </c>
      <c r="Z321" s="90" t="s">
        <v>56</v>
      </c>
      <c r="AA321" s="90">
        <v>1</v>
      </c>
      <c r="AB321" s="90"/>
      <c r="AC321" s="90">
        <v>3.9</v>
      </c>
      <c r="AD321" s="90">
        <v>2.5</v>
      </c>
      <c r="AE321" s="90">
        <v>1.2</v>
      </c>
      <c r="AF321" s="90">
        <v>0</v>
      </c>
      <c r="AG321" s="90"/>
      <c r="AH321" s="90"/>
      <c r="AI321" s="90" t="s">
        <v>1552</v>
      </c>
      <c r="AJ321" s="90">
        <v>400</v>
      </c>
      <c r="AK321" s="90">
        <v>200</v>
      </c>
      <c r="AL321" s="90">
        <v>70</v>
      </c>
      <c r="AM321" s="1"/>
    </row>
    <row r="322" spans="1:39" ht="15" thickBot="1" x14ac:dyDescent="0.35">
      <c r="A322" s="118" t="s">
        <v>1630</v>
      </c>
      <c r="B322" s="114" t="s">
        <v>2923</v>
      </c>
      <c r="C322" s="114" t="s">
        <v>2930</v>
      </c>
      <c r="D322" s="120"/>
      <c r="E322" s="120"/>
      <c r="F322" s="90" t="s">
        <v>1088</v>
      </c>
      <c r="G322" s="90"/>
      <c r="H322" s="90"/>
      <c r="I322" s="90" t="s">
        <v>1530</v>
      </c>
      <c r="J322" s="90"/>
      <c r="K322" s="90"/>
      <c r="L322" s="90" t="s">
        <v>1531</v>
      </c>
      <c r="M322" s="90"/>
      <c r="N322" s="90">
        <v>0.57199999999999995</v>
      </c>
      <c r="O322" s="90"/>
      <c r="P322" s="90"/>
      <c r="Q322" s="90">
        <v>0.57199999999999995</v>
      </c>
      <c r="R322" s="90"/>
      <c r="S322" s="90"/>
      <c r="T322" s="90">
        <v>0.23100000000000001</v>
      </c>
      <c r="U322" s="90"/>
      <c r="V322" s="90" t="s">
        <v>1305</v>
      </c>
      <c r="W322" s="90">
        <v>1273</v>
      </c>
      <c r="X322" s="90">
        <v>2</v>
      </c>
      <c r="Y322" s="90" t="s">
        <v>1533</v>
      </c>
      <c r="Z322" s="90" t="s">
        <v>56</v>
      </c>
      <c r="AA322" s="90">
        <v>1</v>
      </c>
      <c r="AB322" s="90" t="s">
        <v>1595</v>
      </c>
      <c r="AC322" s="90">
        <v>3.5</v>
      </c>
      <c r="AD322" s="90">
        <v>2</v>
      </c>
      <c r="AE322" s="90">
        <v>1.2</v>
      </c>
      <c r="AF322" s="90">
        <v>0</v>
      </c>
      <c r="AG322" s="90"/>
      <c r="AH322" s="90"/>
      <c r="AI322" s="90" t="s">
        <v>1552</v>
      </c>
      <c r="AJ322" s="90">
        <v>400</v>
      </c>
      <c r="AK322" s="90">
        <v>200</v>
      </c>
      <c r="AL322" s="90">
        <v>1700</v>
      </c>
      <c r="AM322" s="1"/>
    </row>
    <row r="323" spans="1:39" ht="15" thickBot="1" x14ac:dyDescent="0.35">
      <c r="A323" s="118" t="s">
        <v>1630</v>
      </c>
      <c r="B323" s="114" t="s">
        <v>2923</v>
      </c>
      <c r="C323" s="114" t="s">
        <v>2931</v>
      </c>
      <c r="D323" s="120"/>
      <c r="E323" s="120"/>
      <c r="F323" s="90" t="s">
        <v>1088</v>
      </c>
      <c r="G323" s="90"/>
      <c r="H323" s="90"/>
      <c r="I323" s="90" t="s">
        <v>1530</v>
      </c>
      <c r="J323" s="90"/>
      <c r="K323" s="90"/>
      <c r="L323" s="90" t="s">
        <v>1531</v>
      </c>
      <c r="M323" s="90"/>
      <c r="N323" s="90">
        <v>0.57199999999999995</v>
      </c>
      <c r="O323" s="90"/>
      <c r="P323" s="90"/>
      <c r="Q323" s="90">
        <v>0.57199999999999995</v>
      </c>
      <c r="R323" s="90"/>
      <c r="S323" s="90"/>
      <c r="T323" s="90">
        <v>0.23100000000000001</v>
      </c>
      <c r="U323" s="90"/>
      <c r="V323" s="90" t="s">
        <v>1305</v>
      </c>
      <c r="W323" s="90">
        <v>373</v>
      </c>
      <c r="X323" s="90">
        <v>2</v>
      </c>
      <c r="Y323" s="90" t="s">
        <v>1533</v>
      </c>
      <c r="Z323" s="90" t="s">
        <v>56</v>
      </c>
      <c r="AA323" s="90">
        <v>1</v>
      </c>
      <c r="AB323" s="90" t="s">
        <v>1595</v>
      </c>
      <c r="AC323" s="90">
        <v>3.5</v>
      </c>
      <c r="AD323" s="90">
        <v>2.2999999999999998</v>
      </c>
      <c r="AE323" s="90">
        <v>1.2</v>
      </c>
      <c r="AF323" s="90">
        <v>0</v>
      </c>
      <c r="AG323" s="90"/>
      <c r="AH323" s="90"/>
      <c r="AI323" s="90" t="s">
        <v>1552</v>
      </c>
      <c r="AJ323" s="90">
        <v>400</v>
      </c>
      <c r="AK323" s="90">
        <v>200</v>
      </c>
      <c r="AL323" s="90">
        <v>800</v>
      </c>
      <c r="AM323" s="1"/>
    </row>
    <row r="324" spans="1:39" ht="15" thickBot="1" x14ac:dyDescent="0.35">
      <c r="A324" s="118" t="s">
        <v>1630</v>
      </c>
      <c r="B324" s="114" t="s">
        <v>2923</v>
      </c>
      <c r="C324" s="114" t="s">
        <v>46</v>
      </c>
      <c r="D324" s="120"/>
      <c r="E324" s="120"/>
      <c r="F324" s="90" t="s">
        <v>1088</v>
      </c>
      <c r="G324" s="90"/>
      <c r="H324" s="90"/>
      <c r="I324" s="90" t="s">
        <v>1530</v>
      </c>
      <c r="J324" s="90"/>
      <c r="K324" s="90"/>
      <c r="L324" s="90" t="s">
        <v>1531</v>
      </c>
      <c r="M324" s="90"/>
      <c r="N324" s="90">
        <v>0.57199999999999995</v>
      </c>
      <c r="O324" s="90"/>
      <c r="P324" s="90"/>
      <c r="Q324" s="90">
        <v>0.57199999999999995</v>
      </c>
      <c r="R324" s="90"/>
      <c r="S324" s="90"/>
      <c r="T324" s="90">
        <v>0.23100000000000001</v>
      </c>
      <c r="U324" s="90"/>
      <c r="V324" s="90" t="s">
        <v>1305</v>
      </c>
      <c r="W324" s="90">
        <v>1273</v>
      </c>
      <c r="X324" s="90">
        <v>2</v>
      </c>
      <c r="Y324" s="90" t="s">
        <v>1533</v>
      </c>
      <c r="Z324" s="90" t="s">
        <v>56</v>
      </c>
      <c r="AA324" s="90">
        <v>1</v>
      </c>
      <c r="AB324" s="90" t="s">
        <v>1595</v>
      </c>
      <c r="AC324" s="90">
        <v>3.8</v>
      </c>
      <c r="AD324" s="90">
        <v>1.8</v>
      </c>
      <c r="AE324" s="90">
        <v>1.2</v>
      </c>
      <c r="AF324" s="90">
        <v>0</v>
      </c>
      <c r="AG324" s="90"/>
      <c r="AH324" s="90"/>
      <c r="AI324" s="90" t="s">
        <v>1552</v>
      </c>
      <c r="AJ324" s="90">
        <v>400</v>
      </c>
      <c r="AK324" s="90">
        <v>200</v>
      </c>
      <c r="AL324" s="90">
        <v>4614</v>
      </c>
      <c r="AM324" s="1"/>
    </row>
    <row r="325" spans="1:39" ht="15" thickBot="1" x14ac:dyDescent="0.35">
      <c r="A325" s="118" t="s">
        <v>1631</v>
      </c>
      <c r="B325" s="114" t="s">
        <v>2932</v>
      </c>
      <c r="C325" s="114" t="s">
        <v>2841</v>
      </c>
      <c r="D325" s="120"/>
      <c r="E325" s="120"/>
      <c r="F325" s="90" t="s">
        <v>1529</v>
      </c>
      <c r="G325" s="90"/>
      <c r="H325" s="90"/>
      <c r="I325" s="90" t="s">
        <v>1570</v>
      </c>
      <c r="J325" s="90"/>
      <c r="K325" s="90"/>
      <c r="L325" s="90" t="s">
        <v>1531</v>
      </c>
      <c r="M325" s="90"/>
      <c r="N325" s="90">
        <v>0.34499999999999997</v>
      </c>
      <c r="O325" s="90"/>
      <c r="P325" s="90"/>
      <c r="Q325" s="90">
        <v>0.46700000000000003</v>
      </c>
      <c r="R325" s="90"/>
      <c r="S325" s="90"/>
      <c r="T325" s="90">
        <v>0.189</v>
      </c>
      <c r="U325" s="90"/>
      <c r="V325" s="90" t="s">
        <v>1305</v>
      </c>
      <c r="W325" s="90"/>
      <c r="X325" s="90"/>
      <c r="Y325" s="90"/>
      <c r="Z325" s="90"/>
      <c r="AA325" s="90"/>
      <c r="AB325" s="90" t="s">
        <v>1142</v>
      </c>
      <c r="AC325" s="90">
        <v>4.0999999999999996</v>
      </c>
      <c r="AD325" s="90">
        <v>0.4</v>
      </c>
      <c r="AE325" s="90">
        <v>0.54</v>
      </c>
      <c r="AF325" s="90">
        <v>13.5</v>
      </c>
      <c r="AG325" s="90"/>
      <c r="AH325" s="90"/>
      <c r="AI325" s="90" t="s">
        <v>1552</v>
      </c>
      <c r="AJ325" s="90">
        <v>200</v>
      </c>
      <c r="AK325" s="90">
        <v>300</v>
      </c>
      <c r="AL325" s="90">
        <v>7200</v>
      </c>
    </row>
    <row r="326" spans="1:39" ht="15" thickBot="1" x14ac:dyDescent="0.35">
      <c r="A326" s="118" t="s">
        <v>1631</v>
      </c>
      <c r="B326" s="114" t="s">
        <v>2932</v>
      </c>
      <c r="C326" s="114" t="s">
        <v>2841</v>
      </c>
      <c r="D326" s="120"/>
      <c r="E326" s="120"/>
      <c r="F326" s="90" t="s">
        <v>1529</v>
      </c>
      <c r="G326" s="90"/>
      <c r="H326" s="90"/>
      <c r="I326" s="90" t="s">
        <v>1570</v>
      </c>
      <c r="J326" s="90"/>
      <c r="K326" s="90"/>
      <c r="L326" s="90" t="s">
        <v>1531</v>
      </c>
      <c r="M326" s="90"/>
      <c r="N326" s="90">
        <v>0.34499999999999997</v>
      </c>
      <c r="O326" s="90"/>
      <c r="P326" s="90"/>
      <c r="Q326" s="90">
        <v>0.46700000000000003</v>
      </c>
      <c r="R326" s="90"/>
      <c r="S326" s="90"/>
      <c r="T326" s="90">
        <v>0.189</v>
      </c>
      <c r="U326" s="90"/>
      <c r="V326" s="90" t="s">
        <v>1305</v>
      </c>
      <c r="W326" s="90"/>
      <c r="X326" s="90"/>
      <c r="Y326" s="90"/>
      <c r="Z326" s="90"/>
      <c r="AA326" s="90"/>
      <c r="AB326" s="90" t="s">
        <v>1142</v>
      </c>
      <c r="AC326" s="90"/>
      <c r="AD326" s="90">
        <v>0.5</v>
      </c>
      <c r="AE326" s="90">
        <v>0.54</v>
      </c>
      <c r="AF326" s="90">
        <v>13.5</v>
      </c>
      <c r="AG326" s="90"/>
      <c r="AH326" s="90"/>
      <c r="AI326" s="90" t="s">
        <v>1552</v>
      </c>
      <c r="AJ326" s="90">
        <v>200</v>
      </c>
      <c r="AK326" s="90">
        <v>300</v>
      </c>
      <c r="AL326" s="90">
        <v>7200</v>
      </c>
    </row>
    <row r="327" spans="1:39" ht="15" thickBot="1" x14ac:dyDescent="0.35">
      <c r="A327" s="118" t="s">
        <v>1631</v>
      </c>
      <c r="B327" s="114" t="s">
        <v>2932</v>
      </c>
      <c r="C327" s="114" t="s">
        <v>2841</v>
      </c>
      <c r="D327" s="120"/>
      <c r="E327" s="120"/>
      <c r="F327" s="90" t="s">
        <v>1529</v>
      </c>
      <c r="G327" s="90"/>
      <c r="H327" s="90"/>
      <c r="I327" s="90" t="s">
        <v>1570</v>
      </c>
      <c r="J327" s="90"/>
      <c r="K327" s="90"/>
      <c r="L327" s="90" t="s">
        <v>1531</v>
      </c>
      <c r="M327" s="90"/>
      <c r="N327" s="90">
        <v>0.34499999999999997</v>
      </c>
      <c r="O327" s="90"/>
      <c r="P327" s="90"/>
      <c r="Q327" s="90">
        <v>0.46700000000000003</v>
      </c>
      <c r="R327" s="90"/>
      <c r="S327" s="90"/>
      <c r="T327" s="90">
        <v>0.189</v>
      </c>
      <c r="U327" s="90"/>
      <c r="V327" s="90" t="s">
        <v>1305</v>
      </c>
      <c r="W327" s="90"/>
      <c r="X327" s="90"/>
      <c r="Y327" s="90"/>
      <c r="Z327" s="90"/>
      <c r="AA327" s="90"/>
      <c r="AB327" s="90" t="s">
        <v>1142</v>
      </c>
      <c r="AC327" s="90"/>
      <c r="AD327" s="90">
        <v>0.3</v>
      </c>
      <c r="AE327" s="90">
        <v>0.54</v>
      </c>
      <c r="AF327" s="90">
        <v>13.5</v>
      </c>
      <c r="AG327" s="90"/>
      <c r="AH327" s="90"/>
      <c r="AI327" s="90" t="s">
        <v>1552</v>
      </c>
      <c r="AJ327" s="90">
        <v>200</v>
      </c>
      <c r="AK327" s="90">
        <v>300</v>
      </c>
      <c r="AL327" s="90">
        <v>720</v>
      </c>
    </row>
    <row r="328" spans="1:39" ht="15" thickBot="1" x14ac:dyDescent="0.35">
      <c r="A328" s="118" t="s">
        <v>1632</v>
      </c>
      <c r="B328" s="114" t="s">
        <v>2933</v>
      </c>
      <c r="C328" s="114" t="s">
        <v>2934</v>
      </c>
      <c r="D328" s="90"/>
      <c r="E328" s="120"/>
      <c r="F328" s="90" t="s">
        <v>1607</v>
      </c>
      <c r="G328" s="90"/>
      <c r="H328" s="90"/>
      <c r="I328" s="90" t="s">
        <v>964</v>
      </c>
      <c r="J328" s="90"/>
      <c r="K328" s="90"/>
      <c r="L328" s="90" t="s">
        <v>1531</v>
      </c>
      <c r="M328" s="90"/>
      <c r="N328" s="90">
        <v>0.315</v>
      </c>
      <c r="O328" s="90"/>
      <c r="P328" s="90"/>
      <c r="Q328" s="90">
        <v>0.497</v>
      </c>
      <c r="R328" s="90"/>
      <c r="S328" s="90"/>
      <c r="T328" s="90">
        <v>0.189</v>
      </c>
      <c r="U328" s="90"/>
      <c r="V328" s="90" t="s">
        <v>1407</v>
      </c>
      <c r="W328" s="90">
        <v>1673</v>
      </c>
      <c r="X328" s="90">
        <v>16</v>
      </c>
      <c r="Y328" s="90" t="s">
        <v>1533</v>
      </c>
      <c r="Z328" s="90" t="s">
        <v>1313</v>
      </c>
      <c r="AA328" s="90">
        <v>1</v>
      </c>
      <c r="AB328" s="90" t="s">
        <v>518</v>
      </c>
      <c r="AC328" s="90">
        <v>3.6</v>
      </c>
      <c r="AD328" s="90"/>
      <c r="AE328" s="90">
        <v>8.33</v>
      </c>
      <c r="AF328" s="90">
        <v>0</v>
      </c>
      <c r="AG328" s="90"/>
      <c r="AH328" s="90"/>
      <c r="AI328" s="90" t="s">
        <v>1552</v>
      </c>
      <c r="AJ328" s="90">
        <v>200</v>
      </c>
      <c r="AK328" s="90">
        <v>230</v>
      </c>
      <c r="AL328" s="90">
        <v>1</v>
      </c>
    </row>
    <row r="329" spans="1:39" ht="15" thickBot="1" x14ac:dyDescent="0.35">
      <c r="A329" s="118" t="s">
        <v>1632</v>
      </c>
      <c r="B329" s="114" t="s">
        <v>2933</v>
      </c>
      <c r="C329" s="114" t="s">
        <v>2935</v>
      </c>
      <c r="D329" s="90"/>
      <c r="E329" s="120"/>
      <c r="F329" s="90" t="s">
        <v>1607</v>
      </c>
      <c r="G329" s="90"/>
      <c r="H329" s="90"/>
      <c r="I329" s="90" t="s">
        <v>964</v>
      </c>
      <c r="J329" s="90"/>
      <c r="K329" s="90"/>
      <c r="L329" s="90" t="s">
        <v>1531</v>
      </c>
      <c r="M329" s="90"/>
      <c r="N329" s="90">
        <v>0.35299999999999998</v>
      </c>
      <c r="O329" s="90"/>
      <c r="P329" s="90"/>
      <c r="Q329" s="90">
        <v>0.45600000000000002</v>
      </c>
      <c r="R329" s="90"/>
      <c r="S329" s="90"/>
      <c r="T329" s="90">
        <v>0.191</v>
      </c>
      <c r="U329" s="90"/>
      <c r="V329" s="90" t="s">
        <v>1407</v>
      </c>
      <c r="W329" s="90">
        <v>1673</v>
      </c>
      <c r="X329" s="90">
        <v>16</v>
      </c>
      <c r="Y329" s="90" t="s">
        <v>1533</v>
      </c>
      <c r="Z329" s="90" t="s">
        <v>1313</v>
      </c>
      <c r="AA329" s="90">
        <v>1</v>
      </c>
      <c r="AB329" s="90" t="s">
        <v>518</v>
      </c>
      <c r="AC329" s="90">
        <v>3.75</v>
      </c>
      <c r="AD329" s="90"/>
      <c r="AE329" s="90">
        <v>8.33</v>
      </c>
      <c r="AF329" s="90">
        <v>0</v>
      </c>
      <c r="AG329" s="90"/>
      <c r="AH329" s="90"/>
      <c r="AI329" s="90" t="s">
        <v>1552</v>
      </c>
      <c r="AJ329" s="90">
        <v>200</v>
      </c>
      <c r="AK329" s="90">
        <v>230</v>
      </c>
      <c r="AL329" s="90">
        <v>3.1</v>
      </c>
    </row>
    <row r="330" spans="1:39" ht="15" thickBot="1" x14ac:dyDescent="0.35">
      <c r="A330" s="118" t="s">
        <v>1632</v>
      </c>
      <c r="B330" s="114" t="s">
        <v>2933</v>
      </c>
      <c r="C330" s="114" t="s">
        <v>2936</v>
      </c>
      <c r="D330" s="90"/>
      <c r="E330" s="120"/>
      <c r="F330" s="92" t="s">
        <v>1607</v>
      </c>
      <c r="G330" s="92"/>
      <c r="H330" s="92"/>
      <c r="I330" s="92" t="s">
        <v>964</v>
      </c>
      <c r="J330" s="92"/>
      <c r="K330" s="92"/>
      <c r="L330" s="92" t="s">
        <v>1531</v>
      </c>
      <c r="M330" s="92"/>
      <c r="N330" s="92">
        <v>0.39300000000000002</v>
      </c>
      <c r="O330" s="92"/>
      <c r="P330" s="92"/>
      <c r="Q330" s="92">
        <v>0.41499999999999998</v>
      </c>
      <c r="R330" s="92"/>
      <c r="S330" s="92"/>
      <c r="T330" s="92">
        <v>0.193</v>
      </c>
      <c r="U330" s="92"/>
      <c r="V330" s="90" t="s">
        <v>1407</v>
      </c>
      <c r="W330" s="90">
        <v>1673</v>
      </c>
      <c r="X330" s="90">
        <v>16</v>
      </c>
      <c r="Y330" s="90" t="s">
        <v>1533</v>
      </c>
      <c r="Z330" s="90" t="s">
        <v>1313</v>
      </c>
      <c r="AA330" s="90">
        <v>1</v>
      </c>
      <c r="AB330" s="90" t="s">
        <v>518</v>
      </c>
      <c r="AC330" s="90">
        <v>3.92</v>
      </c>
      <c r="AD330" s="90"/>
      <c r="AE330" s="90">
        <v>8.33</v>
      </c>
      <c r="AF330" s="90">
        <v>0</v>
      </c>
      <c r="AG330" s="90"/>
      <c r="AH330" s="90"/>
      <c r="AI330" s="90" t="s">
        <v>1552</v>
      </c>
      <c r="AJ330" s="90">
        <v>200</v>
      </c>
      <c r="AK330" s="90">
        <v>230</v>
      </c>
      <c r="AL330" s="90">
        <v>5</v>
      </c>
    </row>
    <row r="331" spans="1:39" ht="15" thickBot="1" x14ac:dyDescent="0.35">
      <c r="A331" s="118" t="s">
        <v>1632</v>
      </c>
      <c r="B331" s="114" t="s">
        <v>2933</v>
      </c>
      <c r="C331" s="114" t="s">
        <v>2937</v>
      </c>
      <c r="D331" s="90"/>
      <c r="E331" s="120"/>
      <c r="F331" s="92" t="s">
        <v>1607</v>
      </c>
      <c r="G331" s="92"/>
      <c r="H331" s="92"/>
      <c r="I331" s="92" t="s">
        <v>964</v>
      </c>
      <c r="J331" s="92"/>
      <c r="K331" s="92"/>
      <c r="L331" s="92" t="s">
        <v>1531</v>
      </c>
      <c r="M331" s="92"/>
      <c r="N331" s="92">
        <v>0.433</v>
      </c>
      <c r="O331" s="92"/>
      <c r="P331" s="92"/>
      <c r="Q331" s="92">
        <v>0.373</v>
      </c>
      <c r="R331" s="92"/>
      <c r="S331" s="92"/>
      <c r="T331" s="92">
        <v>0.19500000000000001</v>
      </c>
      <c r="U331" s="92"/>
      <c r="V331" s="90" t="s">
        <v>1264</v>
      </c>
      <c r="W331" s="90">
        <v>1673</v>
      </c>
      <c r="X331" s="90">
        <v>16</v>
      </c>
      <c r="Y331" s="90" t="s">
        <v>1533</v>
      </c>
      <c r="Z331" s="90" t="s">
        <v>1313</v>
      </c>
      <c r="AA331" s="90">
        <v>1</v>
      </c>
      <c r="AB331" s="90" t="s">
        <v>518</v>
      </c>
      <c r="AC331" s="90">
        <v>4.0999999999999996</v>
      </c>
      <c r="AD331" s="90"/>
      <c r="AE331" s="90">
        <v>8.33</v>
      </c>
      <c r="AF331" s="90">
        <v>0</v>
      </c>
      <c r="AG331" s="90"/>
      <c r="AH331" s="90"/>
      <c r="AI331" s="90" t="s">
        <v>1552</v>
      </c>
      <c r="AJ331" s="90">
        <v>200</v>
      </c>
      <c r="AK331" s="90">
        <v>230</v>
      </c>
      <c r="AL331" s="90">
        <v>6</v>
      </c>
    </row>
    <row r="332" spans="1:39" ht="15" thickBot="1" x14ac:dyDescent="0.35">
      <c r="A332" s="118" t="s">
        <v>1632</v>
      </c>
      <c r="B332" s="114" t="s">
        <v>2933</v>
      </c>
      <c r="C332" s="114" t="s">
        <v>2938</v>
      </c>
      <c r="D332" s="90"/>
      <c r="E332" s="120"/>
      <c r="F332" s="92" t="s">
        <v>1607</v>
      </c>
      <c r="G332" s="92"/>
      <c r="H332" s="92"/>
      <c r="I332" s="92" t="s">
        <v>964</v>
      </c>
      <c r="J332" s="92"/>
      <c r="K332" s="92"/>
      <c r="L332" s="92" t="s">
        <v>1531</v>
      </c>
      <c r="M332" s="92"/>
      <c r="N332" s="92">
        <v>0.47399999999999998</v>
      </c>
      <c r="O332" s="92"/>
      <c r="P332" s="92"/>
      <c r="Q332" s="92">
        <v>0.32900000000000001</v>
      </c>
      <c r="R332" s="92"/>
      <c r="S332" s="92"/>
      <c r="T332" s="92">
        <v>0.19700000000000001</v>
      </c>
      <c r="U332" s="92"/>
      <c r="V332" s="90" t="s">
        <v>1264</v>
      </c>
      <c r="W332" s="90">
        <v>1673</v>
      </c>
      <c r="X332" s="90">
        <v>16</v>
      </c>
      <c r="Y332" s="90" t="s">
        <v>1533</v>
      </c>
      <c r="Z332" s="90" t="s">
        <v>1313</v>
      </c>
      <c r="AA332" s="90">
        <v>1</v>
      </c>
      <c r="AB332" s="90" t="s">
        <v>518</v>
      </c>
      <c r="AC332" s="90">
        <v>4.18</v>
      </c>
      <c r="AD332" s="90"/>
      <c r="AE332" s="90">
        <v>8.33</v>
      </c>
      <c r="AF332" s="90">
        <v>0</v>
      </c>
      <c r="AG332" s="90"/>
      <c r="AH332" s="90"/>
      <c r="AI332" s="90" t="s">
        <v>1552</v>
      </c>
      <c r="AJ332" s="90">
        <v>200</v>
      </c>
      <c r="AK332" s="90">
        <v>230</v>
      </c>
      <c r="AL332" s="90">
        <v>7.9</v>
      </c>
    </row>
    <row r="333" spans="1:39" ht="15" thickBot="1" x14ac:dyDescent="0.35">
      <c r="A333" s="118" t="s">
        <v>1632</v>
      </c>
      <c r="B333" s="114" t="s">
        <v>2933</v>
      </c>
      <c r="C333" s="114" t="s">
        <v>2939</v>
      </c>
      <c r="D333" s="90"/>
      <c r="E333" s="120"/>
      <c r="F333" s="92" t="s">
        <v>1607</v>
      </c>
      <c r="G333" s="92"/>
      <c r="H333" s="92"/>
      <c r="I333" s="92" t="s">
        <v>964</v>
      </c>
      <c r="J333" s="92"/>
      <c r="K333" s="92"/>
      <c r="L333" s="92" t="s">
        <v>1531</v>
      </c>
      <c r="M333" s="92"/>
      <c r="N333" s="92">
        <v>0.51600000000000001</v>
      </c>
      <c r="O333" s="92"/>
      <c r="P333" s="92"/>
      <c r="Q333" s="92">
        <v>0.28499999999999998</v>
      </c>
      <c r="R333" s="92"/>
      <c r="S333" s="92"/>
      <c r="T333" s="92">
        <v>0.19900000000000001</v>
      </c>
      <c r="U333" s="92"/>
      <c r="V333" s="90" t="s">
        <v>1264</v>
      </c>
      <c r="W333" s="90">
        <v>1673</v>
      </c>
      <c r="X333" s="90">
        <v>16</v>
      </c>
      <c r="Y333" s="90" t="s">
        <v>1533</v>
      </c>
      <c r="Z333" s="90" t="s">
        <v>1313</v>
      </c>
      <c r="AA333" s="90">
        <v>1</v>
      </c>
      <c r="AB333" s="90" t="s">
        <v>518</v>
      </c>
      <c r="AC333" s="90">
        <v>4.3899999999999997</v>
      </c>
      <c r="AD333" s="90"/>
      <c r="AE333" s="90">
        <v>8.33</v>
      </c>
      <c r="AF333" s="90">
        <v>0</v>
      </c>
      <c r="AG333" s="90"/>
      <c r="AH333" s="90"/>
      <c r="AI333" s="90" t="s">
        <v>1552</v>
      </c>
      <c r="AJ333" s="90">
        <v>200</v>
      </c>
      <c r="AK333" s="90">
        <v>230</v>
      </c>
      <c r="AL333" s="90">
        <v>7</v>
      </c>
    </row>
    <row r="334" spans="1:39" ht="15" thickBot="1" x14ac:dyDescent="0.35">
      <c r="A334" s="118" t="s">
        <v>1632</v>
      </c>
      <c r="B334" s="114" t="s">
        <v>2933</v>
      </c>
      <c r="C334" s="114" t="s">
        <v>2938</v>
      </c>
      <c r="D334" s="90"/>
      <c r="E334" s="120"/>
      <c r="F334" s="92" t="s">
        <v>1607</v>
      </c>
      <c r="G334" s="92"/>
      <c r="H334" s="92"/>
      <c r="I334" s="92" t="s">
        <v>964</v>
      </c>
      <c r="J334" s="92"/>
      <c r="K334" s="92"/>
      <c r="L334" s="92" t="s">
        <v>1531</v>
      </c>
      <c r="M334" s="92"/>
      <c r="N334" s="92">
        <v>0.55900000000000005</v>
      </c>
      <c r="O334" s="92"/>
      <c r="P334" s="92"/>
      <c r="Q334" s="92">
        <v>0.24</v>
      </c>
      <c r="R334" s="92"/>
      <c r="S334" s="92"/>
      <c r="T334" s="92">
        <v>0.20100000000000001</v>
      </c>
      <c r="U334" s="92"/>
      <c r="V334" s="90" t="s">
        <v>1264</v>
      </c>
      <c r="W334" s="90">
        <v>1673</v>
      </c>
      <c r="X334" s="90">
        <v>16</v>
      </c>
      <c r="Y334" s="90" t="s">
        <v>1533</v>
      </c>
      <c r="Z334" s="90" t="s">
        <v>1313</v>
      </c>
      <c r="AA334" s="90">
        <v>1</v>
      </c>
      <c r="AB334" s="90" t="s">
        <v>518</v>
      </c>
      <c r="AC334" s="90">
        <v>4.87</v>
      </c>
      <c r="AD334" s="90"/>
      <c r="AE334" s="90">
        <v>8.33</v>
      </c>
      <c r="AF334" s="90">
        <v>0</v>
      </c>
      <c r="AG334" s="90"/>
      <c r="AH334" s="90"/>
      <c r="AI334" s="90" t="s">
        <v>1552</v>
      </c>
      <c r="AJ334" s="90">
        <v>200</v>
      </c>
      <c r="AK334" s="90">
        <v>230</v>
      </c>
      <c r="AL334" s="90">
        <v>5.8</v>
      </c>
    </row>
    <row r="335" spans="1:39" ht="15" thickBot="1" x14ac:dyDescent="0.35">
      <c r="A335" s="118" t="s">
        <v>1633</v>
      </c>
      <c r="B335" s="115" t="s">
        <v>2940</v>
      </c>
      <c r="C335" s="115" t="s">
        <v>1273</v>
      </c>
      <c r="D335" s="122"/>
      <c r="E335" s="122"/>
      <c r="F335" s="92" t="s">
        <v>1557</v>
      </c>
      <c r="G335" s="92"/>
      <c r="H335" s="92"/>
      <c r="I335" s="92" t="s">
        <v>1068</v>
      </c>
      <c r="J335" s="92"/>
      <c r="K335" s="92"/>
      <c r="L335" s="92" t="s">
        <v>1531</v>
      </c>
      <c r="M335" s="92"/>
      <c r="N335" s="92">
        <v>0.217</v>
      </c>
      <c r="O335" s="92"/>
      <c r="P335" s="92"/>
      <c r="Q335" s="92">
        <v>0.51600000000000001</v>
      </c>
      <c r="R335" s="92"/>
      <c r="S335" s="92"/>
      <c r="T335" s="92">
        <v>0.26700000000000002</v>
      </c>
      <c r="U335" s="92"/>
      <c r="V335" s="90" t="s">
        <v>1264</v>
      </c>
      <c r="W335" s="90"/>
      <c r="X335" s="90"/>
      <c r="Y335" s="90" t="s">
        <v>1268</v>
      </c>
      <c r="Z335" s="90" t="s">
        <v>863</v>
      </c>
      <c r="AA335" s="90">
        <v>0.5</v>
      </c>
      <c r="AB335" s="90" t="s">
        <v>1142</v>
      </c>
      <c r="AC335" s="90">
        <v>3.2</v>
      </c>
      <c r="AD335" s="90">
        <v>8.5</v>
      </c>
      <c r="AE335" s="90">
        <v>0.47599999999999998</v>
      </c>
      <c r="AF335" s="90">
        <v>12</v>
      </c>
      <c r="AG335" s="90"/>
      <c r="AH335" s="90"/>
      <c r="AI335" s="90" t="s">
        <v>1552</v>
      </c>
      <c r="AJ335" s="92">
        <v>400</v>
      </c>
      <c r="AK335" s="92">
        <v>365</v>
      </c>
      <c r="AL335" s="92">
        <v>2060</v>
      </c>
    </row>
    <row r="336" spans="1:39" ht="15" thickBot="1" x14ac:dyDescent="0.35">
      <c r="A336" s="118" t="s">
        <v>1634</v>
      </c>
      <c r="B336" s="115" t="s">
        <v>2941</v>
      </c>
      <c r="C336" s="115" t="s">
        <v>2902</v>
      </c>
      <c r="D336" s="90">
        <v>12.5</v>
      </c>
      <c r="E336" s="122"/>
      <c r="F336" s="92" t="s">
        <v>1578</v>
      </c>
      <c r="G336" s="92"/>
      <c r="H336" s="92"/>
      <c r="I336" s="92" t="s">
        <v>1068</v>
      </c>
      <c r="J336" s="92"/>
      <c r="K336" s="92"/>
      <c r="L336" s="92" t="s">
        <v>1531</v>
      </c>
      <c r="M336" s="92"/>
      <c r="N336" s="92">
        <v>0.14000000000000001</v>
      </c>
      <c r="O336" s="92"/>
      <c r="P336" s="92"/>
      <c r="Q336" s="92">
        <v>0.56699999999999995</v>
      </c>
      <c r="R336" s="92"/>
      <c r="S336" s="92"/>
      <c r="T336" s="92">
        <v>0.29299999999999998</v>
      </c>
      <c r="U336" s="92"/>
      <c r="V336" s="90" t="s">
        <v>1264</v>
      </c>
      <c r="W336" s="90">
        <v>773</v>
      </c>
      <c r="X336" s="90">
        <v>12</v>
      </c>
      <c r="Y336" s="90" t="s">
        <v>1268</v>
      </c>
      <c r="Z336" s="90" t="s">
        <v>863</v>
      </c>
      <c r="AA336" s="90">
        <v>0.8</v>
      </c>
      <c r="AB336" s="90"/>
      <c r="AC336" s="90">
        <v>3.2</v>
      </c>
      <c r="AD336" s="90">
        <v>12.5</v>
      </c>
      <c r="AE336" s="90">
        <v>0.81</v>
      </c>
      <c r="AF336" s="90">
        <v>18.5</v>
      </c>
      <c r="AG336" s="90"/>
      <c r="AH336" s="90"/>
      <c r="AI336" s="90" t="s">
        <v>1534</v>
      </c>
      <c r="AJ336" s="92">
        <v>300</v>
      </c>
      <c r="AK336" s="92">
        <v>300</v>
      </c>
      <c r="AL336" s="92">
        <v>12.3</v>
      </c>
    </row>
    <row r="337" spans="1:38" ht="15" thickBot="1" x14ac:dyDescent="0.35">
      <c r="A337" s="118" t="s">
        <v>1634</v>
      </c>
      <c r="B337" s="115" t="s">
        <v>2941</v>
      </c>
      <c r="C337" s="115" t="s">
        <v>2942</v>
      </c>
      <c r="D337" s="90">
        <v>17.399999999999999</v>
      </c>
      <c r="E337" s="122"/>
      <c r="F337" s="92" t="s">
        <v>1578</v>
      </c>
      <c r="G337" s="92"/>
      <c r="H337" s="92"/>
      <c r="I337" s="92" t="s">
        <v>1068</v>
      </c>
      <c r="J337" s="92" t="s">
        <v>964</v>
      </c>
      <c r="K337" s="92"/>
      <c r="L337" s="92" t="s">
        <v>1531</v>
      </c>
      <c r="M337" s="92"/>
      <c r="N337" s="92">
        <v>0.113</v>
      </c>
      <c r="O337" s="92"/>
      <c r="P337" s="92"/>
      <c r="Q337" s="92">
        <v>0.45600000000000002</v>
      </c>
      <c r="R337" s="92">
        <v>0.161</v>
      </c>
      <c r="S337" s="92"/>
      <c r="T337" s="92">
        <v>0.27400000000000002</v>
      </c>
      <c r="U337" s="92"/>
      <c r="V337" s="90" t="s">
        <v>1264</v>
      </c>
      <c r="W337" s="90">
        <v>773</v>
      </c>
      <c r="X337" s="90">
        <v>12</v>
      </c>
      <c r="Y337" s="90" t="s">
        <v>1268</v>
      </c>
      <c r="Z337" s="90" t="s">
        <v>863</v>
      </c>
      <c r="AA337" s="90">
        <v>0.8</v>
      </c>
      <c r="AB337" s="90"/>
      <c r="AC337" s="90">
        <v>3.1</v>
      </c>
      <c r="AD337" s="90">
        <v>17.399999999999999</v>
      </c>
      <c r="AE337" s="90">
        <v>0.81</v>
      </c>
      <c r="AF337" s="90">
        <v>18.5</v>
      </c>
      <c r="AG337" s="90"/>
      <c r="AH337" s="90"/>
      <c r="AI337" s="90" t="s">
        <v>1534</v>
      </c>
      <c r="AJ337" s="92">
        <v>300</v>
      </c>
      <c r="AK337" s="92">
        <v>300</v>
      </c>
      <c r="AL337" s="92">
        <v>16.899999999999999</v>
      </c>
    </row>
    <row r="338" spans="1:38" ht="15" thickBot="1" x14ac:dyDescent="0.35">
      <c r="A338" s="118" t="s">
        <v>1634</v>
      </c>
      <c r="B338" s="115" t="s">
        <v>2941</v>
      </c>
      <c r="C338" s="115" t="s">
        <v>2943</v>
      </c>
      <c r="D338" s="90">
        <v>22.9</v>
      </c>
      <c r="E338" s="122"/>
      <c r="F338" s="92" t="s">
        <v>1578</v>
      </c>
      <c r="G338" s="92"/>
      <c r="H338" s="92"/>
      <c r="I338" s="92" t="s">
        <v>1068</v>
      </c>
      <c r="J338" s="92" t="s">
        <v>964</v>
      </c>
      <c r="K338" s="92"/>
      <c r="L338" s="92" t="s">
        <v>1531</v>
      </c>
      <c r="M338" s="92"/>
      <c r="N338" s="92">
        <v>0.09</v>
      </c>
      <c r="O338" s="92"/>
      <c r="P338" s="92"/>
      <c r="Q338" s="92">
        <v>0.36199999999999999</v>
      </c>
      <c r="R338" s="92">
        <v>0.29799999999999999</v>
      </c>
      <c r="S338" s="92"/>
      <c r="T338" s="92">
        <v>0.25</v>
      </c>
      <c r="U338" s="92"/>
      <c r="V338" s="90" t="s">
        <v>1407</v>
      </c>
      <c r="W338" s="90">
        <v>773</v>
      </c>
      <c r="X338" s="90">
        <v>12</v>
      </c>
      <c r="Y338" s="90" t="s">
        <v>1268</v>
      </c>
      <c r="Z338" s="90" t="s">
        <v>863</v>
      </c>
      <c r="AA338" s="90">
        <v>0.8</v>
      </c>
      <c r="AB338" s="90"/>
      <c r="AC338" s="90">
        <v>3</v>
      </c>
      <c r="AD338" s="90">
        <v>22.9</v>
      </c>
      <c r="AE338" s="90">
        <v>0.81</v>
      </c>
      <c r="AF338" s="90">
        <v>18.5</v>
      </c>
      <c r="AG338" s="90"/>
      <c r="AH338" s="90"/>
      <c r="AI338" s="90" t="s">
        <v>1534</v>
      </c>
      <c r="AJ338" s="92">
        <v>300</v>
      </c>
      <c r="AK338" s="92">
        <v>300</v>
      </c>
      <c r="AL338" s="92">
        <v>42.9</v>
      </c>
    </row>
    <row r="339" spans="1:38" ht="15" thickBot="1" x14ac:dyDescent="0.35">
      <c r="A339" s="118" t="s">
        <v>1634</v>
      </c>
      <c r="B339" s="115" t="s">
        <v>2941</v>
      </c>
      <c r="C339" s="115" t="s">
        <v>2944</v>
      </c>
      <c r="D339" s="90">
        <v>29.3</v>
      </c>
      <c r="E339" s="122"/>
      <c r="F339" s="92" t="s">
        <v>1578</v>
      </c>
      <c r="G339" s="92"/>
      <c r="H339" s="92"/>
      <c r="I339" s="92" t="s">
        <v>1068</v>
      </c>
      <c r="J339" s="92" t="s">
        <v>964</v>
      </c>
      <c r="K339" s="92"/>
      <c r="L339" s="92" t="s">
        <v>1531</v>
      </c>
      <c r="M339" s="92"/>
      <c r="N339" s="92">
        <v>7.0000000000000007E-2</v>
      </c>
      <c r="O339" s="92"/>
      <c r="P339" s="92"/>
      <c r="Q339" s="92">
        <v>0.28100000000000003</v>
      </c>
      <c r="R339" s="92">
        <v>0.41699999999999998</v>
      </c>
      <c r="S339" s="92"/>
      <c r="T339" s="92">
        <v>0.23200000000000001</v>
      </c>
      <c r="U339" s="92"/>
      <c r="V339" s="90" t="s">
        <v>1428</v>
      </c>
      <c r="W339" s="90">
        <v>773</v>
      </c>
      <c r="X339" s="90">
        <v>12</v>
      </c>
      <c r="Y339" s="90" t="s">
        <v>1268</v>
      </c>
      <c r="Z339" s="90" t="s">
        <v>863</v>
      </c>
      <c r="AA339" s="90">
        <v>0.8</v>
      </c>
      <c r="AB339" s="90"/>
      <c r="AC339" s="90">
        <v>2.9</v>
      </c>
      <c r="AD339" s="90">
        <v>29.3</v>
      </c>
      <c r="AE339" s="90">
        <v>0.81</v>
      </c>
      <c r="AF339" s="90">
        <v>18.5</v>
      </c>
      <c r="AG339" s="90"/>
      <c r="AH339" s="90"/>
      <c r="AI339" s="90" t="s">
        <v>1534</v>
      </c>
      <c r="AJ339" s="92">
        <v>300</v>
      </c>
      <c r="AK339" s="92">
        <v>300</v>
      </c>
      <c r="AL339" s="92">
        <v>44.6</v>
      </c>
    </row>
    <row r="340" spans="1:38" ht="15" thickBot="1" x14ac:dyDescent="0.35">
      <c r="A340" s="118" t="s">
        <v>1634</v>
      </c>
      <c r="B340" s="115" t="s">
        <v>2941</v>
      </c>
      <c r="C340" s="115" t="s">
        <v>2945</v>
      </c>
      <c r="D340" s="90">
        <v>32.700000000000003</v>
      </c>
      <c r="E340" s="122"/>
      <c r="F340" s="92" t="s">
        <v>1578</v>
      </c>
      <c r="G340" s="92"/>
      <c r="H340" s="92"/>
      <c r="I340" s="92" t="s">
        <v>1068</v>
      </c>
      <c r="J340" s="92" t="s">
        <v>964</v>
      </c>
      <c r="K340" s="92"/>
      <c r="L340" s="92" t="s">
        <v>1531</v>
      </c>
      <c r="M340" s="92"/>
      <c r="N340" s="92">
        <v>5.1999999999999998E-2</v>
      </c>
      <c r="O340" s="92"/>
      <c r="P340" s="92"/>
      <c r="Q340" s="92">
        <v>0.21</v>
      </c>
      <c r="R340" s="92">
        <v>0.52</v>
      </c>
      <c r="S340" s="92"/>
      <c r="T340" s="92">
        <v>0.217</v>
      </c>
      <c r="U340" s="92"/>
      <c r="V340" s="90" t="s">
        <v>1428</v>
      </c>
      <c r="W340" s="90">
        <v>773</v>
      </c>
      <c r="X340" s="90">
        <v>12</v>
      </c>
      <c r="Y340" s="90" t="s">
        <v>1268</v>
      </c>
      <c r="Z340" s="90" t="s">
        <v>863</v>
      </c>
      <c r="AA340" s="90">
        <v>0.8</v>
      </c>
      <c r="AB340" s="90"/>
      <c r="AC340" s="90">
        <v>2.8</v>
      </c>
      <c r="AD340" s="90">
        <v>32.700000000000003</v>
      </c>
      <c r="AE340" s="90">
        <v>0.81</v>
      </c>
      <c r="AF340" s="90">
        <v>18.5</v>
      </c>
      <c r="AG340" s="90"/>
      <c r="AH340" s="90"/>
      <c r="AI340" s="90" t="s">
        <v>1534</v>
      </c>
      <c r="AJ340" s="92">
        <v>300</v>
      </c>
      <c r="AK340" s="92">
        <v>300</v>
      </c>
      <c r="AL340" s="92">
        <v>15.6</v>
      </c>
    </row>
    <row r="341" spans="1:38" ht="15" thickBot="1" x14ac:dyDescent="0.35">
      <c r="A341" s="118" t="s">
        <v>1634</v>
      </c>
      <c r="B341" s="115" t="s">
        <v>2941</v>
      </c>
      <c r="C341" s="115" t="s">
        <v>2946</v>
      </c>
      <c r="D341" s="90">
        <v>44</v>
      </c>
      <c r="E341" s="122"/>
      <c r="F341" s="92" t="s">
        <v>1578</v>
      </c>
      <c r="G341" s="92"/>
      <c r="H341" s="92"/>
      <c r="I341" s="92" t="s">
        <v>1068</v>
      </c>
      <c r="J341" s="92" t="s">
        <v>964</v>
      </c>
      <c r="K341" s="92"/>
      <c r="L341" s="92" t="s">
        <v>1531</v>
      </c>
      <c r="M341" s="92"/>
      <c r="N341" s="92">
        <v>2.3E-2</v>
      </c>
      <c r="O341" s="92"/>
      <c r="P341" s="92"/>
      <c r="Q341" s="92">
        <v>9.2999999999999999E-2</v>
      </c>
      <c r="R341" s="92">
        <v>0.69099999999999995</v>
      </c>
      <c r="S341" s="92"/>
      <c r="T341" s="92">
        <v>0.193</v>
      </c>
      <c r="U341" s="92"/>
      <c r="V341" s="90" t="s">
        <v>1428</v>
      </c>
      <c r="W341" s="90">
        <v>773</v>
      </c>
      <c r="X341" s="90">
        <v>12</v>
      </c>
      <c r="Y341" s="90" t="s">
        <v>1268</v>
      </c>
      <c r="Z341" s="90" t="s">
        <v>863</v>
      </c>
      <c r="AA341" s="90">
        <v>0.8</v>
      </c>
      <c r="AB341" s="90"/>
      <c r="AC341" s="90">
        <v>2.7</v>
      </c>
      <c r="AD341" s="90">
        <v>44</v>
      </c>
      <c r="AE341" s="90">
        <v>0.81</v>
      </c>
      <c r="AF341" s="90">
        <v>18.5</v>
      </c>
      <c r="AG341" s="90"/>
      <c r="AH341" s="90"/>
      <c r="AI341" s="90" t="s">
        <v>1534</v>
      </c>
      <c r="AJ341" s="92">
        <v>300</v>
      </c>
      <c r="AK341" s="92">
        <v>300</v>
      </c>
      <c r="AL341" s="92">
        <v>4.0999999999999996</v>
      </c>
    </row>
    <row r="342" spans="1:38" ht="15" thickBot="1" x14ac:dyDescent="0.35">
      <c r="A342" s="118" t="s">
        <v>1634</v>
      </c>
      <c r="B342" s="115" t="s">
        <v>2941</v>
      </c>
      <c r="C342" s="115" t="s">
        <v>2902</v>
      </c>
      <c r="D342" s="90">
        <v>12.5</v>
      </c>
      <c r="E342" s="122"/>
      <c r="F342" s="92" t="s">
        <v>1578</v>
      </c>
      <c r="G342" s="92"/>
      <c r="H342" s="92"/>
      <c r="I342" s="92" t="s">
        <v>1068</v>
      </c>
      <c r="J342" s="92"/>
      <c r="K342" s="92"/>
      <c r="L342" s="92" t="s">
        <v>1531</v>
      </c>
      <c r="M342" s="92"/>
      <c r="N342" s="92">
        <v>0.14000000000000001</v>
      </c>
      <c r="O342" s="92"/>
      <c r="P342" s="92"/>
      <c r="Q342" s="92">
        <v>0.56699999999999995</v>
      </c>
      <c r="R342" s="92"/>
      <c r="S342" s="92"/>
      <c r="T342" s="92">
        <v>0.29299999999999998</v>
      </c>
      <c r="U342" s="92"/>
      <c r="V342" s="90" t="s">
        <v>1428</v>
      </c>
      <c r="W342" s="90">
        <v>773</v>
      </c>
      <c r="X342" s="90">
        <v>12</v>
      </c>
      <c r="Y342" s="90" t="s">
        <v>1268</v>
      </c>
      <c r="Z342" s="90" t="s">
        <v>863</v>
      </c>
      <c r="AA342" s="90">
        <v>0.8</v>
      </c>
      <c r="AB342" s="90"/>
      <c r="AC342" s="90">
        <v>3.2</v>
      </c>
      <c r="AD342" s="90">
        <v>12.5</v>
      </c>
      <c r="AE342" s="90">
        <v>0.81</v>
      </c>
      <c r="AF342" s="90">
        <v>18.5</v>
      </c>
      <c r="AG342" s="90"/>
      <c r="AH342" s="90"/>
      <c r="AI342" s="90" t="s">
        <v>1534</v>
      </c>
      <c r="AJ342" s="92">
        <v>300</v>
      </c>
      <c r="AK342" s="92">
        <v>420</v>
      </c>
      <c r="AL342" s="92">
        <v>0.3</v>
      </c>
    </row>
    <row r="343" spans="1:38" ht="15" thickBot="1" x14ac:dyDescent="0.35">
      <c r="A343" s="118" t="s">
        <v>1634</v>
      </c>
      <c r="B343" s="115" t="s">
        <v>2941</v>
      </c>
      <c r="C343" s="115" t="s">
        <v>2942</v>
      </c>
      <c r="D343" s="90">
        <v>17.399999999999999</v>
      </c>
      <c r="E343" s="122"/>
      <c r="F343" s="92" t="s">
        <v>1578</v>
      </c>
      <c r="G343" s="92"/>
      <c r="H343" s="92"/>
      <c r="I343" s="92" t="s">
        <v>1068</v>
      </c>
      <c r="J343" s="92" t="s">
        <v>964</v>
      </c>
      <c r="K343" s="92"/>
      <c r="L343" s="92" t="s">
        <v>1531</v>
      </c>
      <c r="M343" s="92"/>
      <c r="N343" s="92">
        <v>0.113</v>
      </c>
      <c r="O343" s="92"/>
      <c r="P343" s="92"/>
      <c r="Q343" s="92">
        <v>0.45600000000000002</v>
      </c>
      <c r="R343" s="92">
        <v>0.161</v>
      </c>
      <c r="S343" s="92"/>
      <c r="T343" s="92">
        <v>0.27400000000000002</v>
      </c>
      <c r="U343" s="92"/>
      <c r="V343" s="90" t="s">
        <v>1428</v>
      </c>
      <c r="W343" s="90">
        <v>773</v>
      </c>
      <c r="X343" s="90">
        <v>12</v>
      </c>
      <c r="Y343" s="90" t="s">
        <v>1268</v>
      </c>
      <c r="Z343" s="90" t="s">
        <v>863</v>
      </c>
      <c r="AA343" s="90">
        <v>0.8</v>
      </c>
      <c r="AB343" s="90"/>
      <c r="AC343" s="90">
        <v>3.1</v>
      </c>
      <c r="AD343" s="90">
        <v>17.399999999999999</v>
      </c>
      <c r="AE343" s="90">
        <v>0.81</v>
      </c>
      <c r="AF343" s="90">
        <v>18.5</v>
      </c>
      <c r="AG343" s="90"/>
      <c r="AH343" s="90"/>
      <c r="AI343" s="90" t="s">
        <v>1534</v>
      </c>
      <c r="AJ343" s="92">
        <v>300</v>
      </c>
      <c r="AK343" s="92">
        <v>420</v>
      </c>
      <c r="AL343" s="92">
        <v>6.6</v>
      </c>
    </row>
    <row r="344" spans="1:38" ht="15" thickBot="1" x14ac:dyDescent="0.35">
      <c r="A344" s="118" t="s">
        <v>1634</v>
      </c>
      <c r="B344" s="115" t="s">
        <v>2941</v>
      </c>
      <c r="C344" s="115" t="s">
        <v>2943</v>
      </c>
      <c r="D344" s="90">
        <v>22.9</v>
      </c>
      <c r="E344" s="122"/>
      <c r="F344" s="92" t="s">
        <v>1578</v>
      </c>
      <c r="G344" s="92"/>
      <c r="H344" s="92"/>
      <c r="I344" s="92" t="s">
        <v>1068</v>
      </c>
      <c r="J344" s="92" t="s">
        <v>964</v>
      </c>
      <c r="K344" s="92"/>
      <c r="L344" s="92" t="s">
        <v>1531</v>
      </c>
      <c r="M344" s="92"/>
      <c r="N344" s="92">
        <v>0.09</v>
      </c>
      <c r="O344" s="92"/>
      <c r="P344" s="92"/>
      <c r="Q344" s="92">
        <v>0.36199999999999999</v>
      </c>
      <c r="R344" s="92">
        <v>0.29799999999999999</v>
      </c>
      <c r="S344" s="92"/>
      <c r="T344" s="92">
        <v>0.25</v>
      </c>
      <c r="U344" s="92"/>
      <c r="V344" s="90" t="s">
        <v>1428</v>
      </c>
      <c r="W344" s="90">
        <v>773</v>
      </c>
      <c r="X344" s="90">
        <v>12</v>
      </c>
      <c r="Y344" s="90" t="s">
        <v>1268</v>
      </c>
      <c r="Z344" s="90" t="s">
        <v>863</v>
      </c>
      <c r="AA344" s="90">
        <v>0.8</v>
      </c>
      <c r="AB344" s="90"/>
      <c r="AC344" s="90">
        <v>3</v>
      </c>
      <c r="AD344" s="90">
        <v>22.9</v>
      </c>
      <c r="AE344" s="90">
        <v>0.81</v>
      </c>
      <c r="AF344" s="90">
        <v>18.5</v>
      </c>
      <c r="AG344" s="90"/>
      <c r="AH344" s="90"/>
      <c r="AI344" s="90" t="s">
        <v>1534</v>
      </c>
      <c r="AJ344" s="92">
        <v>300</v>
      </c>
      <c r="AK344" s="92">
        <v>420</v>
      </c>
      <c r="AL344" s="92">
        <v>16.399999999999999</v>
      </c>
    </row>
    <row r="345" spans="1:38" ht="15" thickBot="1" x14ac:dyDescent="0.35">
      <c r="A345" s="118" t="s">
        <v>1634</v>
      </c>
      <c r="B345" s="115" t="s">
        <v>2941</v>
      </c>
      <c r="C345" s="115" t="s">
        <v>2944</v>
      </c>
      <c r="D345" s="90">
        <v>29.3</v>
      </c>
      <c r="E345" s="122"/>
      <c r="F345" s="92" t="s">
        <v>1578</v>
      </c>
      <c r="G345" s="92"/>
      <c r="H345" s="92"/>
      <c r="I345" s="92" t="s">
        <v>1068</v>
      </c>
      <c r="J345" s="92" t="s">
        <v>964</v>
      </c>
      <c r="K345" s="92"/>
      <c r="L345" s="92" t="s">
        <v>1531</v>
      </c>
      <c r="M345" s="92"/>
      <c r="N345" s="92">
        <v>7.0000000000000007E-2</v>
      </c>
      <c r="O345" s="92"/>
      <c r="P345" s="92"/>
      <c r="Q345" s="92">
        <v>0.28100000000000003</v>
      </c>
      <c r="R345" s="92">
        <v>0.41699999999999998</v>
      </c>
      <c r="S345" s="92"/>
      <c r="T345" s="92">
        <v>0.23200000000000001</v>
      </c>
      <c r="U345" s="92"/>
      <c r="V345" s="90" t="s">
        <v>1428</v>
      </c>
      <c r="W345" s="90">
        <v>773</v>
      </c>
      <c r="X345" s="90">
        <v>12</v>
      </c>
      <c r="Y345" s="90" t="s">
        <v>1268</v>
      </c>
      <c r="Z345" s="90" t="s">
        <v>863</v>
      </c>
      <c r="AA345" s="90">
        <v>0.8</v>
      </c>
      <c r="AB345" s="90"/>
      <c r="AC345" s="90">
        <v>2.9</v>
      </c>
      <c r="AD345" s="90">
        <v>29.3</v>
      </c>
      <c r="AE345" s="90">
        <v>0.81</v>
      </c>
      <c r="AF345" s="90">
        <v>18.5</v>
      </c>
      <c r="AG345" s="90"/>
      <c r="AH345" s="90"/>
      <c r="AI345" s="90" t="s">
        <v>1534</v>
      </c>
      <c r="AJ345" s="92">
        <v>300</v>
      </c>
      <c r="AK345" s="92">
        <v>420</v>
      </c>
      <c r="AL345" s="92">
        <v>13.2</v>
      </c>
    </row>
    <row r="346" spans="1:38" ht="15" thickBot="1" x14ac:dyDescent="0.35">
      <c r="A346" s="118" t="s">
        <v>1634</v>
      </c>
      <c r="B346" s="115" t="s">
        <v>2941</v>
      </c>
      <c r="C346" s="115" t="s">
        <v>2945</v>
      </c>
      <c r="D346" s="90">
        <v>32.700000000000003</v>
      </c>
      <c r="E346" s="122"/>
      <c r="F346" s="92" t="s">
        <v>1578</v>
      </c>
      <c r="G346" s="92"/>
      <c r="H346" s="92"/>
      <c r="I346" s="92" t="s">
        <v>1068</v>
      </c>
      <c r="J346" s="92" t="s">
        <v>964</v>
      </c>
      <c r="K346" s="92"/>
      <c r="L346" s="92" t="s">
        <v>1531</v>
      </c>
      <c r="M346" s="92"/>
      <c r="N346" s="92">
        <v>5.1999999999999998E-2</v>
      </c>
      <c r="O346" s="92"/>
      <c r="P346" s="92"/>
      <c r="Q346" s="92">
        <v>0.21</v>
      </c>
      <c r="R346" s="92">
        <v>0.52</v>
      </c>
      <c r="S346" s="92"/>
      <c r="T346" s="92">
        <v>0.217</v>
      </c>
      <c r="U346" s="92"/>
      <c r="V346" s="90" t="s">
        <v>1428</v>
      </c>
      <c r="W346" s="90">
        <v>773</v>
      </c>
      <c r="X346" s="90">
        <v>12</v>
      </c>
      <c r="Y346" s="90" t="s">
        <v>1268</v>
      </c>
      <c r="Z346" s="90" t="s">
        <v>863</v>
      </c>
      <c r="AA346" s="90">
        <v>0.8</v>
      </c>
      <c r="AB346" s="90"/>
      <c r="AC346" s="90">
        <v>2.8</v>
      </c>
      <c r="AD346" s="90">
        <v>32.700000000000003</v>
      </c>
      <c r="AE346" s="90">
        <v>0.81</v>
      </c>
      <c r="AF346" s="90">
        <v>18.5</v>
      </c>
      <c r="AG346" s="90"/>
      <c r="AH346" s="90"/>
      <c r="AI346" s="90" t="s">
        <v>1534</v>
      </c>
      <c r="AJ346" s="92">
        <v>300</v>
      </c>
      <c r="AK346" s="92">
        <v>420</v>
      </c>
      <c r="AL346" s="92">
        <v>4.8</v>
      </c>
    </row>
    <row r="347" spans="1:38" ht="15" thickBot="1" x14ac:dyDescent="0.35">
      <c r="A347" s="118" t="s">
        <v>1634</v>
      </c>
      <c r="B347" s="115" t="s">
        <v>2941</v>
      </c>
      <c r="C347" s="115" t="s">
        <v>2946</v>
      </c>
      <c r="D347" s="90">
        <v>44</v>
      </c>
      <c r="E347" s="122"/>
      <c r="F347" s="92" t="s">
        <v>1578</v>
      </c>
      <c r="G347" s="92"/>
      <c r="H347" s="92"/>
      <c r="I347" s="92" t="s">
        <v>1068</v>
      </c>
      <c r="J347" s="92" t="s">
        <v>964</v>
      </c>
      <c r="K347" s="92"/>
      <c r="L347" s="92" t="s">
        <v>1531</v>
      </c>
      <c r="M347" s="92"/>
      <c r="N347" s="92">
        <v>2.3E-2</v>
      </c>
      <c r="O347" s="92"/>
      <c r="P347" s="92"/>
      <c r="Q347" s="92">
        <v>9.2999999999999999E-2</v>
      </c>
      <c r="R347" s="92">
        <v>0.69099999999999995</v>
      </c>
      <c r="S347" s="92"/>
      <c r="T347" s="92">
        <v>0.193</v>
      </c>
      <c r="U347" s="92"/>
      <c r="V347" s="90" t="s">
        <v>1428</v>
      </c>
      <c r="W347" s="90">
        <v>773</v>
      </c>
      <c r="X347" s="90">
        <v>12</v>
      </c>
      <c r="Y347" s="90" t="s">
        <v>1268</v>
      </c>
      <c r="Z347" s="90" t="s">
        <v>863</v>
      </c>
      <c r="AA347" s="90">
        <v>0.8</v>
      </c>
      <c r="AB347" s="90"/>
      <c r="AC347" s="90">
        <v>2.7</v>
      </c>
      <c r="AD347" s="90">
        <v>44</v>
      </c>
      <c r="AE347" s="90">
        <v>0.81</v>
      </c>
      <c r="AF347" s="90">
        <v>18.5</v>
      </c>
      <c r="AG347" s="90"/>
      <c r="AH347" s="90"/>
      <c r="AI347" s="90" t="s">
        <v>1534</v>
      </c>
      <c r="AJ347" s="92">
        <v>300</v>
      </c>
      <c r="AK347" s="92">
        <v>420</v>
      </c>
      <c r="AL347" s="92">
        <v>1.3</v>
      </c>
    </row>
    <row r="348" spans="1:38" ht="15" thickBot="1" x14ac:dyDescent="0.35">
      <c r="A348" s="118" t="s">
        <v>1635</v>
      </c>
      <c r="B348" s="115" t="s">
        <v>219</v>
      </c>
      <c r="C348" s="115" t="s">
        <v>220</v>
      </c>
      <c r="D348" s="122"/>
      <c r="E348" s="122"/>
      <c r="F348" s="92" t="s">
        <v>1568</v>
      </c>
      <c r="G348" s="92"/>
      <c r="H348" s="92"/>
      <c r="I348" s="92" t="s">
        <v>1558</v>
      </c>
      <c r="J348" s="92"/>
      <c r="K348" s="92"/>
      <c r="L348" s="92" t="s">
        <v>1531</v>
      </c>
      <c r="M348" s="92"/>
      <c r="N348" s="92">
        <v>0.41599999999999998</v>
      </c>
      <c r="O348" s="92"/>
      <c r="P348" s="92"/>
      <c r="Q348" s="92">
        <v>0.439</v>
      </c>
      <c r="R348" s="92"/>
      <c r="S348" s="92"/>
      <c r="T348" s="92">
        <v>0.14499999999999999</v>
      </c>
      <c r="U348" s="92"/>
      <c r="V348" s="90" t="s">
        <v>1428</v>
      </c>
      <c r="W348" s="90">
        <v>1423</v>
      </c>
      <c r="X348" s="90">
        <v>18</v>
      </c>
      <c r="Y348" s="90"/>
      <c r="Z348" s="90"/>
      <c r="AA348" s="90"/>
      <c r="AB348" s="90" t="s">
        <v>1539</v>
      </c>
      <c r="AC348" s="90">
        <v>4.0599999999999996</v>
      </c>
      <c r="AD348" s="90"/>
      <c r="AE348" s="90">
        <v>1</v>
      </c>
      <c r="AF348" s="90">
        <v>20</v>
      </c>
      <c r="AG348" s="90"/>
      <c r="AH348" s="90"/>
      <c r="AI348" s="90" t="s">
        <v>1534</v>
      </c>
      <c r="AJ348" s="92">
        <v>300</v>
      </c>
      <c r="AK348" s="92">
        <v>400</v>
      </c>
      <c r="AL348" s="92">
        <v>300</v>
      </c>
    </row>
    <row r="349" spans="1:38" ht="15" thickBot="1" x14ac:dyDescent="0.35">
      <c r="A349" s="118" t="s">
        <v>1635</v>
      </c>
      <c r="B349" s="115" t="s">
        <v>219</v>
      </c>
      <c r="C349" s="115" t="s">
        <v>220</v>
      </c>
      <c r="D349" s="122"/>
      <c r="E349" s="122"/>
      <c r="F349" s="92" t="s">
        <v>1568</v>
      </c>
      <c r="G349" s="92"/>
      <c r="H349" s="92"/>
      <c r="I349" s="92" t="s">
        <v>1558</v>
      </c>
      <c r="J349" s="92"/>
      <c r="K349" s="92"/>
      <c r="L349" s="92" t="s">
        <v>1531</v>
      </c>
      <c r="M349" s="92" t="s">
        <v>676</v>
      </c>
      <c r="N349" s="92">
        <v>0.41599999999999998</v>
      </c>
      <c r="O349" s="92"/>
      <c r="P349" s="92"/>
      <c r="Q349" s="92">
        <v>0.438</v>
      </c>
      <c r="R349" s="92"/>
      <c r="S349" s="92"/>
      <c r="T349" s="92">
        <v>0.14499999999999999</v>
      </c>
      <c r="U349" s="92">
        <v>1E-3</v>
      </c>
      <c r="V349" s="90" t="s">
        <v>1428</v>
      </c>
      <c r="W349" s="90">
        <v>1423</v>
      </c>
      <c r="X349" s="90">
        <v>18</v>
      </c>
      <c r="Y349" s="90"/>
      <c r="Z349" s="90"/>
      <c r="AA349" s="90"/>
      <c r="AB349" s="90" t="s">
        <v>1539</v>
      </c>
      <c r="AC349" s="90">
        <v>1.78</v>
      </c>
      <c r="AD349" s="90"/>
      <c r="AE349" s="90">
        <v>1</v>
      </c>
      <c r="AF349" s="90">
        <v>20</v>
      </c>
      <c r="AG349" s="90"/>
      <c r="AH349" s="90"/>
      <c r="AI349" s="90" t="s">
        <v>1534</v>
      </c>
      <c r="AJ349" s="92">
        <v>300</v>
      </c>
      <c r="AK349" s="92">
        <v>400</v>
      </c>
      <c r="AL349" s="92">
        <v>500</v>
      </c>
    </row>
    <row r="350" spans="1:38" ht="15" thickBot="1" x14ac:dyDescent="0.35">
      <c r="A350" s="118" t="s">
        <v>1636</v>
      </c>
      <c r="B350" s="115" t="s">
        <v>2947</v>
      </c>
      <c r="C350" s="115" t="s">
        <v>28</v>
      </c>
      <c r="D350" s="122"/>
      <c r="E350" s="122"/>
      <c r="F350" s="92" t="s">
        <v>1578</v>
      </c>
      <c r="G350" s="92"/>
      <c r="H350" s="92"/>
      <c r="I350" s="92" t="s">
        <v>1558</v>
      </c>
      <c r="J350" s="92"/>
      <c r="K350" s="92"/>
      <c r="L350" s="92" t="s">
        <v>1531</v>
      </c>
      <c r="M350" s="92"/>
      <c r="N350" s="92">
        <v>9.0999999999999998E-2</v>
      </c>
      <c r="O350" s="92"/>
      <c r="P350" s="92"/>
      <c r="Q350" s="92">
        <v>0.71799999999999997</v>
      </c>
      <c r="R350" s="92"/>
      <c r="S350" s="92"/>
      <c r="T350" s="92">
        <v>0.191</v>
      </c>
      <c r="U350" s="92"/>
      <c r="V350" s="90" t="s">
        <v>1428</v>
      </c>
      <c r="W350" s="90"/>
      <c r="X350" s="90"/>
      <c r="Y350" s="90"/>
      <c r="Z350" s="90"/>
      <c r="AA350" s="90"/>
      <c r="AB350" s="90" t="s">
        <v>1142</v>
      </c>
      <c r="AC350" s="90">
        <v>3.64</v>
      </c>
      <c r="AD350" s="90"/>
      <c r="AE350" s="90">
        <v>1</v>
      </c>
      <c r="AF350" s="90">
        <v>25</v>
      </c>
      <c r="AG350" s="90" t="s">
        <v>1637</v>
      </c>
      <c r="AH350" s="90"/>
      <c r="AI350" s="90" t="s">
        <v>1534</v>
      </c>
      <c r="AJ350" s="92">
        <v>300</v>
      </c>
      <c r="AK350" s="92">
        <v>420</v>
      </c>
      <c r="AL350" s="92">
        <v>1660</v>
      </c>
    </row>
    <row r="351" spans="1:38" ht="15" thickBot="1" x14ac:dyDescent="0.35">
      <c r="A351" s="118" t="s">
        <v>1636</v>
      </c>
      <c r="B351" s="115" t="s">
        <v>2947</v>
      </c>
      <c r="C351" s="115" t="s">
        <v>28</v>
      </c>
      <c r="D351" s="122"/>
      <c r="E351" s="122"/>
      <c r="F351" s="92" t="s">
        <v>1578</v>
      </c>
      <c r="G351" s="92"/>
      <c r="H351" s="92"/>
      <c r="I351" s="92" t="s">
        <v>1558</v>
      </c>
      <c r="J351" s="92"/>
      <c r="K351" s="92"/>
      <c r="L351" s="92" t="s">
        <v>1531</v>
      </c>
      <c r="M351" s="92"/>
      <c r="N351" s="92">
        <v>9.0999999999999998E-2</v>
      </c>
      <c r="O351" s="92"/>
      <c r="P351" s="92"/>
      <c r="Q351" s="92">
        <v>0.71799999999999997</v>
      </c>
      <c r="R351" s="92"/>
      <c r="S351" s="92"/>
      <c r="T351" s="92">
        <v>0.191</v>
      </c>
      <c r="U351" s="92"/>
      <c r="V351" s="90" t="s">
        <v>1264</v>
      </c>
      <c r="W351" s="90"/>
      <c r="X351" s="90"/>
      <c r="Y351" s="90" t="s">
        <v>1268</v>
      </c>
      <c r="Z351" s="90" t="s">
        <v>1555</v>
      </c>
      <c r="AA351" s="90">
        <v>0.05</v>
      </c>
      <c r="AB351" s="90" t="s">
        <v>1142</v>
      </c>
      <c r="AC351" s="90">
        <v>3.64</v>
      </c>
      <c r="AD351" s="90"/>
      <c r="AE351" s="90">
        <v>1</v>
      </c>
      <c r="AF351" s="90">
        <v>25</v>
      </c>
      <c r="AG351" s="90" t="s">
        <v>1637</v>
      </c>
      <c r="AH351" s="90"/>
      <c r="AI351" s="90" t="s">
        <v>1534</v>
      </c>
      <c r="AJ351" s="92">
        <v>300</v>
      </c>
      <c r="AK351" s="92">
        <v>420</v>
      </c>
      <c r="AL351" s="92">
        <v>2740</v>
      </c>
    </row>
    <row r="352" spans="1:38" ht="15" thickBot="1" x14ac:dyDescent="0.35">
      <c r="A352" s="118" t="s">
        <v>1636</v>
      </c>
      <c r="B352" s="115" t="s">
        <v>2947</v>
      </c>
      <c r="C352" s="115" t="s">
        <v>28</v>
      </c>
      <c r="D352" s="122"/>
      <c r="E352" s="122"/>
      <c r="F352" s="90" t="s">
        <v>1578</v>
      </c>
      <c r="G352" s="90"/>
      <c r="H352" s="90"/>
      <c r="I352" s="90" t="s">
        <v>1558</v>
      </c>
      <c r="J352" s="90"/>
      <c r="K352" s="90"/>
      <c r="L352" s="90" t="s">
        <v>1531</v>
      </c>
      <c r="M352" s="90"/>
      <c r="N352" s="90">
        <v>9.0999999999999998E-2</v>
      </c>
      <c r="O352" s="90"/>
      <c r="P352" s="90"/>
      <c r="Q352" s="90">
        <v>0.71799999999999997</v>
      </c>
      <c r="R352" s="90"/>
      <c r="S352" s="90"/>
      <c r="T352" s="90">
        <v>0.191</v>
      </c>
      <c r="U352" s="90"/>
      <c r="V352" s="90" t="s">
        <v>1264</v>
      </c>
      <c r="W352" s="90"/>
      <c r="X352" s="90"/>
      <c r="Y352" s="90" t="s">
        <v>1268</v>
      </c>
      <c r="Z352" s="90" t="s">
        <v>1555</v>
      </c>
      <c r="AA352" s="90">
        <v>0.1</v>
      </c>
      <c r="AB352" s="90" t="s">
        <v>1142</v>
      </c>
      <c r="AC352" s="90">
        <v>3.64</v>
      </c>
      <c r="AD352" s="90"/>
      <c r="AE352" s="90">
        <v>1</v>
      </c>
      <c r="AF352" s="90">
        <v>25</v>
      </c>
      <c r="AG352" s="90" t="s">
        <v>1637</v>
      </c>
      <c r="AH352" s="90"/>
      <c r="AI352" s="90" t="s">
        <v>1534</v>
      </c>
      <c r="AJ352" s="92">
        <v>300</v>
      </c>
      <c r="AK352" s="92">
        <v>420</v>
      </c>
      <c r="AL352" s="92">
        <v>3540</v>
      </c>
    </row>
    <row r="353" spans="1:38" ht="15" thickBot="1" x14ac:dyDescent="0.35">
      <c r="A353" s="118" t="s">
        <v>1636</v>
      </c>
      <c r="B353" s="115" t="s">
        <v>2947</v>
      </c>
      <c r="C353" s="115" t="s">
        <v>28</v>
      </c>
      <c r="D353" s="122"/>
      <c r="E353" s="122"/>
      <c r="F353" s="90" t="s">
        <v>1578</v>
      </c>
      <c r="G353" s="90"/>
      <c r="H353" s="90"/>
      <c r="I353" s="90" t="s">
        <v>1558</v>
      </c>
      <c r="J353" s="90"/>
      <c r="K353" s="90"/>
      <c r="L353" s="90" t="s">
        <v>1531</v>
      </c>
      <c r="M353" s="90"/>
      <c r="N353" s="90">
        <v>9.0999999999999998E-2</v>
      </c>
      <c r="O353" s="90"/>
      <c r="P353" s="90"/>
      <c r="Q353" s="90">
        <v>0.71799999999999997</v>
      </c>
      <c r="R353" s="90"/>
      <c r="S353" s="90"/>
      <c r="T353" s="90">
        <v>0.191</v>
      </c>
      <c r="U353" s="90"/>
      <c r="V353" s="90" t="s">
        <v>1407</v>
      </c>
      <c r="W353" s="90"/>
      <c r="X353" s="90"/>
      <c r="Y353" s="90" t="s">
        <v>1268</v>
      </c>
      <c r="Z353" s="90" t="s">
        <v>1555</v>
      </c>
      <c r="AA353" s="90">
        <v>0.2</v>
      </c>
      <c r="AB353" s="90" t="s">
        <v>1142</v>
      </c>
      <c r="AC353" s="90">
        <v>3.64</v>
      </c>
      <c r="AD353" s="90"/>
      <c r="AE353" s="90">
        <v>1</v>
      </c>
      <c r="AF353" s="90">
        <v>25</v>
      </c>
      <c r="AG353" s="90" t="s">
        <v>1637</v>
      </c>
      <c r="AH353" s="90"/>
      <c r="AI353" s="90" t="s">
        <v>1534</v>
      </c>
      <c r="AJ353" s="90">
        <v>300</v>
      </c>
      <c r="AK353" s="90">
        <v>420</v>
      </c>
      <c r="AL353" s="90">
        <v>3170</v>
      </c>
    </row>
    <row r="354" spans="1:38" ht="15" thickBot="1" x14ac:dyDescent="0.35">
      <c r="A354" s="118" t="s">
        <v>1638</v>
      </c>
      <c r="B354" s="114"/>
      <c r="C354" s="115" t="s">
        <v>28</v>
      </c>
      <c r="D354" s="120"/>
      <c r="E354" s="120"/>
      <c r="F354" s="90" t="s">
        <v>1578</v>
      </c>
      <c r="G354" s="90"/>
      <c r="H354" s="90"/>
      <c r="I354" s="90" t="s">
        <v>1558</v>
      </c>
      <c r="J354" s="90"/>
      <c r="K354" s="90"/>
      <c r="L354" s="90" t="s">
        <v>1531</v>
      </c>
      <c r="M354" s="90"/>
      <c r="N354" s="90">
        <v>9.0999999999999998E-2</v>
      </c>
      <c r="O354" s="90"/>
      <c r="P354" s="90"/>
      <c r="Q354" s="90">
        <v>0.71799999999999997</v>
      </c>
      <c r="R354" s="90"/>
      <c r="S354" s="90"/>
      <c r="T354" s="90">
        <v>0.191</v>
      </c>
      <c r="U354" s="90"/>
      <c r="V354" s="90" t="s">
        <v>1407</v>
      </c>
      <c r="W354" s="90">
        <v>1423</v>
      </c>
      <c r="X354" s="90">
        <v>10</v>
      </c>
      <c r="Y354" s="90"/>
      <c r="Z354" s="90"/>
      <c r="AA354" s="90"/>
      <c r="AB354" s="90" t="s">
        <v>518</v>
      </c>
      <c r="AC354" s="90">
        <v>4</v>
      </c>
      <c r="AD354" s="90">
        <v>2</v>
      </c>
      <c r="AE354" s="90">
        <v>0.5</v>
      </c>
      <c r="AF354" s="90">
        <v>10</v>
      </c>
      <c r="AG354" s="90"/>
      <c r="AH354" s="90"/>
      <c r="AI354" s="90" t="s">
        <v>1552</v>
      </c>
      <c r="AJ354" s="90">
        <v>150</v>
      </c>
      <c r="AK354" s="90">
        <v>365</v>
      </c>
      <c r="AL354" s="90">
        <v>1600</v>
      </c>
    </row>
    <row r="355" spans="1:38" ht="15" thickBot="1" x14ac:dyDescent="0.35">
      <c r="A355" s="118" t="s">
        <v>1639</v>
      </c>
      <c r="B355" s="114"/>
      <c r="C355" s="115" t="s">
        <v>28</v>
      </c>
      <c r="D355" s="120"/>
      <c r="E355" s="120"/>
      <c r="F355" s="90" t="s">
        <v>1578</v>
      </c>
      <c r="G355" s="90"/>
      <c r="H355" s="90"/>
      <c r="I355" s="90" t="s">
        <v>1558</v>
      </c>
      <c r="J355" s="90"/>
      <c r="K355" s="90"/>
      <c r="L355" s="90" t="s">
        <v>1531</v>
      </c>
      <c r="M355" s="90"/>
      <c r="N355" s="90">
        <v>9.0999999999999998E-2</v>
      </c>
      <c r="O355" s="90"/>
      <c r="P355" s="90"/>
      <c r="Q355" s="90">
        <v>0.71799999999999997</v>
      </c>
      <c r="R355" s="90"/>
      <c r="S355" s="90"/>
      <c r="T355" s="90">
        <v>0.191</v>
      </c>
      <c r="U355" s="90"/>
      <c r="V355" s="90" t="s">
        <v>1407</v>
      </c>
      <c r="W355" s="90">
        <v>543</v>
      </c>
      <c r="X355" s="90">
        <v>2</v>
      </c>
      <c r="Y355" s="90"/>
      <c r="Z355" s="90"/>
      <c r="AA355" s="90"/>
      <c r="AB355" s="90" t="s">
        <v>518</v>
      </c>
      <c r="AC355" s="90">
        <v>3.75</v>
      </c>
      <c r="AD355" s="90"/>
      <c r="AE355" s="90">
        <v>0.6</v>
      </c>
      <c r="AF355" s="90">
        <v>20</v>
      </c>
      <c r="AG355" s="90"/>
      <c r="AH355" s="90"/>
      <c r="AI355" s="90" t="s">
        <v>1552</v>
      </c>
      <c r="AJ355" s="90">
        <v>450</v>
      </c>
      <c r="AK355" s="90">
        <v>365</v>
      </c>
      <c r="AL355" s="90">
        <v>90</v>
      </c>
    </row>
    <row r="356" spans="1:38" ht="15" thickBot="1" x14ac:dyDescent="0.35">
      <c r="A356" s="118" t="s">
        <v>1639</v>
      </c>
      <c r="B356" s="114"/>
      <c r="C356" s="115" t="s">
        <v>28</v>
      </c>
      <c r="D356" s="120"/>
      <c r="E356" s="120"/>
      <c r="F356" s="90" t="s">
        <v>1578</v>
      </c>
      <c r="G356" s="90"/>
      <c r="H356" s="90"/>
      <c r="I356" s="90" t="s">
        <v>1558</v>
      </c>
      <c r="J356" s="90"/>
      <c r="K356" s="90"/>
      <c r="L356" s="90" t="s">
        <v>1531</v>
      </c>
      <c r="M356" s="90"/>
      <c r="N356" s="90">
        <v>9.0999999999999998E-2</v>
      </c>
      <c r="O356" s="90"/>
      <c r="P356" s="90"/>
      <c r="Q356" s="90">
        <v>0.71799999999999997</v>
      </c>
      <c r="R356" s="90"/>
      <c r="S356" s="90"/>
      <c r="T356" s="90">
        <v>0.191</v>
      </c>
      <c r="U356" s="90"/>
      <c r="V356" s="90" t="s">
        <v>1407</v>
      </c>
      <c r="W356" s="90">
        <v>543</v>
      </c>
      <c r="X356" s="90">
        <v>2</v>
      </c>
      <c r="Y356" s="90" t="s">
        <v>1268</v>
      </c>
      <c r="Z356" s="90" t="s">
        <v>56</v>
      </c>
      <c r="AA356" s="90">
        <v>0.05</v>
      </c>
      <c r="AB356" s="90" t="s">
        <v>518</v>
      </c>
      <c r="AC356" s="90">
        <v>3.75</v>
      </c>
      <c r="AD356" s="90"/>
      <c r="AE356" s="90">
        <v>0.6</v>
      </c>
      <c r="AF356" s="90">
        <v>20</v>
      </c>
      <c r="AG356" s="90"/>
      <c r="AH356" s="90"/>
      <c r="AI356" s="90" t="s">
        <v>1552</v>
      </c>
      <c r="AJ356" s="90">
        <v>450</v>
      </c>
      <c r="AK356" s="90">
        <v>365</v>
      </c>
      <c r="AL356" s="90">
        <v>640</v>
      </c>
    </row>
    <row r="357" spans="1:38" ht="15" thickBot="1" x14ac:dyDescent="0.35">
      <c r="A357" s="118" t="s">
        <v>1639</v>
      </c>
      <c r="B357" s="114"/>
      <c r="C357" s="115" t="s">
        <v>28</v>
      </c>
      <c r="D357" s="120"/>
      <c r="E357" s="120"/>
      <c r="F357" s="90" t="s">
        <v>1578</v>
      </c>
      <c r="G357" s="90"/>
      <c r="H357" s="90"/>
      <c r="I357" s="90" t="s">
        <v>1558</v>
      </c>
      <c r="J357" s="90"/>
      <c r="K357" s="90"/>
      <c r="L357" s="90" t="s">
        <v>1531</v>
      </c>
      <c r="M357" s="90"/>
      <c r="N357" s="90">
        <v>9.0999999999999998E-2</v>
      </c>
      <c r="O357" s="90"/>
      <c r="P357" s="90"/>
      <c r="Q357" s="90">
        <v>0.71799999999999997</v>
      </c>
      <c r="R357" s="90"/>
      <c r="S357" s="90"/>
      <c r="T357" s="90">
        <v>0.191</v>
      </c>
      <c r="U357" s="90"/>
      <c r="V357" s="90" t="s">
        <v>1264</v>
      </c>
      <c r="W357" s="90">
        <v>543</v>
      </c>
      <c r="X357" s="90">
        <v>2</v>
      </c>
      <c r="Y357" s="90" t="s">
        <v>1268</v>
      </c>
      <c r="Z357" s="90" t="s">
        <v>56</v>
      </c>
      <c r="AA357" s="90">
        <v>0.1</v>
      </c>
      <c r="AB357" s="90" t="s">
        <v>518</v>
      </c>
      <c r="AC357" s="90">
        <v>3.75</v>
      </c>
      <c r="AD357" s="90"/>
      <c r="AE357" s="90">
        <v>0.6</v>
      </c>
      <c r="AF357" s="90">
        <v>20</v>
      </c>
      <c r="AG357" s="90"/>
      <c r="AH357" s="90"/>
      <c r="AI357" s="90" t="s">
        <v>1552</v>
      </c>
      <c r="AJ357" s="90">
        <v>450</v>
      </c>
      <c r="AK357" s="90">
        <v>365</v>
      </c>
      <c r="AL357" s="90">
        <v>740</v>
      </c>
    </row>
    <row r="358" spans="1:38" ht="15" thickBot="1" x14ac:dyDescent="0.35">
      <c r="A358" s="118" t="s">
        <v>1639</v>
      </c>
      <c r="B358" s="114"/>
      <c r="C358" s="115" t="s">
        <v>28</v>
      </c>
      <c r="D358" s="120"/>
      <c r="E358" s="120"/>
      <c r="F358" s="90" t="s">
        <v>1578</v>
      </c>
      <c r="G358" s="90"/>
      <c r="H358" s="90"/>
      <c r="I358" s="90" t="s">
        <v>1558</v>
      </c>
      <c r="J358" s="90"/>
      <c r="K358" s="90"/>
      <c r="L358" s="90" t="s">
        <v>1531</v>
      </c>
      <c r="M358" s="90"/>
      <c r="N358" s="90">
        <v>9.0999999999999998E-2</v>
      </c>
      <c r="O358" s="90"/>
      <c r="P358" s="90"/>
      <c r="Q358" s="90">
        <v>0.71799999999999997</v>
      </c>
      <c r="R358" s="90"/>
      <c r="S358" s="90"/>
      <c r="T358" s="90">
        <v>0.191</v>
      </c>
      <c r="U358" s="90"/>
      <c r="V358" s="90" t="s">
        <v>1407</v>
      </c>
      <c r="W358" s="90">
        <v>543</v>
      </c>
      <c r="X358" s="90">
        <v>2</v>
      </c>
      <c r="Y358" s="90" t="s">
        <v>1268</v>
      </c>
      <c r="Z358" s="90" t="s">
        <v>56</v>
      </c>
      <c r="AA358" s="90">
        <v>0.2</v>
      </c>
      <c r="AB358" s="90" t="s">
        <v>518</v>
      </c>
      <c r="AC358" s="90">
        <v>3.75</v>
      </c>
      <c r="AD358" s="90"/>
      <c r="AE358" s="90">
        <v>0.6</v>
      </c>
      <c r="AF358" s="90">
        <v>20</v>
      </c>
      <c r="AG358" s="90"/>
      <c r="AH358" s="90"/>
      <c r="AI358" s="90" t="s">
        <v>1552</v>
      </c>
      <c r="AJ358" s="90">
        <v>450</v>
      </c>
      <c r="AK358" s="90">
        <v>365</v>
      </c>
      <c r="AL358" s="90">
        <v>1900</v>
      </c>
    </row>
    <row r="359" spans="1:38" ht="15" thickBot="1" x14ac:dyDescent="0.35">
      <c r="A359" s="118" t="s">
        <v>1639</v>
      </c>
      <c r="B359" s="114"/>
      <c r="C359" s="115" t="s">
        <v>28</v>
      </c>
      <c r="D359" s="120"/>
      <c r="E359" s="120"/>
      <c r="F359" s="90" t="s">
        <v>1578</v>
      </c>
      <c r="G359" s="90"/>
      <c r="H359" s="90"/>
      <c r="I359" s="90" t="s">
        <v>1558</v>
      </c>
      <c r="J359" s="90"/>
      <c r="K359" s="90"/>
      <c r="L359" s="90" t="s">
        <v>1531</v>
      </c>
      <c r="M359" s="90"/>
      <c r="N359" s="90">
        <v>9.0999999999999998E-2</v>
      </c>
      <c r="O359" s="90"/>
      <c r="P359" s="90"/>
      <c r="Q359" s="90">
        <v>0.71799999999999997</v>
      </c>
      <c r="R359" s="90"/>
      <c r="S359" s="90"/>
      <c r="T359" s="90">
        <v>0.191</v>
      </c>
      <c r="U359" s="90"/>
      <c r="V359" s="90" t="s">
        <v>1407</v>
      </c>
      <c r="W359" s="90">
        <v>543</v>
      </c>
      <c r="X359" s="90">
        <v>2</v>
      </c>
      <c r="Y359" s="90" t="s">
        <v>1268</v>
      </c>
      <c r="Z359" s="90" t="s">
        <v>56</v>
      </c>
      <c r="AA359" s="90">
        <v>0.4</v>
      </c>
      <c r="AB359" s="90" t="s">
        <v>518</v>
      </c>
      <c r="AC359" s="90">
        <v>3.75</v>
      </c>
      <c r="AD359" s="90"/>
      <c r="AE359" s="90">
        <v>0.6</v>
      </c>
      <c r="AF359" s="90">
        <v>20</v>
      </c>
      <c r="AG359" s="90"/>
      <c r="AH359" s="90"/>
      <c r="AI359" s="90" t="s">
        <v>1552</v>
      </c>
      <c r="AJ359" s="90">
        <v>450</v>
      </c>
      <c r="AK359" s="90">
        <v>365</v>
      </c>
      <c r="AL359" s="90">
        <v>1600</v>
      </c>
    </row>
    <row r="360" spans="1:38" ht="15" thickBot="1" x14ac:dyDescent="0.35">
      <c r="A360" s="118" t="s">
        <v>1639</v>
      </c>
      <c r="B360" s="114"/>
      <c r="C360" s="115" t="s">
        <v>28</v>
      </c>
      <c r="D360" s="120"/>
      <c r="E360" s="120"/>
      <c r="F360" s="90" t="s">
        <v>1578</v>
      </c>
      <c r="G360" s="90"/>
      <c r="H360" s="90"/>
      <c r="I360" s="90" t="s">
        <v>1558</v>
      </c>
      <c r="J360" s="90"/>
      <c r="K360" s="90"/>
      <c r="L360" s="90" t="s">
        <v>1531</v>
      </c>
      <c r="M360" s="90"/>
      <c r="N360" s="90">
        <v>9.0999999999999998E-2</v>
      </c>
      <c r="O360" s="90"/>
      <c r="P360" s="90"/>
      <c r="Q360" s="90">
        <v>0.71799999999999997</v>
      </c>
      <c r="R360" s="90"/>
      <c r="S360" s="90"/>
      <c r="T360" s="90">
        <v>0.191</v>
      </c>
      <c r="U360" s="90"/>
      <c r="V360" s="90" t="s">
        <v>1407</v>
      </c>
      <c r="W360" s="90">
        <v>543</v>
      </c>
      <c r="X360" s="90">
        <v>2</v>
      </c>
      <c r="Y360" s="90" t="s">
        <v>1268</v>
      </c>
      <c r="Z360" s="90" t="s">
        <v>56</v>
      </c>
      <c r="AA360" s="90">
        <v>0.8</v>
      </c>
      <c r="AB360" s="90" t="s">
        <v>518</v>
      </c>
      <c r="AC360" s="90">
        <v>3.75</v>
      </c>
      <c r="AD360" s="90"/>
      <c r="AE360" s="90">
        <v>0.6</v>
      </c>
      <c r="AF360" s="90">
        <v>20</v>
      </c>
      <c r="AG360" s="90"/>
      <c r="AH360" s="90"/>
      <c r="AI360" s="90" t="s">
        <v>1552</v>
      </c>
      <c r="AJ360" s="90">
        <v>450</v>
      </c>
      <c r="AK360" s="90">
        <v>365</v>
      </c>
      <c r="AL360" s="90">
        <v>1000</v>
      </c>
    </row>
    <row r="361" spans="1:38" ht="15" thickBot="1" x14ac:dyDescent="0.35">
      <c r="A361" s="118" t="s">
        <v>1639</v>
      </c>
      <c r="B361" s="114"/>
      <c r="C361" s="115" t="s">
        <v>28</v>
      </c>
      <c r="D361" s="120"/>
      <c r="E361" s="120"/>
      <c r="F361" s="90" t="s">
        <v>1578</v>
      </c>
      <c r="G361" s="90"/>
      <c r="H361" s="90"/>
      <c r="I361" s="90" t="s">
        <v>1558</v>
      </c>
      <c r="J361" s="90"/>
      <c r="K361" s="90"/>
      <c r="L361" s="90" t="s">
        <v>1531</v>
      </c>
      <c r="M361" s="90"/>
      <c r="N361" s="90">
        <v>9.0999999999999998E-2</v>
      </c>
      <c r="O361" s="90"/>
      <c r="P361" s="90"/>
      <c r="Q361" s="90">
        <v>0.71799999999999997</v>
      </c>
      <c r="R361" s="90"/>
      <c r="S361" s="90"/>
      <c r="T361" s="90">
        <v>0.191</v>
      </c>
      <c r="U361" s="90"/>
      <c r="V361" s="90" t="s">
        <v>1407</v>
      </c>
      <c r="W361" s="90">
        <v>543</v>
      </c>
      <c r="X361" s="90">
        <v>2</v>
      </c>
      <c r="Y361" s="90" t="s">
        <v>1268</v>
      </c>
      <c r="Z361" s="90" t="s">
        <v>56</v>
      </c>
      <c r="AA361" s="90">
        <v>1.2</v>
      </c>
      <c r="AB361" s="90" t="s">
        <v>518</v>
      </c>
      <c r="AC361" s="90">
        <v>3.75</v>
      </c>
      <c r="AD361" s="90"/>
      <c r="AE361" s="90">
        <v>0.6</v>
      </c>
      <c r="AF361" s="90">
        <v>20</v>
      </c>
      <c r="AG361" s="90"/>
      <c r="AH361" s="90"/>
      <c r="AI361" s="90" t="s">
        <v>1552</v>
      </c>
      <c r="AJ361" s="90">
        <v>450</v>
      </c>
      <c r="AK361" s="90">
        <v>365</v>
      </c>
      <c r="AL361" s="90">
        <v>540</v>
      </c>
    </row>
    <row r="362" spans="1:38" ht="15" thickBot="1" x14ac:dyDescent="0.35">
      <c r="A362" s="118" t="s">
        <v>1639</v>
      </c>
      <c r="B362" s="114"/>
      <c r="C362" s="115" t="s">
        <v>28</v>
      </c>
      <c r="D362" s="120"/>
      <c r="E362" s="120"/>
      <c r="F362" s="90" t="s">
        <v>1578</v>
      </c>
      <c r="G362" s="90"/>
      <c r="H362" s="90"/>
      <c r="I362" s="90" t="s">
        <v>1558</v>
      </c>
      <c r="J362" s="90"/>
      <c r="K362" s="90"/>
      <c r="L362" s="90" t="s">
        <v>1531</v>
      </c>
      <c r="M362" s="90"/>
      <c r="N362" s="90">
        <v>9.0999999999999998E-2</v>
      </c>
      <c r="O362" s="90"/>
      <c r="P362" s="90"/>
      <c r="Q362" s="90">
        <v>0.71799999999999997</v>
      </c>
      <c r="R362" s="90"/>
      <c r="S362" s="90"/>
      <c r="T362" s="90">
        <v>0.191</v>
      </c>
      <c r="U362" s="90"/>
      <c r="V362" s="90" t="s">
        <v>1407</v>
      </c>
      <c r="W362" s="90">
        <v>543</v>
      </c>
      <c r="X362" s="90">
        <v>2</v>
      </c>
      <c r="Y362" s="90" t="s">
        <v>1268</v>
      </c>
      <c r="Z362" s="90" t="s">
        <v>56</v>
      </c>
      <c r="AA362" s="90">
        <v>1.6</v>
      </c>
      <c r="AB362" s="90" t="s">
        <v>518</v>
      </c>
      <c r="AC362" s="90">
        <v>3.75</v>
      </c>
      <c r="AD362" s="90"/>
      <c r="AE362" s="90">
        <v>0.6</v>
      </c>
      <c r="AF362" s="90">
        <v>20</v>
      </c>
      <c r="AG362" s="90"/>
      <c r="AH362" s="90"/>
      <c r="AI362" s="90" t="s">
        <v>1552</v>
      </c>
      <c r="AJ362" s="90">
        <v>450</v>
      </c>
      <c r="AK362" s="90">
        <v>365</v>
      </c>
      <c r="AL362" s="90">
        <v>460</v>
      </c>
    </row>
    <row r="363" spans="1:38" ht="15" thickBot="1" x14ac:dyDescent="0.35">
      <c r="A363" s="118" t="s">
        <v>1639</v>
      </c>
      <c r="B363" s="114"/>
      <c r="C363" s="115" t="s">
        <v>28</v>
      </c>
      <c r="D363" s="120"/>
      <c r="E363" s="120"/>
      <c r="F363" s="90" t="s">
        <v>1578</v>
      </c>
      <c r="G363" s="90"/>
      <c r="H363" s="90"/>
      <c r="I363" s="90" t="s">
        <v>1558</v>
      </c>
      <c r="J363" s="90"/>
      <c r="K363" s="90"/>
      <c r="L363" s="90" t="s">
        <v>1531</v>
      </c>
      <c r="M363" s="90"/>
      <c r="N363" s="90">
        <v>9.0999999999999998E-2</v>
      </c>
      <c r="O363" s="90"/>
      <c r="P363" s="90"/>
      <c r="Q363" s="90">
        <v>0.71799999999999997</v>
      </c>
      <c r="R363" s="90"/>
      <c r="S363" s="90"/>
      <c r="T363" s="90">
        <v>0.191</v>
      </c>
      <c r="U363" s="90"/>
      <c r="V363" s="90" t="s">
        <v>1407</v>
      </c>
      <c r="W363" s="90">
        <v>543</v>
      </c>
      <c r="X363" s="90">
        <v>2</v>
      </c>
      <c r="Y363" s="90" t="s">
        <v>1268</v>
      </c>
      <c r="Z363" s="90" t="s">
        <v>56</v>
      </c>
      <c r="AA363" s="90">
        <v>2</v>
      </c>
      <c r="AB363" s="90" t="s">
        <v>518</v>
      </c>
      <c r="AC363" s="90">
        <v>3.75</v>
      </c>
      <c r="AD363" s="90"/>
      <c r="AE363" s="90">
        <v>0.6</v>
      </c>
      <c r="AF363" s="90">
        <v>20</v>
      </c>
      <c r="AG363" s="90"/>
      <c r="AH363" s="90"/>
      <c r="AI363" s="90" t="s">
        <v>1552</v>
      </c>
      <c r="AJ363" s="90">
        <v>450</v>
      </c>
      <c r="AK363" s="90">
        <v>365</v>
      </c>
      <c r="AL363" s="90">
        <v>420</v>
      </c>
    </row>
    <row r="364" spans="1:38" ht="15" thickBot="1" x14ac:dyDescent="0.35">
      <c r="A364" s="118" t="s">
        <v>1639</v>
      </c>
      <c r="B364" s="114"/>
      <c r="C364" s="115" t="s">
        <v>28</v>
      </c>
      <c r="D364" s="120"/>
      <c r="E364" s="120"/>
      <c r="F364" s="90" t="s">
        <v>1578</v>
      </c>
      <c r="G364" s="90"/>
      <c r="H364" s="90"/>
      <c r="I364" s="90" t="s">
        <v>1558</v>
      </c>
      <c r="J364" s="90"/>
      <c r="K364" s="90"/>
      <c r="L364" s="90" t="s">
        <v>1531</v>
      </c>
      <c r="M364" s="90"/>
      <c r="N364" s="90">
        <v>9.0999999999999998E-2</v>
      </c>
      <c r="O364" s="90"/>
      <c r="P364" s="90"/>
      <c r="Q364" s="90">
        <v>0.71799999999999997</v>
      </c>
      <c r="R364" s="90"/>
      <c r="S364" s="90"/>
      <c r="T364" s="90">
        <v>0.191</v>
      </c>
      <c r="U364" s="90"/>
      <c r="V364" s="90" t="s">
        <v>1407</v>
      </c>
      <c r="W364" s="90">
        <v>543</v>
      </c>
      <c r="X364" s="90">
        <v>2</v>
      </c>
      <c r="Y364" s="90" t="s">
        <v>1533</v>
      </c>
      <c r="Z364" s="90" t="s">
        <v>56</v>
      </c>
      <c r="AA364" s="90">
        <v>0.05</v>
      </c>
      <c r="AB364" s="90" t="s">
        <v>518</v>
      </c>
      <c r="AC364" s="90">
        <v>3.75</v>
      </c>
      <c r="AD364" s="90"/>
      <c r="AE364" s="90">
        <v>0.6</v>
      </c>
      <c r="AF364" s="90">
        <v>20</v>
      </c>
      <c r="AG364" s="90"/>
      <c r="AH364" s="90"/>
      <c r="AI364" s="90" t="s">
        <v>1552</v>
      </c>
      <c r="AJ364" s="90">
        <v>450</v>
      </c>
      <c r="AK364" s="90">
        <v>365</v>
      </c>
      <c r="AL364" s="90">
        <v>160</v>
      </c>
    </row>
    <row r="365" spans="1:38" ht="15" thickBot="1" x14ac:dyDescent="0.35">
      <c r="A365" s="118" t="s">
        <v>1639</v>
      </c>
      <c r="B365" s="114"/>
      <c r="C365" s="115" t="s">
        <v>28</v>
      </c>
      <c r="D365" s="120"/>
      <c r="E365" s="120"/>
      <c r="F365" s="90" t="s">
        <v>1578</v>
      </c>
      <c r="G365" s="90"/>
      <c r="H365" s="90"/>
      <c r="I365" s="90" t="s">
        <v>1558</v>
      </c>
      <c r="J365" s="90"/>
      <c r="K365" s="90"/>
      <c r="L365" s="90" t="s">
        <v>1531</v>
      </c>
      <c r="M365" s="90"/>
      <c r="N365" s="90">
        <v>9.0999999999999998E-2</v>
      </c>
      <c r="O365" s="90"/>
      <c r="P365" s="90"/>
      <c r="Q365" s="90">
        <v>0.71799999999999997</v>
      </c>
      <c r="R365" s="90"/>
      <c r="S365" s="90"/>
      <c r="T365" s="90">
        <v>0.191</v>
      </c>
      <c r="U365" s="90"/>
      <c r="V365" s="90" t="s">
        <v>1407</v>
      </c>
      <c r="W365" s="90">
        <v>543</v>
      </c>
      <c r="X365" s="90">
        <v>2</v>
      </c>
      <c r="Y365" s="90" t="s">
        <v>1533</v>
      </c>
      <c r="Z365" s="90" t="s">
        <v>56</v>
      </c>
      <c r="AA365" s="90">
        <v>0.1</v>
      </c>
      <c r="AB365" s="90" t="s">
        <v>518</v>
      </c>
      <c r="AC365" s="90">
        <v>3.75</v>
      </c>
      <c r="AD365" s="90"/>
      <c r="AE365" s="90">
        <v>0.6</v>
      </c>
      <c r="AF365" s="90">
        <v>20</v>
      </c>
      <c r="AG365" s="90"/>
      <c r="AH365" s="90"/>
      <c r="AI365" s="90" t="s">
        <v>1552</v>
      </c>
      <c r="AJ365" s="90">
        <v>450</v>
      </c>
      <c r="AK365" s="90">
        <v>365</v>
      </c>
      <c r="AL365" s="90">
        <v>220</v>
      </c>
    </row>
    <row r="366" spans="1:38" ht="15" thickBot="1" x14ac:dyDescent="0.35">
      <c r="A366" s="118" t="s">
        <v>1639</v>
      </c>
      <c r="B366" s="114"/>
      <c r="C366" s="115" t="s">
        <v>28</v>
      </c>
      <c r="D366" s="120"/>
      <c r="E366" s="120"/>
      <c r="F366" s="90" t="s">
        <v>1578</v>
      </c>
      <c r="G366" s="90"/>
      <c r="H366" s="90"/>
      <c r="I366" s="90" t="s">
        <v>1558</v>
      </c>
      <c r="J366" s="90"/>
      <c r="K366" s="90"/>
      <c r="L366" s="90" t="s">
        <v>1531</v>
      </c>
      <c r="M366" s="90"/>
      <c r="N366" s="90">
        <v>9.0999999999999998E-2</v>
      </c>
      <c r="O366" s="90"/>
      <c r="P366" s="90"/>
      <c r="Q366" s="90">
        <v>0.71799999999999997</v>
      </c>
      <c r="R366" s="90"/>
      <c r="S366" s="90"/>
      <c r="T366" s="90">
        <v>0.191</v>
      </c>
      <c r="U366" s="90"/>
      <c r="V366" s="90" t="s">
        <v>1407</v>
      </c>
      <c r="W366" s="90">
        <v>543</v>
      </c>
      <c r="X366" s="90">
        <v>2</v>
      </c>
      <c r="Y366" s="90" t="s">
        <v>1533</v>
      </c>
      <c r="Z366" s="90" t="s">
        <v>56</v>
      </c>
      <c r="AA366" s="90">
        <v>0.2</v>
      </c>
      <c r="AB366" s="90" t="s">
        <v>518</v>
      </c>
      <c r="AC366" s="90">
        <v>3.75</v>
      </c>
      <c r="AD366" s="90"/>
      <c r="AE366" s="90">
        <v>0.6</v>
      </c>
      <c r="AF366" s="90">
        <v>20</v>
      </c>
      <c r="AG366" s="90"/>
      <c r="AH366" s="90"/>
      <c r="AI366" s="90" t="s">
        <v>1552</v>
      </c>
      <c r="AJ366" s="90">
        <v>450</v>
      </c>
      <c r="AK366" s="90">
        <v>365</v>
      </c>
      <c r="AL366" s="90">
        <v>340</v>
      </c>
    </row>
    <row r="367" spans="1:38" ht="15" thickBot="1" x14ac:dyDescent="0.35">
      <c r="A367" s="118" t="s">
        <v>1639</v>
      </c>
      <c r="B367" s="114"/>
      <c r="C367" s="115" t="s">
        <v>28</v>
      </c>
      <c r="D367" s="120"/>
      <c r="E367" s="120"/>
      <c r="F367" s="90" t="s">
        <v>1578</v>
      </c>
      <c r="G367" s="90"/>
      <c r="H367" s="90"/>
      <c r="I367" s="90" t="s">
        <v>1558</v>
      </c>
      <c r="J367" s="90"/>
      <c r="K367" s="90"/>
      <c r="L367" s="90" t="s">
        <v>1531</v>
      </c>
      <c r="M367" s="90"/>
      <c r="N367" s="90">
        <v>9.0999999999999998E-2</v>
      </c>
      <c r="O367" s="90"/>
      <c r="P367" s="90"/>
      <c r="Q367" s="90">
        <v>0.71799999999999997</v>
      </c>
      <c r="R367" s="90"/>
      <c r="S367" s="90"/>
      <c r="T367" s="90">
        <v>0.191</v>
      </c>
      <c r="U367" s="90"/>
      <c r="V367" s="90" t="s">
        <v>1407</v>
      </c>
      <c r="W367" s="90">
        <v>543</v>
      </c>
      <c r="X367" s="90">
        <v>2</v>
      </c>
      <c r="Y367" s="90" t="s">
        <v>1533</v>
      </c>
      <c r="Z367" s="90" t="s">
        <v>56</v>
      </c>
      <c r="AA367" s="90">
        <v>0.4</v>
      </c>
      <c r="AB367" s="90" t="s">
        <v>518</v>
      </c>
      <c r="AC367" s="90">
        <v>3.75</v>
      </c>
      <c r="AD367" s="90"/>
      <c r="AE367" s="90">
        <v>0.6</v>
      </c>
      <c r="AF367" s="90">
        <v>20</v>
      </c>
      <c r="AG367" s="90"/>
      <c r="AH367" s="90"/>
      <c r="AI367" s="90" t="s">
        <v>1552</v>
      </c>
      <c r="AJ367" s="90">
        <v>450</v>
      </c>
      <c r="AK367" s="90">
        <v>365</v>
      </c>
      <c r="AL367" s="90">
        <v>220</v>
      </c>
    </row>
    <row r="368" spans="1:38" ht="15" thickBot="1" x14ac:dyDescent="0.35">
      <c r="A368" s="118" t="s">
        <v>1639</v>
      </c>
      <c r="B368" s="114"/>
      <c r="C368" s="115" t="s">
        <v>28</v>
      </c>
      <c r="D368" s="120"/>
      <c r="E368" s="120"/>
      <c r="F368" s="90" t="s">
        <v>1578</v>
      </c>
      <c r="G368" s="90"/>
      <c r="H368" s="90"/>
      <c r="I368" s="90" t="s">
        <v>1558</v>
      </c>
      <c r="J368" s="90"/>
      <c r="K368" s="90"/>
      <c r="L368" s="90" t="s">
        <v>1531</v>
      </c>
      <c r="M368" s="90"/>
      <c r="N368" s="90">
        <v>9.0999999999999998E-2</v>
      </c>
      <c r="O368" s="90"/>
      <c r="P368" s="90"/>
      <c r="Q368" s="90">
        <v>0.71799999999999997</v>
      </c>
      <c r="R368" s="90"/>
      <c r="S368" s="90"/>
      <c r="T368" s="90">
        <v>0.191</v>
      </c>
      <c r="U368" s="90"/>
      <c r="V368" s="90" t="s">
        <v>1407</v>
      </c>
      <c r="W368" s="90">
        <v>543</v>
      </c>
      <c r="X368" s="90">
        <v>2</v>
      </c>
      <c r="Y368" s="90" t="s">
        <v>1533</v>
      </c>
      <c r="Z368" s="90" t="s">
        <v>56</v>
      </c>
      <c r="AA368" s="90">
        <v>0.8</v>
      </c>
      <c r="AB368" s="90" t="s">
        <v>518</v>
      </c>
      <c r="AC368" s="90">
        <v>3.75</v>
      </c>
      <c r="AD368" s="90"/>
      <c r="AE368" s="90">
        <v>0.6</v>
      </c>
      <c r="AF368" s="90">
        <v>20</v>
      </c>
      <c r="AG368" s="90"/>
      <c r="AH368" s="90"/>
      <c r="AI368" s="90" t="s">
        <v>1552</v>
      </c>
      <c r="AJ368" s="90">
        <v>450</v>
      </c>
      <c r="AK368" s="90">
        <v>365</v>
      </c>
      <c r="AL368" s="90">
        <v>310</v>
      </c>
    </row>
    <row r="369" spans="1:38" ht="15" thickBot="1" x14ac:dyDescent="0.35">
      <c r="A369" s="118" t="s">
        <v>1639</v>
      </c>
      <c r="B369" s="114"/>
      <c r="C369" s="115" t="s">
        <v>28</v>
      </c>
      <c r="D369" s="120"/>
      <c r="E369" s="120"/>
      <c r="F369" s="90" t="s">
        <v>1578</v>
      </c>
      <c r="G369" s="90"/>
      <c r="H369" s="90"/>
      <c r="I369" s="90" t="s">
        <v>1558</v>
      </c>
      <c r="J369" s="90"/>
      <c r="K369" s="90"/>
      <c r="L369" s="90" t="s">
        <v>1531</v>
      </c>
      <c r="M369" s="90"/>
      <c r="N369" s="90">
        <v>9.0999999999999998E-2</v>
      </c>
      <c r="O369" s="90"/>
      <c r="P369" s="90"/>
      <c r="Q369" s="90">
        <v>0.71799999999999997</v>
      </c>
      <c r="R369" s="90"/>
      <c r="S369" s="90"/>
      <c r="T369" s="90">
        <v>0.191</v>
      </c>
      <c r="U369" s="90"/>
      <c r="V369" s="90" t="s">
        <v>1407</v>
      </c>
      <c r="W369" s="90">
        <v>543</v>
      </c>
      <c r="X369" s="90">
        <v>2</v>
      </c>
      <c r="Y369" s="90" t="s">
        <v>1533</v>
      </c>
      <c r="Z369" s="90" t="s">
        <v>56</v>
      </c>
      <c r="AA369" s="90">
        <v>1.2</v>
      </c>
      <c r="AB369" s="90" t="s">
        <v>518</v>
      </c>
      <c r="AC369" s="90">
        <v>3.75</v>
      </c>
      <c r="AD369" s="90"/>
      <c r="AE369" s="90">
        <v>0.6</v>
      </c>
      <c r="AF369" s="90">
        <v>20</v>
      </c>
      <c r="AG369" s="90"/>
      <c r="AH369" s="90"/>
      <c r="AI369" s="90" t="s">
        <v>1552</v>
      </c>
      <c r="AJ369" s="90">
        <v>450</v>
      </c>
      <c r="AK369" s="90">
        <v>365</v>
      </c>
      <c r="AL369" s="90">
        <v>260</v>
      </c>
    </row>
    <row r="370" spans="1:38" ht="15" thickBot="1" x14ac:dyDescent="0.35">
      <c r="A370" s="118" t="s">
        <v>1639</v>
      </c>
      <c r="B370" s="114"/>
      <c r="C370" s="115" t="s">
        <v>28</v>
      </c>
      <c r="D370" s="120"/>
      <c r="E370" s="120"/>
      <c r="F370" s="90" t="s">
        <v>1578</v>
      </c>
      <c r="G370" s="90"/>
      <c r="H370" s="90"/>
      <c r="I370" s="90" t="s">
        <v>1558</v>
      </c>
      <c r="J370" s="90"/>
      <c r="K370" s="90"/>
      <c r="L370" s="90" t="s">
        <v>1531</v>
      </c>
      <c r="M370" s="90"/>
      <c r="N370" s="90">
        <v>9.0999999999999998E-2</v>
      </c>
      <c r="O370" s="90"/>
      <c r="P370" s="90"/>
      <c r="Q370" s="90">
        <v>0.71799999999999997</v>
      </c>
      <c r="R370" s="90"/>
      <c r="S370" s="90"/>
      <c r="T370" s="90">
        <v>0.191</v>
      </c>
      <c r="U370" s="90"/>
      <c r="V370" s="90" t="s">
        <v>1407</v>
      </c>
      <c r="W370" s="90">
        <v>543</v>
      </c>
      <c r="X370" s="90">
        <v>2</v>
      </c>
      <c r="Y370" s="90" t="s">
        <v>1533</v>
      </c>
      <c r="Z370" s="90" t="s">
        <v>56</v>
      </c>
      <c r="AA370" s="90">
        <v>1.6</v>
      </c>
      <c r="AB370" s="90" t="s">
        <v>518</v>
      </c>
      <c r="AC370" s="90">
        <v>3.75</v>
      </c>
      <c r="AD370" s="90"/>
      <c r="AE370" s="90">
        <v>0.6</v>
      </c>
      <c r="AF370" s="90">
        <v>20</v>
      </c>
      <c r="AG370" s="90"/>
      <c r="AH370" s="90"/>
      <c r="AI370" s="90" t="s">
        <v>1552</v>
      </c>
      <c r="AJ370" s="90">
        <v>450</v>
      </c>
      <c r="AK370" s="90">
        <v>365</v>
      </c>
      <c r="AL370" s="90">
        <v>460</v>
      </c>
    </row>
    <row r="371" spans="1:38" ht="15" thickBot="1" x14ac:dyDescent="0.35">
      <c r="A371" s="118" t="s">
        <v>1639</v>
      </c>
      <c r="B371" s="114"/>
      <c r="C371" s="115" t="s">
        <v>28</v>
      </c>
      <c r="D371" s="120"/>
      <c r="E371" s="120"/>
      <c r="F371" s="90" t="s">
        <v>1578</v>
      </c>
      <c r="G371" s="90"/>
      <c r="H371" s="90"/>
      <c r="I371" s="90" t="s">
        <v>1558</v>
      </c>
      <c r="J371" s="90"/>
      <c r="K371" s="90"/>
      <c r="L371" s="90" t="s">
        <v>1531</v>
      </c>
      <c r="M371" s="90"/>
      <c r="N371" s="90">
        <v>9.0999999999999998E-2</v>
      </c>
      <c r="O371" s="90"/>
      <c r="P371" s="90"/>
      <c r="Q371" s="90">
        <v>0.71799999999999997</v>
      </c>
      <c r="R371" s="90"/>
      <c r="S371" s="90"/>
      <c r="T371" s="90">
        <v>0.191</v>
      </c>
      <c r="U371" s="90"/>
      <c r="V371" s="90" t="s">
        <v>1407</v>
      </c>
      <c r="W371" s="90">
        <v>543</v>
      </c>
      <c r="X371" s="90">
        <v>2</v>
      </c>
      <c r="Y371" s="90" t="s">
        <v>1533</v>
      </c>
      <c r="Z371" s="90" t="s">
        <v>56</v>
      </c>
      <c r="AA371" s="90">
        <v>2</v>
      </c>
      <c r="AB371" s="90" t="s">
        <v>518</v>
      </c>
      <c r="AC371" s="90">
        <v>3.75</v>
      </c>
      <c r="AD371" s="90"/>
      <c r="AE371" s="90">
        <v>0.6</v>
      </c>
      <c r="AF371" s="90">
        <v>20</v>
      </c>
      <c r="AG371" s="90"/>
      <c r="AH371" s="90"/>
      <c r="AI371" s="90" t="s">
        <v>1552</v>
      </c>
      <c r="AJ371" s="90">
        <v>450</v>
      </c>
      <c r="AK371" s="90">
        <v>365</v>
      </c>
      <c r="AL371" s="90">
        <v>400</v>
      </c>
    </row>
    <row r="372" spans="1:38" ht="15" thickBot="1" x14ac:dyDescent="0.35">
      <c r="A372" s="118" t="s">
        <v>1640</v>
      </c>
      <c r="B372" s="114" t="s">
        <v>2948</v>
      </c>
      <c r="C372" s="115" t="s">
        <v>2951</v>
      </c>
      <c r="D372" s="120"/>
      <c r="E372" s="12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 t="s">
        <v>1264</v>
      </c>
      <c r="W372" s="90">
        <v>1470</v>
      </c>
      <c r="X372" s="90">
        <v>10</v>
      </c>
      <c r="Y372" s="90" t="s">
        <v>1268</v>
      </c>
      <c r="Z372" s="90" t="s">
        <v>863</v>
      </c>
      <c r="AA372" s="90">
        <v>1</v>
      </c>
      <c r="AB372" s="90"/>
      <c r="AC372" s="90"/>
      <c r="AD372" s="115" t="s">
        <v>2951</v>
      </c>
      <c r="AE372" s="90">
        <v>0.7</v>
      </c>
      <c r="AF372" s="90">
        <v>5.4</v>
      </c>
      <c r="AG372" s="90"/>
      <c r="AH372" s="90"/>
      <c r="AI372" s="90" t="s">
        <v>1552</v>
      </c>
      <c r="AJ372" s="90">
        <v>450</v>
      </c>
      <c r="AK372" s="90">
        <v>365</v>
      </c>
      <c r="AL372" s="90">
        <v>0</v>
      </c>
    </row>
    <row r="373" spans="1:38" ht="15" thickBot="1" x14ac:dyDescent="0.35">
      <c r="A373" s="118" t="s">
        <v>1640</v>
      </c>
      <c r="B373" s="114" t="s">
        <v>2948</v>
      </c>
      <c r="C373" s="115" t="s">
        <v>2952</v>
      </c>
      <c r="D373" s="120"/>
      <c r="E373" s="12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 t="s">
        <v>1264</v>
      </c>
      <c r="W373" s="90">
        <v>1470</v>
      </c>
      <c r="X373" s="90">
        <v>10</v>
      </c>
      <c r="Y373" s="90" t="s">
        <v>1268</v>
      </c>
      <c r="Z373" s="90" t="s">
        <v>863</v>
      </c>
      <c r="AA373" s="90">
        <v>1</v>
      </c>
      <c r="AB373" s="90"/>
      <c r="AC373" s="90"/>
      <c r="AD373" s="115" t="s">
        <v>2952</v>
      </c>
      <c r="AE373" s="90">
        <v>0.6</v>
      </c>
      <c r="AF373" s="90">
        <v>5.4</v>
      </c>
      <c r="AG373" s="90"/>
      <c r="AH373" s="90"/>
      <c r="AI373" s="90" t="s">
        <v>1552</v>
      </c>
      <c r="AJ373" s="90">
        <v>451</v>
      </c>
      <c r="AK373" s="90">
        <v>365</v>
      </c>
      <c r="AL373" s="90">
        <v>3</v>
      </c>
    </row>
    <row r="374" spans="1:38" ht="15" thickBot="1" x14ac:dyDescent="0.35">
      <c r="A374" s="118" t="s">
        <v>1640</v>
      </c>
      <c r="B374" s="114" t="s">
        <v>2948</v>
      </c>
      <c r="C374" s="115" t="s">
        <v>2953</v>
      </c>
      <c r="D374" s="120"/>
      <c r="E374" s="12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 t="s">
        <v>1264</v>
      </c>
      <c r="W374" s="90">
        <v>1470</v>
      </c>
      <c r="X374" s="90">
        <v>10</v>
      </c>
      <c r="Y374" s="90" t="s">
        <v>1268</v>
      </c>
      <c r="Z374" s="90" t="s">
        <v>863</v>
      </c>
      <c r="AA374" s="90">
        <v>1</v>
      </c>
      <c r="AB374" s="90"/>
      <c r="AC374" s="90">
        <v>3.8</v>
      </c>
      <c r="AD374" s="115" t="s">
        <v>2953</v>
      </c>
      <c r="AE374" s="90">
        <v>1.3</v>
      </c>
      <c r="AF374" s="90">
        <v>5.4</v>
      </c>
      <c r="AG374" s="90"/>
      <c r="AH374" s="90"/>
      <c r="AI374" s="90" t="s">
        <v>1552</v>
      </c>
      <c r="AJ374" s="90">
        <v>452</v>
      </c>
      <c r="AK374" s="90">
        <v>365</v>
      </c>
      <c r="AL374" s="90">
        <v>10</v>
      </c>
    </row>
    <row r="375" spans="1:38" ht="15" thickBot="1" x14ac:dyDescent="0.35">
      <c r="A375" s="118" t="s">
        <v>1640</v>
      </c>
      <c r="B375" s="114" t="s">
        <v>2948</v>
      </c>
      <c r="C375" s="115" t="s">
        <v>2949</v>
      </c>
      <c r="D375" s="120"/>
      <c r="E375" s="12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 t="s">
        <v>1264</v>
      </c>
      <c r="W375" s="90">
        <v>1470</v>
      </c>
      <c r="X375" s="90">
        <v>10</v>
      </c>
      <c r="Y375" s="90" t="s">
        <v>1268</v>
      </c>
      <c r="Z375" s="90" t="s">
        <v>863</v>
      </c>
      <c r="AA375" s="90">
        <v>1</v>
      </c>
      <c r="AB375" s="90"/>
      <c r="AC375" s="90">
        <v>3.7</v>
      </c>
      <c r="AD375" s="115" t="s">
        <v>2949</v>
      </c>
      <c r="AE375" s="90">
        <v>0.8</v>
      </c>
      <c r="AF375" s="90">
        <v>5.4</v>
      </c>
      <c r="AG375" s="90"/>
      <c r="AH375" s="90"/>
      <c r="AI375" s="90" t="s">
        <v>1552</v>
      </c>
      <c r="AJ375" s="90">
        <v>453</v>
      </c>
      <c r="AK375" s="90">
        <v>365</v>
      </c>
      <c r="AL375" s="90">
        <v>28</v>
      </c>
    </row>
    <row r="376" spans="1:38" ht="15" thickBot="1" x14ac:dyDescent="0.35">
      <c r="A376" s="118" t="s">
        <v>1640</v>
      </c>
      <c r="B376" s="114" t="s">
        <v>2948</v>
      </c>
      <c r="C376" s="115" t="s">
        <v>2954</v>
      </c>
      <c r="D376" s="120"/>
      <c r="E376" s="12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 t="s">
        <v>1264</v>
      </c>
      <c r="W376" s="90">
        <v>1470</v>
      </c>
      <c r="X376" s="90">
        <v>10</v>
      </c>
      <c r="Y376" s="90" t="s">
        <v>1268</v>
      </c>
      <c r="Z376" s="90" t="s">
        <v>863</v>
      </c>
      <c r="AA376" s="90">
        <v>1</v>
      </c>
      <c r="AB376" s="90"/>
      <c r="AC376" s="90"/>
      <c r="AD376" s="115" t="s">
        <v>2954</v>
      </c>
      <c r="AE376" s="90">
        <v>1</v>
      </c>
      <c r="AF376" s="90">
        <v>5.4</v>
      </c>
      <c r="AG376" s="90"/>
      <c r="AH376" s="90"/>
      <c r="AI376" s="90" t="s">
        <v>1552</v>
      </c>
      <c r="AJ376" s="90">
        <v>454</v>
      </c>
      <c r="AK376" s="90">
        <v>365</v>
      </c>
      <c r="AL376" s="90">
        <v>18</v>
      </c>
    </row>
    <row r="377" spans="1:38" ht="15" thickBot="1" x14ac:dyDescent="0.35">
      <c r="A377" s="118" t="s">
        <v>1640</v>
      </c>
      <c r="B377" s="114" t="s">
        <v>2948</v>
      </c>
      <c r="C377" s="115" t="s">
        <v>2955</v>
      </c>
      <c r="D377" s="120"/>
      <c r="E377" s="12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 t="s">
        <v>1264</v>
      </c>
      <c r="W377" s="90">
        <v>1470</v>
      </c>
      <c r="X377" s="90">
        <v>10</v>
      </c>
      <c r="Y377" s="90" t="s">
        <v>1268</v>
      </c>
      <c r="Z377" s="90" t="s">
        <v>863</v>
      </c>
      <c r="AA377" s="90">
        <v>1</v>
      </c>
      <c r="AB377" s="90"/>
      <c r="AC377" s="90"/>
      <c r="AD377" s="115" t="s">
        <v>2955</v>
      </c>
      <c r="AE377" s="90">
        <v>0.5</v>
      </c>
      <c r="AF377" s="90">
        <v>5.4</v>
      </c>
      <c r="AG377" s="90"/>
      <c r="AH377" s="90"/>
      <c r="AI377" s="90" t="s">
        <v>1552</v>
      </c>
      <c r="AJ377" s="90">
        <v>455</v>
      </c>
      <c r="AK377" s="90">
        <v>365</v>
      </c>
      <c r="AL377" s="90">
        <v>3</v>
      </c>
    </row>
    <row r="378" spans="1:38" ht="15" thickBot="1" x14ac:dyDescent="0.35">
      <c r="A378" s="118" t="s">
        <v>1640</v>
      </c>
      <c r="B378" s="114" t="s">
        <v>2948</v>
      </c>
      <c r="C378" s="115" t="s">
        <v>2950</v>
      </c>
      <c r="D378" s="120"/>
      <c r="E378" s="12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 t="s">
        <v>1264</v>
      </c>
      <c r="W378" s="90">
        <v>1470</v>
      </c>
      <c r="X378" s="90">
        <v>10</v>
      </c>
      <c r="Y378" s="90" t="s">
        <v>1268</v>
      </c>
      <c r="Z378" s="90" t="s">
        <v>863</v>
      </c>
      <c r="AA378" s="90">
        <v>1</v>
      </c>
      <c r="AB378" s="90"/>
      <c r="AC378" s="90">
        <v>2.8</v>
      </c>
      <c r="AD378" s="115" t="s">
        <v>2950</v>
      </c>
      <c r="AE378" s="90">
        <v>4.4000000000000004</v>
      </c>
      <c r="AF378" s="90">
        <v>5.4</v>
      </c>
      <c r="AG378" s="90"/>
      <c r="AH378" s="90"/>
      <c r="AI378" s="90" t="s">
        <v>1552</v>
      </c>
      <c r="AJ378" s="90">
        <v>456</v>
      </c>
      <c r="AK378" s="90">
        <v>365</v>
      </c>
      <c r="AL378" s="90">
        <v>0</v>
      </c>
    </row>
    <row r="379" spans="1:38" ht="15" thickBot="1" x14ac:dyDescent="0.35">
      <c r="A379" s="118" t="s">
        <v>1641</v>
      </c>
      <c r="B379" s="114" t="s">
        <v>2956</v>
      </c>
      <c r="C379" s="115" t="s">
        <v>2957</v>
      </c>
      <c r="D379" s="120"/>
      <c r="E379" s="12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 t="s">
        <v>1264</v>
      </c>
      <c r="W379" s="90">
        <v>1173</v>
      </c>
      <c r="X379" s="90"/>
      <c r="Y379" s="90" t="s">
        <v>1533</v>
      </c>
      <c r="Z379" s="90" t="s">
        <v>56</v>
      </c>
      <c r="AA379" s="90">
        <v>1</v>
      </c>
      <c r="AB379" s="90"/>
      <c r="AC379" s="90"/>
      <c r="AD379" s="115"/>
      <c r="AE379" s="90">
        <v>3.33</v>
      </c>
      <c r="AF379" s="92">
        <v>0</v>
      </c>
      <c r="AG379" s="90"/>
      <c r="AH379" s="90"/>
      <c r="AI379" s="90" t="s">
        <v>1534</v>
      </c>
      <c r="AJ379" s="90">
        <v>500</v>
      </c>
      <c r="AK379" s="90">
        <v>420</v>
      </c>
      <c r="AL379" s="90">
        <v>0</v>
      </c>
    </row>
    <row r="380" spans="1:38" ht="15" thickBot="1" x14ac:dyDescent="0.35">
      <c r="A380" s="118" t="s">
        <v>1641</v>
      </c>
      <c r="B380" s="114" t="s">
        <v>2956</v>
      </c>
      <c r="C380" s="115" t="s">
        <v>28</v>
      </c>
      <c r="D380" s="120"/>
      <c r="E380" s="12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 t="s">
        <v>1264</v>
      </c>
      <c r="W380" s="90">
        <v>1173</v>
      </c>
      <c r="X380" s="90"/>
      <c r="Y380" s="90" t="s">
        <v>1533</v>
      </c>
      <c r="Z380" s="90" t="s">
        <v>56</v>
      </c>
      <c r="AA380" s="90">
        <v>1</v>
      </c>
      <c r="AB380" s="90"/>
      <c r="AC380" s="90"/>
      <c r="AD380" s="115"/>
      <c r="AE380" s="90">
        <v>3.33</v>
      </c>
      <c r="AF380" s="92">
        <v>0</v>
      </c>
      <c r="AG380" s="90"/>
      <c r="AH380" s="90"/>
      <c r="AI380" s="90" t="s">
        <v>1534</v>
      </c>
      <c r="AJ380" s="90">
        <v>500</v>
      </c>
      <c r="AK380" s="90">
        <v>420</v>
      </c>
      <c r="AL380" s="90">
        <v>8</v>
      </c>
    </row>
    <row r="381" spans="1:38" ht="15" thickBot="1" x14ac:dyDescent="0.35">
      <c r="A381" s="118" t="s">
        <v>1641</v>
      </c>
      <c r="B381" s="114" t="s">
        <v>2956</v>
      </c>
      <c r="C381" s="115" t="s">
        <v>58</v>
      </c>
      <c r="D381" s="120"/>
      <c r="E381" s="12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 t="s">
        <v>1264</v>
      </c>
      <c r="W381" s="90">
        <v>1173</v>
      </c>
      <c r="X381" s="90"/>
      <c r="Y381" s="90" t="s">
        <v>1533</v>
      </c>
      <c r="Z381" s="90" t="s">
        <v>56</v>
      </c>
      <c r="AA381" s="90">
        <v>1</v>
      </c>
      <c r="AB381" s="90"/>
      <c r="AC381" s="90"/>
      <c r="AD381" s="115"/>
      <c r="AE381" s="90">
        <v>3.33</v>
      </c>
      <c r="AF381" s="92">
        <v>0</v>
      </c>
      <c r="AG381" s="90"/>
      <c r="AH381" s="90"/>
      <c r="AI381" s="90" t="s">
        <v>1534</v>
      </c>
      <c r="AJ381" s="90">
        <v>500</v>
      </c>
      <c r="AK381" s="90">
        <v>420</v>
      </c>
      <c r="AL381" s="90">
        <v>0</v>
      </c>
    </row>
    <row r="382" spans="1:38" ht="15" thickBot="1" x14ac:dyDescent="0.35">
      <c r="A382" s="118" t="s">
        <v>1641</v>
      </c>
      <c r="B382" s="114" t="s">
        <v>2956</v>
      </c>
      <c r="C382" s="115" t="s">
        <v>27</v>
      </c>
      <c r="D382" s="120"/>
      <c r="E382" s="12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 t="s">
        <v>1264</v>
      </c>
      <c r="W382" s="90">
        <v>1173</v>
      </c>
      <c r="X382" s="90"/>
      <c r="Y382" s="90" t="s">
        <v>1533</v>
      </c>
      <c r="Z382" s="90" t="s">
        <v>56</v>
      </c>
      <c r="AA382" s="90">
        <v>1</v>
      </c>
      <c r="AB382" s="90"/>
      <c r="AC382" s="90"/>
      <c r="AD382" s="115"/>
      <c r="AE382" s="90">
        <v>3.33</v>
      </c>
      <c r="AF382" s="92">
        <v>0</v>
      </c>
      <c r="AG382" s="90"/>
      <c r="AH382" s="90"/>
      <c r="AI382" s="90" t="s">
        <v>1534</v>
      </c>
      <c r="AJ382" s="90">
        <v>500</v>
      </c>
      <c r="AK382" s="90">
        <v>420</v>
      </c>
      <c r="AL382" s="90">
        <v>45</v>
      </c>
    </row>
    <row r="383" spans="1:38" ht="15" thickBot="1" x14ac:dyDescent="0.35">
      <c r="A383" s="118" t="s">
        <v>1641</v>
      </c>
      <c r="B383" s="114" t="s">
        <v>2956</v>
      </c>
      <c r="C383" s="115" t="s">
        <v>2958</v>
      </c>
      <c r="D383" s="120"/>
      <c r="E383" s="12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 t="s">
        <v>1264</v>
      </c>
      <c r="W383" s="90">
        <v>1173</v>
      </c>
      <c r="X383" s="90"/>
      <c r="Y383" s="90" t="s">
        <v>1533</v>
      </c>
      <c r="Z383" s="90" t="s">
        <v>56</v>
      </c>
      <c r="AA383" s="90">
        <v>1</v>
      </c>
      <c r="AB383" s="90"/>
      <c r="AC383" s="90"/>
      <c r="AD383" s="115"/>
      <c r="AE383" s="90">
        <v>3.33</v>
      </c>
      <c r="AF383" s="92">
        <v>0</v>
      </c>
      <c r="AG383" s="90"/>
      <c r="AH383" s="90"/>
      <c r="AI383" s="90" t="s">
        <v>1534</v>
      </c>
      <c r="AJ383" s="90">
        <v>500</v>
      </c>
      <c r="AK383" s="90">
        <v>420</v>
      </c>
      <c r="AL383" s="90">
        <v>291</v>
      </c>
    </row>
    <row r="384" spans="1:38" ht="15" thickBot="1" x14ac:dyDescent="0.35">
      <c r="A384" s="118" t="s">
        <v>1641</v>
      </c>
      <c r="B384" s="114" t="s">
        <v>2956</v>
      </c>
      <c r="C384" s="115" t="s">
        <v>2959</v>
      </c>
      <c r="D384" s="120"/>
      <c r="E384" s="12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 t="s">
        <v>1264</v>
      </c>
      <c r="W384" s="90">
        <v>1173</v>
      </c>
      <c r="X384" s="90"/>
      <c r="Y384" s="90" t="s">
        <v>1533</v>
      </c>
      <c r="Z384" s="90" t="s">
        <v>56</v>
      </c>
      <c r="AA384" s="90">
        <v>1</v>
      </c>
      <c r="AB384" s="90"/>
      <c r="AC384" s="90"/>
      <c r="AD384" s="115"/>
      <c r="AE384" s="90">
        <v>3.33</v>
      </c>
      <c r="AF384" s="92">
        <v>0</v>
      </c>
      <c r="AG384" s="90"/>
      <c r="AH384" s="90"/>
      <c r="AI384" s="90" t="s">
        <v>1534</v>
      </c>
      <c r="AJ384" s="90">
        <v>500</v>
      </c>
      <c r="AK384" s="90">
        <v>420</v>
      </c>
      <c r="AL384" s="90">
        <v>44</v>
      </c>
    </row>
    <row r="385" spans="1:38" ht="15" thickBot="1" x14ac:dyDescent="0.35">
      <c r="A385" s="118" t="s">
        <v>1641</v>
      </c>
      <c r="B385" s="114" t="s">
        <v>2956</v>
      </c>
      <c r="C385" s="115" t="s">
        <v>2960</v>
      </c>
      <c r="D385" s="120"/>
      <c r="E385" s="12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 t="s">
        <v>1264</v>
      </c>
      <c r="W385" s="90">
        <v>1173</v>
      </c>
      <c r="X385" s="90"/>
      <c r="Y385" s="90" t="s">
        <v>1533</v>
      </c>
      <c r="Z385" s="90" t="s">
        <v>56</v>
      </c>
      <c r="AA385" s="90">
        <v>1</v>
      </c>
      <c r="AB385" s="90"/>
      <c r="AC385" s="90"/>
      <c r="AD385" s="115"/>
      <c r="AE385" s="90">
        <v>3.33</v>
      </c>
      <c r="AF385" s="92">
        <v>0</v>
      </c>
      <c r="AG385" s="90"/>
      <c r="AH385" s="90"/>
      <c r="AI385" s="90" t="s">
        <v>1534</v>
      </c>
      <c r="AJ385" s="90">
        <v>500</v>
      </c>
      <c r="AK385" s="90">
        <v>420</v>
      </c>
      <c r="AL385" s="90">
        <v>97</v>
      </c>
    </row>
    <row r="386" spans="1:38" ht="15" thickBot="1" x14ac:dyDescent="0.35">
      <c r="A386" s="118" t="s">
        <v>1641</v>
      </c>
      <c r="B386" s="114" t="s">
        <v>2956</v>
      </c>
      <c r="C386" s="115" t="s">
        <v>2961</v>
      </c>
      <c r="D386" s="120"/>
      <c r="E386" s="12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 t="s">
        <v>1264</v>
      </c>
      <c r="W386" s="90">
        <v>1173</v>
      </c>
      <c r="X386" s="90"/>
      <c r="Y386" s="90" t="s">
        <v>1533</v>
      </c>
      <c r="Z386" s="90" t="s">
        <v>56</v>
      </c>
      <c r="AA386" s="90">
        <v>1</v>
      </c>
      <c r="AB386" s="90"/>
      <c r="AC386" s="90"/>
      <c r="AD386" s="115"/>
      <c r="AE386" s="90">
        <v>3.33</v>
      </c>
      <c r="AF386" s="92">
        <v>0</v>
      </c>
      <c r="AG386" s="90"/>
      <c r="AH386" s="90"/>
      <c r="AI386" s="90" t="s">
        <v>1534</v>
      </c>
      <c r="AJ386" s="90">
        <v>500</v>
      </c>
      <c r="AK386" s="90">
        <v>420</v>
      </c>
      <c r="AL386" s="90">
        <v>676</v>
      </c>
    </row>
    <row r="387" spans="1:38" ht="15" thickBot="1" x14ac:dyDescent="0.35">
      <c r="A387" s="118" t="s">
        <v>1641</v>
      </c>
      <c r="B387" s="114" t="s">
        <v>2956</v>
      </c>
      <c r="C387" s="115" t="s">
        <v>2962</v>
      </c>
      <c r="D387" s="120"/>
      <c r="E387" s="12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 t="s">
        <v>1264</v>
      </c>
      <c r="W387" s="90">
        <v>1173</v>
      </c>
      <c r="X387" s="90"/>
      <c r="Y387" s="90" t="s">
        <v>1533</v>
      </c>
      <c r="Z387" s="90" t="s">
        <v>56</v>
      </c>
      <c r="AA387" s="90">
        <v>1</v>
      </c>
      <c r="AB387" s="90"/>
      <c r="AC387" s="90"/>
      <c r="AD387" s="115"/>
      <c r="AE387" s="90">
        <v>3.33</v>
      </c>
      <c r="AF387" s="92">
        <v>0</v>
      </c>
      <c r="AG387" s="90"/>
      <c r="AH387" s="90"/>
      <c r="AI387" s="90" t="s">
        <v>1534</v>
      </c>
      <c r="AJ387" s="90">
        <v>500</v>
      </c>
      <c r="AK387" s="90">
        <v>420</v>
      </c>
      <c r="AL387" s="90">
        <v>213</v>
      </c>
    </row>
    <row r="388" spans="1:38" ht="15" thickBot="1" x14ac:dyDescent="0.35">
      <c r="A388" s="118" t="s">
        <v>1641</v>
      </c>
      <c r="B388" s="114" t="s">
        <v>2956</v>
      </c>
      <c r="C388" s="115" t="s">
        <v>2963</v>
      </c>
      <c r="D388" s="120"/>
      <c r="E388" s="12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 t="s">
        <v>1264</v>
      </c>
      <c r="W388" s="90">
        <v>1173</v>
      </c>
      <c r="X388" s="90"/>
      <c r="Y388" s="90" t="s">
        <v>1533</v>
      </c>
      <c r="Z388" s="90" t="s">
        <v>56</v>
      </c>
      <c r="AA388" s="90">
        <v>1</v>
      </c>
      <c r="AB388" s="90"/>
      <c r="AC388" s="90"/>
      <c r="AD388" s="115"/>
      <c r="AE388" s="90">
        <v>3.33</v>
      </c>
      <c r="AF388" s="92">
        <v>0</v>
      </c>
      <c r="AG388" s="90"/>
      <c r="AH388" s="90"/>
      <c r="AI388" s="90" t="s">
        <v>1534</v>
      </c>
      <c r="AJ388" s="90">
        <v>500</v>
      </c>
      <c r="AK388" s="90">
        <v>420</v>
      </c>
      <c r="AL388" s="90">
        <v>0</v>
      </c>
    </row>
    <row r="389" spans="1:38" ht="15" thickBot="1" x14ac:dyDescent="0.35">
      <c r="A389" s="118" t="s">
        <v>1641</v>
      </c>
      <c r="B389" s="114" t="s">
        <v>2956</v>
      </c>
      <c r="C389" s="115" t="s">
        <v>2964</v>
      </c>
      <c r="D389" s="120"/>
      <c r="E389" s="12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 t="s">
        <v>1264</v>
      </c>
      <c r="W389" s="90">
        <v>1173</v>
      </c>
      <c r="X389" s="90"/>
      <c r="Y389" s="90" t="s">
        <v>1533</v>
      </c>
      <c r="Z389" s="90" t="s">
        <v>56</v>
      </c>
      <c r="AA389" s="90">
        <v>1</v>
      </c>
      <c r="AB389" s="90"/>
      <c r="AC389" s="90"/>
      <c r="AD389" s="115"/>
      <c r="AE389" s="90">
        <v>3.33</v>
      </c>
      <c r="AF389" s="92">
        <v>0</v>
      </c>
      <c r="AG389" s="90"/>
      <c r="AH389" s="90"/>
      <c r="AI389" s="90" t="s">
        <v>1534</v>
      </c>
      <c r="AJ389" s="90">
        <v>500</v>
      </c>
      <c r="AK389" s="90">
        <v>420</v>
      </c>
      <c r="AL389" s="90">
        <v>506</v>
      </c>
    </row>
    <row r="390" spans="1:38" ht="15" thickBot="1" x14ac:dyDescent="0.35">
      <c r="A390" s="118" t="s">
        <v>1641</v>
      </c>
      <c r="B390" s="114" t="s">
        <v>2956</v>
      </c>
      <c r="C390" s="115" t="s">
        <v>2965</v>
      </c>
      <c r="D390" s="120"/>
      <c r="E390" s="12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 t="s">
        <v>1264</v>
      </c>
      <c r="W390" s="90">
        <v>1173</v>
      </c>
      <c r="X390" s="90"/>
      <c r="Y390" s="90" t="s">
        <v>1533</v>
      </c>
      <c r="Z390" s="90" t="s">
        <v>56</v>
      </c>
      <c r="AA390" s="90">
        <v>1</v>
      </c>
      <c r="AB390" s="90"/>
      <c r="AC390" s="90"/>
      <c r="AD390" s="115"/>
      <c r="AE390" s="90">
        <v>3.33</v>
      </c>
      <c r="AF390" s="92">
        <v>0</v>
      </c>
      <c r="AG390" s="90"/>
      <c r="AH390" s="90"/>
      <c r="AI390" s="90" t="s">
        <v>1534</v>
      </c>
      <c r="AJ390" s="90">
        <v>500</v>
      </c>
      <c r="AK390" s="90">
        <v>420</v>
      </c>
      <c r="AL390" s="90">
        <v>935</v>
      </c>
    </row>
    <row r="391" spans="1:38" ht="15" thickBot="1" x14ac:dyDescent="0.35">
      <c r="A391" s="118" t="s">
        <v>1641</v>
      </c>
      <c r="B391" s="114" t="s">
        <v>2956</v>
      </c>
      <c r="C391" s="115" t="s">
        <v>2966</v>
      </c>
      <c r="D391" s="120"/>
      <c r="E391" s="12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 t="s">
        <v>1264</v>
      </c>
      <c r="W391" s="90">
        <v>1173</v>
      </c>
      <c r="X391" s="90"/>
      <c r="Y391" s="90" t="s">
        <v>1533</v>
      </c>
      <c r="Z391" s="90" t="s">
        <v>56</v>
      </c>
      <c r="AA391" s="90">
        <v>1</v>
      </c>
      <c r="AB391" s="90"/>
      <c r="AC391" s="90"/>
      <c r="AD391" s="115"/>
      <c r="AE391" s="90">
        <v>3.33</v>
      </c>
      <c r="AF391" s="92">
        <v>0</v>
      </c>
      <c r="AG391" s="90"/>
      <c r="AH391" s="90"/>
      <c r="AI391" s="90" t="s">
        <v>1534</v>
      </c>
      <c r="AJ391" s="90">
        <v>500</v>
      </c>
      <c r="AK391" s="90">
        <v>420</v>
      </c>
      <c r="AL391" s="90">
        <v>985</v>
      </c>
    </row>
    <row r="392" spans="1:38" ht="15" thickBot="1" x14ac:dyDescent="0.35">
      <c r="A392" s="118" t="s">
        <v>1641</v>
      </c>
      <c r="B392" s="114" t="s">
        <v>2956</v>
      </c>
      <c r="C392" s="115" t="s">
        <v>2967</v>
      </c>
      <c r="D392" s="120"/>
      <c r="E392" s="12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 t="s">
        <v>1264</v>
      </c>
      <c r="W392" s="90">
        <v>1173</v>
      </c>
      <c r="X392" s="90"/>
      <c r="Y392" s="90" t="s">
        <v>1533</v>
      </c>
      <c r="Z392" s="90" t="s">
        <v>56</v>
      </c>
      <c r="AA392" s="90">
        <v>1</v>
      </c>
      <c r="AB392" s="90"/>
      <c r="AC392" s="90"/>
      <c r="AD392" s="115"/>
      <c r="AE392" s="90">
        <v>3.33</v>
      </c>
      <c r="AF392" s="92">
        <v>0</v>
      </c>
      <c r="AG392" s="90"/>
      <c r="AH392" s="90"/>
      <c r="AI392" s="90" t="s">
        <v>1534</v>
      </c>
      <c r="AJ392" s="90">
        <v>500</v>
      </c>
      <c r="AK392" s="90">
        <v>420</v>
      </c>
      <c r="AL392" s="90">
        <v>172</v>
      </c>
    </row>
    <row r="393" spans="1:38" ht="15" thickBot="1" x14ac:dyDescent="0.35">
      <c r="A393" s="118" t="s">
        <v>1641</v>
      </c>
      <c r="B393" s="114" t="s">
        <v>2956</v>
      </c>
      <c r="C393" s="115" t="s">
        <v>2968</v>
      </c>
      <c r="D393" s="120"/>
      <c r="E393" s="12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 t="s">
        <v>1264</v>
      </c>
      <c r="W393" s="90">
        <v>1173</v>
      </c>
      <c r="X393" s="90"/>
      <c r="Y393" s="90" t="s">
        <v>1533</v>
      </c>
      <c r="Z393" s="90" t="s">
        <v>56</v>
      </c>
      <c r="AA393" s="90">
        <v>1</v>
      </c>
      <c r="AB393" s="90"/>
      <c r="AC393" s="90"/>
      <c r="AD393" s="115"/>
      <c r="AE393" s="90">
        <v>3.33</v>
      </c>
      <c r="AF393" s="92">
        <v>0</v>
      </c>
      <c r="AG393" s="90"/>
      <c r="AH393" s="90"/>
      <c r="AI393" s="90" t="s">
        <v>1534</v>
      </c>
      <c r="AJ393" s="90">
        <v>500</v>
      </c>
      <c r="AK393" s="90">
        <v>420</v>
      </c>
      <c r="AL393" s="90">
        <v>83</v>
      </c>
    </row>
    <row r="394" spans="1:38" ht="15" thickBot="1" x14ac:dyDescent="0.35">
      <c r="A394" s="118" t="s">
        <v>1641</v>
      </c>
      <c r="B394" s="114" t="s">
        <v>2956</v>
      </c>
      <c r="C394" s="115" t="s">
        <v>2969</v>
      </c>
      <c r="D394" s="120"/>
      <c r="E394" s="12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 t="s">
        <v>1264</v>
      </c>
      <c r="W394" s="90">
        <v>1173</v>
      </c>
      <c r="X394" s="90"/>
      <c r="Y394" s="90" t="s">
        <v>1533</v>
      </c>
      <c r="Z394" s="90" t="s">
        <v>56</v>
      </c>
      <c r="AA394" s="90">
        <v>1</v>
      </c>
      <c r="AB394" s="90"/>
      <c r="AC394" s="90"/>
      <c r="AD394" s="115"/>
      <c r="AE394" s="90">
        <v>3.33</v>
      </c>
      <c r="AF394" s="92">
        <v>0</v>
      </c>
      <c r="AG394" s="90"/>
      <c r="AH394" s="90"/>
      <c r="AI394" s="90" t="s">
        <v>1534</v>
      </c>
      <c r="AJ394" s="90">
        <v>500</v>
      </c>
      <c r="AK394" s="90">
        <v>420</v>
      </c>
      <c r="AL394" s="90">
        <v>37</v>
      </c>
    </row>
    <row r="395" spans="1:38" ht="15" thickBot="1" x14ac:dyDescent="0.35">
      <c r="A395" s="118" t="s">
        <v>1641</v>
      </c>
      <c r="B395" s="114" t="s">
        <v>2956</v>
      </c>
      <c r="C395" s="115" t="s">
        <v>2970</v>
      </c>
      <c r="D395" s="120"/>
      <c r="E395" s="12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 t="s">
        <v>1264</v>
      </c>
      <c r="W395" s="90">
        <v>1173</v>
      </c>
      <c r="X395" s="90"/>
      <c r="Y395" s="90" t="s">
        <v>1533</v>
      </c>
      <c r="Z395" s="90" t="s">
        <v>56</v>
      </c>
      <c r="AA395" s="90">
        <v>1</v>
      </c>
      <c r="AB395" s="90"/>
      <c r="AC395" s="90"/>
      <c r="AD395" s="115"/>
      <c r="AE395" s="90">
        <v>3.33</v>
      </c>
      <c r="AF395" s="92">
        <v>0</v>
      </c>
      <c r="AG395" s="90"/>
      <c r="AH395" s="90"/>
      <c r="AI395" s="90" t="s">
        <v>1534</v>
      </c>
      <c r="AJ395" s="90">
        <v>500</v>
      </c>
      <c r="AK395" s="90">
        <v>420</v>
      </c>
      <c r="AL395" s="90">
        <v>0</v>
      </c>
    </row>
    <row r="396" spans="1:38" ht="15" thickBot="1" x14ac:dyDescent="0.35">
      <c r="A396" s="118" t="s">
        <v>1641</v>
      </c>
      <c r="B396" s="114" t="s">
        <v>2956</v>
      </c>
      <c r="C396" s="115" t="s">
        <v>2971</v>
      </c>
      <c r="D396" s="120"/>
      <c r="E396" s="12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 t="s">
        <v>1264</v>
      </c>
      <c r="W396" s="90">
        <v>1173</v>
      </c>
      <c r="X396" s="90"/>
      <c r="Y396" s="90" t="s">
        <v>1533</v>
      </c>
      <c r="Z396" s="90" t="s">
        <v>56</v>
      </c>
      <c r="AA396" s="90">
        <v>1</v>
      </c>
      <c r="AB396" s="90"/>
      <c r="AC396" s="90"/>
      <c r="AD396" s="115"/>
      <c r="AE396" s="90">
        <v>3.33</v>
      </c>
      <c r="AF396" s="92">
        <v>0</v>
      </c>
      <c r="AG396" s="90"/>
      <c r="AH396" s="90"/>
      <c r="AI396" s="90" t="s">
        <v>1534</v>
      </c>
      <c r="AJ396" s="90">
        <v>500</v>
      </c>
      <c r="AK396" s="90">
        <v>420</v>
      </c>
      <c r="AL396" s="90">
        <v>10</v>
      </c>
    </row>
    <row r="397" spans="1:38" ht="15" thickBot="1" x14ac:dyDescent="0.35">
      <c r="A397" s="118" t="s">
        <v>1641</v>
      </c>
      <c r="B397" s="114" t="s">
        <v>2956</v>
      </c>
      <c r="C397" s="115" t="s">
        <v>8</v>
      </c>
      <c r="D397" s="120"/>
      <c r="E397" s="12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 t="s">
        <v>1264</v>
      </c>
      <c r="W397" s="90">
        <v>1173</v>
      </c>
      <c r="X397" s="90"/>
      <c r="Y397" s="90" t="s">
        <v>1268</v>
      </c>
      <c r="Z397" s="90" t="s">
        <v>863</v>
      </c>
      <c r="AA397" s="90">
        <v>0.3</v>
      </c>
      <c r="AB397" s="90"/>
      <c r="AC397" s="90"/>
      <c r="AD397" s="115"/>
      <c r="AE397" s="90">
        <v>3.33</v>
      </c>
      <c r="AF397" s="92">
        <v>0</v>
      </c>
      <c r="AG397" s="90"/>
      <c r="AH397" s="90"/>
      <c r="AI397" s="90" t="s">
        <v>1534</v>
      </c>
      <c r="AJ397" s="90">
        <v>500</v>
      </c>
      <c r="AK397" s="90">
        <v>420</v>
      </c>
      <c r="AL397" s="90">
        <v>1061</v>
      </c>
    </row>
    <row r="398" spans="1:38" ht="15" thickBot="1" x14ac:dyDescent="0.35">
      <c r="A398" s="118" t="s">
        <v>1642</v>
      </c>
      <c r="B398" s="114" t="s">
        <v>2972</v>
      </c>
      <c r="C398" s="115" t="s">
        <v>28</v>
      </c>
      <c r="D398" s="120"/>
      <c r="E398" s="12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 t="s">
        <v>1264</v>
      </c>
      <c r="W398" s="90">
        <v>1420</v>
      </c>
      <c r="X398" s="90">
        <v>10</v>
      </c>
      <c r="Y398" s="90" t="s">
        <v>1533</v>
      </c>
      <c r="Z398" s="92" t="s">
        <v>56</v>
      </c>
      <c r="AA398" s="90">
        <v>0.05</v>
      </c>
      <c r="AB398" s="90"/>
      <c r="AC398" s="90">
        <v>4.01</v>
      </c>
      <c r="AD398" s="115">
        <v>0.44</v>
      </c>
      <c r="AE398" s="90">
        <v>2.56</v>
      </c>
      <c r="AF398" s="92">
        <v>0</v>
      </c>
      <c r="AG398" s="90"/>
      <c r="AH398" s="90"/>
      <c r="AI398" s="90" t="s">
        <v>1552</v>
      </c>
      <c r="AJ398" s="90">
        <v>400</v>
      </c>
      <c r="AK398" s="90">
        <v>365</v>
      </c>
      <c r="AL398" s="90">
        <v>2200</v>
      </c>
    </row>
    <row r="399" spans="1:38" ht="15" thickBot="1" x14ac:dyDescent="0.35">
      <c r="A399" s="118" t="s">
        <v>1642</v>
      </c>
      <c r="B399" s="114" t="s">
        <v>2972</v>
      </c>
      <c r="C399" s="115" t="s">
        <v>2881</v>
      </c>
      <c r="D399" s="120"/>
      <c r="E399" s="12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 t="s">
        <v>1264</v>
      </c>
      <c r="W399" s="90">
        <v>1420</v>
      </c>
      <c r="X399" s="90">
        <v>10</v>
      </c>
      <c r="Y399" s="90" t="s">
        <v>1533</v>
      </c>
      <c r="Z399" s="92" t="s">
        <v>56</v>
      </c>
      <c r="AA399" s="90">
        <v>0.05</v>
      </c>
      <c r="AB399" s="90"/>
      <c r="AC399" s="90">
        <v>4.07</v>
      </c>
      <c r="AD399" s="115">
        <v>2.5</v>
      </c>
      <c r="AE399" s="90">
        <v>2.56</v>
      </c>
      <c r="AF399" s="92">
        <v>0</v>
      </c>
      <c r="AG399" s="90"/>
      <c r="AH399" s="90"/>
      <c r="AI399" s="90" t="s">
        <v>1552</v>
      </c>
      <c r="AJ399" s="90">
        <v>400</v>
      </c>
      <c r="AK399" s="90">
        <v>365</v>
      </c>
      <c r="AL399" s="90">
        <v>5900</v>
      </c>
    </row>
    <row r="400" spans="1:38" ht="15" thickBot="1" x14ac:dyDescent="0.35">
      <c r="A400" s="118" t="s">
        <v>1642</v>
      </c>
      <c r="B400" s="114" t="s">
        <v>2972</v>
      </c>
      <c r="C400" s="115" t="s">
        <v>2973</v>
      </c>
      <c r="D400" s="120"/>
      <c r="E400" s="12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 t="s">
        <v>1264</v>
      </c>
      <c r="W400" s="90">
        <v>1420</v>
      </c>
      <c r="X400" s="90">
        <v>10</v>
      </c>
      <c r="Y400" s="90" t="s">
        <v>1533</v>
      </c>
      <c r="Z400" s="92" t="s">
        <v>56</v>
      </c>
      <c r="AA400" s="90">
        <v>0.05</v>
      </c>
      <c r="AB400" s="90"/>
      <c r="AC400" s="90">
        <v>4.09</v>
      </c>
      <c r="AD400" s="115">
        <v>3.1</v>
      </c>
      <c r="AE400" s="90">
        <v>2.56</v>
      </c>
      <c r="AF400" s="92">
        <v>0</v>
      </c>
      <c r="AG400" s="90"/>
      <c r="AH400" s="90"/>
      <c r="AI400" s="90" t="s">
        <v>1552</v>
      </c>
      <c r="AJ400" s="90">
        <v>400</v>
      </c>
      <c r="AK400" s="90">
        <v>365</v>
      </c>
      <c r="AL400" s="90">
        <v>5300</v>
      </c>
    </row>
    <row r="401" spans="1:39" ht="15" thickBot="1" x14ac:dyDescent="0.35">
      <c r="A401" s="118" t="s">
        <v>1642</v>
      </c>
      <c r="B401" s="114" t="s">
        <v>2972</v>
      </c>
      <c r="C401" s="115" t="s">
        <v>2974</v>
      </c>
      <c r="D401" s="120"/>
      <c r="E401" s="12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 t="s">
        <v>1264</v>
      </c>
      <c r="W401" s="90">
        <v>1420</v>
      </c>
      <c r="X401" s="90">
        <v>10</v>
      </c>
      <c r="Y401" s="90" t="s">
        <v>1533</v>
      </c>
      <c r="Z401" s="92" t="s">
        <v>56</v>
      </c>
      <c r="AA401" s="90">
        <v>0.05</v>
      </c>
      <c r="AB401" s="90"/>
      <c r="AC401" s="90">
        <v>4.07</v>
      </c>
      <c r="AD401" s="115">
        <v>3</v>
      </c>
      <c r="AE401" s="90">
        <v>2.56</v>
      </c>
      <c r="AF401" s="92">
        <v>0</v>
      </c>
      <c r="AG401" s="90"/>
      <c r="AH401" s="90"/>
      <c r="AI401" s="90" t="s">
        <v>1552</v>
      </c>
      <c r="AJ401" s="90">
        <v>400</v>
      </c>
      <c r="AK401" s="90">
        <v>365</v>
      </c>
      <c r="AL401" s="90">
        <v>5200</v>
      </c>
    </row>
    <row r="402" spans="1:39" ht="15" thickBot="1" x14ac:dyDescent="0.35">
      <c r="A402" s="118" t="s">
        <v>1642</v>
      </c>
      <c r="B402" s="114" t="s">
        <v>2972</v>
      </c>
      <c r="C402" s="115" t="s">
        <v>2975</v>
      </c>
      <c r="D402" s="120"/>
      <c r="E402" s="12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 t="s">
        <v>1264</v>
      </c>
      <c r="W402" s="90">
        <v>1420</v>
      </c>
      <c r="X402" s="90">
        <v>10</v>
      </c>
      <c r="Y402" s="90" t="s">
        <v>1533</v>
      </c>
      <c r="Z402" s="92" t="s">
        <v>56</v>
      </c>
      <c r="AA402" s="90">
        <v>0.05</v>
      </c>
      <c r="AB402" s="90"/>
      <c r="AC402" s="90">
        <v>4.08</v>
      </c>
      <c r="AD402" s="115">
        <v>2.6</v>
      </c>
      <c r="AE402" s="90">
        <v>2.56</v>
      </c>
      <c r="AF402" s="92">
        <v>0</v>
      </c>
      <c r="AG402" s="90"/>
      <c r="AH402" s="90"/>
      <c r="AI402" s="90" t="s">
        <v>1552</v>
      </c>
      <c r="AJ402" s="90">
        <v>400</v>
      </c>
      <c r="AK402" s="90">
        <v>365</v>
      </c>
      <c r="AL402" s="90">
        <v>5300</v>
      </c>
    </row>
    <row r="403" spans="1:39" ht="15" thickBot="1" x14ac:dyDescent="0.35">
      <c r="A403" s="118" t="s">
        <v>1642</v>
      </c>
      <c r="B403" s="114" t="s">
        <v>2972</v>
      </c>
      <c r="C403" s="115" t="s">
        <v>2976</v>
      </c>
      <c r="D403" s="120"/>
      <c r="E403" s="12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 t="s">
        <v>1264</v>
      </c>
      <c r="W403" s="90">
        <v>1420</v>
      </c>
      <c r="X403" s="90">
        <v>10</v>
      </c>
      <c r="Y403" s="90" t="s">
        <v>1533</v>
      </c>
      <c r="Z403" s="92" t="s">
        <v>56</v>
      </c>
      <c r="AA403" s="90">
        <v>0.05</v>
      </c>
      <c r="AB403" s="90"/>
      <c r="AC403" s="90">
        <v>4.08</v>
      </c>
      <c r="AD403" s="115">
        <v>2.5</v>
      </c>
      <c r="AE403" s="90">
        <v>2.56</v>
      </c>
      <c r="AF403" s="92">
        <v>0</v>
      </c>
      <c r="AG403" s="90"/>
      <c r="AH403" s="90"/>
      <c r="AI403" s="90" t="s">
        <v>1552</v>
      </c>
      <c r="AJ403" s="90">
        <v>400</v>
      </c>
      <c r="AK403" s="90">
        <v>365</v>
      </c>
      <c r="AL403" s="90">
        <v>250</v>
      </c>
    </row>
    <row r="404" spans="1:39" ht="15" thickBot="1" x14ac:dyDescent="0.35">
      <c r="A404" s="118" t="s">
        <v>1642</v>
      </c>
      <c r="B404" s="114" t="s">
        <v>2972</v>
      </c>
      <c r="C404" s="115" t="s">
        <v>2977</v>
      </c>
      <c r="D404" s="120"/>
      <c r="E404" s="12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 t="s">
        <v>1264</v>
      </c>
      <c r="W404" s="90">
        <v>1420</v>
      </c>
      <c r="X404" s="90">
        <v>10</v>
      </c>
      <c r="Y404" s="90" t="s">
        <v>1533</v>
      </c>
      <c r="Z404" s="92" t="s">
        <v>56</v>
      </c>
      <c r="AA404" s="90">
        <v>0.05</v>
      </c>
      <c r="AB404" s="90"/>
      <c r="AC404" s="90">
        <v>4.08</v>
      </c>
      <c r="AD404" s="115">
        <v>1.9</v>
      </c>
      <c r="AE404" s="90">
        <v>2.56</v>
      </c>
      <c r="AF404" s="92">
        <v>0</v>
      </c>
      <c r="AG404" s="90"/>
      <c r="AH404" s="90"/>
      <c r="AI404" s="90" t="s">
        <v>1552</v>
      </c>
      <c r="AJ404" s="90">
        <v>400</v>
      </c>
      <c r="AK404" s="90">
        <v>365</v>
      </c>
      <c r="AL404" s="90">
        <v>4300</v>
      </c>
    </row>
    <row r="405" spans="1:39" ht="15" thickBot="1" x14ac:dyDescent="0.35">
      <c r="A405" s="118" t="s">
        <v>1642</v>
      </c>
      <c r="B405" s="114" t="s">
        <v>2972</v>
      </c>
      <c r="C405" s="115" t="s">
        <v>2978</v>
      </c>
      <c r="D405" s="120"/>
      <c r="E405" s="12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 t="s">
        <v>1264</v>
      </c>
      <c r="W405" s="90">
        <v>1420</v>
      </c>
      <c r="X405" s="90">
        <v>10</v>
      </c>
      <c r="Y405" s="90" t="s">
        <v>1533</v>
      </c>
      <c r="Z405" s="92" t="s">
        <v>56</v>
      </c>
      <c r="AA405" s="90">
        <v>0.05</v>
      </c>
      <c r="AB405" s="90"/>
      <c r="AC405" s="90">
        <v>4.07</v>
      </c>
      <c r="AD405" s="115">
        <v>1.4</v>
      </c>
      <c r="AE405" s="90">
        <v>2.56</v>
      </c>
      <c r="AF405" s="92">
        <v>0</v>
      </c>
      <c r="AG405" s="90"/>
      <c r="AH405" s="90"/>
      <c r="AI405" s="90" t="s">
        <v>1552</v>
      </c>
      <c r="AJ405" s="90">
        <v>400</v>
      </c>
      <c r="AK405" s="90">
        <v>365</v>
      </c>
      <c r="AL405" s="90">
        <v>4300</v>
      </c>
    </row>
    <row r="406" spans="1:39" ht="15" thickBot="1" x14ac:dyDescent="0.35">
      <c r="A406" s="118" t="s">
        <v>1642</v>
      </c>
      <c r="B406" s="114" t="s">
        <v>2972</v>
      </c>
      <c r="C406" s="115" t="s">
        <v>2979</v>
      </c>
      <c r="D406" s="120"/>
      <c r="E406" s="12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 t="s">
        <v>1264</v>
      </c>
      <c r="W406" s="90">
        <v>1420</v>
      </c>
      <c r="X406" s="90">
        <v>10</v>
      </c>
      <c r="Y406" s="90" t="s">
        <v>1533</v>
      </c>
      <c r="Z406" s="92" t="s">
        <v>56</v>
      </c>
      <c r="AA406" s="90">
        <v>0.05</v>
      </c>
      <c r="AB406" s="90"/>
      <c r="AC406" s="90">
        <v>4.07</v>
      </c>
      <c r="AD406" s="115">
        <v>1.7</v>
      </c>
      <c r="AE406" s="90">
        <v>2.56</v>
      </c>
      <c r="AF406" s="92">
        <v>0</v>
      </c>
      <c r="AG406" s="90"/>
      <c r="AH406" s="90"/>
      <c r="AI406" s="90" t="s">
        <v>1552</v>
      </c>
      <c r="AJ406" s="90">
        <v>400</v>
      </c>
      <c r="AK406" s="90">
        <v>365</v>
      </c>
      <c r="AL406" s="90">
        <v>4500</v>
      </c>
    </row>
    <row r="407" spans="1:39" ht="15" thickBot="1" x14ac:dyDescent="0.35">
      <c r="A407" s="118" t="s">
        <v>1642</v>
      </c>
      <c r="B407" s="114" t="s">
        <v>2972</v>
      </c>
      <c r="C407" s="115" t="s">
        <v>2882</v>
      </c>
      <c r="D407" s="120"/>
      <c r="E407" s="12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 t="s">
        <v>1264</v>
      </c>
      <c r="W407" s="90">
        <v>1420</v>
      </c>
      <c r="X407" s="90">
        <v>10</v>
      </c>
      <c r="Y407" s="90" t="s">
        <v>1533</v>
      </c>
      <c r="Z407" s="92" t="s">
        <v>56</v>
      </c>
      <c r="AA407" s="90">
        <v>0.05</v>
      </c>
      <c r="AB407" s="90"/>
      <c r="AC407" s="90">
        <v>4.05</v>
      </c>
      <c r="AD407" s="115">
        <v>1.3</v>
      </c>
      <c r="AE407" s="90">
        <v>2.56</v>
      </c>
      <c r="AF407" s="92">
        <v>0</v>
      </c>
      <c r="AG407" s="90"/>
      <c r="AH407" s="90"/>
      <c r="AI407" s="90" t="s">
        <v>1552</v>
      </c>
      <c r="AJ407" s="90">
        <v>400</v>
      </c>
      <c r="AK407" s="90">
        <v>365</v>
      </c>
      <c r="AL407" s="90">
        <v>1700</v>
      </c>
    </row>
    <row r="408" spans="1:39" ht="15" thickBot="1" x14ac:dyDescent="0.35">
      <c r="A408" s="118" t="s">
        <v>1643</v>
      </c>
      <c r="B408" s="114" t="s">
        <v>2980</v>
      </c>
      <c r="C408" s="115" t="s">
        <v>2981</v>
      </c>
      <c r="D408" s="120"/>
      <c r="E408" s="12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 t="s">
        <v>1264</v>
      </c>
      <c r="W408" s="90">
        <v>1173</v>
      </c>
      <c r="X408" s="90">
        <v>16</v>
      </c>
      <c r="Y408" s="90" t="s">
        <v>1533</v>
      </c>
      <c r="Z408" s="92" t="s">
        <v>1313</v>
      </c>
      <c r="AA408" s="92">
        <v>1</v>
      </c>
      <c r="AB408" s="90"/>
      <c r="AC408" s="90"/>
      <c r="AD408" s="115"/>
      <c r="AE408" s="90">
        <v>12.5</v>
      </c>
      <c r="AF408" s="92">
        <v>0</v>
      </c>
      <c r="AG408" s="90"/>
      <c r="AH408" s="90"/>
      <c r="AI408" s="90" t="s">
        <v>1552</v>
      </c>
      <c r="AJ408" s="90">
        <v>200</v>
      </c>
      <c r="AK408" s="90">
        <v>365</v>
      </c>
      <c r="AL408" s="90">
        <v>7</v>
      </c>
    </row>
    <row r="409" spans="1:39" ht="15" thickBot="1" x14ac:dyDescent="0.35">
      <c r="A409" s="118" t="s">
        <v>1643</v>
      </c>
      <c r="B409" s="114" t="s">
        <v>2980</v>
      </c>
      <c r="C409" s="115" t="s">
        <v>2982</v>
      </c>
      <c r="D409" s="120"/>
      <c r="E409" s="12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 t="s">
        <v>1264</v>
      </c>
      <c r="W409" s="90">
        <v>1173</v>
      </c>
      <c r="X409" s="90">
        <v>16</v>
      </c>
      <c r="Y409" s="90" t="s">
        <v>1533</v>
      </c>
      <c r="Z409" s="92" t="s">
        <v>1313</v>
      </c>
      <c r="AA409" s="92">
        <v>1</v>
      </c>
      <c r="AB409" s="90"/>
      <c r="AC409" s="90"/>
      <c r="AD409" s="115"/>
      <c r="AE409" s="90">
        <v>12.5</v>
      </c>
      <c r="AF409" s="92">
        <v>0</v>
      </c>
      <c r="AG409" s="90"/>
      <c r="AH409" s="90"/>
      <c r="AI409" s="90" t="s">
        <v>1552</v>
      </c>
      <c r="AJ409" s="90">
        <v>200</v>
      </c>
      <c r="AK409" s="90">
        <v>365</v>
      </c>
      <c r="AL409" s="90">
        <v>6</v>
      </c>
    </row>
    <row r="410" spans="1:39" ht="15" thickBot="1" x14ac:dyDescent="0.35">
      <c r="A410" s="118" t="s">
        <v>1643</v>
      </c>
      <c r="B410" s="114" t="s">
        <v>2980</v>
      </c>
      <c r="C410" s="114" t="s">
        <v>2983</v>
      </c>
      <c r="D410" s="120"/>
      <c r="E410" s="120"/>
      <c r="F410" s="90" t="s">
        <v>1578</v>
      </c>
      <c r="G410" s="90"/>
      <c r="H410" s="90"/>
      <c r="I410" s="90" t="s">
        <v>1543</v>
      </c>
      <c r="J410" s="90"/>
      <c r="K410" s="90"/>
      <c r="L410" s="90" t="s">
        <v>1531</v>
      </c>
      <c r="M410" s="90"/>
      <c r="N410" s="90">
        <v>0.11899999999999999</v>
      </c>
      <c r="O410" s="90"/>
      <c r="P410" s="90"/>
      <c r="Q410" s="90">
        <v>0.63200000000000001</v>
      </c>
      <c r="R410" s="90"/>
      <c r="S410" s="90"/>
      <c r="T410" s="90">
        <v>0.249</v>
      </c>
      <c r="U410" s="90"/>
      <c r="V410" s="90" t="s">
        <v>1264</v>
      </c>
      <c r="W410" s="90">
        <v>1173</v>
      </c>
      <c r="X410" s="90">
        <v>16</v>
      </c>
      <c r="Y410" s="90" t="s">
        <v>1533</v>
      </c>
      <c r="Z410" s="92" t="s">
        <v>1313</v>
      </c>
      <c r="AA410" s="92">
        <v>1</v>
      </c>
      <c r="AB410" s="90" t="s">
        <v>1539</v>
      </c>
      <c r="AC410" s="90"/>
      <c r="AD410" s="90"/>
      <c r="AE410" s="90">
        <v>12.5</v>
      </c>
      <c r="AF410" s="92">
        <v>0</v>
      </c>
      <c r="AG410" s="90"/>
      <c r="AH410" s="90"/>
      <c r="AI410" s="90" t="s">
        <v>1552</v>
      </c>
      <c r="AJ410" s="90">
        <v>200</v>
      </c>
      <c r="AK410" s="90">
        <v>365</v>
      </c>
      <c r="AL410" s="90">
        <v>11.2</v>
      </c>
      <c r="AM410" s="127"/>
    </row>
    <row r="411" spans="1:39" ht="15" thickBot="1" x14ac:dyDescent="0.35">
      <c r="A411" s="118" t="s">
        <v>1643</v>
      </c>
      <c r="B411" s="114" t="s">
        <v>2980</v>
      </c>
      <c r="C411" s="114" t="s">
        <v>2984</v>
      </c>
      <c r="D411" s="120"/>
      <c r="E411" s="120"/>
      <c r="F411" s="90" t="s">
        <v>1578</v>
      </c>
      <c r="G411" s="90"/>
      <c r="H411" s="90"/>
      <c r="I411" s="90" t="s">
        <v>1543</v>
      </c>
      <c r="J411" s="90"/>
      <c r="K411" s="90"/>
      <c r="L411" s="90" t="s">
        <v>1531</v>
      </c>
      <c r="M411" s="90"/>
      <c r="N411" s="90">
        <v>0.11899999999999999</v>
      </c>
      <c r="O411" s="90"/>
      <c r="P411" s="90"/>
      <c r="Q411" s="90">
        <v>0.63200000000000001</v>
      </c>
      <c r="R411" s="90"/>
      <c r="S411" s="90"/>
      <c r="T411" s="90">
        <v>0.249</v>
      </c>
      <c r="U411" s="90"/>
      <c r="V411" s="90" t="s">
        <v>1264</v>
      </c>
      <c r="W411" s="90">
        <v>1173</v>
      </c>
      <c r="X411" s="90">
        <v>16</v>
      </c>
      <c r="Y411" s="90" t="s">
        <v>1533</v>
      </c>
      <c r="Z411" s="92" t="s">
        <v>1313</v>
      </c>
      <c r="AA411" s="92">
        <v>1</v>
      </c>
      <c r="AB411" s="90" t="s">
        <v>1539</v>
      </c>
      <c r="AC411" s="90"/>
      <c r="AD411" s="90"/>
      <c r="AE411" s="90">
        <v>12.5</v>
      </c>
      <c r="AF411" s="92">
        <v>0</v>
      </c>
      <c r="AG411" s="90"/>
      <c r="AH411" s="90"/>
      <c r="AI411" s="90" t="s">
        <v>1552</v>
      </c>
      <c r="AJ411" s="90">
        <v>200</v>
      </c>
      <c r="AK411" s="90">
        <v>365</v>
      </c>
      <c r="AL411" s="90">
        <v>30.4</v>
      </c>
      <c r="AM411" s="127"/>
    </row>
    <row r="412" spans="1:39" ht="15" thickBot="1" x14ac:dyDescent="0.35">
      <c r="A412" s="118" t="s">
        <v>1644</v>
      </c>
      <c r="B412" s="114" t="s">
        <v>2985</v>
      </c>
      <c r="C412" s="114" t="s">
        <v>28</v>
      </c>
      <c r="D412" s="120"/>
      <c r="E412" s="120"/>
      <c r="F412" s="90" t="s">
        <v>1578</v>
      </c>
      <c r="G412" s="90"/>
      <c r="H412" s="90"/>
      <c r="I412" s="90" t="s">
        <v>1558</v>
      </c>
      <c r="J412" s="90"/>
      <c r="K412" s="90"/>
      <c r="L412" s="90" t="s">
        <v>1531</v>
      </c>
      <c r="M412" s="90"/>
      <c r="N412" s="90">
        <v>9.0999999999999998E-2</v>
      </c>
      <c r="O412" s="90"/>
      <c r="P412" s="90"/>
      <c r="Q412" s="90">
        <v>0.71799999999999997</v>
      </c>
      <c r="R412" s="90"/>
      <c r="S412" s="90"/>
      <c r="T412" s="90">
        <v>0.191</v>
      </c>
      <c r="U412" s="90"/>
      <c r="V412" s="90" t="s">
        <v>1264</v>
      </c>
      <c r="W412" s="90">
        <v>1420</v>
      </c>
      <c r="X412" s="90">
        <v>10</v>
      </c>
      <c r="Y412" s="90" t="s">
        <v>1533</v>
      </c>
      <c r="Z412" s="92" t="s">
        <v>863</v>
      </c>
      <c r="AA412" s="92">
        <v>0.05</v>
      </c>
      <c r="AB412" s="90" t="s">
        <v>1539</v>
      </c>
      <c r="AC412" s="90">
        <v>4</v>
      </c>
      <c r="AD412" s="90">
        <v>0.44</v>
      </c>
      <c r="AE412" s="90">
        <v>2.85</v>
      </c>
      <c r="AF412" s="92">
        <v>0</v>
      </c>
      <c r="AG412" s="90" t="s">
        <v>1575</v>
      </c>
      <c r="AH412" s="90"/>
      <c r="AI412" s="90" t="s">
        <v>1552</v>
      </c>
      <c r="AJ412" s="90">
        <v>400</v>
      </c>
      <c r="AK412" s="90">
        <v>365</v>
      </c>
      <c r="AL412" s="90">
        <v>3390</v>
      </c>
    </row>
    <row r="413" spans="1:39" ht="15" thickBot="1" x14ac:dyDescent="0.35">
      <c r="A413" s="118" t="s">
        <v>1644</v>
      </c>
      <c r="B413" s="114" t="s">
        <v>2985</v>
      </c>
      <c r="C413" s="114" t="s">
        <v>204</v>
      </c>
      <c r="D413" s="120"/>
      <c r="E413" s="120"/>
      <c r="F413" s="90" t="s">
        <v>1588</v>
      </c>
      <c r="G413" s="90"/>
      <c r="H413" s="90"/>
      <c r="I413" s="90" t="s">
        <v>1558</v>
      </c>
      <c r="J413" s="90"/>
      <c r="K413" s="90"/>
      <c r="L413" s="90" t="s">
        <v>1531</v>
      </c>
      <c r="M413" s="90"/>
      <c r="N413" s="90">
        <v>2.9000000000000001E-2</v>
      </c>
      <c r="O413" s="90"/>
      <c r="P413" s="90"/>
      <c r="Q413" s="90">
        <v>0.76700000000000002</v>
      </c>
      <c r="R413" s="90"/>
      <c r="S413" s="90"/>
      <c r="T413" s="90">
        <v>0.20300000000000001</v>
      </c>
      <c r="U413" s="90"/>
      <c r="V413" s="90" t="s">
        <v>1264</v>
      </c>
      <c r="W413" s="90">
        <v>1420</v>
      </c>
      <c r="X413" s="90">
        <v>10</v>
      </c>
      <c r="Y413" s="90" t="s">
        <v>1533</v>
      </c>
      <c r="Z413" s="92" t="s">
        <v>863</v>
      </c>
      <c r="AA413" s="92">
        <v>0.05</v>
      </c>
      <c r="AB413" s="90" t="s">
        <v>1539</v>
      </c>
      <c r="AC413" s="90">
        <v>4</v>
      </c>
      <c r="AD413" s="90">
        <v>0.44</v>
      </c>
      <c r="AE413" s="90">
        <v>2.85</v>
      </c>
      <c r="AF413" s="92">
        <v>0</v>
      </c>
      <c r="AG413" s="90"/>
      <c r="AH413" s="90"/>
      <c r="AI413" s="90" t="s">
        <v>1552</v>
      </c>
      <c r="AJ413" s="90">
        <v>400</v>
      </c>
      <c r="AK413" s="90">
        <v>365</v>
      </c>
      <c r="AL413" s="90">
        <v>430</v>
      </c>
    </row>
    <row r="414" spans="1:39" ht="15" thickBot="1" x14ac:dyDescent="0.35">
      <c r="A414" s="118" t="s">
        <v>1644</v>
      </c>
      <c r="B414" s="114" t="s">
        <v>2985</v>
      </c>
      <c r="C414" s="114" t="s">
        <v>27</v>
      </c>
      <c r="D414" s="120"/>
      <c r="E414" s="120"/>
      <c r="F414" s="90" t="s">
        <v>1557</v>
      </c>
      <c r="G414" s="90"/>
      <c r="H414" s="90"/>
      <c r="I414" s="90" t="s">
        <v>1558</v>
      </c>
      <c r="J414" s="90"/>
      <c r="K414" s="90"/>
      <c r="L414" s="90" t="s">
        <v>1531</v>
      </c>
      <c r="M414" s="90"/>
      <c r="N414" s="90">
        <v>0.14599999999999999</v>
      </c>
      <c r="O414" s="90"/>
      <c r="P414" s="90"/>
      <c r="Q414" s="90">
        <v>0.67500000000000004</v>
      </c>
      <c r="R414" s="90"/>
      <c r="S414" s="90"/>
      <c r="T414" s="90">
        <v>0.17899999999999999</v>
      </c>
      <c r="U414" s="90"/>
      <c r="V414" s="90" t="s">
        <v>1264</v>
      </c>
      <c r="W414" s="90">
        <v>1420</v>
      </c>
      <c r="X414" s="90">
        <v>10</v>
      </c>
      <c r="Y414" s="90" t="s">
        <v>1533</v>
      </c>
      <c r="Z414" s="92" t="s">
        <v>863</v>
      </c>
      <c r="AA414" s="92">
        <v>0.05</v>
      </c>
      <c r="AB414" s="90" t="s">
        <v>1539</v>
      </c>
      <c r="AC414" s="90">
        <v>4</v>
      </c>
      <c r="AD414" s="90">
        <v>0.44</v>
      </c>
      <c r="AE414" s="90">
        <v>2.85</v>
      </c>
      <c r="AF414" s="92">
        <v>0</v>
      </c>
      <c r="AG414" s="90"/>
      <c r="AH414" s="90"/>
      <c r="AI414" s="90" t="s">
        <v>1552</v>
      </c>
      <c r="AJ414" s="90">
        <v>400</v>
      </c>
      <c r="AK414" s="90">
        <v>365</v>
      </c>
      <c r="AL414" s="90">
        <v>29</v>
      </c>
    </row>
    <row r="415" spans="1:39" ht="15" thickBot="1" x14ac:dyDescent="0.35">
      <c r="A415" s="118" t="s">
        <v>1645</v>
      </c>
      <c r="B415" s="114" t="s">
        <v>2986</v>
      </c>
      <c r="C415" s="114" t="s">
        <v>28</v>
      </c>
      <c r="D415" s="120"/>
      <c r="E415" s="120"/>
      <c r="F415" s="90" t="s">
        <v>1578</v>
      </c>
      <c r="G415" s="90"/>
      <c r="H415" s="90"/>
      <c r="I415" s="90" t="s">
        <v>1558</v>
      </c>
      <c r="J415" s="90"/>
      <c r="K415" s="90"/>
      <c r="L415" s="90" t="s">
        <v>1531</v>
      </c>
      <c r="M415" s="90"/>
      <c r="N415" s="90">
        <v>9.0999999999999998E-2</v>
      </c>
      <c r="O415" s="90"/>
      <c r="P415" s="90"/>
      <c r="Q415" s="90">
        <v>0.71799999999999997</v>
      </c>
      <c r="R415" s="90"/>
      <c r="S415" s="90"/>
      <c r="T415" s="90">
        <v>0.191</v>
      </c>
      <c r="U415" s="90"/>
      <c r="V415" s="90" t="s">
        <v>1264</v>
      </c>
      <c r="W415" s="90">
        <v>770</v>
      </c>
      <c r="X415" s="90">
        <v>2</v>
      </c>
      <c r="Y415" s="90" t="s">
        <v>1533</v>
      </c>
      <c r="Z415" s="92" t="s">
        <v>1499</v>
      </c>
      <c r="AA415" s="92">
        <v>1</v>
      </c>
      <c r="AB415" s="90"/>
      <c r="AC415" s="90">
        <v>4</v>
      </c>
      <c r="AD415" s="90"/>
      <c r="AE415" s="90">
        <v>2.5</v>
      </c>
      <c r="AF415" s="92">
        <v>0</v>
      </c>
      <c r="AG415" s="90" t="s">
        <v>1646</v>
      </c>
      <c r="AH415" s="90"/>
      <c r="AI415" s="90" t="s">
        <v>1552</v>
      </c>
      <c r="AJ415" s="90">
        <v>450</v>
      </c>
      <c r="AK415" s="90">
        <v>365</v>
      </c>
      <c r="AL415" s="90">
        <v>300</v>
      </c>
    </row>
    <row r="416" spans="1:39" ht="15" thickBot="1" x14ac:dyDescent="0.35">
      <c r="A416" s="118" t="s">
        <v>1647</v>
      </c>
      <c r="B416" s="114" t="s">
        <v>2989</v>
      </c>
      <c r="C416" s="114" t="s">
        <v>2987</v>
      </c>
      <c r="D416" s="120"/>
      <c r="E416" s="120"/>
      <c r="F416" s="90" t="s">
        <v>1555</v>
      </c>
      <c r="G416" s="90"/>
      <c r="H416" s="90"/>
      <c r="I416" s="90" t="s">
        <v>1558</v>
      </c>
      <c r="J416" s="90"/>
      <c r="K416" s="90"/>
      <c r="L416" s="90" t="s">
        <v>1531</v>
      </c>
      <c r="M416" s="90"/>
      <c r="N416" s="90">
        <v>0.32100000000000001</v>
      </c>
      <c r="O416" s="90"/>
      <c r="P416" s="90"/>
      <c r="Q416" s="90">
        <v>0.53700000000000003</v>
      </c>
      <c r="R416" s="90"/>
      <c r="S416" s="90"/>
      <c r="T416" s="90">
        <v>0.14199999999999999</v>
      </c>
      <c r="U416" s="90"/>
      <c r="V416" s="90" t="s">
        <v>1264</v>
      </c>
      <c r="W416" s="90">
        <v>1350</v>
      </c>
      <c r="X416" s="90">
        <v>5</v>
      </c>
      <c r="Y416" s="90" t="s">
        <v>1268</v>
      </c>
      <c r="Z416" s="92" t="s">
        <v>56</v>
      </c>
      <c r="AA416" s="92">
        <v>0.24</v>
      </c>
      <c r="AB416" s="90" t="s">
        <v>1142</v>
      </c>
      <c r="AC416" s="90">
        <v>3.4</v>
      </c>
      <c r="AD416" s="90">
        <v>1</v>
      </c>
      <c r="AE416" s="90">
        <v>1</v>
      </c>
      <c r="AF416" s="92">
        <v>0</v>
      </c>
      <c r="AG416" s="90"/>
      <c r="AH416" s="90"/>
      <c r="AI416" s="90" t="s">
        <v>1534</v>
      </c>
      <c r="AJ416" s="90">
        <v>300</v>
      </c>
      <c r="AK416" s="90">
        <v>300</v>
      </c>
      <c r="AL416" s="90">
        <v>138</v>
      </c>
    </row>
    <row r="417" spans="1:38" ht="15" thickBot="1" x14ac:dyDescent="0.35">
      <c r="A417" s="118" t="s">
        <v>1647</v>
      </c>
      <c r="B417" s="114" t="s">
        <v>2989</v>
      </c>
      <c r="C417" s="114" t="s">
        <v>2988</v>
      </c>
      <c r="D417" s="120"/>
      <c r="E417" s="120"/>
      <c r="F417" s="90" t="s">
        <v>1555</v>
      </c>
      <c r="G417" s="90"/>
      <c r="H417" s="90"/>
      <c r="I417" s="90" t="s">
        <v>1068</v>
      </c>
      <c r="J417" s="90"/>
      <c r="K417" s="90"/>
      <c r="L417" s="90" t="s">
        <v>1531</v>
      </c>
      <c r="M417" s="90"/>
      <c r="N417" s="90">
        <v>0.434</v>
      </c>
      <c r="O417" s="90"/>
      <c r="P417" s="90"/>
      <c r="Q417" s="90">
        <v>0.373</v>
      </c>
      <c r="R417" s="90"/>
      <c r="S417" s="90"/>
      <c r="T417" s="90">
        <v>0.193</v>
      </c>
      <c r="U417" s="90"/>
      <c r="V417" s="90" t="s">
        <v>1264</v>
      </c>
      <c r="W417" s="90">
        <v>1150</v>
      </c>
      <c r="X417" s="90">
        <v>5</v>
      </c>
      <c r="Y417" s="90" t="s">
        <v>1268</v>
      </c>
      <c r="Z417" s="92" t="s">
        <v>56</v>
      </c>
      <c r="AA417" s="92">
        <v>0.24</v>
      </c>
      <c r="AB417" s="90" t="s">
        <v>1142</v>
      </c>
      <c r="AC417" s="90">
        <v>3.4</v>
      </c>
      <c r="AD417" s="90">
        <v>1</v>
      </c>
      <c r="AE417" s="90">
        <v>1</v>
      </c>
      <c r="AF417" s="92">
        <v>0</v>
      </c>
      <c r="AG417" s="90" t="s">
        <v>1637</v>
      </c>
      <c r="AH417" s="90"/>
      <c r="AI417" s="90" t="s">
        <v>1534</v>
      </c>
      <c r="AJ417" s="90">
        <v>300</v>
      </c>
      <c r="AK417" s="90">
        <v>300</v>
      </c>
      <c r="AL417" s="90">
        <v>103.5</v>
      </c>
    </row>
    <row r="418" spans="1:38" ht="15" thickBot="1" x14ac:dyDescent="0.35">
      <c r="A418" s="118" t="s">
        <v>1648</v>
      </c>
      <c r="B418" s="114" t="s">
        <v>2991</v>
      </c>
      <c r="C418" s="114" t="s">
        <v>2990</v>
      </c>
      <c r="D418" s="120"/>
      <c r="E418" s="120"/>
      <c r="F418" s="90" t="s">
        <v>1529</v>
      </c>
      <c r="G418" s="90" t="s">
        <v>1541</v>
      </c>
      <c r="H418" s="90"/>
      <c r="I418" s="90" t="s">
        <v>1530</v>
      </c>
      <c r="J418" s="90" t="s">
        <v>1543</v>
      </c>
      <c r="K418" s="90"/>
      <c r="L418" s="90" t="s">
        <v>1531</v>
      </c>
      <c r="M418" s="90"/>
      <c r="N418" s="90">
        <v>0.46700000000000003</v>
      </c>
      <c r="O418" s="90">
        <v>6.0000000000000001E-3</v>
      </c>
      <c r="P418" s="90"/>
      <c r="Q418" s="90">
        <v>0.255</v>
      </c>
      <c r="R418" s="90">
        <v>1.6E-2</v>
      </c>
      <c r="S418" s="90"/>
      <c r="T418" s="90">
        <v>0.25600000000000001</v>
      </c>
      <c r="U418" s="90"/>
      <c r="V418" s="90" t="s">
        <v>1264</v>
      </c>
      <c r="W418" s="90">
        <v>1420</v>
      </c>
      <c r="X418" s="90">
        <v>10</v>
      </c>
      <c r="Y418" s="90" t="s">
        <v>1268</v>
      </c>
      <c r="Z418" s="92" t="s">
        <v>863</v>
      </c>
      <c r="AA418" s="92">
        <v>0.3</v>
      </c>
      <c r="AB418" s="90" t="s">
        <v>1539</v>
      </c>
      <c r="AC418" s="90">
        <v>2.4</v>
      </c>
      <c r="AD418" s="90"/>
      <c r="AE418" s="90">
        <v>1.56</v>
      </c>
      <c r="AF418" s="92">
        <v>8</v>
      </c>
      <c r="AG418" s="90" t="s">
        <v>1637</v>
      </c>
      <c r="AH418" s="90"/>
      <c r="AI418" s="90" t="s">
        <v>1534</v>
      </c>
      <c r="AJ418" s="90">
        <v>300</v>
      </c>
      <c r="AK418" s="90">
        <v>420</v>
      </c>
      <c r="AL418" s="90">
        <v>156</v>
      </c>
    </row>
    <row r="419" spans="1:38" ht="15" thickBot="1" x14ac:dyDescent="0.35">
      <c r="A419" s="118" t="s">
        <v>1649</v>
      </c>
      <c r="B419" s="114" t="s">
        <v>2994</v>
      </c>
      <c r="C419" s="114" t="s">
        <v>2881</v>
      </c>
      <c r="D419" s="120"/>
      <c r="E419" s="120"/>
      <c r="F419" s="90" t="s">
        <v>1578</v>
      </c>
      <c r="G419" s="90" t="s">
        <v>1088</v>
      </c>
      <c r="H419" s="90"/>
      <c r="I419" s="90" t="s">
        <v>1558</v>
      </c>
      <c r="J419" s="90">
        <f>N419/23</f>
        <v>3.913043478260869E-3</v>
      </c>
      <c r="K419" s="90">
        <f>O419/139</f>
        <v>7.9136690647482004E-5</v>
      </c>
      <c r="L419" s="90" t="s">
        <v>1531</v>
      </c>
      <c r="M419" s="90"/>
      <c r="N419" s="90">
        <v>0.09</v>
      </c>
      <c r="O419" s="90">
        <v>1.0999999999999999E-2</v>
      </c>
      <c r="P419" s="90"/>
      <c r="Q419" s="90">
        <v>0.71</v>
      </c>
      <c r="R419" s="90"/>
      <c r="S419" s="90"/>
      <c r="T419" s="90">
        <v>0.188</v>
      </c>
      <c r="U419" s="90"/>
      <c r="V419" s="90" t="s">
        <v>1264</v>
      </c>
      <c r="W419" s="90">
        <v>1420</v>
      </c>
      <c r="X419" s="90">
        <v>10</v>
      </c>
      <c r="Y419" s="90" t="s">
        <v>1533</v>
      </c>
      <c r="Z419" s="92" t="s">
        <v>56</v>
      </c>
      <c r="AA419" s="92">
        <v>0.2</v>
      </c>
      <c r="AB419" s="90"/>
      <c r="AC419" s="90">
        <v>4.09</v>
      </c>
      <c r="AD419" s="90">
        <v>3.2</v>
      </c>
      <c r="AE419" s="90">
        <v>2.56</v>
      </c>
      <c r="AF419" s="92">
        <v>0</v>
      </c>
      <c r="AG419" s="90" t="s">
        <v>1575</v>
      </c>
      <c r="AH419" s="90"/>
      <c r="AI419" s="90" t="s">
        <v>1552</v>
      </c>
      <c r="AJ419" s="90">
        <v>400</v>
      </c>
      <c r="AK419" s="90">
        <v>365</v>
      </c>
      <c r="AL419" s="90">
        <v>19800</v>
      </c>
    </row>
    <row r="420" spans="1:38" ht="15" thickBot="1" x14ac:dyDescent="0.35">
      <c r="A420" s="118" t="s">
        <v>1650</v>
      </c>
      <c r="B420" s="114" t="s">
        <v>2992</v>
      </c>
      <c r="C420" s="114" t="s">
        <v>2993</v>
      </c>
      <c r="D420" s="120"/>
      <c r="E420" s="120"/>
      <c r="F420" s="90" t="s">
        <v>1088</v>
      </c>
      <c r="G420" s="90"/>
      <c r="H420" s="90"/>
      <c r="I420" s="90" t="s">
        <v>964</v>
      </c>
      <c r="J420" s="90">
        <f>1*K419/J419</f>
        <v>2.0223820943245405E-2</v>
      </c>
      <c r="K420" s="90"/>
      <c r="L420" s="90" t="s">
        <v>1531</v>
      </c>
      <c r="M420" s="90"/>
      <c r="N420" s="90">
        <v>0.46</v>
      </c>
      <c r="O420" s="90"/>
      <c r="P420" s="90"/>
      <c r="Q420" s="90">
        <v>0.38100000000000001</v>
      </c>
      <c r="R420" s="90"/>
      <c r="S420" s="90"/>
      <c r="T420" s="90">
        <v>0.159</v>
      </c>
      <c r="U420" s="90"/>
      <c r="V420" s="90" t="s">
        <v>1264</v>
      </c>
      <c r="W420" s="90">
        <v>1473</v>
      </c>
      <c r="X420" s="90">
        <v>16</v>
      </c>
      <c r="Y420" s="90" t="s">
        <v>1533</v>
      </c>
      <c r="Z420" s="92" t="s">
        <v>1313</v>
      </c>
      <c r="AA420" s="92">
        <v>1</v>
      </c>
      <c r="AB420" s="90" t="s">
        <v>1539</v>
      </c>
      <c r="AC420" s="90">
        <v>4.4249999999999998</v>
      </c>
      <c r="AD420" s="90"/>
      <c r="AE420" s="90">
        <v>1</v>
      </c>
      <c r="AF420" s="92">
        <v>0</v>
      </c>
      <c r="AG420" s="90"/>
      <c r="AH420" s="90"/>
      <c r="AI420" s="90" t="s">
        <v>1552</v>
      </c>
      <c r="AJ420" s="90">
        <v>200</v>
      </c>
      <c r="AK420" s="90">
        <v>365</v>
      </c>
      <c r="AL420" s="90">
        <v>5</v>
      </c>
    </row>
    <row r="421" spans="1:38" ht="15" thickBot="1" x14ac:dyDescent="0.35">
      <c r="A421" s="118" t="s">
        <v>1651</v>
      </c>
      <c r="B421" s="114" t="s">
        <v>2998</v>
      </c>
      <c r="C421" s="114" t="s">
        <v>2995</v>
      </c>
      <c r="D421" s="120"/>
      <c r="E421" s="120"/>
      <c r="F421" s="90" t="s">
        <v>964</v>
      </c>
      <c r="G421" s="90" t="s">
        <v>1568</v>
      </c>
      <c r="H421" s="90"/>
      <c r="I421" s="90" t="s">
        <v>1068</v>
      </c>
      <c r="J421" s="90"/>
      <c r="K421" s="90"/>
      <c r="L421" s="90" t="s">
        <v>1531</v>
      </c>
      <c r="M421" s="90"/>
      <c r="N421" s="90">
        <v>0.19900000000000001</v>
      </c>
      <c r="O421" s="90">
        <v>0.47499999999999998</v>
      </c>
      <c r="P421" s="90"/>
      <c r="Q421" s="90">
        <v>0.161</v>
      </c>
      <c r="R421" s="90"/>
      <c r="S421" s="90"/>
      <c r="T421" s="90">
        <v>0.16600000000000001</v>
      </c>
      <c r="U421" s="90"/>
      <c r="V421" s="90" t="s">
        <v>1264</v>
      </c>
      <c r="W421" s="90">
        <v>1123</v>
      </c>
      <c r="X421" s="90">
        <v>8</v>
      </c>
      <c r="Y421" s="90" t="s">
        <v>1533</v>
      </c>
      <c r="Z421" s="92" t="s">
        <v>56</v>
      </c>
      <c r="AA421" s="92">
        <v>1</v>
      </c>
      <c r="AB421" s="90" t="s">
        <v>518</v>
      </c>
      <c r="AC421" s="90">
        <v>3.51</v>
      </c>
      <c r="AD421" s="90">
        <v>1.71</v>
      </c>
      <c r="AE421" s="90">
        <v>1.85</v>
      </c>
      <c r="AF421" s="92">
        <v>18.5</v>
      </c>
      <c r="AG421" s="90"/>
      <c r="AH421" s="90"/>
      <c r="AI421" s="90" t="s">
        <v>1552</v>
      </c>
      <c r="AJ421" s="90">
        <v>400</v>
      </c>
      <c r="AK421" s="90">
        <v>365</v>
      </c>
      <c r="AL421" s="90">
        <v>54</v>
      </c>
    </row>
    <row r="422" spans="1:38" ht="15" thickBot="1" x14ac:dyDescent="0.35">
      <c r="A422" s="118" t="s">
        <v>1651</v>
      </c>
      <c r="B422" s="114" t="s">
        <v>2998</v>
      </c>
      <c r="C422" s="114" t="s">
        <v>2996</v>
      </c>
      <c r="D422" s="120"/>
      <c r="E422" s="120"/>
      <c r="F422" s="90" t="s">
        <v>964</v>
      </c>
      <c r="G422" s="90" t="s">
        <v>1529</v>
      </c>
      <c r="H422" s="90"/>
      <c r="I422" s="90" t="s">
        <v>1068</v>
      </c>
      <c r="J422" s="90"/>
      <c r="K422" s="90"/>
      <c r="L422" s="90" t="s">
        <v>1531</v>
      </c>
      <c r="M422" s="90"/>
      <c r="N422" s="90">
        <v>0.24</v>
      </c>
      <c r="O422" s="90">
        <v>0.36599999999999999</v>
      </c>
      <c r="P422" s="90"/>
      <c r="Q422" s="90">
        <v>0.19400000000000001</v>
      </c>
      <c r="R422" s="90"/>
      <c r="S422" s="90"/>
      <c r="T422" s="90">
        <v>0.2</v>
      </c>
      <c r="U422" s="90"/>
      <c r="V422" s="90" t="s">
        <v>1264</v>
      </c>
      <c r="W422" s="90">
        <v>1123</v>
      </c>
      <c r="X422" s="90">
        <v>8</v>
      </c>
      <c r="Y422" s="90" t="s">
        <v>1533</v>
      </c>
      <c r="Z422" s="92" t="s">
        <v>56</v>
      </c>
      <c r="AA422" s="92">
        <v>1</v>
      </c>
      <c r="AB422" s="90" t="s">
        <v>518</v>
      </c>
      <c r="AC422" s="90">
        <v>3.51</v>
      </c>
      <c r="AD422" s="90">
        <v>1.71</v>
      </c>
      <c r="AE422" s="90">
        <v>1.85</v>
      </c>
      <c r="AF422" s="92">
        <v>18.5</v>
      </c>
      <c r="AG422" s="90"/>
      <c r="AH422" s="90"/>
      <c r="AI422" s="90" t="s">
        <v>1552</v>
      </c>
      <c r="AJ422" s="90">
        <v>400</v>
      </c>
      <c r="AK422" s="90">
        <v>365</v>
      </c>
      <c r="AL422" s="90">
        <v>27.6</v>
      </c>
    </row>
    <row r="423" spans="1:38" ht="15" thickBot="1" x14ac:dyDescent="0.35">
      <c r="A423" s="118" t="s">
        <v>1651</v>
      </c>
      <c r="B423" s="114" t="s">
        <v>2998</v>
      </c>
      <c r="C423" s="114" t="s">
        <v>2997</v>
      </c>
      <c r="D423" s="120"/>
      <c r="E423" s="120"/>
      <c r="F423" s="90" t="s">
        <v>964</v>
      </c>
      <c r="G423" s="90" t="s">
        <v>1091</v>
      </c>
      <c r="H423" s="90"/>
      <c r="I423" s="90" t="s">
        <v>1068</v>
      </c>
      <c r="J423" s="90"/>
      <c r="K423" s="90"/>
      <c r="L423" s="90" t="s">
        <v>1531</v>
      </c>
      <c r="M423" s="90"/>
      <c r="N423" s="90">
        <v>0.29899999999999999</v>
      </c>
      <c r="O423" s="90">
        <v>0.20899999999999999</v>
      </c>
      <c r="P423" s="90"/>
      <c r="Q423" s="90">
        <v>0.24199999999999999</v>
      </c>
      <c r="R423" s="90"/>
      <c r="S423" s="90"/>
      <c r="T423" s="90">
        <v>0.25</v>
      </c>
      <c r="U423" s="90"/>
      <c r="V423" s="90" t="s">
        <v>1264</v>
      </c>
      <c r="W423" s="90">
        <v>1123</v>
      </c>
      <c r="X423" s="90">
        <v>8</v>
      </c>
      <c r="Y423" s="90" t="s">
        <v>1533</v>
      </c>
      <c r="Z423" s="92" t="s">
        <v>56</v>
      </c>
      <c r="AA423" s="92">
        <v>1</v>
      </c>
      <c r="AB423" s="90" t="s">
        <v>1142</v>
      </c>
      <c r="AC423" s="90">
        <v>3.51</v>
      </c>
      <c r="AD423" s="90">
        <v>1.71</v>
      </c>
      <c r="AE423" s="90">
        <v>1.85</v>
      </c>
      <c r="AF423" s="92">
        <v>18.5</v>
      </c>
      <c r="AG423" s="90"/>
      <c r="AH423" s="90"/>
      <c r="AI423" s="90" t="s">
        <v>1552</v>
      </c>
      <c r="AJ423" s="90">
        <v>400</v>
      </c>
      <c r="AK423" s="90">
        <v>365</v>
      </c>
      <c r="AL423" s="90">
        <v>29.6</v>
      </c>
    </row>
    <row r="424" spans="1:38" ht="15" thickBot="1" x14ac:dyDescent="0.35">
      <c r="A424" s="118" t="s">
        <v>1652</v>
      </c>
      <c r="B424" s="114" t="s">
        <v>3002</v>
      </c>
      <c r="C424" s="114" t="s">
        <v>2999</v>
      </c>
      <c r="D424" s="120"/>
      <c r="E424" s="120"/>
      <c r="F424" s="90" t="s">
        <v>678</v>
      </c>
      <c r="G424" s="90" t="s">
        <v>1091</v>
      </c>
      <c r="H424" s="90"/>
      <c r="I424" s="90" t="s">
        <v>1068</v>
      </c>
      <c r="J424" s="90"/>
      <c r="K424" s="90"/>
      <c r="L424" s="90" t="s">
        <v>1531</v>
      </c>
      <c r="M424" s="90"/>
      <c r="N424" s="90">
        <v>0.11600000000000001</v>
      </c>
      <c r="O424" s="90">
        <v>0.23599999999999999</v>
      </c>
      <c r="P424" s="90"/>
      <c r="Q424" s="90">
        <v>0.36499999999999999</v>
      </c>
      <c r="R424" s="90"/>
      <c r="S424" s="90"/>
      <c r="T424" s="90">
        <v>0.28299999999999997</v>
      </c>
      <c r="U424" s="90"/>
      <c r="V424" s="90" t="s">
        <v>1264</v>
      </c>
      <c r="W424" s="90">
        <v>1123</v>
      </c>
      <c r="X424" s="90">
        <v>8</v>
      </c>
      <c r="Y424" s="90" t="s">
        <v>1533</v>
      </c>
      <c r="Z424" s="92" t="s">
        <v>56</v>
      </c>
      <c r="AA424" s="92">
        <v>1</v>
      </c>
      <c r="AB424" s="90" t="s">
        <v>1595</v>
      </c>
      <c r="AC424" s="90">
        <v>2.8</v>
      </c>
      <c r="AD424" s="90">
        <v>2.2000000000000002</v>
      </c>
      <c r="AE424" s="90">
        <v>1.85</v>
      </c>
      <c r="AF424" s="92">
        <v>18.5</v>
      </c>
      <c r="AG424" s="90"/>
      <c r="AH424" s="90"/>
      <c r="AI424" s="90" t="s">
        <v>1534</v>
      </c>
      <c r="AJ424" s="90">
        <v>300</v>
      </c>
      <c r="AK424" s="90">
        <v>420</v>
      </c>
      <c r="AL424" s="90">
        <v>1.72</v>
      </c>
    </row>
    <row r="425" spans="1:38" ht="15" thickBot="1" x14ac:dyDescent="0.35">
      <c r="A425" s="118" t="s">
        <v>1652</v>
      </c>
      <c r="B425" s="114" t="s">
        <v>3002</v>
      </c>
      <c r="C425" s="114" t="s">
        <v>3000</v>
      </c>
      <c r="D425" s="120"/>
      <c r="E425" s="120"/>
      <c r="F425" s="90" t="s">
        <v>678</v>
      </c>
      <c r="G425" s="90" t="s">
        <v>1529</v>
      </c>
      <c r="H425" s="90"/>
      <c r="I425" s="90" t="s">
        <v>1068</v>
      </c>
      <c r="J425" s="90"/>
      <c r="K425" s="90"/>
      <c r="L425" s="90" t="s">
        <v>1531</v>
      </c>
      <c r="M425" s="90"/>
      <c r="N425" s="90">
        <v>0.09</v>
      </c>
      <c r="O425" s="90">
        <v>0.40300000000000002</v>
      </c>
      <c r="P425" s="90"/>
      <c r="Q425" s="90">
        <v>0.28499999999999998</v>
      </c>
      <c r="R425" s="90"/>
      <c r="S425" s="90"/>
      <c r="T425" s="90">
        <v>0.221</v>
      </c>
      <c r="U425" s="90"/>
      <c r="V425" s="90" t="s">
        <v>1264</v>
      </c>
      <c r="W425" s="90">
        <v>1123</v>
      </c>
      <c r="X425" s="90">
        <v>8</v>
      </c>
      <c r="Y425" s="90" t="s">
        <v>1533</v>
      </c>
      <c r="Z425" s="92" t="s">
        <v>56</v>
      </c>
      <c r="AA425" s="92">
        <v>1</v>
      </c>
      <c r="AB425" s="90" t="s">
        <v>518</v>
      </c>
      <c r="AC425" s="90">
        <v>2.8</v>
      </c>
      <c r="AD425" s="90">
        <v>2.2000000000000002</v>
      </c>
      <c r="AE425" s="90">
        <v>1.85</v>
      </c>
      <c r="AF425" s="92">
        <v>18.5</v>
      </c>
      <c r="AG425" s="90"/>
      <c r="AH425" s="90"/>
      <c r="AI425" s="90" t="s">
        <v>1534</v>
      </c>
      <c r="AJ425" s="90">
        <v>300</v>
      </c>
      <c r="AK425" s="90">
        <v>420</v>
      </c>
      <c r="AL425" s="90">
        <v>1.72</v>
      </c>
    </row>
    <row r="426" spans="1:38" ht="15" thickBot="1" x14ac:dyDescent="0.35">
      <c r="A426" s="118" t="s">
        <v>1652</v>
      </c>
      <c r="B426" s="114" t="s">
        <v>3002</v>
      </c>
      <c r="C426" s="114" t="s">
        <v>3001</v>
      </c>
      <c r="D426" s="120"/>
      <c r="E426" s="120"/>
      <c r="F426" s="90" t="s">
        <v>678</v>
      </c>
      <c r="G426" s="90" t="s">
        <v>1568</v>
      </c>
      <c r="H426" s="90"/>
      <c r="I426" s="90" t="s">
        <v>1068</v>
      </c>
      <c r="J426" s="90"/>
      <c r="K426" s="90"/>
      <c r="L426" s="90" t="s">
        <v>1531</v>
      </c>
      <c r="M426" s="90"/>
      <c r="N426" s="90">
        <v>7.3999999999999996E-2</v>
      </c>
      <c r="O426" s="90">
        <v>0.51500000000000001</v>
      </c>
      <c r="P426" s="90"/>
      <c r="Q426" s="90">
        <v>0.23200000000000001</v>
      </c>
      <c r="R426" s="90"/>
      <c r="S426" s="90"/>
      <c r="T426" s="90">
        <v>0.18</v>
      </c>
      <c r="U426" s="90"/>
      <c r="V426" s="90" t="s">
        <v>1264</v>
      </c>
      <c r="W426" s="90">
        <v>1123</v>
      </c>
      <c r="X426" s="90">
        <v>8</v>
      </c>
      <c r="Y426" s="90" t="s">
        <v>1533</v>
      </c>
      <c r="Z426" s="92" t="s">
        <v>56</v>
      </c>
      <c r="AA426" s="92">
        <v>1</v>
      </c>
      <c r="AB426" s="90" t="s">
        <v>518</v>
      </c>
      <c r="AC426" s="90">
        <v>2.8</v>
      </c>
      <c r="AD426" s="90">
        <v>2.2000000000000002</v>
      </c>
      <c r="AE426" s="90">
        <v>1.85</v>
      </c>
      <c r="AF426" s="92">
        <v>18.5</v>
      </c>
      <c r="AG426" s="90"/>
      <c r="AH426" s="90"/>
      <c r="AI426" s="90" t="s">
        <v>1534</v>
      </c>
      <c r="AJ426" s="90">
        <v>300</v>
      </c>
      <c r="AK426" s="90">
        <v>420</v>
      </c>
      <c r="AL426" s="90">
        <v>2.74</v>
      </c>
    </row>
    <row r="427" spans="1:38" ht="15" thickBot="1" x14ac:dyDescent="0.35">
      <c r="A427" s="118" t="s">
        <v>1653</v>
      </c>
      <c r="B427" s="114" t="s">
        <v>3005</v>
      </c>
      <c r="C427" s="114" t="s">
        <v>3004</v>
      </c>
      <c r="D427" s="120"/>
      <c r="E427" s="120"/>
      <c r="F427" s="90" t="s">
        <v>1568</v>
      </c>
      <c r="G427" s="90" t="s">
        <v>1554</v>
      </c>
      <c r="H427" s="90"/>
      <c r="I427" s="90" t="s">
        <v>1068</v>
      </c>
      <c r="J427" s="90"/>
      <c r="K427" s="90"/>
      <c r="L427" s="90" t="s">
        <v>1531</v>
      </c>
      <c r="M427" s="90"/>
      <c r="N427" s="90">
        <v>0.51</v>
      </c>
      <c r="O427" s="90">
        <v>8.1000000000000003E-2</v>
      </c>
      <c r="P427" s="90"/>
      <c r="Q427" s="90">
        <v>0.23</v>
      </c>
      <c r="R427" s="90"/>
      <c r="S427" s="90"/>
      <c r="T427" s="90">
        <v>0.17799999999999999</v>
      </c>
      <c r="U427" s="90"/>
      <c r="V427" s="90" t="s">
        <v>1264</v>
      </c>
      <c r="W427" s="90">
        <v>1123</v>
      </c>
      <c r="X427" s="90">
        <v>8</v>
      </c>
      <c r="Y427" s="90" t="s">
        <v>1268</v>
      </c>
      <c r="Z427" s="92" t="s">
        <v>863</v>
      </c>
      <c r="AA427" s="92">
        <v>0.5</v>
      </c>
      <c r="AB427" s="90" t="s">
        <v>518</v>
      </c>
      <c r="AC427" s="90">
        <v>3.82</v>
      </c>
      <c r="AD427" s="90">
        <v>0.61</v>
      </c>
      <c r="AE427" s="90">
        <v>1.35</v>
      </c>
      <c r="AF427" s="92">
        <v>13.5</v>
      </c>
      <c r="AG427" s="90"/>
      <c r="AH427" s="90"/>
      <c r="AI427" s="90" t="s">
        <v>1552</v>
      </c>
      <c r="AJ427" s="90">
        <v>400</v>
      </c>
      <c r="AK427" s="90">
        <v>365</v>
      </c>
      <c r="AL427" s="90">
        <v>1416.4</v>
      </c>
    </row>
    <row r="428" spans="1:38" ht="15" thickBot="1" x14ac:dyDescent="0.35">
      <c r="A428" s="118" t="s">
        <v>1653</v>
      </c>
      <c r="B428" s="114" t="s">
        <v>3005</v>
      </c>
      <c r="C428" s="114" t="s">
        <v>3003</v>
      </c>
      <c r="D428" s="120"/>
      <c r="E428" s="120"/>
      <c r="F428" s="90" t="s">
        <v>1568</v>
      </c>
      <c r="G428" s="90"/>
      <c r="H428" s="90"/>
      <c r="I428" s="90" t="s">
        <v>1558</v>
      </c>
      <c r="J428" s="90"/>
      <c r="K428" s="90"/>
      <c r="L428" s="90" t="s">
        <v>1531</v>
      </c>
      <c r="M428" s="90"/>
      <c r="N428" s="90">
        <v>0.41899999999999998</v>
      </c>
      <c r="O428" s="90"/>
      <c r="P428" s="90"/>
      <c r="Q428" s="90">
        <v>0.36799999999999999</v>
      </c>
      <c r="R428" s="90"/>
      <c r="S428" s="90"/>
      <c r="T428" s="90">
        <v>0.14599999999999999</v>
      </c>
      <c r="U428" s="90"/>
      <c r="V428" s="90" t="s">
        <v>1264</v>
      </c>
      <c r="W428" s="90">
        <v>1123</v>
      </c>
      <c r="X428" s="90">
        <v>8</v>
      </c>
      <c r="Y428" s="90" t="s">
        <v>1268</v>
      </c>
      <c r="Z428" s="92" t="s">
        <v>863</v>
      </c>
      <c r="AA428" s="92">
        <v>0.5</v>
      </c>
      <c r="AB428" s="90" t="s">
        <v>518</v>
      </c>
      <c r="AC428" s="90">
        <v>3.82</v>
      </c>
      <c r="AD428" s="90">
        <v>0.61</v>
      </c>
      <c r="AE428" s="90">
        <v>1.35</v>
      </c>
      <c r="AF428" s="92">
        <v>13.5</v>
      </c>
      <c r="AG428" s="90"/>
      <c r="AH428" s="90"/>
      <c r="AI428" s="90" t="s">
        <v>1552</v>
      </c>
      <c r="AJ428" s="90">
        <v>400</v>
      </c>
      <c r="AK428" s="90">
        <v>365</v>
      </c>
      <c r="AL428" s="90">
        <v>389.6</v>
      </c>
    </row>
    <row r="429" spans="1:38" ht="15" thickBot="1" x14ac:dyDescent="0.35">
      <c r="A429" s="118" t="s">
        <v>1654</v>
      </c>
      <c r="B429" s="114" t="s">
        <v>3008</v>
      </c>
      <c r="C429" s="114" t="s">
        <v>1376</v>
      </c>
      <c r="D429" s="120"/>
      <c r="E429" s="120"/>
      <c r="F429" s="90" t="s">
        <v>1529</v>
      </c>
      <c r="G429" s="90"/>
      <c r="H429" s="90"/>
      <c r="I429" s="90" t="s">
        <v>1530</v>
      </c>
      <c r="J429" s="90"/>
      <c r="K429" s="90"/>
      <c r="L429" s="90" t="s">
        <v>1531</v>
      </c>
      <c r="M429" s="90"/>
      <c r="N429" s="90">
        <v>0.47799999999999998</v>
      </c>
      <c r="O429" s="90"/>
      <c r="P429" s="90"/>
      <c r="Q429" s="90">
        <v>0.26100000000000001</v>
      </c>
      <c r="R429" s="90"/>
      <c r="S429" s="90"/>
      <c r="T429" s="90">
        <v>0.26200000000000001</v>
      </c>
      <c r="U429" s="90"/>
      <c r="V429" s="90" t="s">
        <v>1264</v>
      </c>
      <c r="W429" s="90">
        <v>1373</v>
      </c>
      <c r="X429" s="90">
        <v>15</v>
      </c>
      <c r="Y429" s="90" t="s">
        <v>1268</v>
      </c>
      <c r="Z429" s="92" t="s">
        <v>863</v>
      </c>
      <c r="AA429" s="92">
        <v>0.1</v>
      </c>
      <c r="AB429" s="90"/>
      <c r="AC429" s="90">
        <v>1.7</v>
      </c>
      <c r="AD429" s="90"/>
      <c r="AE429" s="90">
        <v>2</v>
      </c>
      <c r="AF429" s="92">
        <v>10</v>
      </c>
      <c r="AG429" s="90"/>
      <c r="AH429" s="90"/>
      <c r="AI429" s="90" t="s">
        <v>1534</v>
      </c>
      <c r="AJ429" s="90">
        <v>300</v>
      </c>
      <c r="AK429" s="90">
        <v>440</v>
      </c>
      <c r="AL429" s="90">
        <v>390</v>
      </c>
    </row>
    <row r="430" spans="1:38" ht="15" thickBot="1" x14ac:dyDescent="0.35">
      <c r="A430" s="118" t="s">
        <v>1653</v>
      </c>
      <c r="B430" s="114" t="s">
        <v>3005</v>
      </c>
      <c r="C430" s="114" t="s">
        <v>3006</v>
      </c>
      <c r="D430" s="120"/>
      <c r="E430" s="120"/>
      <c r="F430" s="90" t="s">
        <v>1568</v>
      </c>
      <c r="G430" s="90" t="s">
        <v>1499</v>
      </c>
      <c r="H430" s="90"/>
      <c r="I430" s="90" t="s">
        <v>1068</v>
      </c>
      <c r="J430" s="90"/>
      <c r="K430" s="90"/>
      <c r="L430" s="90" t="s">
        <v>1531</v>
      </c>
      <c r="M430" s="90"/>
      <c r="N430" s="90">
        <v>0.51400000000000001</v>
      </c>
      <c r="O430" s="90">
        <v>7.3999999999999996E-2</v>
      </c>
      <c r="P430" s="90"/>
      <c r="Q430" s="90">
        <v>0.23200000000000001</v>
      </c>
      <c r="R430" s="90"/>
      <c r="S430" s="90"/>
      <c r="T430" s="90">
        <v>0.18</v>
      </c>
      <c r="U430" s="90"/>
      <c r="V430" s="90" t="s">
        <v>1264</v>
      </c>
      <c r="W430" s="90">
        <v>1123</v>
      </c>
      <c r="X430" s="90">
        <v>8</v>
      </c>
      <c r="Y430" s="90" t="s">
        <v>1268</v>
      </c>
      <c r="Z430" s="92" t="s">
        <v>863</v>
      </c>
      <c r="AA430" s="92">
        <v>0.5</v>
      </c>
      <c r="AB430" s="90" t="s">
        <v>518</v>
      </c>
      <c r="AC430" s="90">
        <v>3.82</v>
      </c>
      <c r="AD430" s="90">
        <v>0.61</v>
      </c>
      <c r="AE430" s="90">
        <v>1.35</v>
      </c>
      <c r="AF430" s="92">
        <v>13.5</v>
      </c>
      <c r="AG430" s="90"/>
      <c r="AH430" s="90"/>
      <c r="AI430" s="90" t="s">
        <v>1552</v>
      </c>
      <c r="AJ430" s="90">
        <v>400</v>
      </c>
      <c r="AK430" s="90">
        <v>365</v>
      </c>
      <c r="AL430" s="90">
        <v>136.44</v>
      </c>
    </row>
    <row r="431" spans="1:38" ht="15" thickBot="1" x14ac:dyDescent="0.35">
      <c r="A431" s="118" t="s">
        <v>1653</v>
      </c>
      <c r="B431" s="114" t="s">
        <v>3005</v>
      </c>
      <c r="C431" s="114" t="s">
        <v>3007</v>
      </c>
      <c r="D431" s="120"/>
      <c r="E431" s="120"/>
      <c r="F431" s="90" t="s">
        <v>1568</v>
      </c>
      <c r="G431" s="90" t="s">
        <v>1499</v>
      </c>
      <c r="H431" s="90"/>
      <c r="I431" s="90" t="s">
        <v>1558</v>
      </c>
      <c r="J431" s="90"/>
      <c r="K431" s="90"/>
      <c r="L431" s="90" t="s">
        <v>1531</v>
      </c>
      <c r="M431" s="90"/>
      <c r="N431" s="90">
        <v>0.42199999999999999</v>
      </c>
      <c r="O431" s="90">
        <v>0.06</v>
      </c>
      <c r="P431" s="90"/>
      <c r="Q431" s="90">
        <v>0.371</v>
      </c>
      <c r="R431" s="90"/>
      <c r="S431" s="90"/>
      <c r="T431" s="90">
        <v>0.14699999999999999</v>
      </c>
      <c r="U431" s="90"/>
      <c r="V431" s="90" t="s">
        <v>1264</v>
      </c>
      <c r="W431" s="90">
        <v>1123</v>
      </c>
      <c r="X431" s="90">
        <v>8</v>
      </c>
      <c r="Y431" s="90" t="s">
        <v>1268</v>
      </c>
      <c r="Z431" s="92" t="s">
        <v>863</v>
      </c>
      <c r="AA431" s="92">
        <v>0.5</v>
      </c>
      <c r="AB431" s="90" t="s">
        <v>518</v>
      </c>
      <c r="AC431" s="90">
        <v>3.82</v>
      </c>
      <c r="AD431" s="90">
        <v>0.61</v>
      </c>
      <c r="AE431" s="90">
        <v>1.35</v>
      </c>
      <c r="AF431" s="92">
        <v>13.5</v>
      </c>
      <c r="AG431" s="90"/>
      <c r="AH431" s="90"/>
      <c r="AI431" s="90" t="s">
        <v>1552</v>
      </c>
      <c r="AJ431" s="90">
        <v>400</v>
      </c>
      <c r="AK431" s="90">
        <v>365</v>
      </c>
      <c r="AL431" s="90">
        <v>84.32</v>
      </c>
    </row>
    <row r="432" spans="1:38" ht="15" thickBot="1" x14ac:dyDescent="0.35">
      <c r="A432" s="118" t="s">
        <v>1655</v>
      </c>
      <c r="B432" s="114" t="s">
        <v>3009</v>
      </c>
      <c r="C432" s="114" t="s">
        <v>3004</v>
      </c>
      <c r="D432" s="120"/>
      <c r="E432" s="120"/>
      <c r="F432" s="90" t="s">
        <v>1568</v>
      </c>
      <c r="G432" s="90" t="s">
        <v>1554</v>
      </c>
      <c r="H432" s="90"/>
      <c r="I432" s="90" t="s">
        <v>1068</v>
      </c>
      <c r="J432" s="90"/>
      <c r="K432" s="90"/>
      <c r="L432" s="90" t="s">
        <v>1531</v>
      </c>
      <c r="M432" s="90"/>
      <c r="N432" s="90">
        <v>0.51</v>
      </c>
      <c r="O432" s="90">
        <v>8.1000000000000003E-2</v>
      </c>
      <c r="P432" s="90"/>
      <c r="Q432" s="90">
        <v>0.23</v>
      </c>
      <c r="R432" s="90"/>
      <c r="S432" s="90"/>
      <c r="T432" s="90">
        <v>0.17799999999999999</v>
      </c>
      <c r="U432" s="90"/>
      <c r="V432" s="90" t="s">
        <v>1264</v>
      </c>
      <c r="W432" s="90">
        <v>1473</v>
      </c>
      <c r="X432" s="90">
        <v>32</v>
      </c>
      <c r="Y432" s="90" t="s">
        <v>1533</v>
      </c>
      <c r="Z432" s="92" t="s">
        <v>56</v>
      </c>
      <c r="AA432" s="92">
        <v>1</v>
      </c>
      <c r="AB432" s="90" t="s">
        <v>518</v>
      </c>
      <c r="AC432" s="90">
        <v>3.9</v>
      </c>
      <c r="AD432" s="90">
        <v>1.24</v>
      </c>
      <c r="AE432" s="90">
        <v>1.35</v>
      </c>
      <c r="AF432" s="92">
        <v>13.5</v>
      </c>
      <c r="AG432" s="90"/>
      <c r="AH432" s="90"/>
      <c r="AI432" s="90" t="s">
        <v>1552</v>
      </c>
      <c r="AJ432" s="90">
        <v>400</v>
      </c>
      <c r="AK432" s="90">
        <v>365</v>
      </c>
      <c r="AL432" s="90">
        <v>584.44000000000005</v>
      </c>
    </row>
    <row r="433" spans="1:38" ht="15" thickBot="1" x14ac:dyDescent="0.35">
      <c r="A433" s="118" t="s">
        <v>1656</v>
      </c>
      <c r="B433" s="114" t="s">
        <v>3010</v>
      </c>
      <c r="C433" s="114" t="s">
        <v>3011</v>
      </c>
      <c r="D433" s="120"/>
      <c r="E433" s="120"/>
      <c r="F433" s="90" t="s">
        <v>1557</v>
      </c>
      <c r="G433" s="90" t="s">
        <v>1558</v>
      </c>
      <c r="H433" s="90"/>
      <c r="I433" s="90" t="s">
        <v>1569</v>
      </c>
      <c r="J433" s="90"/>
      <c r="K433" s="90"/>
      <c r="L433" s="90" t="s">
        <v>1531</v>
      </c>
      <c r="M433" s="90"/>
      <c r="N433" s="90">
        <v>0.14299999999999999</v>
      </c>
      <c r="O433" s="90">
        <v>0.64300000000000002</v>
      </c>
      <c r="P433" s="90"/>
      <c r="Q433" s="90">
        <v>2.8000000000000001E-2</v>
      </c>
      <c r="R433" s="90"/>
      <c r="S433" s="90"/>
      <c r="T433" s="90">
        <v>0.185</v>
      </c>
      <c r="U433" s="90"/>
      <c r="V433" s="90" t="s">
        <v>1264</v>
      </c>
      <c r="W433" s="90">
        <v>1173</v>
      </c>
      <c r="X433" s="90">
        <v>10</v>
      </c>
      <c r="Y433" s="90" t="s">
        <v>1533</v>
      </c>
      <c r="Z433" s="92" t="s">
        <v>863</v>
      </c>
      <c r="AA433" s="92">
        <v>0.2</v>
      </c>
      <c r="AB433" s="90"/>
      <c r="AC433" s="90">
        <v>3.54</v>
      </c>
      <c r="AD433" s="90"/>
      <c r="AE433" s="90">
        <v>3.33</v>
      </c>
      <c r="AF433" s="92">
        <v>0</v>
      </c>
      <c r="AG433" s="90" t="s">
        <v>1576</v>
      </c>
      <c r="AH433" s="90"/>
      <c r="AI433" s="90" t="s">
        <v>1534</v>
      </c>
      <c r="AJ433" s="90">
        <v>500</v>
      </c>
      <c r="AK433" s="90">
        <v>420</v>
      </c>
      <c r="AL433" s="90">
        <v>575</v>
      </c>
    </row>
    <row r="434" spans="1:38" ht="15" thickBot="1" x14ac:dyDescent="0.35">
      <c r="A434" s="118" t="s">
        <v>1657</v>
      </c>
      <c r="B434" s="114" t="s">
        <v>3012</v>
      </c>
      <c r="C434" s="114" t="s">
        <v>3013</v>
      </c>
      <c r="D434" s="120"/>
      <c r="E434" s="120"/>
      <c r="F434" s="90" t="s">
        <v>1529</v>
      </c>
      <c r="G434" s="90"/>
      <c r="H434" s="90"/>
      <c r="I434" s="90" t="s">
        <v>1530</v>
      </c>
      <c r="J434" s="90" t="s">
        <v>1658</v>
      </c>
      <c r="K434" s="90"/>
      <c r="L434" s="90" t="s">
        <v>1531</v>
      </c>
      <c r="M434" s="90"/>
      <c r="N434" s="90">
        <v>9.7000000000000003E-2</v>
      </c>
      <c r="O434" s="90"/>
      <c r="P434" s="90"/>
      <c r="Q434" s="90">
        <v>5.2999999999999999E-2</v>
      </c>
      <c r="R434" s="90">
        <v>0.74299999999999999</v>
      </c>
      <c r="S434" s="90"/>
      <c r="T434" s="90">
        <v>0.107</v>
      </c>
      <c r="U434" s="90"/>
      <c r="V434" s="90" t="s">
        <v>1264</v>
      </c>
      <c r="W434" s="90"/>
      <c r="X434" s="90"/>
      <c r="Y434" s="90"/>
      <c r="Z434" s="92"/>
      <c r="AA434" s="92"/>
      <c r="AB434" s="90"/>
      <c r="AC434" s="90">
        <v>3.7</v>
      </c>
      <c r="AD434" s="90"/>
      <c r="AE434" s="90">
        <v>1</v>
      </c>
      <c r="AF434" s="92">
        <v>8</v>
      </c>
      <c r="AG434" s="90"/>
      <c r="AH434" s="90"/>
      <c r="AI434" s="90" t="s">
        <v>1370</v>
      </c>
      <c r="AJ434" s="90">
        <v>250</v>
      </c>
      <c r="AK434" s="90"/>
      <c r="AL434" s="90">
        <v>85</v>
      </c>
    </row>
    <row r="435" spans="1:38" ht="15" thickBot="1" x14ac:dyDescent="0.35">
      <c r="A435" s="118" t="s">
        <v>1657</v>
      </c>
      <c r="B435" s="114" t="s">
        <v>3012</v>
      </c>
      <c r="C435" s="114" t="s">
        <v>3014</v>
      </c>
      <c r="D435" s="120"/>
      <c r="E435" s="120"/>
      <c r="F435" s="90" t="s">
        <v>1529</v>
      </c>
      <c r="G435" s="90" t="s">
        <v>1583</v>
      </c>
      <c r="H435" s="90"/>
      <c r="I435" s="90" t="s">
        <v>1530</v>
      </c>
      <c r="J435" s="90" t="s">
        <v>1658</v>
      </c>
      <c r="K435" s="90"/>
      <c r="L435" s="90" t="s">
        <v>1531</v>
      </c>
      <c r="M435" s="90"/>
      <c r="N435" s="90">
        <v>4.8000000000000001E-2</v>
      </c>
      <c r="O435" s="90">
        <v>0.68899999999999995</v>
      </c>
      <c r="P435" s="90"/>
      <c r="Q435" s="90">
        <v>2.5999999999999999E-2</v>
      </c>
      <c r="R435" s="90">
        <v>0.184</v>
      </c>
      <c r="S435" s="90"/>
      <c r="T435" s="90">
        <v>5.2999999999999999E-2</v>
      </c>
      <c r="U435" s="90"/>
      <c r="V435" s="90" t="s">
        <v>1264</v>
      </c>
      <c r="W435" s="90"/>
      <c r="X435" s="90"/>
      <c r="Y435" s="90"/>
      <c r="Z435" s="92"/>
      <c r="AA435" s="92"/>
      <c r="AB435" s="90"/>
      <c r="AC435" s="90">
        <v>3.26</v>
      </c>
      <c r="AD435" s="90"/>
      <c r="AE435" s="90">
        <v>1</v>
      </c>
      <c r="AF435" s="92">
        <v>8</v>
      </c>
      <c r="AG435" s="90"/>
      <c r="AH435" s="90"/>
      <c r="AI435" s="90" t="s">
        <v>1370</v>
      </c>
      <c r="AJ435" s="90">
        <v>250</v>
      </c>
      <c r="AK435" s="90">
        <v>420</v>
      </c>
      <c r="AL435" s="90">
        <v>129</v>
      </c>
    </row>
    <row r="436" spans="1:38" ht="15" thickBot="1" x14ac:dyDescent="0.35">
      <c r="A436" s="118" t="s">
        <v>1659</v>
      </c>
      <c r="B436" s="114" t="s">
        <v>3015</v>
      </c>
      <c r="C436" s="114" t="s">
        <v>28</v>
      </c>
      <c r="D436" s="120"/>
      <c r="E436" s="120"/>
      <c r="F436" s="90" t="s">
        <v>1578</v>
      </c>
      <c r="G436" s="90"/>
      <c r="H436" s="90"/>
      <c r="I436" s="90" t="s">
        <v>1558</v>
      </c>
      <c r="J436" s="90"/>
      <c r="K436" s="90"/>
      <c r="L436" s="90" t="s">
        <v>1531</v>
      </c>
      <c r="M436" s="90"/>
      <c r="N436" s="90">
        <v>9.0999999999999998E-2</v>
      </c>
      <c r="O436" s="90"/>
      <c r="P436" s="90"/>
      <c r="Q436" s="90">
        <v>0.71799999999999997</v>
      </c>
      <c r="R436" s="90"/>
      <c r="S436" s="90"/>
      <c r="T436" s="90">
        <v>0.191</v>
      </c>
      <c r="U436" s="90"/>
      <c r="V436" s="90" t="s">
        <v>1264</v>
      </c>
      <c r="W436" s="90">
        <v>1473</v>
      </c>
      <c r="X436" s="90">
        <v>10</v>
      </c>
      <c r="Y436" s="90"/>
      <c r="Z436" s="92"/>
      <c r="AA436" s="92"/>
      <c r="AB436" s="90" t="s">
        <v>1595</v>
      </c>
      <c r="AC436" s="90">
        <v>3.99</v>
      </c>
      <c r="AD436" s="90">
        <v>23</v>
      </c>
      <c r="AE436" s="90">
        <v>1.1100000000000001</v>
      </c>
      <c r="AF436" s="92">
        <v>0</v>
      </c>
      <c r="AG436" s="90"/>
      <c r="AH436" s="90"/>
      <c r="AI436" s="90" t="s">
        <v>1552</v>
      </c>
      <c r="AJ436" s="90">
        <v>400</v>
      </c>
      <c r="AK436" s="90">
        <v>365</v>
      </c>
      <c r="AL436" s="90">
        <v>1940</v>
      </c>
    </row>
    <row r="437" spans="1:38" ht="15" thickBot="1" x14ac:dyDescent="0.35">
      <c r="A437" s="118" t="s">
        <v>1660</v>
      </c>
      <c r="B437" s="114" t="s">
        <v>3016</v>
      </c>
      <c r="C437" s="114" t="s">
        <v>3001</v>
      </c>
      <c r="D437" s="120"/>
      <c r="E437" s="120"/>
      <c r="F437" s="90" t="s">
        <v>1568</v>
      </c>
      <c r="G437" s="90"/>
      <c r="H437" s="90"/>
      <c r="I437" s="90" t="s">
        <v>1068</v>
      </c>
      <c r="J437" s="90" t="s">
        <v>678</v>
      </c>
      <c r="K437" s="90"/>
      <c r="L437" s="90" t="s">
        <v>1531</v>
      </c>
      <c r="M437" s="90"/>
      <c r="N437" s="90">
        <v>0.51500000000000001</v>
      </c>
      <c r="O437" s="90"/>
      <c r="P437" s="90"/>
      <c r="Q437" s="90">
        <v>0.23200000000000001</v>
      </c>
      <c r="R437" s="90">
        <v>7.3999999999999996E-2</v>
      </c>
      <c r="S437" s="90"/>
      <c r="T437" s="90">
        <v>0.18</v>
      </c>
      <c r="U437" s="90"/>
      <c r="V437" s="90" t="s">
        <v>1407</v>
      </c>
      <c r="W437" s="90">
        <v>1023</v>
      </c>
      <c r="X437" s="90">
        <v>2</v>
      </c>
      <c r="Y437" s="90" t="s">
        <v>1533</v>
      </c>
      <c r="Z437" s="92" t="s">
        <v>863</v>
      </c>
      <c r="AA437" s="92">
        <v>0.5</v>
      </c>
      <c r="AB437" s="90" t="s">
        <v>518</v>
      </c>
      <c r="AC437" s="90">
        <v>3</v>
      </c>
      <c r="AD437" s="90">
        <v>19.7</v>
      </c>
      <c r="AE437" s="90">
        <v>0.74</v>
      </c>
      <c r="AF437" s="92">
        <v>18.5</v>
      </c>
      <c r="AG437" s="90"/>
      <c r="AH437" s="90"/>
      <c r="AI437" s="90" t="s">
        <v>1534</v>
      </c>
      <c r="AJ437" s="90">
        <v>300</v>
      </c>
      <c r="AK437" s="90">
        <v>420</v>
      </c>
      <c r="AL437" s="90">
        <v>18.100000000000001</v>
      </c>
    </row>
    <row r="438" spans="1:38" ht="15" thickBot="1" x14ac:dyDescent="0.35">
      <c r="A438" s="118" t="s">
        <v>1661</v>
      </c>
      <c r="B438" s="114" t="s">
        <v>3018</v>
      </c>
      <c r="C438" s="114" t="s">
        <v>3017</v>
      </c>
      <c r="D438" s="120"/>
      <c r="E438" s="120"/>
      <c r="F438" s="90" t="s">
        <v>1529</v>
      </c>
      <c r="G438" s="90" t="s">
        <v>1541</v>
      </c>
      <c r="H438" s="90"/>
      <c r="I438" s="90" t="s">
        <v>1530</v>
      </c>
      <c r="J438" s="90"/>
      <c r="K438" s="90"/>
      <c r="L438" s="90" t="s">
        <v>1531</v>
      </c>
      <c r="M438" s="90"/>
      <c r="N438" s="90">
        <v>0.45800000000000002</v>
      </c>
      <c r="O438" s="90">
        <v>1.4E-2</v>
      </c>
      <c r="P438" s="90"/>
      <c r="Q438" s="90">
        <v>0.26300000000000001</v>
      </c>
      <c r="R438" s="90"/>
      <c r="S438" s="90"/>
      <c r="T438" s="90">
        <v>0.26400000000000001</v>
      </c>
      <c r="U438" s="90"/>
      <c r="V438" s="90" t="s">
        <v>1407</v>
      </c>
      <c r="W438" s="90">
        <v>1373</v>
      </c>
      <c r="X438" s="90">
        <v>24</v>
      </c>
      <c r="Y438" s="90" t="s">
        <v>1533</v>
      </c>
      <c r="Z438" s="92" t="s">
        <v>863</v>
      </c>
      <c r="AA438" s="92">
        <v>0.4</v>
      </c>
      <c r="AB438" s="90" t="s">
        <v>518</v>
      </c>
      <c r="AC438" s="90">
        <v>1.9</v>
      </c>
      <c r="AD438" s="90">
        <v>1.92</v>
      </c>
      <c r="AE438" s="90">
        <v>0.92</v>
      </c>
      <c r="AF438" s="92">
        <v>18.5</v>
      </c>
      <c r="AG438" s="90"/>
      <c r="AH438" s="90"/>
      <c r="AI438" s="90" t="s">
        <v>1552</v>
      </c>
      <c r="AJ438" s="90">
        <v>300</v>
      </c>
      <c r="AK438" s="90">
        <v>420</v>
      </c>
      <c r="AL438" s="90">
        <v>84</v>
      </c>
    </row>
    <row r="439" spans="1:38" ht="15" thickBot="1" x14ac:dyDescent="0.35">
      <c r="A439" s="118" t="s">
        <v>1662</v>
      </c>
      <c r="B439" s="114" t="s">
        <v>2932</v>
      </c>
      <c r="C439" s="114" t="s">
        <v>2841</v>
      </c>
      <c r="D439" s="120"/>
      <c r="E439" s="120"/>
      <c r="F439" s="90" t="s">
        <v>1529</v>
      </c>
      <c r="G439" s="90"/>
      <c r="H439" s="90"/>
      <c r="I439" s="90" t="s">
        <v>1570</v>
      </c>
      <c r="J439" s="90"/>
      <c r="K439" s="90"/>
      <c r="L439" s="90" t="s">
        <v>1531</v>
      </c>
      <c r="M439" s="90"/>
      <c r="N439" s="90">
        <v>0.34499999999999997</v>
      </c>
      <c r="O439" s="90"/>
      <c r="P439" s="90"/>
      <c r="Q439" s="90">
        <v>0.46700000000000003</v>
      </c>
      <c r="R439" s="90"/>
      <c r="S439" s="90"/>
      <c r="T439" s="90">
        <v>0.189</v>
      </c>
      <c r="U439" s="90"/>
      <c r="V439" s="90" t="s">
        <v>1336</v>
      </c>
      <c r="W439" s="90"/>
      <c r="X439" s="90"/>
      <c r="Y439" s="90"/>
      <c r="Z439" s="92" t="s">
        <v>863</v>
      </c>
      <c r="AA439" s="92">
        <v>0.5</v>
      </c>
      <c r="AB439" s="90" t="s">
        <v>1142</v>
      </c>
      <c r="AC439" s="90">
        <v>4.0999999999999996</v>
      </c>
      <c r="AD439" s="90">
        <v>0.4</v>
      </c>
      <c r="AE439" s="90">
        <v>0.54</v>
      </c>
      <c r="AF439" s="92">
        <v>13.5</v>
      </c>
      <c r="AG439" s="90" t="s">
        <v>1637</v>
      </c>
      <c r="AH439" s="90"/>
      <c r="AI439" s="90" t="s">
        <v>1552</v>
      </c>
      <c r="AJ439" s="90">
        <v>400</v>
      </c>
      <c r="AK439" s="90">
        <v>365</v>
      </c>
      <c r="AL439" s="90">
        <v>8.1999999999999993</v>
      </c>
    </row>
    <row r="440" spans="1:38" ht="15" thickBot="1" x14ac:dyDescent="0.35">
      <c r="A440" s="118" t="s">
        <v>1663</v>
      </c>
      <c r="B440" s="114" t="s">
        <v>2904</v>
      </c>
      <c r="C440" s="114" t="s">
        <v>28</v>
      </c>
      <c r="D440" s="120"/>
      <c r="E440" s="120"/>
      <c r="F440" s="90" t="s">
        <v>1578</v>
      </c>
      <c r="G440" s="90"/>
      <c r="H440" s="90"/>
      <c r="I440" s="90" t="s">
        <v>1558</v>
      </c>
      <c r="J440" s="90"/>
      <c r="K440" s="90"/>
      <c r="L440" s="90" t="s">
        <v>1531</v>
      </c>
      <c r="M440" s="90"/>
      <c r="N440" s="90">
        <v>9.0999999999999998E-2</v>
      </c>
      <c r="O440" s="90"/>
      <c r="P440" s="90"/>
      <c r="Q440" s="90">
        <v>0.71799999999999997</v>
      </c>
      <c r="R440" s="90"/>
      <c r="S440" s="90"/>
      <c r="T440" s="90">
        <v>0.191</v>
      </c>
      <c r="U440" s="90"/>
      <c r="V440" s="90" t="s">
        <v>1336</v>
      </c>
      <c r="W440" s="90">
        <v>1473</v>
      </c>
      <c r="X440" s="90">
        <v>10</v>
      </c>
      <c r="Y440" s="90"/>
      <c r="Z440" s="92"/>
      <c r="AA440" s="92"/>
      <c r="AB440" s="90" t="s">
        <v>1595</v>
      </c>
      <c r="AC440" s="90">
        <v>3.9</v>
      </c>
      <c r="AD440" s="90">
        <v>23</v>
      </c>
      <c r="AE440" s="90">
        <v>1.1100000000000001</v>
      </c>
      <c r="AF440" s="92">
        <v>0</v>
      </c>
      <c r="AG440" s="90"/>
      <c r="AH440" s="90"/>
      <c r="AI440" s="90" t="s">
        <v>1552</v>
      </c>
      <c r="AJ440" s="90">
        <v>400</v>
      </c>
      <c r="AK440" s="90">
        <v>365</v>
      </c>
      <c r="AL440" s="90">
        <v>2050</v>
      </c>
    </row>
    <row r="441" spans="1:38" ht="15" thickBot="1" x14ac:dyDescent="0.35">
      <c r="A441" s="118" t="s">
        <v>1664</v>
      </c>
      <c r="B441" s="114" t="s">
        <v>3019</v>
      </c>
      <c r="C441" s="114" t="s">
        <v>2902</v>
      </c>
      <c r="D441" s="120"/>
      <c r="E441" s="120"/>
      <c r="F441" s="90" t="s">
        <v>1578</v>
      </c>
      <c r="G441" s="90"/>
      <c r="H441" s="90"/>
      <c r="I441" s="90" t="s">
        <v>1068</v>
      </c>
      <c r="J441" s="90"/>
      <c r="K441" s="90"/>
      <c r="L441" s="90" t="s">
        <v>1531</v>
      </c>
      <c r="M441" s="90"/>
      <c r="N441" s="90">
        <v>0.14000000000000001</v>
      </c>
      <c r="O441" s="90"/>
      <c r="P441" s="90"/>
      <c r="Q441" s="90">
        <v>0.56699999999999995</v>
      </c>
      <c r="R441" s="90"/>
      <c r="S441" s="90"/>
      <c r="T441" s="90">
        <v>0.29299999999999998</v>
      </c>
      <c r="U441" s="90"/>
      <c r="V441" s="90" t="s">
        <v>1264</v>
      </c>
      <c r="W441" s="90"/>
      <c r="X441" s="90"/>
      <c r="Y441" s="90"/>
      <c r="Z441" s="92"/>
      <c r="AA441" s="92"/>
      <c r="AB441" s="90" t="s">
        <v>1665</v>
      </c>
      <c r="AC441" s="90">
        <v>3.08</v>
      </c>
      <c r="AD441" s="90">
        <v>2.08</v>
      </c>
      <c r="AE441" s="90">
        <v>2.38</v>
      </c>
      <c r="AF441" s="92">
        <v>5</v>
      </c>
      <c r="AG441" s="90"/>
      <c r="AH441" s="90"/>
      <c r="AI441" s="90" t="s">
        <v>1552</v>
      </c>
      <c r="AJ441" s="90">
        <v>350</v>
      </c>
      <c r="AK441" s="90">
        <v>365</v>
      </c>
      <c r="AL441" s="90">
        <v>950</v>
      </c>
    </row>
    <row r="442" spans="1:38" ht="15" thickBot="1" x14ac:dyDescent="0.35">
      <c r="A442" s="118" t="s">
        <v>1664</v>
      </c>
      <c r="B442" s="114" t="s">
        <v>3019</v>
      </c>
      <c r="C442" s="114" t="s">
        <v>1273</v>
      </c>
      <c r="D442" s="120"/>
      <c r="E442" s="120"/>
      <c r="F442" s="90" t="s">
        <v>1557</v>
      </c>
      <c r="G442" s="90"/>
      <c r="H442" s="90"/>
      <c r="I442" s="90" t="s">
        <v>1068</v>
      </c>
      <c r="J442" s="90"/>
      <c r="K442" s="90"/>
      <c r="L442" s="90" t="s">
        <v>1531</v>
      </c>
      <c r="M442" s="90"/>
      <c r="N442" s="90">
        <v>0.217</v>
      </c>
      <c r="O442" s="90"/>
      <c r="P442" s="90"/>
      <c r="Q442" s="90">
        <v>0.51600000000000001</v>
      </c>
      <c r="R442" s="90"/>
      <c r="S442" s="90"/>
      <c r="T442" s="90">
        <v>0.26700000000000002</v>
      </c>
      <c r="U442" s="90"/>
      <c r="V442" s="90" t="s">
        <v>1407</v>
      </c>
      <c r="W442" s="90"/>
      <c r="X442" s="90"/>
      <c r="Y442" s="90"/>
      <c r="Z442" s="92"/>
      <c r="AA442" s="92"/>
      <c r="AB442" s="90"/>
      <c r="AC442" s="90">
        <v>3.08</v>
      </c>
      <c r="AD442" s="90">
        <v>2.08</v>
      </c>
      <c r="AE442" s="90">
        <v>2.38</v>
      </c>
      <c r="AF442" s="92">
        <v>5</v>
      </c>
      <c r="AG442" s="90"/>
      <c r="AH442" s="90"/>
      <c r="AI442" s="90" t="s">
        <v>1552</v>
      </c>
      <c r="AJ442" s="90">
        <v>350</v>
      </c>
      <c r="AK442" s="90">
        <v>365</v>
      </c>
      <c r="AL442" s="90">
        <v>100</v>
      </c>
    </row>
    <row r="443" spans="1:38" ht="15" thickBot="1" x14ac:dyDescent="0.35">
      <c r="A443" s="118" t="s">
        <v>1664</v>
      </c>
      <c r="B443" s="114" t="s">
        <v>3019</v>
      </c>
      <c r="C443" s="114" t="s">
        <v>28</v>
      </c>
      <c r="D443" s="120"/>
      <c r="E443" s="120"/>
      <c r="F443" s="90" t="s">
        <v>1578</v>
      </c>
      <c r="G443" s="90"/>
      <c r="H443" s="90"/>
      <c r="I443" s="90" t="s">
        <v>1558</v>
      </c>
      <c r="J443" s="90"/>
      <c r="K443" s="90"/>
      <c r="L443" s="90" t="s">
        <v>1531</v>
      </c>
      <c r="M443" s="90"/>
      <c r="N443" s="90">
        <v>9.0999999999999998E-2</v>
      </c>
      <c r="O443" s="90"/>
      <c r="P443" s="90"/>
      <c r="Q443" s="90">
        <v>0.71799999999999997</v>
      </c>
      <c r="R443" s="90"/>
      <c r="S443" s="90"/>
      <c r="T443" s="90">
        <v>0.191</v>
      </c>
      <c r="U443" s="90"/>
      <c r="V443" s="90" t="s">
        <v>1336</v>
      </c>
      <c r="W443" s="90"/>
      <c r="X443" s="90"/>
      <c r="Y443" s="90"/>
      <c r="Z443" s="92"/>
      <c r="AA443" s="92"/>
      <c r="AB443" s="90" t="s">
        <v>518</v>
      </c>
      <c r="AC443" s="90">
        <v>3.08</v>
      </c>
      <c r="AD443" s="90">
        <v>2.08</v>
      </c>
      <c r="AE443" s="90">
        <v>2.38</v>
      </c>
      <c r="AF443" s="92">
        <v>5</v>
      </c>
      <c r="AG443" s="90"/>
      <c r="AH443" s="90"/>
      <c r="AI443" s="90" t="s">
        <v>1552</v>
      </c>
      <c r="AJ443" s="90">
        <v>350</v>
      </c>
      <c r="AK443" s="90">
        <v>365</v>
      </c>
      <c r="AL443" s="90">
        <v>36750</v>
      </c>
    </row>
    <row r="444" spans="1:38" ht="15" thickBot="1" x14ac:dyDescent="0.35">
      <c r="A444" s="118" t="s">
        <v>1664</v>
      </c>
      <c r="B444" s="114" t="s">
        <v>3019</v>
      </c>
      <c r="C444" s="114" t="s">
        <v>27</v>
      </c>
      <c r="D444" s="120"/>
      <c r="E444" s="120"/>
      <c r="F444" s="90" t="s">
        <v>1557</v>
      </c>
      <c r="G444" s="90"/>
      <c r="H444" s="90"/>
      <c r="I444" s="90" t="s">
        <v>1558</v>
      </c>
      <c r="J444" s="90"/>
      <c r="K444" s="90"/>
      <c r="L444" s="90" t="s">
        <v>1531</v>
      </c>
      <c r="M444" s="90"/>
      <c r="N444" s="90">
        <v>0.14599999999999999</v>
      </c>
      <c r="O444" s="90"/>
      <c r="P444" s="90"/>
      <c r="Q444" s="90">
        <v>0.67500000000000004</v>
      </c>
      <c r="R444" s="90"/>
      <c r="S444" s="90"/>
      <c r="T444" s="90">
        <v>0.17899999999999999</v>
      </c>
      <c r="U444" s="90"/>
      <c r="V444" s="90" t="s">
        <v>1407</v>
      </c>
      <c r="W444" s="90"/>
      <c r="X444" s="90"/>
      <c r="Y444" s="90"/>
      <c r="Z444" s="92"/>
      <c r="AA444" s="92"/>
      <c r="AB444" s="90"/>
      <c r="AC444" s="90">
        <v>3.08</v>
      </c>
      <c r="AD444" s="90">
        <v>2.08</v>
      </c>
      <c r="AE444" s="90">
        <v>2.38</v>
      </c>
      <c r="AF444" s="92">
        <v>5</v>
      </c>
      <c r="AG444" s="90"/>
      <c r="AH444" s="90"/>
      <c r="AI444" s="90" t="s">
        <v>1552</v>
      </c>
      <c r="AJ444" s="90">
        <v>350</v>
      </c>
      <c r="AK444" s="90">
        <v>365</v>
      </c>
      <c r="AL444" s="90">
        <v>1040</v>
      </c>
    </row>
    <row r="445" spans="1:38" ht="15" thickBot="1" x14ac:dyDescent="0.35">
      <c r="A445" s="118" t="s">
        <v>1666</v>
      </c>
      <c r="B445" s="114" t="s">
        <v>3020</v>
      </c>
      <c r="C445" s="114" t="s">
        <v>3021</v>
      </c>
      <c r="D445" s="120"/>
      <c r="E445" s="120"/>
      <c r="F445" s="90" t="s">
        <v>1529</v>
      </c>
      <c r="G445" s="90" t="s">
        <v>1568</v>
      </c>
      <c r="H445" s="90"/>
      <c r="I445" s="90" t="s">
        <v>1570</v>
      </c>
      <c r="J445" s="90">
        <f>L445/(L445+M445)</f>
        <v>0.2485546336389366</v>
      </c>
      <c r="K445" s="90"/>
      <c r="L445" s="90">
        <f>N445/88</f>
        <v>8.5227272727272723E-4</v>
      </c>
      <c r="M445" s="90">
        <f>O445/137</f>
        <v>2.5766423357664234E-3</v>
      </c>
      <c r="N445" s="90">
        <v>7.4999999999999997E-2</v>
      </c>
      <c r="O445" s="90">
        <v>0.35299999999999998</v>
      </c>
      <c r="P445" s="90"/>
      <c r="Q445" s="90">
        <v>0.40699999999999997</v>
      </c>
      <c r="R445" s="90"/>
      <c r="S445" s="90"/>
      <c r="T445" s="90">
        <v>0.16500000000000001</v>
      </c>
      <c r="U445" s="90"/>
      <c r="V445" s="90" t="s">
        <v>1407</v>
      </c>
      <c r="W445" s="90">
        <v>1273</v>
      </c>
      <c r="X445" s="90">
        <v>3</v>
      </c>
      <c r="Y445" s="90" t="s">
        <v>1533</v>
      </c>
      <c r="Z445" s="92" t="s">
        <v>1313</v>
      </c>
      <c r="AA445" s="92">
        <v>1</v>
      </c>
      <c r="AB445" s="90" t="s">
        <v>1539</v>
      </c>
      <c r="AC445" s="90">
        <v>3.3</v>
      </c>
      <c r="AD445" s="90">
        <v>0.55000000000000004</v>
      </c>
      <c r="AE445" s="90">
        <v>0.47599999999999998</v>
      </c>
      <c r="AF445" s="92">
        <v>0</v>
      </c>
      <c r="AG445" s="90"/>
      <c r="AH445" s="90"/>
      <c r="AI445" s="90" t="s">
        <v>1534</v>
      </c>
      <c r="AJ445" s="90">
        <v>400</v>
      </c>
      <c r="AK445" s="90">
        <v>420</v>
      </c>
      <c r="AL445" s="90">
        <v>220</v>
      </c>
    </row>
    <row r="446" spans="1:38" ht="15" thickBot="1" x14ac:dyDescent="0.35">
      <c r="A446" s="118" t="s">
        <v>1667</v>
      </c>
      <c r="B446" s="114" t="s">
        <v>3023</v>
      </c>
      <c r="C446" s="114" t="s">
        <v>3022</v>
      </c>
      <c r="D446" s="120"/>
      <c r="E446" s="120"/>
      <c r="F446" s="90" t="s">
        <v>1578</v>
      </c>
      <c r="G446" s="90" t="s">
        <v>1088</v>
      </c>
      <c r="H446" s="90"/>
      <c r="I446" s="90" t="s">
        <v>1558</v>
      </c>
      <c r="J446" s="90" t="s">
        <v>678</v>
      </c>
      <c r="K446" s="90"/>
      <c r="L446" s="90" t="s">
        <v>1531</v>
      </c>
      <c r="M446" s="90"/>
      <c r="N446" s="90">
        <v>8.2000000000000003E-2</v>
      </c>
      <c r="O446" s="90">
        <v>5.5E-2</v>
      </c>
      <c r="P446" s="90"/>
      <c r="Q446" s="90">
        <v>0.64800000000000002</v>
      </c>
      <c r="R446" s="90">
        <v>2.3E-2</v>
      </c>
      <c r="S446" s="90"/>
      <c r="T446" s="90">
        <v>0.191</v>
      </c>
      <c r="U446" s="90"/>
      <c r="V446" s="90" t="s">
        <v>1407</v>
      </c>
      <c r="W446" s="90">
        <v>1423</v>
      </c>
      <c r="X446" s="90">
        <v>10</v>
      </c>
      <c r="Y446" s="90" t="s">
        <v>1268</v>
      </c>
      <c r="Z446" s="92" t="s">
        <v>863</v>
      </c>
      <c r="AA446" s="92">
        <v>0.2</v>
      </c>
      <c r="AB446" s="90" t="s">
        <v>1539</v>
      </c>
      <c r="AC446" s="90">
        <v>2.95</v>
      </c>
      <c r="AD446" s="90"/>
      <c r="AE446" s="90">
        <v>1.85</v>
      </c>
      <c r="AF446" s="92">
        <v>18.5</v>
      </c>
      <c r="AG446" s="90"/>
      <c r="AH446" s="90"/>
      <c r="AI446" s="90" t="s">
        <v>1552</v>
      </c>
      <c r="AJ446" s="90">
        <v>300</v>
      </c>
      <c r="AK446" s="90">
        <v>420</v>
      </c>
      <c r="AL446" s="90">
        <v>8.68</v>
      </c>
    </row>
    <row r="447" spans="1:38" ht="15" thickBot="1" x14ac:dyDescent="0.35">
      <c r="A447" s="118" t="s">
        <v>1668</v>
      </c>
      <c r="B447" s="114" t="s">
        <v>3025</v>
      </c>
      <c r="C447" s="114" t="s">
        <v>3024</v>
      </c>
      <c r="D447" s="120"/>
      <c r="E447" s="120"/>
      <c r="F447" s="90" t="s">
        <v>1583</v>
      </c>
      <c r="G447" s="90"/>
      <c r="H447" s="90"/>
      <c r="I447" s="90" t="s">
        <v>1658</v>
      </c>
      <c r="J447" s="90"/>
      <c r="K447" s="90"/>
      <c r="L447" s="90" t="s">
        <v>1531</v>
      </c>
      <c r="M447" s="90"/>
      <c r="N447" s="90">
        <v>0.66800000000000004</v>
      </c>
      <c r="O447" s="90"/>
      <c r="P447" s="90"/>
      <c r="Q447" s="90">
        <v>0.17799999999999999</v>
      </c>
      <c r="R447" s="90"/>
      <c r="S447" s="90"/>
      <c r="T447" s="90">
        <v>0.153</v>
      </c>
      <c r="U447" s="90"/>
      <c r="V447" s="90" t="s">
        <v>1407</v>
      </c>
      <c r="W447" s="90"/>
      <c r="X447" s="90"/>
      <c r="Y447" s="90"/>
      <c r="Z447" s="92"/>
      <c r="AA447" s="92"/>
      <c r="AB447" s="90" t="s">
        <v>1589</v>
      </c>
      <c r="AC447" s="90">
        <v>2.1</v>
      </c>
      <c r="AD447" s="90"/>
      <c r="AE447" s="90">
        <v>1</v>
      </c>
      <c r="AF447" s="92">
        <v>0</v>
      </c>
      <c r="AG447" s="90" t="s">
        <v>1669</v>
      </c>
      <c r="AH447" s="90"/>
      <c r="AI447" s="90" t="s">
        <v>1552</v>
      </c>
      <c r="AJ447" s="90">
        <v>500</v>
      </c>
      <c r="AK447" s="90">
        <v>400</v>
      </c>
      <c r="AL447" s="90">
        <v>7.5</v>
      </c>
    </row>
    <row r="448" spans="1:38" ht="15" thickBot="1" x14ac:dyDescent="0.35">
      <c r="A448" s="118" t="s">
        <v>1670</v>
      </c>
      <c r="B448" s="114" t="s">
        <v>3026</v>
      </c>
      <c r="C448" s="114" t="s">
        <v>2821</v>
      </c>
      <c r="D448" s="120"/>
      <c r="E448" s="120"/>
      <c r="F448" s="90" t="s">
        <v>1568</v>
      </c>
      <c r="G448" s="90"/>
      <c r="H448" s="90"/>
      <c r="I448" s="90" t="s">
        <v>1569</v>
      </c>
      <c r="J448" s="90"/>
      <c r="K448" s="90"/>
      <c r="L448" s="90" t="s">
        <v>1531</v>
      </c>
      <c r="M448" s="90"/>
      <c r="N448" s="90">
        <v>0.497</v>
      </c>
      <c r="O448" s="90"/>
      <c r="P448" s="90"/>
      <c r="Q448" s="90">
        <v>0.33</v>
      </c>
      <c r="R448" s="90"/>
      <c r="S448" s="90"/>
      <c r="T448" s="90">
        <v>0.17399999999999999</v>
      </c>
      <c r="U448" s="90"/>
      <c r="V448" s="90" t="s">
        <v>1305</v>
      </c>
      <c r="W448" s="90">
        <v>1273</v>
      </c>
      <c r="X448" s="90">
        <v>6</v>
      </c>
      <c r="Y448" s="90"/>
      <c r="Z448" s="92"/>
      <c r="AA448" s="92"/>
      <c r="AB448" s="90" t="s">
        <v>518</v>
      </c>
      <c r="AC448" s="90">
        <v>4.8</v>
      </c>
      <c r="AD448" s="90">
        <v>6.8</v>
      </c>
      <c r="AE448" s="90">
        <v>0.47599999999999998</v>
      </c>
      <c r="AF448" s="92">
        <v>0</v>
      </c>
      <c r="AG448" s="90"/>
      <c r="AH448" s="90"/>
      <c r="AI448" s="90" t="s">
        <v>1552</v>
      </c>
      <c r="AJ448" s="90">
        <v>400</v>
      </c>
      <c r="AK448" s="90">
        <v>365</v>
      </c>
      <c r="AL448" s="90">
        <v>522.5</v>
      </c>
    </row>
    <row r="449" spans="1:38" ht="15" thickBot="1" x14ac:dyDescent="0.35">
      <c r="A449" s="118" t="s">
        <v>1671</v>
      </c>
      <c r="B449" s="114" t="s">
        <v>3027</v>
      </c>
      <c r="C449" s="114" t="s">
        <v>1376</v>
      </c>
      <c r="D449" s="120"/>
      <c r="E449" s="120"/>
      <c r="F449" s="90" t="s">
        <v>1529</v>
      </c>
      <c r="G449" s="90"/>
      <c r="H449" s="90"/>
      <c r="I449" s="90" t="s">
        <v>1530</v>
      </c>
      <c r="J449" s="90"/>
      <c r="K449" s="90"/>
      <c r="L449" s="90" t="s">
        <v>1531</v>
      </c>
      <c r="M449" s="90"/>
      <c r="N449" s="90">
        <v>0.33300000000000002</v>
      </c>
      <c r="O449" s="90"/>
      <c r="P449" s="90"/>
      <c r="Q449" s="90">
        <v>0.36399999999999999</v>
      </c>
      <c r="R449" s="90"/>
      <c r="S449" s="90"/>
      <c r="T449" s="90">
        <v>0.30399999999999999</v>
      </c>
      <c r="U449" s="90"/>
      <c r="V449" s="90" t="s">
        <v>1264</v>
      </c>
      <c r="W449" s="90">
        <v>1273</v>
      </c>
      <c r="X449" s="90">
        <v>6</v>
      </c>
      <c r="Y449" s="90"/>
      <c r="Z449" s="92"/>
      <c r="AA449" s="92"/>
      <c r="AB449" s="90" t="s">
        <v>519</v>
      </c>
      <c r="AC449" s="90">
        <v>3.29</v>
      </c>
      <c r="AD449" s="90">
        <v>9.81</v>
      </c>
      <c r="AE449" s="90">
        <v>0.2</v>
      </c>
      <c r="AF449" s="92">
        <v>0</v>
      </c>
      <c r="AG449" s="90" t="s">
        <v>1590</v>
      </c>
      <c r="AH449" s="90"/>
      <c r="AI449" s="90" t="s">
        <v>1552</v>
      </c>
      <c r="AJ449" s="90">
        <v>150</v>
      </c>
      <c r="AK449" s="90">
        <v>365</v>
      </c>
      <c r="AL449" s="90">
        <v>218.9</v>
      </c>
    </row>
    <row r="450" spans="1:38" ht="15" thickBot="1" x14ac:dyDescent="0.35">
      <c r="A450" s="118" t="s">
        <v>1671</v>
      </c>
      <c r="B450" s="114" t="s">
        <v>3027</v>
      </c>
      <c r="C450" s="114" t="s">
        <v>3028</v>
      </c>
      <c r="D450" s="120"/>
      <c r="E450" s="120"/>
      <c r="F450" s="90" t="s">
        <v>1091</v>
      </c>
      <c r="G450" s="90"/>
      <c r="H450" s="90"/>
      <c r="I450" s="90" t="s">
        <v>1530</v>
      </c>
      <c r="J450" s="90"/>
      <c r="K450" s="90"/>
      <c r="L450" s="90" t="s">
        <v>1531</v>
      </c>
      <c r="M450" s="90"/>
      <c r="N450" s="90">
        <v>0.186</v>
      </c>
      <c r="O450" s="90"/>
      <c r="P450" s="90"/>
      <c r="Q450" s="90">
        <v>0.44400000000000001</v>
      </c>
      <c r="R450" s="90"/>
      <c r="S450" s="90"/>
      <c r="T450" s="90">
        <v>0.371</v>
      </c>
      <c r="U450" s="90"/>
      <c r="V450" s="90" t="s">
        <v>1407</v>
      </c>
      <c r="W450" s="90">
        <v>1273</v>
      </c>
      <c r="X450" s="90">
        <v>6</v>
      </c>
      <c r="Y450" s="90"/>
      <c r="Z450" s="92"/>
      <c r="AA450" s="92"/>
      <c r="AB450" s="90" t="s">
        <v>519</v>
      </c>
      <c r="AC450" s="90">
        <v>3.29</v>
      </c>
      <c r="AD450" s="90">
        <v>9.81</v>
      </c>
      <c r="AE450" s="90">
        <v>0.2</v>
      </c>
      <c r="AF450" s="92">
        <v>0</v>
      </c>
      <c r="AG450" s="90" t="s">
        <v>1672</v>
      </c>
      <c r="AH450" s="90"/>
      <c r="AI450" s="90" t="s">
        <v>1552</v>
      </c>
      <c r="AJ450" s="90">
        <v>150</v>
      </c>
      <c r="AK450" s="90">
        <v>365</v>
      </c>
      <c r="AL450" s="90">
        <v>65.099999999999994</v>
      </c>
    </row>
    <row r="451" spans="1:38" ht="15" thickBot="1" x14ac:dyDescent="0.35">
      <c r="A451" s="118" t="s">
        <v>1671</v>
      </c>
      <c r="B451" s="114" t="s">
        <v>3027</v>
      </c>
      <c r="C451" s="114" t="s">
        <v>3029</v>
      </c>
      <c r="D451" s="120"/>
      <c r="E451" s="120"/>
      <c r="F451" s="90" t="s">
        <v>1568</v>
      </c>
      <c r="G451" s="90"/>
      <c r="H451" s="90"/>
      <c r="I451" s="90" t="s">
        <v>1530</v>
      </c>
      <c r="J451" s="90"/>
      <c r="K451" s="90"/>
      <c r="L451" s="90" t="s">
        <v>1531</v>
      </c>
      <c r="M451" s="90"/>
      <c r="N451" s="90">
        <v>0.439</v>
      </c>
      <c r="O451" s="90"/>
      <c r="P451" s="90"/>
      <c r="Q451" s="90">
        <v>0.30599999999999999</v>
      </c>
      <c r="R451" s="90"/>
      <c r="S451" s="90"/>
      <c r="T451" s="90">
        <v>0.25600000000000001</v>
      </c>
      <c r="U451" s="90"/>
      <c r="V451" s="90" t="s">
        <v>1336</v>
      </c>
      <c r="W451" s="90">
        <v>1273</v>
      </c>
      <c r="X451" s="90">
        <v>6</v>
      </c>
      <c r="Y451" s="90"/>
      <c r="Z451" s="92"/>
      <c r="AA451" s="92"/>
      <c r="AB451" s="90" t="s">
        <v>519</v>
      </c>
      <c r="AC451" s="90">
        <v>3.29</v>
      </c>
      <c r="AD451" s="90">
        <v>9.81</v>
      </c>
      <c r="AE451" s="90">
        <v>0.2</v>
      </c>
      <c r="AF451" s="92">
        <v>0</v>
      </c>
      <c r="AG451" s="90" t="s">
        <v>1672</v>
      </c>
      <c r="AH451" s="90"/>
      <c r="AI451" s="90" t="s">
        <v>1552</v>
      </c>
      <c r="AJ451" s="90">
        <v>150</v>
      </c>
      <c r="AK451" s="90">
        <v>365</v>
      </c>
      <c r="AL451" s="90">
        <v>29.35</v>
      </c>
    </row>
    <row r="452" spans="1:38" ht="15" thickBot="1" x14ac:dyDescent="0.35">
      <c r="A452" s="118" t="s">
        <v>1673</v>
      </c>
      <c r="B452" s="114" t="s">
        <v>2903</v>
      </c>
      <c r="C452" s="114" t="s">
        <v>1376</v>
      </c>
      <c r="D452" s="120"/>
      <c r="E452" s="120"/>
      <c r="F452" s="90" t="s">
        <v>1529</v>
      </c>
      <c r="G452" s="90"/>
      <c r="H452" s="90"/>
      <c r="I452" s="90" t="s">
        <v>1530</v>
      </c>
      <c r="J452" s="90"/>
      <c r="K452" s="90"/>
      <c r="L452" s="90" t="s">
        <v>1531</v>
      </c>
      <c r="M452" s="90"/>
      <c r="N452" s="90">
        <v>0.47799999999999998</v>
      </c>
      <c r="O452" s="90"/>
      <c r="P452" s="90"/>
      <c r="Q452" s="90">
        <v>0.26100000000000001</v>
      </c>
      <c r="R452" s="90"/>
      <c r="S452" s="90"/>
      <c r="T452" s="90">
        <v>0.26200000000000001</v>
      </c>
      <c r="U452" s="90"/>
      <c r="V452" s="90" t="s">
        <v>1264</v>
      </c>
      <c r="W452" s="90">
        <v>1273</v>
      </c>
      <c r="X452" s="90">
        <v>3</v>
      </c>
      <c r="Y452" s="90" t="s">
        <v>1268</v>
      </c>
      <c r="Z452" s="92" t="s">
        <v>863</v>
      </c>
      <c r="AA452" s="92">
        <v>0.32</v>
      </c>
      <c r="AB452" s="90" t="s">
        <v>518</v>
      </c>
      <c r="AC452" s="90">
        <v>3.1</v>
      </c>
      <c r="AD452" s="90"/>
      <c r="AE452" s="90">
        <v>0.4</v>
      </c>
      <c r="AF452" s="92">
        <v>10</v>
      </c>
      <c r="AG452" s="90"/>
      <c r="AH452" s="90"/>
      <c r="AI452" s="90" t="s">
        <v>1552</v>
      </c>
      <c r="AJ452" s="90">
        <v>500</v>
      </c>
      <c r="AK452" s="90">
        <v>365</v>
      </c>
      <c r="AL452" s="90">
        <v>3200</v>
      </c>
    </row>
    <row r="453" spans="1:38" ht="15" thickBot="1" x14ac:dyDescent="0.35">
      <c r="A453" s="128" t="s">
        <v>1674</v>
      </c>
      <c r="B453" s="116" t="s">
        <v>3030</v>
      </c>
      <c r="C453" s="116" t="s">
        <v>1376</v>
      </c>
      <c r="D453" s="123"/>
      <c r="E453" s="123"/>
      <c r="F453" s="90" t="s">
        <v>1529</v>
      </c>
      <c r="G453" s="90"/>
      <c r="H453" s="90"/>
      <c r="I453" s="90" t="s">
        <v>1530</v>
      </c>
      <c r="J453" s="90"/>
      <c r="K453" s="90"/>
      <c r="L453" s="90" t="s">
        <v>1531</v>
      </c>
      <c r="M453" s="90"/>
      <c r="N453" s="90">
        <v>0.47799999999999998</v>
      </c>
      <c r="O453" s="90"/>
      <c r="P453" s="90"/>
      <c r="Q453" s="90">
        <v>0.26100000000000001</v>
      </c>
      <c r="R453" s="90"/>
      <c r="S453" s="90"/>
      <c r="T453" s="90">
        <v>0.26200000000000001</v>
      </c>
      <c r="U453" s="90"/>
      <c r="V453" s="90" t="s">
        <v>1264</v>
      </c>
      <c r="W453" s="90">
        <v>1273</v>
      </c>
      <c r="X453" s="90">
        <v>10</v>
      </c>
      <c r="Y453" s="90" t="s">
        <v>1533</v>
      </c>
      <c r="Z453" s="92" t="s">
        <v>863</v>
      </c>
      <c r="AA453" s="92">
        <v>1</v>
      </c>
      <c r="AB453" s="90" t="s">
        <v>518</v>
      </c>
      <c r="AC453" s="90">
        <v>3.17</v>
      </c>
      <c r="AD453" s="90">
        <v>3.42</v>
      </c>
      <c r="AE453" s="90">
        <v>2</v>
      </c>
      <c r="AF453" s="92">
        <v>10</v>
      </c>
      <c r="AG453" s="90"/>
      <c r="AH453" s="90"/>
      <c r="AI453" s="90" t="s">
        <v>1552</v>
      </c>
      <c r="AJ453" s="90">
        <v>450</v>
      </c>
      <c r="AK453" s="90">
        <v>420</v>
      </c>
      <c r="AL453" s="90">
        <v>78</v>
      </c>
    </row>
    <row r="454" spans="1:38" ht="15" thickBot="1" x14ac:dyDescent="0.35">
      <c r="A454" s="128" t="s">
        <v>1675</v>
      </c>
      <c r="B454" s="116" t="s">
        <v>2940</v>
      </c>
      <c r="C454" s="116" t="s">
        <v>1273</v>
      </c>
      <c r="D454" s="123"/>
      <c r="E454" s="123"/>
      <c r="F454" s="90" t="s">
        <v>1557</v>
      </c>
      <c r="G454" s="90"/>
      <c r="H454" s="90"/>
      <c r="I454" s="90" t="s">
        <v>1068</v>
      </c>
      <c r="J454" s="90"/>
      <c r="K454" s="90"/>
      <c r="L454" s="90" t="s">
        <v>1531</v>
      </c>
      <c r="M454" s="90"/>
      <c r="N454" s="90">
        <v>0.217</v>
      </c>
      <c r="O454" s="90"/>
      <c r="P454" s="90"/>
      <c r="Q454" s="90">
        <v>0.51600000000000001</v>
      </c>
      <c r="R454" s="90"/>
      <c r="S454" s="90"/>
      <c r="T454" s="90">
        <v>0.26700000000000002</v>
      </c>
      <c r="U454" s="90"/>
      <c r="V454" s="90" t="s">
        <v>1264</v>
      </c>
      <c r="W454" s="90"/>
      <c r="X454" s="90"/>
      <c r="Y454" s="90" t="s">
        <v>1268</v>
      </c>
      <c r="Z454" s="92" t="s">
        <v>863</v>
      </c>
      <c r="AA454" s="92">
        <v>0.5</v>
      </c>
      <c r="AB454" s="90" t="s">
        <v>1142</v>
      </c>
      <c r="AC454" s="90">
        <v>3.1</v>
      </c>
      <c r="AD454" s="90">
        <v>8.5</v>
      </c>
      <c r="AE454" s="90">
        <v>0.42</v>
      </c>
      <c r="AF454" s="92">
        <v>12</v>
      </c>
      <c r="AG454" s="90"/>
      <c r="AH454" s="90"/>
      <c r="AI454" s="90" t="s">
        <v>1534</v>
      </c>
      <c r="AJ454" s="90">
        <v>400</v>
      </c>
      <c r="AK454" s="90">
        <v>420</v>
      </c>
      <c r="AL454" s="90">
        <v>5170</v>
      </c>
    </row>
    <row r="455" spans="1:38" ht="15" thickBot="1" x14ac:dyDescent="0.35">
      <c r="A455" s="128" t="s">
        <v>1676</v>
      </c>
      <c r="B455" s="116" t="s">
        <v>3031</v>
      </c>
      <c r="C455" s="116" t="s">
        <v>3032</v>
      </c>
      <c r="D455" s="123"/>
      <c r="E455" s="123"/>
      <c r="F455" s="90" t="s">
        <v>1529</v>
      </c>
      <c r="G455" s="90" t="s">
        <v>1088</v>
      </c>
      <c r="H455" s="90"/>
      <c r="I455" s="90" t="s">
        <v>1530</v>
      </c>
      <c r="J455" s="90"/>
      <c r="K455" s="90"/>
      <c r="L455" s="90" t="s">
        <v>1531</v>
      </c>
      <c r="M455" s="90"/>
      <c r="N455" s="90">
        <v>0.36299999999999999</v>
      </c>
      <c r="O455" s="90">
        <v>0.14399999999999999</v>
      </c>
      <c r="P455" s="90"/>
      <c r="Q455" s="90">
        <v>0.248</v>
      </c>
      <c r="R455" s="90"/>
      <c r="S455" s="90"/>
      <c r="T455" s="90">
        <v>0.23200000000000001</v>
      </c>
      <c r="U455" s="90">
        <v>1.4E-2</v>
      </c>
      <c r="V455" s="90" t="s">
        <v>1336</v>
      </c>
      <c r="W455" s="90">
        <v>1173</v>
      </c>
      <c r="X455" s="90">
        <v>10</v>
      </c>
      <c r="Y455" s="90" t="s">
        <v>1533</v>
      </c>
      <c r="Z455" s="92" t="s">
        <v>863</v>
      </c>
      <c r="AA455" s="92">
        <v>3</v>
      </c>
      <c r="AB455" s="90" t="s">
        <v>518</v>
      </c>
      <c r="AC455" s="90">
        <v>2.65</v>
      </c>
      <c r="AD455" s="90">
        <v>9.86</v>
      </c>
      <c r="AE455" s="90">
        <v>0.55000000000000004</v>
      </c>
      <c r="AF455" s="92">
        <v>18.5</v>
      </c>
      <c r="AG455" s="90" t="s">
        <v>1637</v>
      </c>
      <c r="AH455" s="90"/>
      <c r="AI455" s="90" t="s">
        <v>1534</v>
      </c>
      <c r="AJ455" s="90">
        <v>300</v>
      </c>
      <c r="AK455" s="90">
        <v>420</v>
      </c>
      <c r="AL455" s="90">
        <v>66.67</v>
      </c>
    </row>
    <row r="456" spans="1:38" ht="15" thickBot="1" x14ac:dyDescent="0.35">
      <c r="A456" s="128" t="s">
        <v>1677</v>
      </c>
      <c r="B456" s="116" t="s">
        <v>3034</v>
      </c>
      <c r="C456" s="116" t="s">
        <v>3033</v>
      </c>
      <c r="D456" s="123"/>
      <c r="E456" s="123"/>
      <c r="F456" s="90" t="s">
        <v>1555</v>
      </c>
      <c r="G456" s="90"/>
      <c r="H456" s="90"/>
      <c r="I456" s="90" t="s">
        <v>1543</v>
      </c>
      <c r="J456" s="90"/>
      <c r="K456" s="90"/>
      <c r="L456" s="90" t="s">
        <v>1531</v>
      </c>
      <c r="M456" s="90"/>
      <c r="N456" s="90">
        <v>0.38900000000000001</v>
      </c>
      <c r="O456" s="90"/>
      <c r="P456" s="90"/>
      <c r="Q456" s="90">
        <v>0.438</v>
      </c>
      <c r="R456" s="90"/>
      <c r="S456" s="90"/>
      <c r="T456" s="90">
        <v>0.17299999999999999</v>
      </c>
      <c r="U456" s="90"/>
      <c r="V456" s="90" t="s">
        <v>1407</v>
      </c>
      <c r="W456" s="90">
        <v>1173</v>
      </c>
      <c r="X456" s="90">
        <v>8</v>
      </c>
      <c r="Y456" s="90"/>
      <c r="Z456" s="92"/>
      <c r="AA456" s="92"/>
      <c r="AB456" s="90" t="s">
        <v>518</v>
      </c>
      <c r="AC456" s="90">
        <v>2.98</v>
      </c>
      <c r="AD456" s="90">
        <v>2.5</v>
      </c>
      <c r="AE456" s="90">
        <v>1.85</v>
      </c>
      <c r="AF456" s="92">
        <v>0</v>
      </c>
      <c r="AG456" s="90" t="s">
        <v>1637</v>
      </c>
      <c r="AH456" s="90"/>
      <c r="AI456" s="90" t="s">
        <v>1552</v>
      </c>
      <c r="AJ456" s="90">
        <v>300</v>
      </c>
      <c r="AK456" s="90">
        <v>400</v>
      </c>
      <c r="AL456" s="90">
        <v>296</v>
      </c>
    </row>
    <row r="457" spans="1:38" ht="15" thickBot="1" x14ac:dyDescent="0.35">
      <c r="A457" s="118" t="s">
        <v>1678</v>
      </c>
      <c r="B457" s="114" t="s">
        <v>3038</v>
      </c>
      <c r="C457" s="114" t="s">
        <v>3035</v>
      </c>
      <c r="D457" s="120"/>
      <c r="E457" s="120"/>
      <c r="F457" s="90" t="s">
        <v>1578</v>
      </c>
      <c r="G457" s="90" t="s">
        <v>1529</v>
      </c>
      <c r="H457" s="90"/>
      <c r="I457" s="90" t="s">
        <v>1558</v>
      </c>
      <c r="J457" s="90"/>
      <c r="K457" s="90"/>
      <c r="L457" s="90" t="s">
        <v>1531</v>
      </c>
      <c r="M457" s="90"/>
      <c r="N457" s="90">
        <v>8.8999999999999996E-2</v>
      </c>
      <c r="O457" s="90">
        <v>1.7000000000000001E-2</v>
      </c>
      <c r="P457" s="90"/>
      <c r="Q457" s="90">
        <v>0.70599999999999996</v>
      </c>
      <c r="R457" s="90"/>
      <c r="S457" s="90"/>
      <c r="T457" s="90">
        <v>0.187</v>
      </c>
      <c r="U457" s="90"/>
      <c r="V457" s="90" t="s">
        <v>1407</v>
      </c>
      <c r="W457" s="90">
        <v>1423</v>
      </c>
      <c r="X457" s="90">
        <v>10</v>
      </c>
      <c r="Y457" s="90" t="s">
        <v>1533</v>
      </c>
      <c r="Z457" s="92" t="s">
        <v>56</v>
      </c>
      <c r="AA457" s="92">
        <v>0.1</v>
      </c>
      <c r="AB457" s="90" t="s">
        <v>1595</v>
      </c>
      <c r="AC457" s="90">
        <v>4.09</v>
      </c>
      <c r="AD457" s="90">
        <v>2.6</v>
      </c>
      <c r="AE457" s="90">
        <v>1.42</v>
      </c>
      <c r="AF457" s="92">
        <v>0</v>
      </c>
      <c r="AG457" s="90"/>
      <c r="AH457" s="90"/>
      <c r="AI457" s="90" t="s">
        <v>1552</v>
      </c>
      <c r="AJ457" s="90">
        <v>400</v>
      </c>
      <c r="AK457" s="90">
        <v>365</v>
      </c>
      <c r="AL457" s="90">
        <v>27200</v>
      </c>
    </row>
    <row r="458" spans="1:38" ht="15" thickBot="1" x14ac:dyDescent="0.35">
      <c r="A458" s="118" t="s">
        <v>1678</v>
      </c>
      <c r="B458" s="114" t="s">
        <v>3038</v>
      </c>
      <c r="C458" s="114" t="s">
        <v>3036</v>
      </c>
      <c r="D458" s="120"/>
      <c r="E458" s="120"/>
      <c r="F458" s="90" t="s">
        <v>1578</v>
      </c>
      <c r="G458" s="90" t="s">
        <v>1568</v>
      </c>
      <c r="H458" s="90"/>
      <c r="I458" s="90" t="s">
        <v>1558</v>
      </c>
      <c r="J458" s="90"/>
      <c r="K458" s="90"/>
      <c r="L458" s="90" t="s">
        <v>1531</v>
      </c>
      <c r="M458" s="90"/>
      <c r="N458" s="90">
        <v>6.8000000000000005E-2</v>
      </c>
      <c r="O458" s="90">
        <v>0.215</v>
      </c>
      <c r="P458" s="90"/>
      <c r="Q458" s="90">
        <v>0.56599999999999995</v>
      </c>
      <c r="R458" s="90"/>
      <c r="S458" s="90"/>
      <c r="T458" s="90">
        <v>0.15</v>
      </c>
      <c r="U458" s="90"/>
      <c r="V458" s="90" t="s">
        <v>1538</v>
      </c>
      <c r="W458" s="90">
        <v>1423</v>
      </c>
      <c r="X458" s="90">
        <v>10</v>
      </c>
      <c r="Y458" s="90" t="s">
        <v>1533</v>
      </c>
      <c r="Z458" s="92" t="s">
        <v>56</v>
      </c>
      <c r="AA458" s="92">
        <v>0.1</v>
      </c>
      <c r="AB458" s="90" t="s">
        <v>1595</v>
      </c>
      <c r="AC458" s="90">
        <v>4.09</v>
      </c>
      <c r="AD458" s="90">
        <v>2.6</v>
      </c>
      <c r="AE458" s="90">
        <v>1.42</v>
      </c>
      <c r="AF458" s="92">
        <v>0</v>
      </c>
      <c r="AG458" s="90"/>
      <c r="AH458" s="90"/>
      <c r="AI458" s="90" t="s">
        <v>1552</v>
      </c>
      <c r="AJ458" s="90">
        <v>400</v>
      </c>
      <c r="AK458" s="90">
        <v>365</v>
      </c>
      <c r="AL458" s="90">
        <v>19560</v>
      </c>
    </row>
    <row r="459" spans="1:38" ht="15" thickBot="1" x14ac:dyDescent="0.35">
      <c r="A459" s="118" t="s">
        <v>1678</v>
      </c>
      <c r="B459" s="114" t="s">
        <v>3038</v>
      </c>
      <c r="C459" s="114" t="s">
        <v>3037</v>
      </c>
      <c r="D459" s="120"/>
      <c r="E459" s="120"/>
      <c r="F459" s="90" t="s">
        <v>1578</v>
      </c>
      <c r="G459" s="90" t="s">
        <v>1091</v>
      </c>
      <c r="H459" s="90"/>
      <c r="I459" s="90" t="s">
        <v>1558</v>
      </c>
      <c r="J459" s="90"/>
      <c r="K459" s="90"/>
      <c r="L459" s="90" t="s">
        <v>1531</v>
      </c>
      <c r="M459" s="90"/>
      <c r="N459" s="90">
        <v>8.8999999999999996E-2</v>
      </c>
      <c r="O459" s="90">
        <v>1.6E-2</v>
      </c>
      <c r="P459" s="90"/>
      <c r="Q459" s="90">
        <v>0.70799999999999996</v>
      </c>
      <c r="R459" s="90"/>
      <c r="S459" s="90"/>
      <c r="T459" s="90">
        <v>0.188</v>
      </c>
      <c r="U459" s="90"/>
      <c r="V459" s="90" t="s">
        <v>1264</v>
      </c>
      <c r="W459" s="90">
        <v>1423</v>
      </c>
      <c r="X459" s="90">
        <v>10</v>
      </c>
      <c r="Y459" s="90" t="s">
        <v>1533</v>
      </c>
      <c r="Z459" s="92" t="s">
        <v>56</v>
      </c>
      <c r="AA459" s="92">
        <v>0.1</v>
      </c>
      <c r="AB459" s="90" t="s">
        <v>1595</v>
      </c>
      <c r="AC459" s="90">
        <v>4.09</v>
      </c>
      <c r="AD459" s="90">
        <v>2.6</v>
      </c>
      <c r="AE459" s="90">
        <v>1.42</v>
      </c>
      <c r="AF459" s="92">
        <v>0</v>
      </c>
      <c r="AG459" s="90"/>
      <c r="AH459" s="90"/>
      <c r="AI459" s="90" t="s">
        <v>1552</v>
      </c>
      <c r="AJ459" s="90">
        <v>400</v>
      </c>
      <c r="AK459" s="90">
        <v>365</v>
      </c>
      <c r="AL459" s="90">
        <v>9860</v>
      </c>
    </row>
    <row r="460" spans="1:38" ht="15" thickBot="1" x14ac:dyDescent="0.35">
      <c r="A460" s="118" t="s">
        <v>1679</v>
      </c>
      <c r="B460" s="114" t="s">
        <v>3039</v>
      </c>
      <c r="C460" s="114" t="s">
        <v>28</v>
      </c>
      <c r="D460" s="120"/>
      <c r="E460" s="120"/>
      <c r="F460" s="90" t="s">
        <v>1578</v>
      </c>
      <c r="G460" s="90"/>
      <c r="H460" s="90"/>
      <c r="I460" s="90" t="s">
        <v>1558</v>
      </c>
      <c r="J460" s="90"/>
      <c r="K460" s="90"/>
      <c r="L460" s="90" t="s">
        <v>1531</v>
      </c>
      <c r="M460" s="90"/>
      <c r="N460" s="90">
        <v>9.0999999999999998E-2</v>
      </c>
      <c r="O460" s="90"/>
      <c r="P460" s="90"/>
      <c r="Q460" s="90">
        <v>0.71799999999999997</v>
      </c>
      <c r="R460" s="90"/>
      <c r="S460" s="90"/>
      <c r="T460" s="90">
        <v>0.191</v>
      </c>
      <c r="U460" s="90"/>
      <c r="V460" s="90" t="s">
        <v>1264</v>
      </c>
      <c r="W460" s="90">
        <v>1473</v>
      </c>
      <c r="X460" s="90">
        <v>10</v>
      </c>
      <c r="Y460" s="90"/>
      <c r="Z460" s="92"/>
      <c r="AA460" s="92"/>
      <c r="AB460" s="90" t="s">
        <v>1595</v>
      </c>
      <c r="AC460" s="90">
        <v>3.99</v>
      </c>
      <c r="AD460" s="90">
        <v>23</v>
      </c>
      <c r="AE460" s="90">
        <v>1.1100000000000001</v>
      </c>
      <c r="AF460" s="92">
        <v>0</v>
      </c>
      <c r="AG460" s="90"/>
      <c r="AH460" s="90"/>
      <c r="AI460" s="90" t="s">
        <v>1552</v>
      </c>
      <c r="AJ460" s="90">
        <v>400</v>
      </c>
      <c r="AK460" s="90">
        <v>365</v>
      </c>
      <c r="AL460" s="90">
        <v>2600</v>
      </c>
    </row>
    <row r="461" spans="1:38" ht="15" thickBot="1" x14ac:dyDescent="0.35">
      <c r="A461" s="118" t="s">
        <v>1680</v>
      </c>
      <c r="B461" s="114" t="s">
        <v>3040</v>
      </c>
      <c r="C461" s="114" t="s">
        <v>1376</v>
      </c>
      <c r="D461" s="120"/>
      <c r="E461" s="120"/>
      <c r="F461" s="90" t="s">
        <v>1529</v>
      </c>
      <c r="G461" s="90" t="s">
        <v>1555</v>
      </c>
      <c r="H461" s="90"/>
      <c r="I461" s="90" t="s">
        <v>1530</v>
      </c>
      <c r="J461" s="90"/>
      <c r="K461" s="90"/>
      <c r="L461" s="90" t="s">
        <v>1531</v>
      </c>
      <c r="M461" s="90"/>
      <c r="N461" s="90">
        <v>9.4E-2</v>
      </c>
      <c r="O461" s="90">
        <v>0.34799999999999998</v>
      </c>
      <c r="P461" s="90"/>
      <c r="Q461" s="90">
        <v>5.0999999999999997E-2</v>
      </c>
      <c r="R461" s="90"/>
      <c r="S461" s="90"/>
      <c r="T461" s="90">
        <v>0.20599999999999999</v>
      </c>
      <c r="U461" s="90"/>
      <c r="V461" s="90" t="s">
        <v>1264</v>
      </c>
      <c r="W461" s="90">
        <v>1073</v>
      </c>
      <c r="X461" s="90">
        <v>2</v>
      </c>
      <c r="Y461" s="90"/>
      <c r="Z461" s="92"/>
      <c r="AA461" s="92"/>
      <c r="AB461" s="90" t="s">
        <v>1665</v>
      </c>
      <c r="AC461" s="90">
        <v>3.75</v>
      </c>
      <c r="AD461" s="90">
        <v>2.6</v>
      </c>
      <c r="AE461" s="90">
        <v>0.37</v>
      </c>
      <c r="AF461" s="92">
        <v>0</v>
      </c>
      <c r="AG461" s="90" t="s">
        <v>1637</v>
      </c>
      <c r="AH461" s="90"/>
      <c r="AI461" s="90" t="s">
        <v>1534</v>
      </c>
      <c r="AJ461" s="90">
        <v>300</v>
      </c>
      <c r="AK461" s="90">
        <v>410</v>
      </c>
      <c r="AL461" s="90">
        <v>648</v>
      </c>
    </row>
    <row r="462" spans="1:38" ht="15" thickBot="1" x14ac:dyDescent="0.35">
      <c r="A462" s="118" t="s">
        <v>1681</v>
      </c>
      <c r="B462" s="114" t="s">
        <v>3042</v>
      </c>
      <c r="C462" s="114" t="s">
        <v>3041</v>
      </c>
      <c r="D462" s="120"/>
      <c r="E462" s="120"/>
      <c r="F462" s="90" t="s">
        <v>1529</v>
      </c>
      <c r="G462" s="92" t="s">
        <v>1578</v>
      </c>
      <c r="H462" s="92"/>
      <c r="I462" s="92" t="s">
        <v>1530</v>
      </c>
      <c r="J462" s="92"/>
      <c r="K462" s="92"/>
      <c r="L462" s="92" t="s">
        <v>1531</v>
      </c>
      <c r="M462" s="92"/>
      <c r="N462" s="92">
        <v>0.46200000000000002</v>
      </c>
      <c r="O462" s="92">
        <v>6.0000000000000001E-3</v>
      </c>
      <c r="P462" s="92">
        <f>O46:O462/23</f>
        <v>2.6086956521739134E-4</v>
      </c>
      <c r="Q462" s="92">
        <v>0.26600000000000001</v>
      </c>
      <c r="R462" s="92">
        <f>Q462/44</f>
        <v>6.0454545454545457E-3</v>
      </c>
      <c r="S462" s="92"/>
      <c r="T462" s="92">
        <v>0.26600000000000001</v>
      </c>
      <c r="U462" s="92"/>
      <c r="V462" s="90" t="s">
        <v>1264</v>
      </c>
      <c r="W462" s="92">
        <v>1373</v>
      </c>
      <c r="X462" s="92">
        <v>20</v>
      </c>
      <c r="Y462" s="92" t="s">
        <v>1533</v>
      </c>
      <c r="Z462" s="92" t="s">
        <v>890</v>
      </c>
      <c r="AA462" s="92">
        <v>0.5</v>
      </c>
      <c r="AB462" s="92"/>
      <c r="AC462" s="92">
        <v>3.5</v>
      </c>
      <c r="AD462" s="92">
        <v>2.6</v>
      </c>
      <c r="AE462" s="92">
        <v>0.75</v>
      </c>
      <c r="AF462" s="92">
        <v>0</v>
      </c>
      <c r="AG462" s="92"/>
      <c r="AH462" s="92"/>
      <c r="AI462" s="92" t="s">
        <v>1552</v>
      </c>
      <c r="AJ462" s="92">
        <v>450</v>
      </c>
      <c r="AK462" s="92">
        <v>365</v>
      </c>
      <c r="AL462" s="92">
        <v>22</v>
      </c>
    </row>
    <row r="463" spans="1:38" ht="15" thickBot="1" x14ac:dyDescent="0.35">
      <c r="A463" s="118" t="s">
        <v>1682</v>
      </c>
      <c r="B463" s="114" t="s">
        <v>3043</v>
      </c>
      <c r="C463" s="114" t="s">
        <v>3035</v>
      </c>
      <c r="D463" s="120"/>
      <c r="E463" s="120"/>
      <c r="F463" s="90" t="s">
        <v>1578</v>
      </c>
      <c r="G463" s="92" t="s">
        <v>1529</v>
      </c>
      <c r="H463" s="92"/>
      <c r="I463" s="92" t="s">
        <v>1558</v>
      </c>
      <c r="J463" s="92"/>
      <c r="K463" s="92"/>
      <c r="L463" s="92" t="s">
        <v>1531</v>
      </c>
      <c r="M463" s="92"/>
      <c r="N463" s="92">
        <v>9.0999999999999998E-2</v>
      </c>
      <c r="O463" s="92">
        <v>2E-3</v>
      </c>
      <c r="P463" s="92"/>
      <c r="Q463" s="92">
        <v>0.71699999999999997</v>
      </c>
      <c r="R463" s="92">
        <f>P462/R462</f>
        <v>4.3151356652500819E-2</v>
      </c>
      <c r="S463" s="92"/>
      <c r="T463" s="92">
        <v>0.19</v>
      </c>
      <c r="U463" s="92"/>
      <c r="V463" s="90" t="s">
        <v>1336</v>
      </c>
      <c r="W463" s="92">
        <v>1423</v>
      </c>
      <c r="X463" s="92">
        <v>10</v>
      </c>
      <c r="Y463" s="92"/>
      <c r="Z463" s="92"/>
      <c r="AA463" s="92"/>
      <c r="AB463" s="92"/>
      <c r="AC463" s="92">
        <v>4.05</v>
      </c>
      <c r="AD463" s="92"/>
      <c r="AE463" s="92">
        <v>0.5</v>
      </c>
      <c r="AF463" s="92">
        <v>0</v>
      </c>
      <c r="AG463" s="92"/>
      <c r="AH463" s="92"/>
      <c r="AI463" s="92" t="s">
        <v>1552</v>
      </c>
      <c r="AJ463" s="92">
        <v>400</v>
      </c>
      <c r="AK463" s="92">
        <v>365</v>
      </c>
      <c r="AL463" s="92">
        <v>2180</v>
      </c>
    </row>
    <row r="464" spans="1:38" ht="15" thickBot="1" x14ac:dyDescent="0.35">
      <c r="A464" s="118" t="s">
        <v>1683</v>
      </c>
      <c r="B464" s="115" t="s">
        <v>3044</v>
      </c>
      <c r="C464" s="115" t="s">
        <v>3045</v>
      </c>
      <c r="D464" s="122"/>
      <c r="E464" s="122"/>
      <c r="F464" s="90" t="s">
        <v>1607</v>
      </c>
      <c r="G464" s="92"/>
      <c r="H464" s="92"/>
      <c r="I464" s="92" t="s">
        <v>964</v>
      </c>
      <c r="J464" s="92"/>
      <c r="K464" s="92"/>
      <c r="L464" s="92" t="s">
        <v>1531</v>
      </c>
      <c r="M464" s="92"/>
      <c r="N464" s="92">
        <v>0.35299999999999998</v>
      </c>
      <c r="O464" s="92"/>
      <c r="P464" s="92"/>
      <c r="Q464" s="92">
        <v>0.45600000000000002</v>
      </c>
      <c r="R464" s="92"/>
      <c r="S464" s="92"/>
      <c r="T464" s="92">
        <v>0.191</v>
      </c>
      <c r="U464" s="92"/>
      <c r="V464" s="90" t="s">
        <v>1264</v>
      </c>
      <c r="W464" s="92">
        <v>1373</v>
      </c>
      <c r="X464" s="92">
        <v>12</v>
      </c>
      <c r="Y464" s="92"/>
      <c r="Z464" s="92" t="s">
        <v>863</v>
      </c>
      <c r="AA464" s="92">
        <v>0.5</v>
      </c>
      <c r="AB464" s="92" t="s">
        <v>518</v>
      </c>
      <c r="AC464" s="92">
        <v>3.75</v>
      </c>
      <c r="AD464" s="92"/>
      <c r="AE464" s="92">
        <v>2.91</v>
      </c>
      <c r="AF464" s="92">
        <v>0</v>
      </c>
      <c r="AG464" s="92" t="s">
        <v>1550</v>
      </c>
      <c r="AH464" s="92" t="s">
        <v>1551</v>
      </c>
      <c r="AI464" s="92" t="s">
        <v>1534</v>
      </c>
      <c r="AJ464" s="92">
        <v>300</v>
      </c>
      <c r="AK464" s="92">
        <v>420</v>
      </c>
      <c r="AL464" s="92">
        <v>18.88</v>
      </c>
    </row>
    <row r="465" spans="1:38" ht="15.6" customHeight="1" thickBot="1" x14ac:dyDescent="0.35">
      <c r="A465" s="118" t="s">
        <v>1684</v>
      </c>
      <c r="B465" s="115" t="s">
        <v>3046</v>
      </c>
      <c r="C465" s="115" t="s">
        <v>28</v>
      </c>
      <c r="D465" s="122"/>
      <c r="E465" s="122"/>
      <c r="F465" s="92" t="s">
        <v>3052</v>
      </c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0" t="s">
        <v>1407</v>
      </c>
      <c r="W465" s="92">
        <f>240+273</f>
        <v>513</v>
      </c>
      <c r="X465" s="92">
        <v>24</v>
      </c>
      <c r="Y465" s="92"/>
      <c r="Z465" s="92"/>
      <c r="AA465" s="92"/>
      <c r="AB465" s="92"/>
      <c r="AC465" s="92">
        <v>3.96</v>
      </c>
      <c r="AD465" s="92"/>
      <c r="AE465" s="92">
        <v>0.24</v>
      </c>
      <c r="AF465" s="92">
        <v>5</v>
      </c>
      <c r="AG465" s="92"/>
      <c r="AH465" s="92"/>
      <c r="AI465" s="92" t="s">
        <v>1552</v>
      </c>
      <c r="AJ465" s="92">
        <v>350</v>
      </c>
      <c r="AK465" s="92"/>
      <c r="AL465" s="92">
        <v>36500</v>
      </c>
    </row>
    <row r="466" spans="1:38" ht="15.6" customHeight="1" thickBot="1" x14ac:dyDescent="0.35">
      <c r="A466" s="118" t="s">
        <v>1684</v>
      </c>
      <c r="B466" s="115" t="s">
        <v>3046</v>
      </c>
      <c r="C466" s="115" t="s">
        <v>3047</v>
      </c>
      <c r="D466" s="122"/>
      <c r="E466" s="12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0"/>
      <c r="W466" s="92"/>
      <c r="X466" s="92"/>
      <c r="Y466" s="92"/>
      <c r="Z466" s="92"/>
      <c r="AA466" s="92"/>
      <c r="AB466" s="92"/>
      <c r="AC466" s="92"/>
      <c r="AD466" s="92"/>
      <c r="AE466" s="92">
        <v>0.24</v>
      </c>
      <c r="AF466" s="92">
        <v>5</v>
      </c>
      <c r="AG466" s="92"/>
      <c r="AH466" s="92"/>
      <c r="AI466" s="92" t="s">
        <v>1552</v>
      </c>
      <c r="AJ466" s="92">
        <v>350</v>
      </c>
      <c r="AK466" s="92"/>
      <c r="AL466" s="92">
        <v>35000</v>
      </c>
    </row>
    <row r="467" spans="1:38" ht="15.6" customHeight="1" thickBot="1" x14ac:dyDescent="0.35">
      <c r="A467" s="118" t="s">
        <v>1684</v>
      </c>
      <c r="B467" s="115" t="s">
        <v>3046</v>
      </c>
      <c r="C467" s="115" t="s">
        <v>3048</v>
      </c>
      <c r="D467" s="122"/>
      <c r="E467" s="12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0"/>
      <c r="W467" s="92"/>
      <c r="X467" s="92"/>
      <c r="Y467" s="92"/>
      <c r="Z467" s="92"/>
      <c r="AA467" s="92"/>
      <c r="AB467" s="92"/>
      <c r="AC467" s="92"/>
      <c r="AD467" s="92"/>
      <c r="AE467" s="92">
        <v>0.24</v>
      </c>
      <c r="AF467" s="92">
        <v>5</v>
      </c>
      <c r="AG467" s="92"/>
      <c r="AH467" s="92"/>
      <c r="AI467" s="92" t="s">
        <v>1552</v>
      </c>
      <c r="AJ467" s="92">
        <v>350</v>
      </c>
      <c r="AK467" s="92"/>
      <c r="AL467" s="92">
        <v>12500</v>
      </c>
    </row>
    <row r="468" spans="1:38" ht="15.6" customHeight="1" thickBot="1" x14ac:dyDescent="0.35">
      <c r="A468" s="118" t="s">
        <v>1684</v>
      </c>
      <c r="B468" s="115" t="s">
        <v>3046</v>
      </c>
      <c r="C468" s="115" t="s">
        <v>3049</v>
      </c>
      <c r="D468" s="122"/>
      <c r="E468" s="12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0"/>
      <c r="W468" s="92"/>
      <c r="X468" s="92"/>
      <c r="Y468" s="92"/>
      <c r="Z468" s="92"/>
      <c r="AA468" s="92"/>
      <c r="AB468" s="92"/>
      <c r="AC468" s="92"/>
      <c r="AD468" s="92"/>
      <c r="AE468" s="92">
        <v>0.24</v>
      </c>
      <c r="AF468" s="92">
        <v>5</v>
      </c>
      <c r="AG468" s="92"/>
      <c r="AH468" s="92"/>
      <c r="AI468" s="92" t="s">
        <v>1552</v>
      </c>
      <c r="AJ468" s="92">
        <v>350</v>
      </c>
      <c r="AK468" s="92"/>
      <c r="AL468" s="92">
        <v>11000</v>
      </c>
    </row>
    <row r="469" spans="1:38" ht="15.6" customHeight="1" thickBot="1" x14ac:dyDescent="0.35">
      <c r="A469" s="118" t="s">
        <v>1684</v>
      </c>
      <c r="B469" s="115" t="s">
        <v>3046</v>
      </c>
      <c r="C469" s="115" t="s">
        <v>3050</v>
      </c>
      <c r="D469" s="122"/>
      <c r="E469" s="12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0"/>
      <c r="W469" s="92"/>
      <c r="X469" s="92"/>
      <c r="Y469" s="92"/>
      <c r="Z469" s="92"/>
      <c r="AA469" s="92"/>
      <c r="AB469" s="92"/>
      <c r="AC469" s="92">
        <v>2.88</v>
      </c>
      <c r="AD469" s="92"/>
      <c r="AE469" s="92">
        <v>0.24</v>
      </c>
      <c r="AF469" s="92">
        <v>5</v>
      </c>
      <c r="AG469" s="92"/>
      <c r="AH469" s="92"/>
      <c r="AI469" s="92" t="s">
        <v>1552</v>
      </c>
      <c r="AJ469" s="92">
        <v>350</v>
      </c>
      <c r="AK469" s="92"/>
      <c r="AL469" s="92">
        <v>6000</v>
      </c>
    </row>
    <row r="470" spans="1:38" ht="15" thickBot="1" x14ac:dyDescent="0.35">
      <c r="A470" s="118" t="s">
        <v>1684</v>
      </c>
      <c r="B470" s="115" t="s">
        <v>3046</v>
      </c>
      <c r="C470" s="115" t="s">
        <v>3051</v>
      </c>
      <c r="D470" s="122"/>
      <c r="E470" s="12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0"/>
      <c r="W470" s="92"/>
      <c r="X470" s="92"/>
      <c r="Y470" s="92"/>
      <c r="Z470" s="92"/>
      <c r="AA470" s="92"/>
      <c r="AB470" s="92"/>
      <c r="AC470" s="92"/>
      <c r="AD470" s="92"/>
      <c r="AE470" s="92">
        <v>0.24</v>
      </c>
      <c r="AF470" s="92">
        <v>5</v>
      </c>
      <c r="AG470" s="92"/>
      <c r="AH470" s="92"/>
      <c r="AI470" s="92" t="s">
        <v>1552</v>
      </c>
      <c r="AJ470" s="92">
        <v>350</v>
      </c>
      <c r="AK470" s="92"/>
      <c r="AL470" s="92">
        <v>7000</v>
      </c>
    </row>
    <row r="471" spans="1:38" ht="15.6" customHeight="1" thickBot="1" x14ac:dyDescent="0.35">
      <c r="A471" s="118" t="s">
        <v>1684</v>
      </c>
      <c r="B471" s="115" t="s">
        <v>3046</v>
      </c>
      <c r="C471" s="115" t="s">
        <v>28</v>
      </c>
      <c r="D471" s="122"/>
      <c r="E471" s="122"/>
      <c r="F471" s="92" t="s">
        <v>3052</v>
      </c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0" t="s">
        <v>1407</v>
      </c>
      <c r="W471" s="92">
        <f>240+273</f>
        <v>513</v>
      </c>
      <c r="X471" s="92">
        <v>24</v>
      </c>
      <c r="Y471" s="92"/>
      <c r="Z471" s="92"/>
      <c r="AA471" s="92"/>
      <c r="AB471" s="92"/>
      <c r="AC471" s="92">
        <v>3.96</v>
      </c>
      <c r="AD471" s="92"/>
      <c r="AE471" s="92">
        <v>0.24</v>
      </c>
      <c r="AF471" s="92">
        <v>5</v>
      </c>
      <c r="AG471" s="92"/>
      <c r="AH471" s="92"/>
      <c r="AI471" s="92" t="s">
        <v>1534</v>
      </c>
      <c r="AJ471" s="92">
        <v>350</v>
      </c>
      <c r="AK471" s="92">
        <v>400</v>
      </c>
      <c r="AL471" s="92">
        <v>0</v>
      </c>
    </row>
    <row r="472" spans="1:38" ht="15.6" customHeight="1" thickBot="1" x14ac:dyDescent="0.35">
      <c r="A472" s="118" t="s">
        <v>1684</v>
      </c>
      <c r="B472" s="115" t="s">
        <v>3046</v>
      </c>
      <c r="C472" s="115" t="s">
        <v>3047</v>
      </c>
      <c r="D472" s="122"/>
      <c r="E472" s="12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0"/>
      <c r="W472" s="92"/>
      <c r="X472" s="92"/>
      <c r="Y472" s="92"/>
      <c r="Z472" s="92"/>
      <c r="AA472" s="92"/>
      <c r="AB472" s="92"/>
      <c r="AC472" s="92"/>
      <c r="AD472" s="92"/>
      <c r="AE472" s="92">
        <v>0.24</v>
      </c>
      <c r="AF472" s="92">
        <v>5</v>
      </c>
      <c r="AG472" s="92"/>
      <c r="AH472" s="92"/>
      <c r="AI472" s="92" t="s">
        <v>1534</v>
      </c>
      <c r="AJ472" s="92">
        <v>350</v>
      </c>
      <c r="AK472" s="92">
        <v>400</v>
      </c>
      <c r="AL472" s="92">
        <v>49</v>
      </c>
    </row>
    <row r="473" spans="1:38" ht="15.6" customHeight="1" thickBot="1" x14ac:dyDescent="0.35">
      <c r="A473" s="118" t="s">
        <v>1684</v>
      </c>
      <c r="B473" s="115" t="s">
        <v>3046</v>
      </c>
      <c r="C473" s="115" t="s">
        <v>3048</v>
      </c>
      <c r="D473" s="122"/>
      <c r="E473" s="12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0"/>
      <c r="W473" s="92"/>
      <c r="X473" s="92"/>
      <c r="Y473" s="92"/>
      <c r="Z473" s="92"/>
      <c r="AA473" s="92"/>
      <c r="AB473" s="92"/>
      <c r="AC473" s="92"/>
      <c r="AD473" s="92"/>
      <c r="AE473" s="92">
        <v>0.24</v>
      </c>
      <c r="AF473" s="92">
        <v>5</v>
      </c>
      <c r="AG473" s="92"/>
      <c r="AH473" s="92"/>
      <c r="AI473" s="92" t="s">
        <v>1534</v>
      </c>
      <c r="AJ473" s="92">
        <v>350</v>
      </c>
      <c r="AK473" s="92">
        <v>400</v>
      </c>
      <c r="AL473" s="92">
        <v>53</v>
      </c>
    </row>
    <row r="474" spans="1:38" ht="15.6" customHeight="1" thickBot="1" x14ac:dyDescent="0.35">
      <c r="A474" s="118" t="s">
        <v>1684</v>
      </c>
      <c r="B474" s="115" t="s">
        <v>3046</v>
      </c>
      <c r="C474" s="115" t="s">
        <v>3049</v>
      </c>
      <c r="D474" s="122"/>
      <c r="E474" s="12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0"/>
      <c r="W474" s="92"/>
      <c r="X474" s="92"/>
      <c r="Y474" s="92"/>
      <c r="Z474" s="92"/>
      <c r="AA474" s="92"/>
      <c r="AB474" s="92"/>
      <c r="AC474" s="92"/>
      <c r="AD474" s="92"/>
      <c r="AE474" s="92">
        <v>0.24</v>
      </c>
      <c r="AF474" s="92">
        <v>5</v>
      </c>
      <c r="AG474" s="92"/>
      <c r="AH474" s="92"/>
      <c r="AI474" s="92" t="s">
        <v>1534</v>
      </c>
      <c r="AJ474" s="92">
        <v>350</v>
      </c>
      <c r="AK474" s="92">
        <v>400</v>
      </c>
      <c r="AL474" s="92">
        <v>55</v>
      </c>
    </row>
    <row r="475" spans="1:38" ht="15.6" customHeight="1" thickBot="1" x14ac:dyDescent="0.35">
      <c r="A475" s="118" t="s">
        <v>1684</v>
      </c>
      <c r="B475" s="115" t="s">
        <v>3046</v>
      </c>
      <c r="C475" s="115" t="s">
        <v>3050</v>
      </c>
      <c r="D475" s="122"/>
      <c r="E475" s="12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0"/>
      <c r="W475" s="92"/>
      <c r="X475" s="92"/>
      <c r="Y475" s="92"/>
      <c r="Z475" s="92"/>
      <c r="AA475" s="92"/>
      <c r="AB475" s="92"/>
      <c r="AC475" s="92">
        <v>2.88</v>
      </c>
      <c r="AD475" s="92"/>
      <c r="AE475" s="92">
        <v>0.24</v>
      </c>
      <c r="AF475" s="92">
        <v>5</v>
      </c>
      <c r="AG475" s="92"/>
      <c r="AH475" s="92"/>
      <c r="AI475" s="92" t="s">
        <v>1534</v>
      </c>
      <c r="AJ475" s="92">
        <v>350</v>
      </c>
      <c r="AK475" s="92">
        <v>400</v>
      </c>
      <c r="AL475" s="92">
        <v>60</v>
      </c>
    </row>
    <row r="476" spans="1:38" ht="15" thickBot="1" x14ac:dyDescent="0.35">
      <c r="A476" s="118" t="s">
        <v>1684</v>
      </c>
      <c r="B476" s="115" t="s">
        <v>3046</v>
      </c>
      <c r="C476" s="115" t="s">
        <v>3051</v>
      </c>
      <c r="D476" s="122"/>
      <c r="E476" s="12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0"/>
      <c r="W476" s="92"/>
      <c r="X476" s="92"/>
      <c r="Y476" s="92"/>
      <c r="Z476" s="92"/>
      <c r="AA476" s="92"/>
      <c r="AB476" s="92"/>
      <c r="AC476" s="92"/>
      <c r="AD476" s="92"/>
      <c r="AE476" s="92">
        <v>0.24</v>
      </c>
      <c r="AF476" s="92">
        <v>5</v>
      </c>
      <c r="AG476" s="92"/>
      <c r="AH476" s="92"/>
      <c r="AI476" s="92" t="s">
        <v>1534</v>
      </c>
      <c r="AJ476" s="92">
        <v>350</v>
      </c>
      <c r="AK476" s="92">
        <v>400</v>
      </c>
      <c r="AL476" s="92">
        <v>50</v>
      </c>
    </row>
    <row r="477" spans="1:38" ht="15.6" customHeight="1" thickBot="1" x14ac:dyDescent="0.35">
      <c r="A477" s="118" t="s">
        <v>1684</v>
      </c>
      <c r="B477" s="115" t="s">
        <v>3046</v>
      </c>
      <c r="C477" s="115" t="s">
        <v>3050</v>
      </c>
      <c r="D477" s="122"/>
      <c r="E477" s="122"/>
      <c r="F477" s="92" t="s">
        <v>3052</v>
      </c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0" t="s">
        <v>1407</v>
      </c>
      <c r="W477" s="92">
        <f>240+273</f>
        <v>513</v>
      </c>
      <c r="X477" s="92">
        <v>24</v>
      </c>
      <c r="Y477" s="92" t="s">
        <v>1533</v>
      </c>
      <c r="Z477" s="92" t="s">
        <v>56</v>
      </c>
      <c r="AA477" s="92">
        <v>0.1</v>
      </c>
      <c r="AB477" s="92"/>
      <c r="AC477" s="92">
        <v>3.96</v>
      </c>
      <c r="AD477" s="92"/>
      <c r="AE477" s="92">
        <v>0.24</v>
      </c>
      <c r="AF477" s="92">
        <v>5</v>
      </c>
      <c r="AG477" s="92"/>
      <c r="AH477" s="92"/>
      <c r="AI477" s="92" t="s">
        <v>1534</v>
      </c>
      <c r="AJ477" s="92">
        <v>350</v>
      </c>
      <c r="AK477" s="92">
        <v>400</v>
      </c>
      <c r="AL477" s="92">
        <v>75</v>
      </c>
    </row>
    <row r="478" spans="1:38" ht="15.6" customHeight="1" thickBot="1" x14ac:dyDescent="0.35">
      <c r="A478" s="118" t="s">
        <v>1684</v>
      </c>
      <c r="B478" s="115" t="s">
        <v>3046</v>
      </c>
      <c r="C478" s="115" t="s">
        <v>3050</v>
      </c>
      <c r="D478" s="122"/>
      <c r="E478" s="12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0"/>
      <c r="W478" s="92"/>
      <c r="X478" s="92"/>
      <c r="Y478" s="92" t="s">
        <v>1533</v>
      </c>
      <c r="Z478" s="92" t="s">
        <v>56</v>
      </c>
      <c r="AA478" s="92">
        <v>0.2</v>
      </c>
      <c r="AB478" s="92"/>
      <c r="AC478" s="92">
        <v>3.96</v>
      </c>
      <c r="AD478" s="92"/>
      <c r="AE478" s="92">
        <v>0.24</v>
      </c>
      <c r="AF478" s="92">
        <v>5</v>
      </c>
      <c r="AG478" s="92"/>
      <c r="AH478" s="92"/>
      <c r="AI478" s="92" t="s">
        <v>1534</v>
      </c>
      <c r="AJ478" s="92">
        <v>350</v>
      </c>
      <c r="AK478" s="92">
        <v>400</v>
      </c>
      <c r="AL478" s="92">
        <v>62</v>
      </c>
    </row>
    <row r="479" spans="1:38" ht="15.6" customHeight="1" thickBot="1" x14ac:dyDescent="0.35">
      <c r="A479" s="118" t="s">
        <v>1684</v>
      </c>
      <c r="B479" s="115" t="s">
        <v>3046</v>
      </c>
      <c r="C479" s="115" t="s">
        <v>3050</v>
      </c>
      <c r="D479" s="122"/>
      <c r="E479" s="12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0"/>
      <c r="W479" s="92"/>
      <c r="X479" s="92"/>
      <c r="Y479" s="92" t="s">
        <v>1533</v>
      </c>
      <c r="Z479" s="92" t="s">
        <v>56</v>
      </c>
      <c r="AA479" s="92">
        <v>0.3</v>
      </c>
      <c r="AB479" s="92"/>
      <c r="AC479" s="92">
        <v>3.96</v>
      </c>
      <c r="AD479" s="92"/>
      <c r="AE479" s="92">
        <v>0.24</v>
      </c>
      <c r="AF479" s="92">
        <v>5</v>
      </c>
      <c r="AG479" s="92"/>
      <c r="AH479" s="92"/>
      <c r="AI479" s="92" t="s">
        <v>1534</v>
      </c>
      <c r="AJ479" s="92">
        <v>350</v>
      </c>
      <c r="AK479" s="92">
        <v>400</v>
      </c>
      <c r="AL479" s="92">
        <v>53</v>
      </c>
    </row>
    <row r="480" spans="1:38" ht="15.6" customHeight="1" thickBot="1" x14ac:dyDescent="0.35">
      <c r="A480" s="118" t="s">
        <v>1685</v>
      </c>
      <c r="B480" s="115" t="s">
        <v>3053</v>
      </c>
      <c r="C480" s="115" t="s">
        <v>3054</v>
      </c>
      <c r="D480" s="122"/>
      <c r="E480" s="12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0" t="s">
        <v>1264</v>
      </c>
      <c r="W480" s="92">
        <v>1423</v>
      </c>
      <c r="X480" s="92">
        <v>10</v>
      </c>
      <c r="Y480" s="92" t="s">
        <v>1268</v>
      </c>
      <c r="Z480" s="92" t="s">
        <v>863</v>
      </c>
      <c r="AA480" s="92">
        <v>0.2</v>
      </c>
      <c r="AB480" s="92"/>
      <c r="AC480" s="92"/>
      <c r="AD480" s="92"/>
      <c r="AE480" s="92">
        <v>1.85</v>
      </c>
      <c r="AF480" s="92">
        <v>18</v>
      </c>
      <c r="AG480" s="92"/>
      <c r="AH480" s="92"/>
      <c r="AI480" s="92" t="s">
        <v>1534</v>
      </c>
      <c r="AJ480" s="92">
        <v>300</v>
      </c>
      <c r="AK480" s="92">
        <v>420</v>
      </c>
      <c r="AL480" s="92">
        <v>14</v>
      </c>
    </row>
    <row r="481" spans="1:38" ht="15.6" customHeight="1" thickBot="1" x14ac:dyDescent="0.35">
      <c r="A481" s="118" t="s">
        <v>1685</v>
      </c>
      <c r="B481" s="115" t="s">
        <v>3053</v>
      </c>
      <c r="C481" s="115" t="s">
        <v>3055</v>
      </c>
      <c r="D481" s="122"/>
      <c r="E481" s="12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0" t="s">
        <v>1264</v>
      </c>
      <c r="W481" s="92">
        <v>1423</v>
      </c>
      <c r="X481" s="92">
        <v>10</v>
      </c>
      <c r="Y481" s="92" t="s">
        <v>1268</v>
      </c>
      <c r="Z481" s="92" t="s">
        <v>863</v>
      </c>
      <c r="AA481" s="92">
        <v>0.2</v>
      </c>
      <c r="AB481" s="92"/>
      <c r="AC481" s="92"/>
      <c r="AD481" s="92"/>
      <c r="AE481" s="92">
        <v>1.85</v>
      </c>
      <c r="AF481" s="92">
        <v>18</v>
      </c>
      <c r="AG481" s="92"/>
      <c r="AH481" s="92"/>
      <c r="AI481" s="92" t="s">
        <v>1534</v>
      </c>
      <c r="AJ481" s="92">
        <v>300</v>
      </c>
      <c r="AK481" s="92">
        <v>420</v>
      </c>
      <c r="AL481" s="92">
        <v>6</v>
      </c>
    </row>
    <row r="482" spans="1:38" ht="15.6" customHeight="1" thickBot="1" x14ac:dyDescent="0.35">
      <c r="A482" s="118" t="s">
        <v>1685</v>
      </c>
      <c r="B482" s="115" t="s">
        <v>3053</v>
      </c>
      <c r="C482" s="115" t="s">
        <v>3056</v>
      </c>
      <c r="D482" s="122"/>
      <c r="E482" s="12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0" t="s">
        <v>1264</v>
      </c>
      <c r="W482" s="92">
        <v>1423</v>
      </c>
      <c r="X482" s="92">
        <v>10</v>
      </c>
      <c r="Y482" s="92" t="s">
        <v>1268</v>
      </c>
      <c r="Z482" s="92" t="s">
        <v>863</v>
      </c>
      <c r="AA482" s="92">
        <v>0.2</v>
      </c>
      <c r="AB482" s="92"/>
      <c r="AC482" s="92"/>
      <c r="AD482" s="92"/>
      <c r="AE482" s="92">
        <v>1.85</v>
      </c>
      <c r="AF482" s="92">
        <v>18</v>
      </c>
      <c r="AG482" s="92"/>
      <c r="AH482" s="92"/>
      <c r="AI482" s="92" t="s">
        <v>1534</v>
      </c>
      <c r="AJ482" s="92">
        <v>300</v>
      </c>
      <c r="AK482" s="92">
        <v>420</v>
      </c>
      <c r="AL482" s="92">
        <v>7</v>
      </c>
    </row>
    <row r="483" spans="1:38" ht="15.6" customHeight="1" thickBot="1" x14ac:dyDescent="0.35">
      <c r="A483" s="118" t="s">
        <v>1685</v>
      </c>
      <c r="B483" s="115" t="s">
        <v>3053</v>
      </c>
      <c r="C483" s="115" t="s">
        <v>3057</v>
      </c>
      <c r="D483" s="122"/>
      <c r="E483" s="12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0" t="s">
        <v>1264</v>
      </c>
      <c r="W483" s="92">
        <v>1423</v>
      </c>
      <c r="X483" s="92">
        <v>10</v>
      </c>
      <c r="Y483" s="92" t="s">
        <v>1268</v>
      </c>
      <c r="Z483" s="92" t="s">
        <v>863</v>
      </c>
      <c r="AA483" s="92">
        <v>0.2</v>
      </c>
      <c r="AB483" s="92"/>
      <c r="AC483" s="92"/>
      <c r="AD483" s="92"/>
      <c r="AE483" s="92">
        <v>1.85</v>
      </c>
      <c r="AF483" s="92">
        <v>18</v>
      </c>
      <c r="AG483" s="92"/>
      <c r="AH483" s="92"/>
      <c r="AI483" s="92" t="s">
        <v>1534</v>
      </c>
      <c r="AJ483" s="92">
        <v>300</v>
      </c>
      <c r="AK483" s="92">
        <v>420</v>
      </c>
      <c r="AL483" s="92">
        <v>45</v>
      </c>
    </row>
    <row r="484" spans="1:38" ht="15.6" customHeight="1" thickBot="1" x14ac:dyDescent="0.35">
      <c r="A484" s="118" t="s">
        <v>1685</v>
      </c>
      <c r="B484" s="115" t="s">
        <v>3053</v>
      </c>
      <c r="C484" s="115" t="s">
        <v>3058</v>
      </c>
      <c r="D484" s="122"/>
      <c r="E484" s="12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0" t="s">
        <v>1264</v>
      </c>
      <c r="W484" s="92">
        <v>1423</v>
      </c>
      <c r="X484" s="92">
        <v>10</v>
      </c>
      <c r="Y484" s="92" t="s">
        <v>1268</v>
      </c>
      <c r="Z484" s="92" t="s">
        <v>863</v>
      </c>
      <c r="AA484" s="92">
        <v>0.2</v>
      </c>
      <c r="AB484" s="92"/>
      <c r="AC484" s="92"/>
      <c r="AD484" s="92"/>
      <c r="AE484" s="92">
        <v>1.85</v>
      </c>
      <c r="AF484" s="92">
        <v>18</v>
      </c>
      <c r="AG484" s="92"/>
      <c r="AH484" s="92"/>
      <c r="AI484" s="92" t="s">
        <v>1534</v>
      </c>
      <c r="AJ484" s="92">
        <v>300</v>
      </c>
      <c r="AK484" s="92">
        <v>420</v>
      </c>
      <c r="AL484" s="92">
        <v>24</v>
      </c>
    </row>
    <row r="485" spans="1:38" ht="15.6" customHeight="1" thickBot="1" x14ac:dyDescent="0.35">
      <c r="A485" s="118" t="s">
        <v>1685</v>
      </c>
      <c r="B485" s="115" t="s">
        <v>3053</v>
      </c>
      <c r="C485" s="115" t="s">
        <v>3059</v>
      </c>
      <c r="D485" s="122"/>
      <c r="E485" s="12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0" t="s">
        <v>1264</v>
      </c>
      <c r="W485" s="92">
        <v>1423</v>
      </c>
      <c r="X485" s="92">
        <v>10</v>
      </c>
      <c r="Y485" s="92" t="s">
        <v>1268</v>
      </c>
      <c r="Z485" s="92" t="s">
        <v>863</v>
      </c>
      <c r="AA485" s="92">
        <v>0.2</v>
      </c>
      <c r="AB485" s="92"/>
      <c r="AC485" s="92"/>
      <c r="AD485" s="92"/>
      <c r="AE485" s="92">
        <v>1.85</v>
      </c>
      <c r="AF485" s="92">
        <v>18</v>
      </c>
      <c r="AG485" s="92"/>
      <c r="AH485" s="92"/>
      <c r="AI485" s="92" t="s">
        <v>1534</v>
      </c>
      <c r="AJ485" s="92">
        <v>300</v>
      </c>
      <c r="AK485" s="92">
        <v>420</v>
      </c>
      <c r="AL485" s="92">
        <v>18</v>
      </c>
    </row>
    <row r="486" spans="1:38" ht="15.6" customHeight="1" thickBot="1" x14ac:dyDescent="0.35">
      <c r="A486" s="118" t="s">
        <v>1685</v>
      </c>
      <c r="B486" s="115" t="s">
        <v>3053</v>
      </c>
      <c r="C486" s="115" t="s">
        <v>3060</v>
      </c>
      <c r="D486" s="122"/>
      <c r="E486" s="12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0" t="s">
        <v>1264</v>
      </c>
      <c r="W486" s="92">
        <v>1423</v>
      </c>
      <c r="X486" s="92">
        <v>10</v>
      </c>
      <c r="Y486" s="92" t="s">
        <v>1268</v>
      </c>
      <c r="Z486" s="92" t="s">
        <v>863</v>
      </c>
      <c r="AA486" s="92">
        <v>0.2</v>
      </c>
      <c r="AB486" s="92"/>
      <c r="AC486" s="92"/>
      <c r="AD486" s="92"/>
      <c r="AE486" s="92">
        <v>1.85</v>
      </c>
      <c r="AF486" s="92">
        <v>18</v>
      </c>
      <c r="AG486" s="92"/>
      <c r="AH486" s="92"/>
      <c r="AI486" s="92" t="s">
        <v>1534</v>
      </c>
      <c r="AJ486" s="92">
        <v>300</v>
      </c>
      <c r="AK486" s="92">
        <v>420</v>
      </c>
      <c r="AL486" s="92">
        <v>21</v>
      </c>
    </row>
    <row r="487" spans="1:38" ht="15.6" customHeight="1" thickBot="1" x14ac:dyDescent="0.35">
      <c r="A487" s="118" t="s">
        <v>1685</v>
      </c>
      <c r="B487" s="115" t="s">
        <v>3053</v>
      </c>
      <c r="C487" s="115" t="s">
        <v>3061</v>
      </c>
      <c r="D487" s="122"/>
      <c r="E487" s="12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0" t="s">
        <v>1264</v>
      </c>
      <c r="W487" s="92">
        <v>1423</v>
      </c>
      <c r="X487" s="92">
        <v>10</v>
      </c>
      <c r="Y487" s="92" t="s">
        <v>1268</v>
      </c>
      <c r="Z487" s="92" t="s">
        <v>863</v>
      </c>
      <c r="AA487" s="92">
        <v>0.2</v>
      </c>
      <c r="AB487" s="92"/>
      <c r="AC487" s="92"/>
      <c r="AD487" s="92"/>
      <c r="AE487" s="92">
        <v>1.85</v>
      </c>
      <c r="AF487" s="92">
        <v>18</v>
      </c>
      <c r="AG487" s="92"/>
      <c r="AH487" s="92"/>
      <c r="AI487" s="92" t="s">
        <v>1534</v>
      </c>
      <c r="AJ487" s="92">
        <v>300</v>
      </c>
      <c r="AK487" s="92">
        <v>420</v>
      </c>
      <c r="AL487" s="92">
        <v>28</v>
      </c>
    </row>
    <row r="488" spans="1:38" ht="15.6" customHeight="1" thickBot="1" x14ac:dyDescent="0.35">
      <c r="A488" s="118" t="s">
        <v>1685</v>
      </c>
      <c r="B488" s="115" t="s">
        <v>3053</v>
      </c>
      <c r="C488" s="115" t="s">
        <v>3062</v>
      </c>
      <c r="D488" s="122"/>
      <c r="E488" s="12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0" t="s">
        <v>1264</v>
      </c>
      <c r="W488" s="92">
        <v>1423</v>
      </c>
      <c r="X488" s="92">
        <v>10</v>
      </c>
      <c r="Y488" s="92" t="s">
        <v>1268</v>
      </c>
      <c r="Z488" s="92" t="s">
        <v>863</v>
      </c>
      <c r="AA488" s="92">
        <v>0.2</v>
      </c>
      <c r="AB488" s="92"/>
      <c r="AC488" s="92"/>
      <c r="AD488" s="92"/>
      <c r="AE488" s="92">
        <v>1.85</v>
      </c>
      <c r="AF488" s="92">
        <v>18</v>
      </c>
      <c r="AG488" s="92"/>
      <c r="AH488" s="92"/>
      <c r="AI488" s="92" t="s">
        <v>1534</v>
      </c>
      <c r="AJ488" s="92">
        <v>300</v>
      </c>
      <c r="AK488" s="92">
        <v>420</v>
      </c>
      <c r="AL488" s="92">
        <v>5</v>
      </c>
    </row>
    <row r="489" spans="1:38" ht="15.6" customHeight="1" thickBot="1" x14ac:dyDescent="0.35">
      <c r="A489" s="118" t="s">
        <v>1685</v>
      </c>
      <c r="B489" s="115" t="s">
        <v>3053</v>
      </c>
      <c r="C489" s="115" t="s">
        <v>3063</v>
      </c>
      <c r="D489" s="122"/>
      <c r="E489" s="12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0" t="s">
        <v>1264</v>
      </c>
      <c r="W489" s="92">
        <v>1423</v>
      </c>
      <c r="X489" s="92">
        <v>10</v>
      </c>
      <c r="Y489" s="92" t="s">
        <v>1268</v>
      </c>
      <c r="Z489" s="92" t="s">
        <v>863</v>
      </c>
      <c r="AA489" s="92">
        <v>0.2</v>
      </c>
      <c r="AB489" s="92"/>
      <c r="AC489" s="92"/>
      <c r="AD489" s="92"/>
      <c r="AE489" s="92">
        <v>1.85</v>
      </c>
      <c r="AF489" s="92">
        <v>18</v>
      </c>
      <c r="AG489" s="92"/>
      <c r="AH489" s="92"/>
      <c r="AI489" s="92" t="s">
        <v>1534</v>
      </c>
      <c r="AJ489" s="92">
        <v>300</v>
      </c>
      <c r="AK489" s="92">
        <v>420</v>
      </c>
      <c r="AL489" s="92">
        <v>2</v>
      </c>
    </row>
    <row r="490" spans="1:38" ht="15" thickBot="1" x14ac:dyDescent="0.35">
      <c r="A490" s="118" t="s">
        <v>1686</v>
      </c>
      <c r="B490" s="115" t="s">
        <v>3064</v>
      </c>
      <c r="C490" s="115" t="s">
        <v>2902</v>
      </c>
      <c r="D490" s="122"/>
      <c r="E490" s="122"/>
      <c r="F490" s="92" t="s">
        <v>1578</v>
      </c>
      <c r="G490" s="92"/>
      <c r="H490" s="92"/>
      <c r="I490" s="92" t="s">
        <v>1068</v>
      </c>
      <c r="J490" s="92"/>
      <c r="K490" s="92"/>
      <c r="L490" s="92" t="s">
        <v>1531</v>
      </c>
      <c r="M490" s="92"/>
      <c r="N490" s="92">
        <v>0.14000000000000001</v>
      </c>
      <c r="O490" s="92"/>
      <c r="P490" s="92"/>
      <c r="Q490" s="92">
        <v>0.56699999999999995</v>
      </c>
      <c r="R490" s="92"/>
      <c r="S490" s="92"/>
      <c r="T490" s="92">
        <v>0.29299999999999998</v>
      </c>
      <c r="U490" s="92"/>
      <c r="V490" s="90" t="s">
        <v>1538</v>
      </c>
      <c r="W490" s="92">
        <v>773</v>
      </c>
      <c r="X490" s="92">
        <v>5</v>
      </c>
      <c r="Y490" s="92" t="s">
        <v>1533</v>
      </c>
      <c r="Z490" s="92" t="s">
        <v>1313</v>
      </c>
      <c r="AA490" s="92">
        <v>0.5</v>
      </c>
      <c r="AB490" s="92" t="s">
        <v>1142</v>
      </c>
      <c r="AC490" s="92">
        <v>3.4</v>
      </c>
      <c r="AD490" s="92">
        <v>38</v>
      </c>
      <c r="AE490" s="92">
        <v>0.85</v>
      </c>
      <c r="AF490" s="92">
        <v>0</v>
      </c>
      <c r="AG490" s="92"/>
      <c r="AH490" s="92"/>
      <c r="AI490" s="92" t="s">
        <v>1552</v>
      </c>
      <c r="AJ490" s="92">
        <v>400</v>
      </c>
      <c r="AK490" s="92">
        <v>365</v>
      </c>
      <c r="AL490" s="92">
        <v>70</v>
      </c>
    </row>
    <row r="491" spans="1:38" ht="15" thickBot="1" x14ac:dyDescent="0.35">
      <c r="A491" s="118" t="s">
        <v>1687</v>
      </c>
      <c r="B491" s="115" t="s">
        <v>2820</v>
      </c>
      <c r="C491" s="115" t="s">
        <v>2821</v>
      </c>
      <c r="D491" s="122"/>
      <c r="E491" s="12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0" t="s">
        <v>1305</v>
      </c>
      <c r="W491" s="92">
        <f>350+273</f>
        <v>623</v>
      </c>
      <c r="X491" s="92">
        <v>3</v>
      </c>
      <c r="Y491" s="92"/>
      <c r="Z491" s="92"/>
      <c r="AA491" s="92"/>
      <c r="AB491" s="92"/>
      <c r="AC491" s="92"/>
      <c r="AD491" s="92">
        <v>8.5</v>
      </c>
      <c r="AE491" s="92">
        <v>0.48</v>
      </c>
      <c r="AF491" s="92">
        <v>0</v>
      </c>
      <c r="AG491" s="92"/>
      <c r="AH491" s="92"/>
      <c r="AI491" s="92" t="s">
        <v>1552</v>
      </c>
      <c r="AJ491" s="92">
        <v>450</v>
      </c>
      <c r="AK491" s="92"/>
      <c r="AL491" s="92">
        <v>675</v>
      </c>
    </row>
    <row r="492" spans="1:38" ht="15" thickBot="1" x14ac:dyDescent="0.35">
      <c r="A492" s="118" t="s">
        <v>1687</v>
      </c>
      <c r="B492" s="115" t="s">
        <v>2820</v>
      </c>
      <c r="C492" s="115" t="s">
        <v>2822</v>
      </c>
      <c r="D492" s="122"/>
      <c r="E492" s="12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0" t="s">
        <v>1305</v>
      </c>
      <c r="W492" s="92">
        <f t="shared" ref="W492:W493" si="14">350+273</f>
        <v>623</v>
      </c>
      <c r="X492" s="92">
        <v>3</v>
      </c>
      <c r="Y492" s="92"/>
      <c r="Z492" s="92"/>
      <c r="AA492" s="92"/>
      <c r="AB492" s="92"/>
      <c r="AC492" s="92"/>
      <c r="AD492" s="92">
        <v>5.5</v>
      </c>
      <c r="AE492" s="92">
        <v>0.48</v>
      </c>
      <c r="AF492" s="92">
        <v>0</v>
      </c>
      <c r="AG492" s="92"/>
      <c r="AH492" s="92"/>
      <c r="AI492" s="92" t="s">
        <v>1552</v>
      </c>
      <c r="AJ492" s="92">
        <v>450</v>
      </c>
      <c r="AK492" s="92"/>
      <c r="AL492" s="92">
        <v>425</v>
      </c>
    </row>
    <row r="493" spans="1:38" ht="15" thickBot="1" x14ac:dyDescent="0.35">
      <c r="A493" s="118" t="s">
        <v>1687</v>
      </c>
      <c r="B493" s="115" t="s">
        <v>2820</v>
      </c>
      <c r="C493" s="115" t="s">
        <v>2823</v>
      </c>
      <c r="D493" s="122"/>
      <c r="E493" s="12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0" t="s">
        <v>1305</v>
      </c>
      <c r="W493" s="92">
        <f t="shared" si="14"/>
        <v>623</v>
      </c>
      <c r="X493" s="92">
        <v>3</v>
      </c>
      <c r="Y493" s="92"/>
      <c r="Z493" s="92"/>
      <c r="AA493" s="92"/>
      <c r="AB493" s="92"/>
      <c r="AC493" s="92"/>
      <c r="AD493" s="92">
        <v>3.5</v>
      </c>
      <c r="AE493" s="92">
        <v>0.48</v>
      </c>
      <c r="AF493" s="92">
        <v>0</v>
      </c>
      <c r="AG493" s="92"/>
      <c r="AH493" s="92"/>
      <c r="AI493" s="92" t="s">
        <v>1552</v>
      </c>
      <c r="AJ493" s="92">
        <v>450</v>
      </c>
      <c r="AK493" s="92"/>
      <c r="AL493" s="92">
        <v>200</v>
      </c>
    </row>
    <row r="494" spans="1:38" ht="15" thickBot="1" x14ac:dyDescent="0.35">
      <c r="A494" s="118" t="s">
        <v>1687</v>
      </c>
      <c r="B494" s="115" t="s">
        <v>2820</v>
      </c>
      <c r="C494" s="115" t="s">
        <v>2824</v>
      </c>
      <c r="D494" s="122"/>
      <c r="E494" s="12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0" t="s">
        <v>1305</v>
      </c>
      <c r="W494" s="92">
        <f>350+273</f>
        <v>623</v>
      </c>
      <c r="X494" s="92">
        <v>3</v>
      </c>
      <c r="Y494" s="92"/>
      <c r="Z494" s="92"/>
      <c r="AA494" s="92"/>
      <c r="AB494" s="92"/>
      <c r="AC494" s="92"/>
      <c r="AD494" s="92">
        <v>3.9</v>
      </c>
      <c r="AE494" s="92">
        <v>0.48</v>
      </c>
      <c r="AF494" s="92">
        <v>0</v>
      </c>
      <c r="AG494" s="92"/>
      <c r="AH494" s="92"/>
      <c r="AI494" s="92" t="s">
        <v>1552</v>
      </c>
      <c r="AJ494" s="92">
        <v>450</v>
      </c>
      <c r="AK494" s="92"/>
      <c r="AL494" s="92">
        <v>250</v>
      </c>
    </row>
    <row r="495" spans="1:38" ht="15" thickBot="1" x14ac:dyDescent="0.35">
      <c r="A495" s="118" t="s">
        <v>1687</v>
      </c>
      <c r="B495" s="115" t="s">
        <v>2820</v>
      </c>
      <c r="C495" s="115" t="s">
        <v>2825</v>
      </c>
      <c r="D495" s="122"/>
      <c r="E495" s="12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0" t="s">
        <v>1305</v>
      </c>
      <c r="W495" s="92">
        <f>350+273</f>
        <v>623</v>
      </c>
      <c r="X495" s="92">
        <v>3</v>
      </c>
      <c r="Y495" s="92"/>
      <c r="Z495" s="92"/>
      <c r="AA495" s="92"/>
      <c r="AB495" s="92"/>
      <c r="AC495" s="92"/>
      <c r="AD495" s="92">
        <v>2</v>
      </c>
      <c r="AE495" s="92">
        <v>0.48</v>
      </c>
      <c r="AF495" s="92">
        <v>0</v>
      </c>
      <c r="AG495" s="92"/>
      <c r="AH495" s="92"/>
      <c r="AI495" s="92" t="s">
        <v>1552</v>
      </c>
      <c r="AJ495" s="92">
        <v>450</v>
      </c>
      <c r="AK495" s="92"/>
      <c r="AL495" s="92">
        <v>100</v>
      </c>
    </row>
    <row r="496" spans="1:38" ht="15" thickBot="1" x14ac:dyDescent="0.35">
      <c r="A496" s="118" t="s">
        <v>1688</v>
      </c>
      <c r="B496" s="115" t="s">
        <v>3065</v>
      </c>
      <c r="C496" s="115" t="s">
        <v>3028</v>
      </c>
      <c r="D496" s="122"/>
      <c r="E496" s="122"/>
      <c r="F496" s="92" t="s">
        <v>1091</v>
      </c>
      <c r="G496" s="92"/>
      <c r="H496" s="92"/>
      <c r="I496" s="92" t="s">
        <v>1530</v>
      </c>
      <c r="J496" s="92"/>
      <c r="K496" s="92"/>
      <c r="L496" s="92" t="s">
        <v>1531</v>
      </c>
      <c r="M496" s="92"/>
      <c r="N496" s="92">
        <v>0.29499999999999998</v>
      </c>
      <c r="O496" s="92"/>
      <c r="P496" s="92"/>
      <c r="Q496" s="92">
        <v>0.35199999999999998</v>
      </c>
      <c r="R496" s="92"/>
      <c r="S496" s="92"/>
      <c r="T496" s="92">
        <v>0.35299999999999998</v>
      </c>
      <c r="U496" s="92"/>
      <c r="V496" s="90" t="s">
        <v>1264</v>
      </c>
      <c r="W496" s="92">
        <v>1273</v>
      </c>
      <c r="X496" s="92">
        <v>10</v>
      </c>
      <c r="Y496" s="92" t="s">
        <v>1268</v>
      </c>
      <c r="Z496" s="92" t="s">
        <v>863</v>
      </c>
      <c r="AA496" s="92">
        <v>0.04</v>
      </c>
      <c r="AB496" s="92"/>
      <c r="AC496" s="92">
        <v>3.5</v>
      </c>
      <c r="AD496" s="92">
        <v>1.7</v>
      </c>
      <c r="AE496" s="92">
        <v>2.5</v>
      </c>
      <c r="AF496" s="92">
        <v>10</v>
      </c>
      <c r="AG496" s="92" t="s">
        <v>1689</v>
      </c>
      <c r="AH496" s="92"/>
      <c r="AI496" s="92" t="s">
        <v>1534</v>
      </c>
      <c r="AJ496" s="92">
        <v>300</v>
      </c>
      <c r="AK496" s="92">
        <v>420</v>
      </c>
      <c r="AL496" s="92">
        <v>11.52</v>
      </c>
    </row>
    <row r="497" spans="1:40" ht="15" thickBot="1" x14ac:dyDescent="0.35">
      <c r="A497" s="118" t="s">
        <v>1690</v>
      </c>
      <c r="B497" s="115" t="s">
        <v>3066</v>
      </c>
      <c r="C497" s="115" t="s">
        <v>28</v>
      </c>
      <c r="D497" s="122"/>
      <c r="E497" s="122"/>
      <c r="F497" s="92" t="s">
        <v>1578</v>
      </c>
      <c r="G497" s="92"/>
      <c r="H497" s="92"/>
      <c r="I497" s="92" t="s">
        <v>1558</v>
      </c>
      <c r="J497" s="92"/>
      <c r="K497" s="92"/>
      <c r="L497" s="92" t="s">
        <v>1531</v>
      </c>
      <c r="M497" s="92"/>
      <c r="N497" s="92">
        <v>9.0999999999999998E-2</v>
      </c>
      <c r="O497" s="92"/>
      <c r="P497" s="92"/>
      <c r="Q497" s="92">
        <v>0.71799999999999997</v>
      </c>
      <c r="R497" s="92"/>
      <c r="S497" s="92"/>
      <c r="T497" s="92">
        <v>0.191</v>
      </c>
      <c r="U497" s="92"/>
      <c r="V497" s="90" t="s">
        <v>1538</v>
      </c>
      <c r="W497" s="92">
        <v>1473</v>
      </c>
      <c r="X497" s="92">
        <v>10</v>
      </c>
      <c r="Y497" s="92" t="s">
        <v>1533</v>
      </c>
      <c r="Z497" s="92" t="s">
        <v>56</v>
      </c>
      <c r="AA497" s="92">
        <v>3</v>
      </c>
      <c r="AB497" s="92" t="s">
        <v>1595</v>
      </c>
      <c r="AC497" s="92">
        <v>3.44</v>
      </c>
      <c r="AD497" s="92">
        <v>24</v>
      </c>
      <c r="AE497" s="92">
        <v>0.90900000000000003</v>
      </c>
      <c r="AF497" s="92">
        <v>0</v>
      </c>
      <c r="AG497" s="92"/>
      <c r="AH497" s="92"/>
      <c r="AI497" s="92" t="s">
        <v>1552</v>
      </c>
      <c r="AJ497" s="92">
        <v>400</v>
      </c>
      <c r="AK497" s="92">
        <v>365</v>
      </c>
      <c r="AL497" s="92">
        <v>9000</v>
      </c>
    </row>
    <row r="498" spans="1:40" ht="15" thickBot="1" x14ac:dyDescent="0.35">
      <c r="A498" s="118" t="s">
        <v>1691</v>
      </c>
      <c r="B498" s="115" t="s">
        <v>3068</v>
      </c>
      <c r="C498" s="115" t="s">
        <v>3067</v>
      </c>
      <c r="D498" s="122"/>
      <c r="E498" s="122"/>
      <c r="F498" s="92" t="s">
        <v>1529</v>
      </c>
      <c r="G498" s="92"/>
      <c r="H498" s="92"/>
      <c r="I498" s="92" t="s">
        <v>1068</v>
      </c>
      <c r="J498" s="92" t="s">
        <v>1535</v>
      </c>
      <c r="K498" s="92"/>
      <c r="L498" s="92" t="s">
        <v>1531</v>
      </c>
      <c r="M498" s="92"/>
      <c r="N498" s="92">
        <v>0.34300000000000003</v>
      </c>
      <c r="O498" s="92"/>
      <c r="P498" s="92"/>
      <c r="Q498" s="92">
        <v>0.36399999999999999</v>
      </c>
      <c r="R498" s="92">
        <v>0.106</v>
      </c>
      <c r="S498" s="92"/>
      <c r="T498" s="92">
        <v>0.188</v>
      </c>
      <c r="U498" s="92"/>
      <c r="V498" s="90" t="s">
        <v>1305</v>
      </c>
      <c r="W498" s="92">
        <v>1673</v>
      </c>
      <c r="X498" s="92">
        <v>10</v>
      </c>
      <c r="Y498" s="92" t="s">
        <v>1533</v>
      </c>
      <c r="Z498" s="92" t="s">
        <v>1313</v>
      </c>
      <c r="AA498" s="92">
        <v>1</v>
      </c>
      <c r="AB498" s="92" t="s">
        <v>518</v>
      </c>
      <c r="AC498" s="92">
        <v>4.0999999999999996</v>
      </c>
      <c r="AD498" s="92">
        <v>3.2</v>
      </c>
      <c r="AE498" s="92">
        <v>1</v>
      </c>
      <c r="AF498" s="92">
        <v>10</v>
      </c>
      <c r="AG498" s="92"/>
      <c r="AH498" s="92"/>
      <c r="AI498" s="92" t="s">
        <v>1552</v>
      </c>
      <c r="AJ498" s="92">
        <v>100</v>
      </c>
      <c r="AK498" s="92">
        <v>365</v>
      </c>
      <c r="AL498" s="92">
        <v>53.4</v>
      </c>
    </row>
    <row r="499" spans="1:40" ht="15" thickBot="1" x14ac:dyDescent="0.35">
      <c r="A499" s="118" t="s">
        <v>1692</v>
      </c>
      <c r="B499" s="115" t="s">
        <v>3069</v>
      </c>
      <c r="C499" s="115" t="s">
        <v>2863</v>
      </c>
      <c r="D499" s="122"/>
      <c r="E499" s="122"/>
      <c r="F499" s="92" t="s">
        <v>1088</v>
      </c>
      <c r="G499" s="92"/>
      <c r="H499" s="92"/>
      <c r="I499" s="92" t="s">
        <v>1499</v>
      </c>
      <c r="J499" s="92" t="s">
        <v>1559</v>
      </c>
      <c r="K499" s="92"/>
      <c r="L499" s="92" t="s">
        <v>1531</v>
      </c>
      <c r="M499" s="92"/>
      <c r="N499" s="92">
        <v>0.56200000000000006</v>
      </c>
      <c r="O499" s="92"/>
      <c r="P499" s="92"/>
      <c r="Q499" s="92">
        <v>0.16700000000000001</v>
      </c>
      <c r="R499" s="92">
        <v>7.6999999999999999E-2</v>
      </c>
      <c r="S499" s="92"/>
      <c r="T499" s="92">
        <v>0.19400000000000001</v>
      </c>
      <c r="U499" s="92"/>
      <c r="V499" s="90" t="s">
        <v>1264</v>
      </c>
      <c r="W499" s="92">
        <v>603</v>
      </c>
      <c r="X499" s="92">
        <v>2</v>
      </c>
      <c r="Y499" s="92"/>
      <c r="Z499" s="92"/>
      <c r="AA499" s="92"/>
      <c r="AB499" s="92"/>
      <c r="AC499" s="92">
        <v>2.8</v>
      </c>
      <c r="AD499" s="92"/>
      <c r="AE499" s="92">
        <v>0.5</v>
      </c>
      <c r="AF499" s="92">
        <v>0</v>
      </c>
      <c r="AG499" s="92" t="s">
        <v>1600</v>
      </c>
      <c r="AH499" s="92"/>
      <c r="AI499" s="92" t="s">
        <v>1534</v>
      </c>
      <c r="AJ499" s="92">
        <v>125</v>
      </c>
      <c r="AK499" s="92">
        <v>400</v>
      </c>
      <c r="AL499" s="92">
        <v>583</v>
      </c>
    </row>
    <row r="500" spans="1:40" ht="15" thickBot="1" x14ac:dyDescent="0.35">
      <c r="A500" s="118" t="s">
        <v>1693</v>
      </c>
      <c r="B500" s="115" t="s">
        <v>3070</v>
      </c>
      <c r="C500" s="115" t="s">
        <v>1376</v>
      </c>
      <c r="D500" s="122"/>
      <c r="E500" s="122"/>
      <c r="F500" s="92" t="s">
        <v>1529</v>
      </c>
      <c r="G500" s="92"/>
      <c r="H500" s="92"/>
      <c r="I500" s="92" t="s">
        <v>1530</v>
      </c>
      <c r="J500" s="92"/>
      <c r="K500" s="92"/>
      <c r="L500" s="92" t="s">
        <v>1531</v>
      </c>
      <c r="M500" s="92"/>
      <c r="N500" s="92">
        <v>0.47799999999999998</v>
      </c>
      <c r="O500" s="92"/>
      <c r="P500" s="92"/>
      <c r="Q500" s="92">
        <v>0.26100000000000001</v>
      </c>
      <c r="R500" s="92"/>
      <c r="S500" s="92"/>
      <c r="T500" s="92">
        <v>0.26200000000000001</v>
      </c>
      <c r="U500" s="92"/>
      <c r="V500" s="90" t="s">
        <v>1336</v>
      </c>
      <c r="W500" s="92">
        <v>973</v>
      </c>
      <c r="X500" s="92">
        <v>4</v>
      </c>
      <c r="Y500" s="92" t="s">
        <v>1533</v>
      </c>
      <c r="Z500" s="92" t="s">
        <v>1560</v>
      </c>
      <c r="AA500" s="92">
        <v>1</v>
      </c>
      <c r="AB500" s="90" t="s">
        <v>518</v>
      </c>
      <c r="AC500" s="90">
        <v>3.18</v>
      </c>
      <c r="AD500" s="90">
        <v>8.64</v>
      </c>
      <c r="AE500" s="90">
        <v>0.5</v>
      </c>
      <c r="AF500" s="92">
        <v>50</v>
      </c>
      <c r="AG500" s="90"/>
      <c r="AH500" s="90"/>
      <c r="AI500" s="90" t="s">
        <v>1534</v>
      </c>
      <c r="AJ500" s="90">
        <v>300</v>
      </c>
      <c r="AK500" s="92">
        <v>400</v>
      </c>
      <c r="AL500" s="92">
        <v>1000</v>
      </c>
    </row>
    <row r="501" spans="1:40" ht="15" thickBot="1" x14ac:dyDescent="0.35">
      <c r="A501" s="118" t="s">
        <v>1694</v>
      </c>
      <c r="B501" s="115" t="s">
        <v>3072</v>
      </c>
      <c r="C501" s="115" t="s">
        <v>3071</v>
      </c>
      <c r="D501" s="122"/>
      <c r="E501" s="122"/>
      <c r="F501" s="92" t="s">
        <v>1088</v>
      </c>
      <c r="G501" s="92"/>
      <c r="H501" s="92"/>
      <c r="I501" s="92" t="s">
        <v>1658</v>
      </c>
      <c r="J501" s="92"/>
      <c r="K501" s="92"/>
      <c r="L501" s="92" t="s">
        <v>1531</v>
      </c>
      <c r="M501" s="92"/>
      <c r="N501" s="92">
        <v>0.57199999999999995</v>
      </c>
      <c r="O501" s="92"/>
      <c r="P501" s="92"/>
      <c r="Q501" s="92">
        <v>0.23</v>
      </c>
      <c r="R501" s="92"/>
      <c r="S501" s="92"/>
      <c r="T501" s="92">
        <v>0.19800000000000001</v>
      </c>
      <c r="U501" s="92"/>
      <c r="V501" s="90" t="s">
        <v>1336</v>
      </c>
      <c r="W501" s="92">
        <v>773</v>
      </c>
      <c r="X501" s="92">
        <v>2</v>
      </c>
      <c r="Y501" s="92"/>
      <c r="Z501" s="92"/>
      <c r="AA501" s="92"/>
      <c r="AB501" s="90" t="s">
        <v>1142</v>
      </c>
      <c r="AC501" s="90">
        <v>2.11</v>
      </c>
      <c r="AD501" s="90">
        <v>25.8</v>
      </c>
      <c r="AE501" s="90">
        <v>2.5</v>
      </c>
      <c r="AF501" s="92">
        <v>10</v>
      </c>
      <c r="AG501" s="90" t="s">
        <v>1637</v>
      </c>
      <c r="AH501" s="90"/>
      <c r="AI501" s="90" t="s">
        <v>1552</v>
      </c>
      <c r="AJ501" s="90">
        <v>125</v>
      </c>
      <c r="AK501" s="92">
        <v>420</v>
      </c>
      <c r="AL501" s="92">
        <v>1720</v>
      </c>
    </row>
    <row r="502" spans="1:40" ht="15" thickBot="1" x14ac:dyDescent="0.35">
      <c r="A502" s="118" t="s">
        <v>1695</v>
      </c>
      <c r="B502" s="115" t="s">
        <v>3074</v>
      </c>
      <c r="C502" s="115" t="s">
        <v>3073</v>
      </c>
      <c r="D502" s="122"/>
      <c r="E502" s="122"/>
      <c r="F502" s="92" t="s">
        <v>1568</v>
      </c>
      <c r="G502" s="92"/>
      <c r="H502" s="92"/>
      <c r="I502" s="92" t="s">
        <v>1558</v>
      </c>
      <c r="J502" s="92" t="s">
        <v>1569</v>
      </c>
      <c r="K502" s="92"/>
      <c r="L502" s="92" t="s">
        <v>1531</v>
      </c>
      <c r="M502" s="92"/>
      <c r="N502" s="92">
        <v>0.38200000000000001</v>
      </c>
      <c r="O502" s="92"/>
      <c r="P502" s="92"/>
      <c r="Q502" s="92">
        <v>0.47799999999999998</v>
      </c>
      <c r="R502" s="92">
        <v>1.2999999999999999E-2</v>
      </c>
      <c r="S502" s="92"/>
      <c r="T502" s="92">
        <v>9.0999999999999998E-2</v>
      </c>
      <c r="U502" s="92"/>
      <c r="V502" s="90" t="s">
        <v>1336</v>
      </c>
      <c r="W502" s="92">
        <v>1223</v>
      </c>
      <c r="X502" s="92">
        <v>20</v>
      </c>
      <c r="Y502" s="92" t="s">
        <v>1533</v>
      </c>
      <c r="Z502" s="92" t="s">
        <v>863</v>
      </c>
      <c r="AA502" s="92">
        <v>0.3</v>
      </c>
      <c r="AB502" s="90"/>
      <c r="AC502" s="90">
        <v>2.0299999999999998</v>
      </c>
      <c r="AD502" s="90">
        <v>2.5499999999999998</v>
      </c>
      <c r="AE502" s="90">
        <v>0.4</v>
      </c>
      <c r="AF502" s="92">
        <v>0</v>
      </c>
      <c r="AG502" s="90" t="s">
        <v>1696</v>
      </c>
      <c r="AH502" s="90"/>
      <c r="AI502" s="90" t="s">
        <v>1534</v>
      </c>
      <c r="AJ502" s="90">
        <v>300</v>
      </c>
      <c r="AK502" s="92">
        <v>420</v>
      </c>
      <c r="AL502" s="92">
        <v>1.8</v>
      </c>
    </row>
    <row r="503" spans="1:40" ht="15" thickBot="1" x14ac:dyDescent="0.35">
      <c r="A503" s="118" t="s">
        <v>1697</v>
      </c>
      <c r="B503" s="115" t="s">
        <v>3075</v>
      </c>
      <c r="C503" s="115" t="s">
        <v>3076</v>
      </c>
      <c r="D503" s="122"/>
      <c r="E503" s="12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0" t="s">
        <v>1393</v>
      </c>
      <c r="W503" s="92">
        <f>750+273</f>
        <v>1023</v>
      </c>
      <c r="X503" s="92">
        <v>2</v>
      </c>
      <c r="Y503" s="92"/>
      <c r="Z503" s="92"/>
      <c r="AA503" s="92"/>
      <c r="AB503" s="90"/>
      <c r="AC503" s="90"/>
      <c r="AD503" s="90">
        <v>18.600000000000001</v>
      </c>
      <c r="AE503" s="90">
        <v>0.28999999999999998</v>
      </c>
      <c r="AF503" s="92">
        <v>14.2</v>
      </c>
      <c r="AG503" s="90"/>
      <c r="AH503" s="90"/>
      <c r="AI503" s="90" t="s">
        <v>1552</v>
      </c>
      <c r="AJ503" s="90">
        <v>350</v>
      </c>
      <c r="AK503" s="92"/>
      <c r="AL503" s="92">
        <v>155000</v>
      </c>
      <c r="AM503">
        <v>15.5</v>
      </c>
      <c r="AN503">
        <f>AM503*10000</f>
        <v>155000</v>
      </c>
    </row>
    <row r="504" spans="1:40" ht="15" thickBot="1" x14ac:dyDescent="0.35">
      <c r="A504" s="118" t="s">
        <v>1697</v>
      </c>
      <c r="B504" s="115" t="s">
        <v>3075</v>
      </c>
      <c r="C504" s="115" t="s">
        <v>3077</v>
      </c>
      <c r="D504" s="122"/>
      <c r="E504" s="12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0" t="s">
        <v>1393</v>
      </c>
      <c r="W504" s="92">
        <f t="shared" ref="W504:W526" si="15">750+273</f>
        <v>1023</v>
      </c>
      <c r="X504" s="92">
        <v>2</v>
      </c>
      <c r="Y504" s="92"/>
      <c r="Z504" s="92"/>
      <c r="AA504" s="92"/>
      <c r="AB504" s="90"/>
      <c r="AC504" s="90"/>
      <c r="AD504" s="90">
        <v>19.5</v>
      </c>
      <c r="AE504" s="90">
        <v>0.28999999999999998</v>
      </c>
      <c r="AF504" s="92">
        <v>14.2</v>
      </c>
      <c r="AG504" s="90"/>
      <c r="AH504" s="90"/>
      <c r="AI504" s="90" t="s">
        <v>1552</v>
      </c>
      <c r="AJ504" s="90">
        <v>350</v>
      </c>
      <c r="AK504" s="92"/>
      <c r="AL504" s="92">
        <v>166000</v>
      </c>
      <c r="AM504">
        <v>16.600000000000001</v>
      </c>
      <c r="AN504">
        <f t="shared" ref="AN504:AN526" si="16">AM504*10000</f>
        <v>166000</v>
      </c>
    </row>
    <row r="505" spans="1:40" ht="15" thickBot="1" x14ac:dyDescent="0.35">
      <c r="A505" s="118" t="s">
        <v>1697</v>
      </c>
      <c r="B505" s="115" t="s">
        <v>3075</v>
      </c>
      <c r="C505" s="115" t="s">
        <v>3078</v>
      </c>
      <c r="D505" s="122"/>
      <c r="E505" s="12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0" t="s">
        <v>1393</v>
      </c>
      <c r="W505" s="92">
        <f t="shared" si="15"/>
        <v>1023</v>
      </c>
      <c r="X505" s="92">
        <v>2</v>
      </c>
      <c r="Y505" s="92"/>
      <c r="Z505" s="92"/>
      <c r="AA505" s="92"/>
      <c r="AB505" s="90"/>
      <c r="AC505" s="90"/>
      <c r="AD505" s="90">
        <v>21.3</v>
      </c>
      <c r="AE505" s="90">
        <v>0.28999999999999998</v>
      </c>
      <c r="AF505" s="92">
        <v>14.2</v>
      </c>
      <c r="AG505" s="90"/>
      <c r="AH505" s="90"/>
      <c r="AI505" s="90" t="s">
        <v>1552</v>
      </c>
      <c r="AJ505" s="90">
        <v>350</v>
      </c>
      <c r="AK505" s="92"/>
      <c r="AL505" s="92">
        <v>199000</v>
      </c>
      <c r="AM505">
        <v>19.899999999999999</v>
      </c>
      <c r="AN505">
        <f t="shared" si="16"/>
        <v>199000</v>
      </c>
    </row>
    <row r="506" spans="1:40" ht="15" thickBot="1" x14ac:dyDescent="0.35">
      <c r="A506" s="118" t="s">
        <v>1697</v>
      </c>
      <c r="B506" s="115" t="s">
        <v>3075</v>
      </c>
      <c r="C506" s="115" t="s">
        <v>3079</v>
      </c>
      <c r="D506" s="122"/>
      <c r="E506" s="12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0" t="s">
        <v>1393</v>
      </c>
      <c r="W506" s="92">
        <f t="shared" si="15"/>
        <v>1023</v>
      </c>
      <c r="X506" s="92">
        <v>2</v>
      </c>
      <c r="Y506" s="92"/>
      <c r="Z506" s="92"/>
      <c r="AA506" s="92"/>
      <c r="AB506" s="90"/>
      <c r="AC506" s="90"/>
      <c r="AD506" s="90">
        <v>20.8</v>
      </c>
      <c r="AE506" s="90">
        <v>0.28999999999999998</v>
      </c>
      <c r="AF506" s="92">
        <v>14.2</v>
      </c>
      <c r="AG506" s="90"/>
      <c r="AH506" s="90"/>
      <c r="AI506" s="90" t="s">
        <v>1552</v>
      </c>
      <c r="AJ506" s="90">
        <v>350</v>
      </c>
      <c r="AK506" s="92"/>
      <c r="AL506" s="92">
        <v>188000</v>
      </c>
      <c r="AM506">
        <v>18.8</v>
      </c>
      <c r="AN506">
        <f t="shared" si="16"/>
        <v>188000</v>
      </c>
    </row>
    <row r="507" spans="1:40" ht="15" thickBot="1" x14ac:dyDescent="0.35">
      <c r="A507" s="118" t="s">
        <v>1697</v>
      </c>
      <c r="B507" s="115" t="s">
        <v>3075</v>
      </c>
      <c r="C507" s="115" t="s">
        <v>3080</v>
      </c>
      <c r="D507" s="122"/>
      <c r="E507" s="12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0" t="s">
        <v>1393</v>
      </c>
      <c r="W507" s="92">
        <f t="shared" si="15"/>
        <v>1023</v>
      </c>
      <c r="X507" s="92">
        <v>2</v>
      </c>
      <c r="Y507" s="92"/>
      <c r="Z507" s="92"/>
      <c r="AA507" s="92"/>
      <c r="AB507" s="90"/>
      <c r="AC507" s="90"/>
      <c r="AD507" s="90">
        <v>20.100000000000001</v>
      </c>
      <c r="AE507" s="90">
        <v>0.28999999999999998</v>
      </c>
      <c r="AF507" s="92">
        <v>14.2</v>
      </c>
      <c r="AG507" s="90"/>
      <c r="AH507" s="90"/>
      <c r="AI507" s="90" t="s">
        <v>1552</v>
      </c>
      <c r="AJ507" s="90">
        <v>350</v>
      </c>
      <c r="AK507" s="92"/>
      <c r="AL507" s="92">
        <v>183000</v>
      </c>
      <c r="AM507">
        <v>18.3</v>
      </c>
      <c r="AN507">
        <f t="shared" si="16"/>
        <v>183000</v>
      </c>
    </row>
    <row r="508" spans="1:40" ht="15" thickBot="1" x14ac:dyDescent="0.35">
      <c r="A508" s="118" t="s">
        <v>1697</v>
      </c>
      <c r="B508" s="115" t="s">
        <v>3075</v>
      </c>
      <c r="C508" s="115" t="s">
        <v>3077</v>
      </c>
      <c r="D508" s="122"/>
      <c r="E508" s="12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0" t="s">
        <v>1393</v>
      </c>
      <c r="W508" s="92">
        <f t="shared" si="15"/>
        <v>1023</v>
      </c>
      <c r="X508" s="92">
        <v>2</v>
      </c>
      <c r="Y508" s="92"/>
      <c r="Z508" s="92"/>
      <c r="AA508" s="92"/>
      <c r="AB508" s="90"/>
      <c r="AC508" s="90"/>
      <c r="AD508" s="90">
        <v>14.6</v>
      </c>
      <c r="AE508" s="90">
        <v>0.28999999999999998</v>
      </c>
      <c r="AF508" s="92">
        <v>14.2</v>
      </c>
      <c r="AG508" s="90"/>
      <c r="AH508" s="90"/>
      <c r="AI508" s="90" t="s">
        <v>1552</v>
      </c>
      <c r="AJ508" s="90">
        <v>350</v>
      </c>
      <c r="AK508" s="92"/>
      <c r="AL508" s="92">
        <v>153000</v>
      </c>
      <c r="AM508">
        <v>15.3</v>
      </c>
      <c r="AN508">
        <f t="shared" si="16"/>
        <v>153000</v>
      </c>
    </row>
    <row r="509" spans="1:40" ht="15" thickBot="1" x14ac:dyDescent="0.35">
      <c r="A509" s="118" t="s">
        <v>1697</v>
      </c>
      <c r="B509" s="115" t="s">
        <v>3075</v>
      </c>
      <c r="C509" s="115" t="s">
        <v>3081</v>
      </c>
      <c r="D509" s="122"/>
      <c r="E509" s="12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0" t="s">
        <v>1393</v>
      </c>
      <c r="W509" s="92">
        <f t="shared" si="15"/>
        <v>1023</v>
      </c>
      <c r="X509" s="92">
        <v>2</v>
      </c>
      <c r="Y509" s="92"/>
      <c r="Z509" s="92"/>
      <c r="AA509" s="92"/>
      <c r="AB509" s="90"/>
      <c r="AC509" s="90"/>
      <c r="AD509" s="90">
        <v>16.3</v>
      </c>
      <c r="AE509" s="90">
        <v>0.28999999999999998</v>
      </c>
      <c r="AF509" s="92">
        <v>14.2</v>
      </c>
      <c r="AG509" s="90"/>
      <c r="AH509" s="90"/>
      <c r="AI509" s="90" t="s">
        <v>1552</v>
      </c>
      <c r="AJ509" s="90">
        <v>350</v>
      </c>
      <c r="AK509" s="92"/>
      <c r="AL509" s="92">
        <v>163000</v>
      </c>
      <c r="AM509">
        <v>16.3</v>
      </c>
      <c r="AN509">
        <f t="shared" si="16"/>
        <v>163000</v>
      </c>
    </row>
    <row r="510" spans="1:40" ht="15" thickBot="1" x14ac:dyDescent="0.35">
      <c r="A510" s="118" t="s">
        <v>1697</v>
      </c>
      <c r="B510" s="115" t="s">
        <v>3075</v>
      </c>
      <c r="C510" s="115" t="s">
        <v>3078</v>
      </c>
      <c r="D510" s="122"/>
      <c r="E510" s="12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0" t="s">
        <v>1393</v>
      </c>
      <c r="W510" s="92">
        <f t="shared" si="15"/>
        <v>1023</v>
      </c>
      <c r="X510" s="92">
        <v>2</v>
      </c>
      <c r="Y510" s="92"/>
      <c r="Z510" s="92"/>
      <c r="AA510" s="92"/>
      <c r="AB510" s="90"/>
      <c r="AC510" s="90"/>
      <c r="AD510" s="90">
        <v>21.3</v>
      </c>
      <c r="AE510" s="90">
        <v>0.28999999999999998</v>
      </c>
      <c r="AF510" s="92">
        <v>14.2</v>
      </c>
      <c r="AG510" s="90"/>
      <c r="AH510" s="90"/>
      <c r="AI510" s="90" t="s">
        <v>1552</v>
      </c>
      <c r="AJ510" s="90">
        <v>350</v>
      </c>
      <c r="AK510" s="92"/>
      <c r="AL510" s="92">
        <v>199000</v>
      </c>
      <c r="AM510">
        <v>19.899999999999999</v>
      </c>
      <c r="AN510">
        <f t="shared" si="16"/>
        <v>199000</v>
      </c>
    </row>
    <row r="511" spans="1:40" ht="15" thickBot="1" x14ac:dyDescent="0.35">
      <c r="A511" s="118" t="s">
        <v>1697</v>
      </c>
      <c r="B511" s="115" t="s">
        <v>3075</v>
      </c>
      <c r="C511" s="115" t="s">
        <v>3082</v>
      </c>
      <c r="D511" s="122"/>
      <c r="E511" s="12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0" t="s">
        <v>1393</v>
      </c>
      <c r="W511" s="92">
        <f t="shared" si="15"/>
        <v>1023</v>
      </c>
      <c r="X511" s="92">
        <v>2</v>
      </c>
      <c r="Y511" s="92"/>
      <c r="Z511" s="92"/>
      <c r="AA511" s="92"/>
      <c r="AB511" s="90"/>
      <c r="AC511" s="90"/>
      <c r="AD511" s="90">
        <v>19.100000000000001</v>
      </c>
      <c r="AE511" s="90">
        <v>0.28999999999999998</v>
      </c>
      <c r="AF511" s="92">
        <v>14.2</v>
      </c>
      <c r="AG511" s="90"/>
      <c r="AH511" s="90"/>
      <c r="AI511" s="90" t="s">
        <v>1552</v>
      </c>
      <c r="AJ511" s="90">
        <v>350</v>
      </c>
      <c r="AK511" s="92"/>
      <c r="AL511" s="92">
        <v>185000</v>
      </c>
      <c r="AM511">
        <v>18.5</v>
      </c>
      <c r="AN511">
        <f t="shared" si="16"/>
        <v>185000</v>
      </c>
    </row>
    <row r="512" spans="1:40" ht="15" thickBot="1" x14ac:dyDescent="0.35">
      <c r="A512" s="118" t="s">
        <v>1697</v>
      </c>
      <c r="B512" s="115" t="s">
        <v>3075</v>
      </c>
      <c r="C512" s="115" t="s">
        <v>3079</v>
      </c>
      <c r="D512" s="122"/>
      <c r="E512" s="12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0" t="s">
        <v>1393</v>
      </c>
      <c r="W512" s="92">
        <f t="shared" si="15"/>
        <v>1023</v>
      </c>
      <c r="X512" s="92">
        <v>2</v>
      </c>
      <c r="Y512" s="92"/>
      <c r="Z512" s="92"/>
      <c r="AA512" s="92"/>
      <c r="AB512" s="90"/>
      <c r="AC512" s="90"/>
      <c r="AD512" s="90">
        <v>18.399999999999999</v>
      </c>
      <c r="AE512" s="90">
        <v>0.28999999999999998</v>
      </c>
      <c r="AF512" s="92">
        <v>14.2</v>
      </c>
      <c r="AG512" s="90"/>
      <c r="AH512" s="90"/>
      <c r="AI512" s="90" t="s">
        <v>1552</v>
      </c>
      <c r="AJ512" s="90">
        <v>350</v>
      </c>
      <c r="AK512" s="92"/>
      <c r="AL512" s="92">
        <v>169000</v>
      </c>
      <c r="AM512">
        <v>16.899999999999999</v>
      </c>
      <c r="AN512">
        <f t="shared" si="16"/>
        <v>169000</v>
      </c>
    </row>
    <row r="513" spans="1:40" ht="15" thickBot="1" x14ac:dyDescent="0.35">
      <c r="A513" s="118" t="s">
        <v>1697</v>
      </c>
      <c r="B513" s="115" t="s">
        <v>3075</v>
      </c>
      <c r="C513" s="115" t="s">
        <v>28</v>
      </c>
      <c r="D513" s="122"/>
      <c r="E513" s="12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0" t="s">
        <v>1393</v>
      </c>
      <c r="W513" s="92">
        <f t="shared" si="15"/>
        <v>1023</v>
      </c>
      <c r="X513" s="92">
        <v>2</v>
      </c>
      <c r="Y513" s="92"/>
      <c r="Z513" s="92"/>
      <c r="AA513" s="92"/>
      <c r="AB513" s="90"/>
      <c r="AC513" s="90"/>
      <c r="AD513" s="90">
        <v>4.3</v>
      </c>
      <c r="AE513" s="90">
        <v>0.28999999999999998</v>
      </c>
      <c r="AF513" s="92">
        <v>14.2</v>
      </c>
      <c r="AG513" s="90"/>
      <c r="AH513" s="90"/>
      <c r="AI513" s="90" t="s">
        <v>1552</v>
      </c>
      <c r="AJ513" s="90">
        <v>350</v>
      </c>
      <c r="AK513" s="92"/>
      <c r="AL513" s="92">
        <v>9000</v>
      </c>
      <c r="AM513">
        <v>0.9</v>
      </c>
      <c r="AN513">
        <f t="shared" si="16"/>
        <v>9000</v>
      </c>
    </row>
    <row r="514" spans="1:40" ht="15" thickBot="1" x14ac:dyDescent="0.35">
      <c r="A514" s="118" t="s">
        <v>1697</v>
      </c>
      <c r="B514" s="115" t="s">
        <v>3075</v>
      </c>
      <c r="C514" s="115" t="s">
        <v>27</v>
      </c>
      <c r="D514" s="122"/>
      <c r="E514" s="12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0" t="s">
        <v>1393</v>
      </c>
      <c r="W514" s="92">
        <f t="shared" si="15"/>
        <v>1023</v>
      </c>
      <c r="X514" s="92">
        <v>2</v>
      </c>
      <c r="Y514" s="92"/>
      <c r="Z514" s="92"/>
      <c r="AA514" s="92"/>
      <c r="AB514" s="90"/>
      <c r="AC514" s="90"/>
      <c r="AD514" s="90">
        <v>6.3</v>
      </c>
      <c r="AE514" s="90">
        <v>0.28999999999999998</v>
      </c>
      <c r="AF514" s="92">
        <v>14.2</v>
      </c>
      <c r="AG514" s="90"/>
      <c r="AH514" s="90"/>
      <c r="AI514" s="90" t="s">
        <v>1552</v>
      </c>
      <c r="AJ514" s="90">
        <v>350</v>
      </c>
      <c r="AK514" s="92"/>
      <c r="AL514" s="92">
        <v>3000</v>
      </c>
      <c r="AM514">
        <v>0.3</v>
      </c>
      <c r="AN514">
        <f t="shared" si="16"/>
        <v>3000</v>
      </c>
    </row>
    <row r="515" spans="1:40" ht="15" thickBot="1" x14ac:dyDescent="0.35">
      <c r="A515" s="118" t="s">
        <v>1697</v>
      </c>
      <c r="B515" s="115" t="s">
        <v>3075</v>
      </c>
      <c r="C515" s="115" t="s">
        <v>3076</v>
      </c>
      <c r="D515" s="122"/>
      <c r="E515" s="12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0" t="s">
        <v>1393</v>
      </c>
      <c r="W515" s="92">
        <f>750+273</f>
        <v>1023</v>
      </c>
      <c r="X515" s="92">
        <v>2</v>
      </c>
      <c r="Y515" s="92"/>
      <c r="Z515" s="92"/>
      <c r="AA515" s="92"/>
      <c r="AB515" s="90"/>
      <c r="AC515" s="90"/>
      <c r="AD515" s="90">
        <v>18.600000000000001</v>
      </c>
      <c r="AE515" s="90">
        <v>0.28999999999999998</v>
      </c>
      <c r="AF515" s="92">
        <v>0</v>
      </c>
      <c r="AG515" s="90"/>
      <c r="AH515" s="90"/>
      <c r="AI515" s="90" t="s">
        <v>1552</v>
      </c>
      <c r="AJ515" s="90">
        <v>350</v>
      </c>
      <c r="AK515" s="92"/>
      <c r="AL515" s="92">
        <v>11600</v>
      </c>
      <c r="AM515">
        <v>1.1599999999999999</v>
      </c>
      <c r="AN515">
        <f t="shared" si="16"/>
        <v>11600</v>
      </c>
    </row>
    <row r="516" spans="1:40" ht="15" thickBot="1" x14ac:dyDescent="0.35">
      <c r="A516" s="118" t="s">
        <v>1697</v>
      </c>
      <c r="B516" s="115" t="s">
        <v>3075</v>
      </c>
      <c r="C516" s="115" t="s">
        <v>3077</v>
      </c>
      <c r="D516" s="122"/>
      <c r="E516" s="12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0" t="s">
        <v>1393</v>
      </c>
      <c r="W516" s="92">
        <f t="shared" si="15"/>
        <v>1023</v>
      </c>
      <c r="X516" s="92">
        <v>2</v>
      </c>
      <c r="Y516" s="92"/>
      <c r="Z516" s="92"/>
      <c r="AA516" s="92"/>
      <c r="AB516" s="90"/>
      <c r="AC516" s="90"/>
      <c r="AD516" s="90">
        <v>19.5</v>
      </c>
      <c r="AE516" s="90">
        <v>0.28999999999999998</v>
      </c>
      <c r="AF516" s="92">
        <v>0</v>
      </c>
      <c r="AG516" s="90"/>
      <c r="AH516" s="90"/>
      <c r="AI516" s="90" t="s">
        <v>1552</v>
      </c>
      <c r="AJ516" s="90">
        <v>350</v>
      </c>
      <c r="AK516" s="92"/>
      <c r="AL516" s="92">
        <v>18000</v>
      </c>
      <c r="AM516">
        <v>1.8</v>
      </c>
      <c r="AN516">
        <f t="shared" si="16"/>
        <v>18000</v>
      </c>
    </row>
    <row r="517" spans="1:40" ht="15" thickBot="1" x14ac:dyDescent="0.35">
      <c r="A517" s="118" t="s">
        <v>1697</v>
      </c>
      <c r="B517" s="115" t="s">
        <v>3075</v>
      </c>
      <c r="C517" s="115" t="s">
        <v>3078</v>
      </c>
      <c r="D517" s="122"/>
      <c r="E517" s="12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0" t="s">
        <v>1393</v>
      </c>
      <c r="W517" s="92">
        <f t="shared" si="15"/>
        <v>1023</v>
      </c>
      <c r="X517" s="92">
        <v>2</v>
      </c>
      <c r="Y517" s="92"/>
      <c r="Z517" s="92"/>
      <c r="AA517" s="92"/>
      <c r="AB517" s="90"/>
      <c r="AC517" s="90"/>
      <c r="AD517" s="90">
        <v>21.3</v>
      </c>
      <c r="AE517" s="90">
        <v>0.28999999999999998</v>
      </c>
      <c r="AF517" s="92">
        <v>0</v>
      </c>
      <c r="AG517" s="90"/>
      <c r="AH517" s="90"/>
      <c r="AI517" s="90" t="s">
        <v>1552</v>
      </c>
      <c r="AJ517" s="90">
        <v>350</v>
      </c>
      <c r="AK517" s="92"/>
      <c r="AL517" s="92">
        <v>25099.999999999996</v>
      </c>
      <c r="AM517">
        <v>2.5099999999999998</v>
      </c>
      <c r="AN517">
        <f t="shared" si="16"/>
        <v>25099.999999999996</v>
      </c>
    </row>
    <row r="518" spans="1:40" ht="15" thickBot="1" x14ac:dyDescent="0.35">
      <c r="A518" s="118" t="s">
        <v>1697</v>
      </c>
      <c r="B518" s="115" t="s">
        <v>3075</v>
      </c>
      <c r="C518" s="115" t="s">
        <v>3079</v>
      </c>
      <c r="D518" s="122"/>
      <c r="E518" s="12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0" t="s">
        <v>1393</v>
      </c>
      <c r="W518" s="92">
        <f t="shared" si="15"/>
        <v>1023</v>
      </c>
      <c r="X518" s="92">
        <v>2</v>
      </c>
      <c r="Y518" s="92"/>
      <c r="Z518" s="92"/>
      <c r="AA518" s="92"/>
      <c r="AB518" s="90"/>
      <c r="AC518" s="90"/>
      <c r="AD518" s="90">
        <v>20.8</v>
      </c>
      <c r="AE518" s="90">
        <v>0.28999999999999998</v>
      </c>
      <c r="AF518" s="92">
        <v>0</v>
      </c>
      <c r="AG518" s="90"/>
      <c r="AH518" s="90"/>
      <c r="AI518" s="90" t="s">
        <v>1552</v>
      </c>
      <c r="AJ518" s="90">
        <v>350</v>
      </c>
      <c r="AK518" s="92"/>
      <c r="AL518" s="92">
        <v>22100</v>
      </c>
      <c r="AM518">
        <v>2.21</v>
      </c>
      <c r="AN518">
        <f t="shared" si="16"/>
        <v>22100</v>
      </c>
    </row>
    <row r="519" spans="1:40" ht="15" thickBot="1" x14ac:dyDescent="0.35">
      <c r="A519" s="118" t="s">
        <v>1697</v>
      </c>
      <c r="B519" s="115" t="s">
        <v>3075</v>
      </c>
      <c r="C519" s="115" t="s">
        <v>3080</v>
      </c>
      <c r="D519" s="122"/>
      <c r="E519" s="12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0" t="s">
        <v>1393</v>
      </c>
      <c r="W519" s="92">
        <f t="shared" si="15"/>
        <v>1023</v>
      </c>
      <c r="X519" s="92">
        <v>2</v>
      </c>
      <c r="Y519" s="92"/>
      <c r="Z519" s="92"/>
      <c r="AA519" s="92"/>
      <c r="AB519" s="90"/>
      <c r="AC519" s="90"/>
      <c r="AD519" s="90">
        <v>20.100000000000001</v>
      </c>
      <c r="AE519" s="90">
        <v>0.28999999999999998</v>
      </c>
      <c r="AF519" s="92">
        <v>0</v>
      </c>
      <c r="AG519" s="90"/>
      <c r="AH519" s="90"/>
      <c r="AI519" s="90" t="s">
        <v>1552</v>
      </c>
      <c r="AJ519" s="90">
        <v>350</v>
      </c>
      <c r="AK519" s="92"/>
      <c r="AL519" s="92">
        <v>22400.000000000004</v>
      </c>
      <c r="AM519">
        <v>2.2400000000000002</v>
      </c>
      <c r="AN519">
        <f t="shared" si="16"/>
        <v>22400.000000000004</v>
      </c>
    </row>
    <row r="520" spans="1:40" ht="15" thickBot="1" x14ac:dyDescent="0.35">
      <c r="A520" s="118" t="s">
        <v>1697</v>
      </c>
      <c r="B520" s="115" t="s">
        <v>3075</v>
      </c>
      <c r="C520" s="115" t="s">
        <v>3077</v>
      </c>
      <c r="D520" s="122"/>
      <c r="E520" s="12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0" t="s">
        <v>1393</v>
      </c>
      <c r="W520" s="92">
        <f t="shared" si="15"/>
        <v>1023</v>
      </c>
      <c r="X520" s="92">
        <v>2</v>
      </c>
      <c r="Y520" s="92"/>
      <c r="Z520" s="92"/>
      <c r="AA520" s="92"/>
      <c r="AB520" s="90"/>
      <c r="AC520" s="90"/>
      <c r="AD520" s="90">
        <v>14.6</v>
      </c>
      <c r="AE520" s="90">
        <v>0.28999999999999998</v>
      </c>
      <c r="AF520" s="92">
        <v>0</v>
      </c>
      <c r="AG520" s="90"/>
      <c r="AH520" s="90"/>
      <c r="AI520" s="90" t="s">
        <v>1552</v>
      </c>
      <c r="AJ520" s="90">
        <v>350</v>
      </c>
      <c r="AK520" s="92"/>
      <c r="AL520" s="92">
        <v>11200.000000000002</v>
      </c>
      <c r="AM520">
        <v>1.1200000000000001</v>
      </c>
      <c r="AN520">
        <f t="shared" si="16"/>
        <v>11200.000000000002</v>
      </c>
    </row>
    <row r="521" spans="1:40" ht="15" thickBot="1" x14ac:dyDescent="0.35">
      <c r="A521" s="118" t="s">
        <v>1697</v>
      </c>
      <c r="B521" s="115" t="s">
        <v>3075</v>
      </c>
      <c r="C521" s="115" t="s">
        <v>3081</v>
      </c>
      <c r="D521" s="122"/>
      <c r="E521" s="12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0" t="s">
        <v>1393</v>
      </c>
      <c r="W521" s="92">
        <f t="shared" si="15"/>
        <v>1023</v>
      </c>
      <c r="X521" s="92">
        <v>2</v>
      </c>
      <c r="Y521" s="92"/>
      <c r="Z521" s="92"/>
      <c r="AA521" s="92"/>
      <c r="AB521" s="90"/>
      <c r="AC521" s="90"/>
      <c r="AD521" s="90">
        <v>16.3</v>
      </c>
      <c r="AE521" s="90">
        <v>0.28999999999999998</v>
      </c>
      <c r="AF521" s="92">
        <v>0</v>
      </c>
      <c r="AG521" s="90"/>
      <c r="AH521" s="90"/>
      <c r="AI521" s="90" t="s">
        <v>1552</v>
      </c>
      <c r="AJ521" s="90">
        <v>350</v>
      </c>
      <c r="AK521" s="92"/>
      <c r="AL521" s="92">
        <v>13899.999999999998</v>
      </c>
      <c r="AM521">
        <v>1.39</v>
      </c>
      <c r="AN521">
        <f t="shared" si="16"/>
        <v>13899.999999999998</v>
      </c>
    </row>
    <row r="522" spans="1:40" ht="15" thickBot="1" x14ac:dyDescent="0.35">
      <c r="A522" s="118" t="s">
        <v>1697</v>
      </c>
      <c r="B522" s="115" t="s">
        <v>3075</v>
      </c>
      <c r="C522" s="115" t="s">
        <v>3078</v>
      </c>
      <c r="D522" s="122"/>
      <c r="E522" s="12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0" t="s">
        <v>1393</v>
      </c>
      <c r="W522" s="92">
        <f t="shared" si="15"/>
        <v>1023</v>
      </c>
      <c r="X522" s="92">
        <v>2</v>
      </c>
      <c r="Y522" s="92"/>
      <c r="Z522" s="92"/>
      <c r="AA522" s="92"/>
      <c r="AB522" s="90"/>
      <c r="AC522" s="90"/>
      <c r="AD522" s="90">
        <v>21.3</v>
      </c>
      <c r="AE522" s="90">
        <v>0.28999999999999998</v>
      </c>
      <c r="AF522" s="92">
        <v>0</v>
      </c>
      <c r="AG522" s="90"/>
      <c r="AH522" s="90"/>
      <c r="AI522" s="90" t="s">
        <v>1552</v>
      </c>
      <c r="AJ522" s="90">
        <v>350</v>
      </c>
      <c r="AK522" s="92"/>
      <c r="AL522" s="92">
        <v>25099.999999999996</v>
      </c>
      <c r="AM522">
        <v>2.5099999999999998</v>
      </c>
      <c r="AN522">
        <f t="shared" si="16"/>
        <v>25099.999999999996</v>
      </c>
    </row>
    <row r="523" spans="1:40" ht="15" thickBot="1" x14ac:dyDescent="0.35">
      <c r="A523" s="118" t="s">
        <v>1697</v>
      </c>
      <c r="B523" s="115" t="s">
        <v>3075</v>
      </c>
      <c r="C523" s="115" t="s">
        <v>3082</v>
      </c>
      <c r="D523" s="122"/>
      <c r="E523" s="12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0" t="s">
        <v>1393</v>
      </c>
      <c r="W523" s="92">
        <f t="shared" si="15"/>
        <v>1023</v>
      </c>
      <c r="X523" s="92">
        <v>2</v>
      </c>
      <c r="Y523" s="92"/>
      <c r="Z523" s="92"/>
      <c r="AA523" s="92"/>
      <c r="AB523" s="90"/>
      <c r="AC523" s="90"/>
      <c r="AD523" s="90">
        <v>19.100000000000001</v>
      </c>
      <c r="AE523" s="90">
        <v>0.28999999999999998</v>
      </c>
      <c r="AF523" s="92">
        <v>0</v>
      </c>
      <c r="AG523" s="90"/>
      <c r="AH523" s="90"/>
      <c r="AI523" s="90" t="s">
        <v>1552</v>
      </c>
      <c r="AJ523" s="90">
        <v>350</v>
      </c>
      <c r="AK523" s="92"/>
      <c r="AL523" s="92">
        <v>20200</v>
      </c>
      <c r="AM523">
        <v>2.02</v>
      </c>
      <c r="AN523">
        <f t="shared" si="16"/>
        <v>20200</v>
      </c>
    </row>
    <row r="524" spans="1:40" ht="15" thickBot="1" x14ac:dyDescent="0.35">
      <c r="A524" s="118" t="s">
        <v>1697</v>
      </c>
      <c r="B524" s="115" t="s">
        <v>3075</v>
      </c>
      <c r="C524" s="115" t="s">
        <v>3079</v>
      </c>
      <c r="D524" s="122"/>
      <c r="E524" s="12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0" t="s">
        <v>1393</v>
      </c>
      <c r="W524" s="92">
        <f t="shared" si="15"/>
        <v>1023</v>
      </c>
      <c r="X524" s="92">
        <v>2</v>
      </c>
      <c r="Y524" s="92"/>
      <c r="Z524" s="92"/>
      <c r="AA524" s="92"/>
      <c r="AB524" s="90"/>
      <c r="AC524" s="90"/>
      <c r="AD524" s="90">
        <v>18.399999999999999</v>
      </c>
      <c r="AE524" s="90">
        <v>0.28999999999999998</v>
      </c>
      <c r="AF524" s="92">
        <v>0</v>
      </c>
      <c r="AG524" s="90"/>
      <c r="AH524" s="90"/>
      <c r="AI524" s="90" t="s">
        <v>1552</v>
      </c>
      <c r="AJ524" s="90">
        <v>350</v>
      </c>
      <c r="AK524" s="92"/>
      <c r="AL524" s="92">
        <v>17800</v>
      </c>
      <c r="AM524">
        <v>1.78</v>
      </c>
      <c r="AN524">
        <f t="shared" si="16"/>
        <v>17800</v>
      </c>
    </row>
    <row r="525" spans="1:40" ht="15" thickBot="1" x14ac:dyDescent="0.35">
      <c r="A525" s="118" t="s">
        <v>1697</v>
      </c>
      <c r="B525" s="115" t="s">
        <v>3075</v>
      </c>
      <c r="C525" s="115" t="s">
        <v>28</v>
      </c>
      <c r="D525" s="122"/>
      <c r="E525" s="12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0" t="s">
        <v>1393</v>
      </c>
      <c r="W525" s="92">
        <f t="shared" si="15"/>
        <v>1023</v>
      </c>
      <c r="X525" s="92">
        <v>2</v>
      </c>
      <c r="Y525" s="92"/>
      <c r="Z525" s="92"/>
      <c r="AA525" s="92"/>
      <c r="AB525" s="90"/>
      <c r="AC525" s="90"/>
      <c r="AD525" s="90">
        <v>4.3</v>
      </c>
      <c r="AE525" s="90">
        <v>0.28999999999999998</v>
      </c>
      <c r="AF525" s="92">
        <v>0</v>
      </c>
      <c r="AG525" s="90"/>
      <c r="AH525" s="90"/>
      <c r="AI525" s="90" t="s">
        <v>1552</v>
      </c>
      <c r="AJ525" s="90">
        <v>350</v>
      </c>
      <c r="AK525" s="92"/>
      <c r="AL525" s="92">
        <v>2000</v>
      </c>
      <c r="AM525">
        <v>0.2</v>
      </c>
      <c r="AN525">
        <f t="shared" si="16"/>
        <v>2000</v>
      </c>
    </row>
    <row r="526" spans="1:40" ht="15" thickBot="1" x14ac:dyDescent="0.35">
      <c r="A526" s="118" t="s">
        <v>1697</v>
      </c>
      <c r="B526" s="115" t="s">
        <v>3075</v>
      </c>
      <c r="C526" s="115" t="s">
        <v>27</v>
      </c>
      <c r="D526" s="122"/>
      <c r="E526" s="12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0" t="s">
        <v>1393</v>
      </c>
      <c r="W526" s="92">
        <f t="shared" si="15"/>
        <v>1023</v>
      </c>
      <c r="X526" s="92">
        <v>2</v>
      </c>
      <c r="Y526" s="92"/>
      <c r="Z526" s="92"/>
      <c r="AA526" s="92"/>
      <c r="AB526" s="90"/>
      <c r="AC526" s="90"/>
      <c r="AD526" s="90">
        <v>6.3</v>
      </c>
      <c r="AE526" s="90">
        <v>0.28999999999999998</v>
      </c>
      <c r="AF526" s="92">
        <v>0</v>
      </c>
      <c r="AG526" s="90"/>
      <c r="AH526" s="90"/>
      <c r="AI526" s="90" t="s">
        <v>1552</v>
      </c>
      <c r="AJ526" s="90">
        <v>350</v>
      </c>
      <c r="AK526" s="92"/>
      <c r="AL526" s="92">
        <v>200</v>
      </c>
      <c r="AM526">
        <v>0.02</v>
      </c>
      <c r="AN526">
        <f t="shared" si="16"/>
        <v>200</v>
      </c>
    </row>
    <row r="527" spans="1:40" ht="15" thickBot="1" x14ac:dyDescent="0.35">
      <c r="A527" s="118" t="s">
        <v>1698</v>
      </c>
      <c r="B527" s="115" t="s">
        <v>3083</v>
      </c>
      <c r="C527" s="115" t="s">
        <v>3084</v>
      </c>
      <c r="D527" s="122"/>
      <c r="E527" s="122"/>
      <c r="F527" s="92" t="s">
        <v>1578</v>
      </c>
      <c r="G527" s="92" t="s">
        <v>1088</v>
      </c>
      <c r="H527" s="92"/>
      <c r="I527" s="92" t="s">
        <v>1530</v>
      </c>
      <c r="J527" s="92"/>
      <c r="K527" s="92"/>
      <c r="L527" s="92" t="s">
        <v>1531</v>
      </c>
      <c r="M527" s="92"/>
      <c r="N527" s="92">
        <v>5.8999999999999997E-2</v>
      </c>
      <c r="O527" s="92">
        <v>0.41699999999999998</v>
      </c>
      <c r="P527" s="92"/>
      <c r="Q527" s="92">
        <v>0.248</v>
      </c>
      <c r="R527" s="92"/>
      <c r="S527" s="92"/>
      <c r="T527" s="92">
        <v>0.255</v>
      </c>
      <c r="U527" s="92"/>
      <c r="V527" s="90" t="s">
        <v>1336</v>
      </c>
      <c r="W527" s="92"/>
      <c r="X527" s="92"/>
      <c r="Y527" s="92" t="s">
        <v>1268</v>
      </c>
      <c r="Z527" s="92" t="s">
        <v>863</v>
      </c>
      <c r="AA527" s="92">
        <v>1</v>
      </c>
      <c r="AB527" s="92" t="s">
        <v>518</v>
      </c>
      <c r="AC527" s="92">
        <v>2.25</v>
      </c>
      <c r="AD527" s="92"/>
      <c r="AE527" s="92">
        <v>1.1100000000000001</v>
      </c>
      <c r="AF527" s="92">
        <v>18.5</v>
      </c>
      <c r="AG527" s="90"/>
      <c r="AH527" s="90"/>
      <c r="AI527" s="90" t="s">
        <v>1534</v>
      </c>
      <c r="AJ527" s="90">
        <v>300</v>
      </c>
      <c r="AK527" s="92">
        <v>420</v>
      </c>
      <c r="AL527" s="92">
        <v>8.1999999999999993</v>
      </c>
    </row>
    <row r="528" spans="1:40" ht="15" thickBot="1" x14ac:dyDescent="0.35">
      <c r="A528" s="118" t="s">
        <v>1699</v>
      </c>
      <c r="B528" s="115" t="s">
        <v>3085</v>
      </c>
      <c r="C528" s="115" t="s">
        <v>3086</v>
      </c>
      <c r="D528" s="122"/>
      <c r="E528" s="122"/>
      <c r="F528" s="92" t="s">
        <v>1529</v>
      </c>
      <c r="G528" s="92" t="s">
        <v>1541</v>
      </c>
      <c r="H528" s="92"/>
      <c r="I528" s="92" t="s">
        <v>1530</v>
      </c>
      <c r="J528" s="92"/>
      <c r="K528" s="92"/>
      <c r="L528" s="92" t="s">
        <v>1531</v>
      </c>
      <c r="M528" s="92"/>
      <c r="N528" s="92">
        <v>0.45800000000000002</v>
      </c>
      <c r="O528" s="92">
        <v>1.4E-2</v>
      </c>
      <c r="P528" s="92"/>
      <c r="Q528" s="92">
        <v>0.26300000000000001</v>
      </c>
      <c r="R528" s="92"/>
      <c r="S528" s="92"/>
      <c r="T528" s="92">
        <v>0.26400000000000001</v>
      </c>
      <c r="U528" s="92"/>
      <c r="V528" s="90" t="s">
        <v>1305</v>
      </c>
      <c r="W528" s="92">
        <v>1373</v>
      </c>
      <c r="X528" s="92">
        <v>24</v>
      </c>
      <c r="Y528" s="92" t="s">
        <v>1268</v>
      </c>
      <c r="Z528" s="92" t="s">
        <v>863</v>
      </c>
      <c r="AA528" s="92">
        <v>0.6</v>
      </c>
      <c r="AB528" s="92" t="s">
        <v>518</v>
      </c>
      <c r="AC528" s="92">
        <v>3.34</v>
      </c>
      <c r="AD528" s="92">
        <v>23.2</v>
      </c>
      <c r="AE528" s="92">
        <v>0.92500000000000004</v>
      </c>
      <c r="AF528" s="92">
        <v>18.5</v>
      </c>
      <c r="AG528" s="90"/>
      <c r="AH528" s="90"/>
      <c r="AI528" s="90" t="s">
        <v>1534</v>
      </c>
      <c r="AJ528" s="90">
        <v>300</v>
      </c>
      <c r="AK528" s="92">
        <v>420</v>
      </c>
      <c r="AL528" s="92">
        <v>330.4</v>
      </c>
    </row>
    <row r="529" spans="1:40" ht="15" thickBot="1" x14ac:dyDescent="0.35">
      <c r="A529" s="118" t="s">
        <v>1700</v>
      </c>
      <c r="B529" s="115" t="s">
        <v>3089</v>
      </c>
      <c r="C529" s="115" t="s">
        <v>2881</v>
      </c>
      <c r="D529" s="122"/>
      <c r="E529" s="122"/>
      <c r="F529" s="92" t="s">
        <v>1578</v>
      </c>
      <c r="G529" s="92" t="s">
        <v>1088</v>
      </c>
      <c r="H529" s="92"/>
      <c r="I529" s="92" t="s">
        <v>1558</v>
      </c>
      <c r="J529" s="92"/>
      <c r="K529" s="92"/>
      <c r="L529" s="92" t="s">
        <v>1531</v>
      </c>
      <c r="M529" s="92"/>
      <c r="N529" s="92">
        <v>8.8999999999999996E-2</v>
      </c>
      <c r="O529" s="92">
        <v>1.0999999999999999E-2</v>
      </c>
      <c r="P529" s="92"/>
      <c r="Q529" s="92">
        <v>0.71199999999999997</v>
      </c>
      <c r="R529" s="92"/>
      <c r="S529" s="92"/>
      <c r="T529" s="92">
        <v>0.189</v>
      </c>
      <c r="U529" s="92"/>
      <c r="V529" s="90" t="s">
        <v>1336</v>
      </c>
      <c r="W529" s="92">
        <v>1173</v>
      </c>
      <c r="X529" s="92">
        <v>12</v>
      </c>
      <c r="Y529" s="92" t="s">
        <v>1533</v>
      </c>
      <c r="Z529" s="92" t="s">
        <v>56</v>
      </c>
      <c r="AA529" s="92">
        <v>0.6</v>
      </c>
      <c r="AB529" s="92" t="s">
        <v>1142</v>
      </c>
      <c r="AC529" s="92">
        <v>4</v>
      </c>
      <c r="AD529" s="92">
        <v>4.54</v>
      </c>
      <c r="AE529" s="92">
        <v>0.33300000000000002</v>
      </c>
      <c r="AF529" s="92">
        <v>10</v>
      </c>
      <c r="AG529" s="90"/>
      <c r="AH529" s="90"/>
      <c r="AI529" s="90" t="s">
        <v>1552</v>
      </c>
      <c r="AJ529" s="90">
        <v>400</v>
      </c>
      <c r="AK529" s="92">
        <v>250</v>
      </c>
      <c r="AL529" s="92">
        <v>3450</v>
      </c>
    </row>
    <row r="530" spans="1:40" ht="15" thickBot="1" x14ac:dyDescent="0.35">
      <c r="A530" s="118" t="s">
        <v>1701</v>
      </c>
      <c r="B530" s="115" t="s">
        <v>3087</v>
      </c>
      <c r="C530" s="115" t="s">
        <v>3088</v>
      </c>
      <c r="D530" s="122"/>
      <c r="E530" s="122"/>
      <c r="F530" s="92" t="s">
        <v>1588</v>
      </c>
      <c r="G530" s="92"/>
      <c r="H530" s="92"/>
      <c r="I530" s="92" t="s">
        <v>1068</v>
      </c>
      <c r="J530" s="92"/>
      <c r="K530" s="92"/>
      <c r="L530" s="92" t="s">
        <v>1531</v>
      </c>
      <c r="M530" s="92"/>
      <c r="N530" s="92">
        <v>4.7E-2</v>
      </c>
      <c r="O530" s="92"/>
      <c r="P530" s="92"/>
      <c r="Q530" s="92">
        <v>0.628</v>
      </c>
      <c r="R530" s="92"/>
      <c r="S530" s="92"/>
      <c r="T530" s="92">
        <v>0.32500000000000001</v>
      </c>
      <c r="U530" s="92"/>
      <c r="V530" s="90" t="s">
        <v>1407</v>
      </c>
      <c r="W530" s="92">
        <v>773</v>
      </c>
      <c r="X530" s="92">
        <v>5</v>
      </c>
      <c r="Y530" s="92" t="s">
        <v>1533</v>
      </c>
      <c r="Z530" s="92" t="s">
        <v>1313</v>
      </c>
      <c r="AA530" s="92">
        <v>0.5</v>
      </c>
      <c r="AB530" s="92" t="s">
        <v>1549</v>
      </c>
      <c r="AC530" s="92">
        <v>4.13</v>
      </c>
      <c r="AD530" s="92">
        <v>12</v>
      </c>
      <c r="AE530" s="92">
        <v>0.83299999999999996</v>
      </c>
      <c r="AF530" s="92">
        <v>10</v>
      </c>
      <c r="AG530" s="90"/>
      <c r="AH530" s="90"/>
      <c r="AI530" s="90" t="s">
        <v>1552</v>
      </c>
      <c r="AJ530" s="90">
        <v>400</v>
      </c>
      <c r="AK530" s="92">
        <v>365</v>
      </c>
      <c r="AL530" s="92">
        <v>103.33</v>
      </c>
    </row>
    <row r="531" spans="1:40" ht="15" thickBot="1" x14ac:dyDescent="0.35">
      <c r="A531" s="118" t="s">
        <v>1702</v>
      </c>
      <c r="B531" s="115" t="s">
        <v>3090</v>
      </c>
      <c r="C531" s="115" t="s">
        <v>28</v>
      </c>
      <c r="D531" s="122"/>
      <c r="E531" s="12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0" t="s">
        <v>1336</v>
      </c>
      <c r="W531" s="92">
        <v>1173</v>
      </c>
      <c r="X531" s="92">
        <v>12</v>
      </c>
      <c r="Y531" s="92"/>
      <c r="Z531" s="92"/>
      <c r="AA531" s="92"/>
      <c r="AB531" s="92"/>
      <c r="AC531" s="92">
        <v>4.03</v>
      </c>
      <c r="AD531" s="92">
        <v>2.25</v>
      </c>
      <c r="AE531" s="92">
        <v>0.33300000000000002</v>
      </c>
      <c r="AF531" s="92">
        <v>10</v>
      </c>
      <c r="AG531" s="90"/>
      <c r="AH531" s="90"/>
      <c r="AI531" s="90" t="s">
        <v>1552</v>
      </c>
      <c r="AJ531" s="90">
        <v>400</v>
      </c>
      <c r="AK531" s="92">
        <v>250</v>
      </c>
      <c r="AL531" s="92">
        <v>1600</v>
      </c>
      <c r="AM531">
        <v>0.8</v>
      </c>
      <c r="AN531">
        <f>AM531*2*1000</f>
        <v>1600</v>
      </c>
    </row>
    <row r="532" spans="1:40" ht="15" thickBot="1" x14ac:dyDescent="0.35">
      <c r="A532" s="118" t="s">
        <v>1702</v>
      </c>
      <c r="B532" s="115" t="s">
        <v>3090</v>
      </c>
      <c r="C532" s="115" t="s">
        <v>3091</v>
      </c>
      <c r="D532" s="122"/>
      <c r="E532" s="12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0" t="s">
        <v>1336</v>
      </c>
      <c r="W532" s="92">
        <v>1173</v>
      </c>
      <c r="X532" s="92">
        <v>12</v>
      </c>
      <c r="Y532" s="92"/>
      <c r="Z532" s="92"/>
      <c r="AA532" s="92"/>
      <c r="AB532" s="92"/>
      <c r="AC532" s="92">
        <v>4.01</v>
      </c>
      <c r="AD532" s="92">
        <v>3.83</v>
      </c>
      <c r="AE532" s="92">
        <v>0.33300000000000002</v>
      </c>
      <c r="AF532" s="92">
        <v>10</v>
      </c>
      <c r="AG532" s="90"/>
      <c r="AH532" s="90"/>
      <c r="AI532" s="90" t="s">
        <v>1552</v>
      </c>
      <c r="AJ532" s="90">
        <v>400</v>
      </c>
      <c r="AK532" s="92">
        <v>250</v>
      </c>
      <c r="AL532" s="92">
        <v>1900</v>
      </c>
      <c r="AM532">
        <v>0.95</v>
      </c>
      <c r="AN532">
        <f t="shared" ref="AN532:AN535" si="17">AM532*2*1000</f>
        <v>1900</v>
      </c>
    </row>
    <row r="533" spans="1:40" ht="15" thickBot="1" x14ac:dyDescent="0.35">
      <c r="A533" s="118" t="s">
        <v>1702</v>
      </c>
      <c r="B533" s="115" t="s">
        <v>3090</v>
      </c>
      <c r="C533" s="115" t="s">
        <v>2881</v>
      </c>
      <c r="D533" s="122"/>
      <c r="E533" s="12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0" t="s">
        <v>1336</v>
      </c>
      <c r="W533" s="92">
        <v>1173</v>
      </c>
      <c r="X533" s="92">
        <v>12</v>
      </c>
      <c r="Y533" s="92"/>
      <c r="Z533" s="92"/>
      <c r="AA533" s="92"/>
      <c r="AB533" s="92"/>
      <c r="AC533" s="92">
        <v>4</v>
      </c>
      <c r="AD533" s="92">
        <v>4.54</v>
      </c>
      <c r="AE533" s="92">
        <v>0.33300000000000002</v>
      </c>
      <c r="AF533" s="92">
        <v>10</v>
      </c>
      <c r="AG533" s="90"/>
      <c r="AH533" s="90"/>
      <c r="AI533" s="90" t="s">
        <v>1552</v>
      </c>
      <c r="AJ533" s="90">
        <v>400</v>
      </c>
      <c r="AK533" s="92">
        <v>250</v>
      </c>
      <c r="AL533" s="92">
        <v>2840</v>
      </c>
      <c r="AM533">
        <v>1.42</v>
      </c>
      <c r="AN533">
        <f t="shared" si="17"/>
        <v>2840</v>
      </c>
    </row>
    <row r="534" spans="1:40" ht="15" thickBot="1" x14ac:dyDescent="0.35">
      <c r="A534" s="118" t="s">
        <v>1702</v>
      </c>
      <c r="B534" s="115" t="s">
        <v>3090</v>
      </c>
      <c r="C534" s="115" t="s">
        <v>3092</v>
      </c>
      <c r="D534" s="122"/>
      <c r="E534" s="12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0" t="s">
        <v>1336</v>
      </c>
      <c r="W534" s="92">
        <v>1173</v>
      </c>
      <c r="X534" s="92">
        <v>12</v>
      </c>
      <c r="Y534" s="92"/>
      <c r="Z534" s="92"/>
      <c r="AA534" s="92"/>
      <c r="AB534" s="92"/>
      <c r="AC534" s="92">
        <v>4</v>
      </c>
      <c r="AD534" s="92">
        <v>4.3600000000000003</v>
      </c>
      <c r="AE534" s="92">
        <v>0.33300000000000002</v>
      </c>
      <c r="AF534" s="92">
        <v>10</v>
      </c>
      <c r="AG534" s="90"/>
      <c r="AH534" s="90"/>
      <c r="AI534" s="90" t="s">
        <v>1552</v>
      </c>
      <c r="AJ534" s="90">
        <v>400</v>
      </c>
      <c r="AK534" s="92">
        <v>250</v>
      </c>
      <c r="AL534" s="92">
        <v>900</v>
      </c>
      <c r="AM534">
        <v>0.45</v>
      </c>
      <c r="AN534">
        <f t="shared" si="17"/>
        <v>900</v>
      </c>
    </row>
    <row r="535" spans="1:40" ht="15" thickBot="1" x14ac:dyDescent="0.35">
      <c r="A535" s="118" t="s">
        <v>1702</v>
      </c>
      <c r="B535" s="115" t="s">
        <v>3090</v>
      </c>
      <c r="C535" s="115" t="s">
        <v>3093</v>
      </c>
      <c r="D535" s="122"/>
      <c r="E535" s="12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0" t="s">
        <v>1336</v>
      </c>
      <c r="W535" s="92">
        <v>1173</v>
      </c>
      <c r="X535" s="92">
        <v>12</v>
      </c>
      <c r="Y535" s="92"/>
      <c r="Z535" s="92"/>
      <c r="AA535" s="92"/>
      <c r="AB535" s="92"/>
      <c r="AC535" s="92">
        <v>4</v>
      </c>
      <c r="AD535" s="92">
        <v>4.21</v>
      </c>
      <c r="AE535" s="92">
        <v>0.33300000000000002</v>
      </c>
      <c r="AF535" s="92">
        <v>10</v>
      </c>
      <c r="AG535" s="90"/>
      <c r="AH535" s="90"/>
      <c r="AI535" s="90" t="s">
        <v>1552</v>
      </c>
      <c r="AJ535" s="90">
        <v>400</v>
      </c>
      <c r="AK535" s="92">
        <v>250</v>
      </c>
      <c r="AL535" s="92">
        <v>400</v>
      </c>
      <c r="AM535">
        <v>0.2</v>
      </c>
      <c r="AN535">
        <f t="shared" si="17"/>
        <v>400</v>
      </c>
    </row>
    <row r="536" spans="1:40" ht="15" thickBot="1" x14ac:dyDescent="0.35">
      <c r="A536" s="118" t="s">
        <v>1703</v>
      </c>
      <c r="B536" s="115" t="s">
        <v>3095</v>
      </c>
      <c r="C536" s="115" t="s">
        <v>3094</v>
      </c>
      <c r="D536" s="122"/>
      <c r="E536" s="122"/>
      <c r="F536" s="92" t="s">
        <v>1562</v>
      </c>
      <c r="G536" s="92"/>
      <c r="H536" s="92"/>
      <c r="I536" s="92" t="s">
        <v>1658</v>
      </c>
      <c r="J536" s="92"/>
      <c r="K536" s="92"/>
      <c r="L536" s="92" t="s">
        <v>1531</v>
      </c>
      <c r="M536" s="92"/>
      <c r="N536" s="92">
        <v>0.40200000000000002</v>
      </c>
      <c r="O536" s="92"/>
      <c r="P536" s="92"/>
      <c r="Q536" s="92">
        <v>0.32200000000000001</v>
      </c>
      <c r="R536" s="92"/>
      <c r="S536" s="92"/>
      <c r="T536" s="92">
        <v>0.27700000000000002</v>
      </c>
      <c r="U536" s="92"/>
      <c r="V536" s="90" t="s">
        <v>1538</v>
      </c>
      <c r="W536" s="92">
        <v>1623</v>
      </c>
      <c r="X536" s="92">
        <v>8</v>
      </c>
      <c r="Y536" s="92"/>
      <c r="Z536" s="92"/>
      <c r="AA536" s="92"/>
      <c r="AB536" s="92" t="s">
        <v>1142</v>
      </c>
      <c r="AC536" s="92">
        <v>2.1</v>
      </c>
      <c r="AD536" s="92">
        <v>56</v>
      </c>
      <c r="AE536" s="92">
        <v>3.33</v>
      </c>
      <c r="AF536" s="92">
        <v>0</v>
      </c>
      <c r="AG536" s="90"/>
      <c r="AH536" s="90"/>
      <c r="AI536" s="90" t="s">
        <v>1534</v>
      </c>
      <c r="AJ536" s="90">
        <v>300</v>
      </c>
      <c r="AK536" s="90">
        <v>420</v>
      </c>
      <c r="AL536" s="90">
        <v>722</v>
      </c>
    </row>
    <row r="537" spans="1:40" ht="15" thickBot="1" x14ac:dyDescent="0.35">
      <c r="A537" s="118" t="s">
        <v>1704</v>
      </c>
      <c r="B537" s="115" t="s">
        <v>3096</v>
      </c>
      <c r="C537" s="115" t="s">
        <v>3033</v>
      </c>
      <c r="D537" s="122"/>
      <c r="E537" s="122"/>
      <c r="F537" s="92" t="s">
        <v>1555</v>
      </c>
      <c r="G537" s="92"/>
      <c r="H537" s="92"/>
      <c r="I537" s="92" t="s">
        <v>1543</v>
      </c>
      <c r="J537" s="92"/>
      <c r="K537" s="92"/>
      <c r="L537" s="92" t="s">
        <v>1531</v>
      </c>
      <c r="M537" s="92"/>
      <c r="N537" s="92">
        <v>0.38900000000000001</v>
      </c>
      <c r="O537" s="92"/>
      <c r="P537" s="92"/>
      <c r="Q537" s="92">
        <v>0.438</v>
      </c>
      <c r="R537" s="92"/>
      <c r="S537" s="92"/>
      <c r="T537" s="92">
        <v>0.17299999999999999</v>
      </c>
      <c r="U537" s="92"/>
      <c r="V537" s="90" t="s">
        <v>1336</v>
      </c>
      <c r="W537" s="92">
        <v>1173</v>
      </c>
      <c r="X537" s="92">
        <v>16</v>
      </c>
      <c r="Y537" s="92"/>
      <c r="Z537" s="92"/>
      <c r="AA537" s="92"/>
      <c r="AB537" s="92" t="s">
        <v>519</v>
      </c>
      <c r="AC537" s="92">
        <v>2.4</v>
      </c>
      <c r="AD537" s="92"/>
      <c r="AE537" s="92">
        <v>1.1100000000000001</v>
      </c>
      <c r="AF537" s="92">
        <v>0</v>
      </c>
      <c r="AG537" s="92" t="s">
        <v>1637</v>
      </c>
      <c r="AH537" s="92"/>
      <c r="AI537" s="92" t="s">
        <v>1534</v>
      </c>
      <c r="AJ537" s="92">
        <v>300</v>
      </c>
      <c r="AK537" s="92">
        <v>420</v>
      </c>
      <c r="AL537" s="92">
        <v>276</v>
      </c>
    </row>
    <row r="538" spans="1:40" ht="15" thickBot="1" x14ac:dyDescent="0.35">
      <c r="A538" s="118" t="s">
        <v>1705</v>
      </c>
      <c r="B538" s="115" t="s">
        <v>3097</v>
      </c>
      <c r="C538" t="s">
        <v>3098</v>
      </c>
      <c r="D538" s="122"/>
      <c r="E538" s="122"/>
      <c r="F538" s="92" t="s">
        <v>1578</v>
      </c>
      <c r="G538" s="92"/>
      <c r="H538" s="92"/>
      <c r="I538" s="92" t="s">
        <v>1558</v>
      </c>
      <c r="J538" s="92" t="s">
        <v>1583</v>
      </c>
      <c r="K538" s="92"/>
      <c r="L538" s="92" t="s">
        <v>1531</v>
      </c>
      <c r="M538" s="92"/>
      <c r="N538" s="92">
        <v>9.0999999999999998E-2</v>
      </c>
      <c r="O538" s="92"/>
      <c r="P538" s="92"/>
      <c r="Q538" s="92">
        <v>0.66300000000000003</v>
      </c>
      <c r="R538" s="92">
        <v>5.8000000000000003E-2</v>
      </c>
      <c r="S538" s="92"/>
      <c r="T538" s="92">
        <v>0.189</v>
      </c>
      <c r="U538" s="92"/>
      <c r="V538" s="90" t="s">
        <v>1305</v>
      </c>
      <c r="W538" s="92">
        <v>1173</v>
      </c>
      <c r="X538" s="92"/>
      <c r="Y538" s="92"/>
      <c r="Z538" s="92"/>
      <c r="AA538" s="92">
        <v>0</v>
      </c>
      <c r="AB538" s="92"/>
      <c r="AC538" s="92">
        <v>2.91</v>
      </c>
      <c r="AD538" s="92"/>
      <c r="AE538" s="92">
        <v>5</v>
      </c>
      <c r="AF538" s="92">
        <v>20</v>
      </c>
      <c r="AG538" s="92"/>
      <c r="AH538" s="92"/>
      <c r="AI538" s="92" t="s">
        <v>1534</v>
      </c>
      <c r="AJ538" s="92">
        <v>300</v>
      </c>
      <c r="AK538" s="92">
        <v>415</v>
      </c>
      <c r="AL538" s="92">
        <v>224</v>
      </c>
      <c r="AM538" s="1" t="s">
        <v>3098</v>
      </c>
    </row>
    <row r="539" spans="1:40" ht="15" thickBot="1" x14ac:dyDescent="0.35">
      <c r="A539" s="118" t="s">
        <v>1705</v>
      </c>
      <c r="B539" s="115" t="s">
        <v>3097</v>
      </c>
      <c r="C539" t="s">
        <v>3050</v>
      </c>
      <c r="D539" s="122"/>
      <c r="E539" s="122"/>
      <c r="F539" s="92" t="s">
        <v>1578</v>
      </c>
      <c r="G539" s="92"/>
      <c r="H539" s="92"/>
      <c r="I539" s="92" t="s">
        <v>1558</v>
      </c>
      <c r="J539" s="92" t="s">
        <v>1583</v>
      </c>
      <c r="K539" s="92"/>
      <c r="L539" s="92" t="s">
        <v>1531</v>
      </c>
      <c r="M539" s="92"/>
      <c r="N539" s="92">
        <v>9.0999999999999998E-2</v>
      </c>
      <c r="O539" s="92"/>
      <c r="P539" s="92"/>
      <c r="Q539" s="92">
        <v>0.66300000000000003</v>
      </c>
      <c r="R539" s="92">
        <v>5.8000000000000003E-2</v>
      </c>
      <c r="S539" s="92"/>
      <c r="T539" s="92">
        <v>0.189</v>
      </c>
      <c r="U539" s="92"/>
      <c r="V539" s="90" t="s">
        <v>1305</v>
      </c>
      <c r="W539" s="92">
        <v>1173</v>
      </c>
      <c r="X539" s="92"/>
      <c r="Y539" s="92"/>
      <c r="Z539" s="92"/>
      <c r="AA539" s="92">
        <v>0</v>
      </c>
      <c r="AB539" s="92"/>
      <c r="AC539" s="92">
        <v>2.88</v>
      </c>
      <c r="AD539" s="92">
        <v>24.5</v>
      </c>
      <c r="AE539" s="92">
        <v>5</v>
      </c>
      <c r="AF539" s="92">
        <v>20</v>
      </c>
      <c r="AG539" s="92"/>
      <c r="AH539" s="92"/>
      <c r="AI539" s="92" t="s">
        <v>1534</v>
      </c>
      <c r="AJ539" s="92">
        <v>300</v>
      </c>
      <c r="AK539" s="92">
        <v>415</v>
      </c>
      <c r="AL539" s="92">
        <v>216</v>
      </c>
      <c r="AM539" s="1" t="s">
        <v>3050</v>
      </c>
    </row>
    <row r="540" spans="1:40" ht="15" thickBot="1" x14ac:dyDescent="0.35">
      <c r="A540" s="118" t="s">
        <v>1705</v>
      </c>
      <c r="B540" s="115" t="s">
        <v>3097</v>
      </c>
      <c r="C540" t="s">
        <v>3098</v>
      </c>
      <c r="D540" s="122"/>
      <c r="E540" s="122"/>
      <c r="F540" s="92" t="s">
        <v>1578</v>
      </c>
      <c r="G540" s="92"/>
      <c r="H540" s="92"/>
      <c r="I540" s="92" t="s">
        <v>1558</v>
      </c>
      <c r="J540" s="92" t="s">
        <v>1583</v>
      </c>
      <c r="K540" s="92"/>
      <c r="L540" s="92" t="s">
        <v>1531</v>
      </c>
      <c r="M540" s="92"/>
      <c r="N540" s="92">
        <v>9.0999999999999998E-2</v>
      </c>
      <c r="O540" s="92"/>
      <c r="P540" s="92"/>
      <c r="Q540" s="92">
        <v>0.66300000000000003</v>
      </c>
      <c r="R540" s="92">
        <v>5.8000000000000003E-2</v>
      </c>
      <c r="S540" s="92"/>
      <c r="T540" s="92">
        <v>0.189</v>
      </c>
      <c r="U540" s="92"/>
      <c r="V540" s="90" t="s">
        <v>1305</v>
      </c>
      <c r="W540" s="92">
        <v>1173</v>
      </c>
      <c r="X540" s="92"/>
      <c r="Y540" s="92"/>
      <c r="Z540" s="92"/>
      <c r="AA540" s="92">
        <v>0</v>
      </c>
      <c r="AB540" s="92"/>
      <c r="AC540" s="92">
        <v>2.91</v>
      </c>
      <c r="AD540" s="92">
        <v>22.7</v>
      </c>
      <c r="AE540" s="92">
        <v>5</v>
      </c>
      <c r="AF540" s="92">
        <v>20</v>
      </c>
      <c r="AG540" s="92"/>
      <c r="AH540" s="92"/>
      <c r="AI540" s="92" t="s">
        <v>1534</v>
      </c>
      <c r="AJ540" s="92">
        <v>300</v>
      </c>
      <c r="AK540" s="92">
        <v>415</v>
      </c>
      <c r="AL540" s="92">
        <v>876</v>
      </c>
      <c r="AM540" s="1" t="s">
        <v>3098</v>
      </c>
    </row>
    <row r="541" spans="1:40" ht="15" thickBot="1" x14ac:dyDescent="0.35">
      <c r="A541" s="118" t="s">
        <v>1705</v>
      </c>
      <c r="B541" s="115" t="s">
        <v>3097</v>
      </c>
      <c r="C541" t="s">
        <v>3098</v>
      </c>
      <c r="D541" s="122"/>
      <c r="E541" s="122"/>
      <c r="F541" s="92" t="s">
        <v>1578</v>
      </c>
      <c r="G541" s="92"/>
      <c r="H541" s="92"/>
      <c r="I541" s="92" t="s">
        <v>1558</v>
      </c>
      <c r="J541" s="92" t="s">
        <v>1583</v>
      </c>
      <c r="K541" s="92"/>
      <c r="L541" s="92" t="s">
        <v>1531</v>
      </c>
      <c r="M541" s="92"/>
      <c r="N541" s="92">
        <v>9.0999999999999998E-2</v>
      </c>
      <c r="O541" s="92"/>
      <c r="P541" s="92"/>
      <c r="Q541" s="92">
        <v>0.66300000000000003</v>
      </c>
      <c r="R541" s="92">
        <v>5.8000000000000003E-2</v>
      </c>
      <c r="S541" s="92"/>
      <c r="T541" s="92">
        <v>0.189</v>
      </c>
      <c r="U541" s="92"/>
      <c r="V541" s="90" t="s">
        <v>1305</v>
      </c>
      <c r="W541" s="92">
        <v>1173</v>
      </c>
      <c r="X541" s="92"/>
      <c r="Y541" s="92"/>
      <c r="Z541" s="92"/>
      <c r="AA541" s="92">
        <v>0</v>
      </c>
      <c r="AB541" s="92"/>
      <c r="AC541" s="92">
        <v>2.91</v>
      </c>
      <c r="AD541" s="92">
        <v>45.1</v>
      </c>
      <c r="AE541" s="92">
        <v>5</v>
      </c>
      <c r="AF541" s="92">
        <v>20</v>
      </c>
      <c r="AG541" s="92"/>
      <c r="AH541" s="92"/>
      <c r="AI541" s="92" t="s">
        <v>1534</v>
      </c>
      <c r="AJ541" s="92">
        <v>300</v>
      </c>
      <c r="AK541" s="92">
        <v>415</v>
      </c>
      <c r="AL541" s="92">
        <v>1108</v>
      </c>
      <c r="AM541" s="1" t="s">
        <v>3098</v>
      </c>
    </row>
    <row r="542" spans="1:40" ht="15" thickBot="1" x14ac:dyDescent="0.35">
      <c r="A542" s="118" t="s">
        <v>1705</v>
      </c>
      <c r="B542" s="115" t="s">
        <v>3097</v>
      </c>
      <c r="C542" t="s">
        <v>3098</v>
      </c>
      <c r="D542" s="122"/>
      <c r="E542" s="122"/>
      <c r="F542" s="92" t="s">
        <v>1578</v>
      </c>
      <c r="G542" s="92"/>
      <c r="H542" s="92"/>
      <c r="I542" s="92" t="s">
        <v>1558</v>
      </c>
      <c r="J542" s="92" t="s">
        <v>1583</v>
      </c>
      <c r="K542" s="92"/>
      <c r="L542" s="92" t="s">
        <v>1531</v>
      </c>
      <c r="M542" s="92"/>
      <c r="N542" s="92">
        <v>0.09</v>
      </c>
      <c r="O542" s="92"/>
      <c r="P542" s="92"/>
      <c r="Q542" s="92">
        <v>0.65500000000000003</v>
      </c>
      <c r="R542" s="92">
        <v>6.6000000000000003E-2</v>
      </c>
      <c r="S542" s="92"/>
      <c r="T542" s="92">
        <v>0.189</v>
      </c>
      <c r="U542" s="92"/>
      <c r="V542" s="90" t="s">
        <v>1305</v>
      </c>
      <c r="W542" s="92">
        <v>1173</v>
      </c>
      <c r="X542" s="92"/>
      <c r="Y542" s="92"/>
      <c r="Z542" s="92"/>
      <c r="AA542" s="92">
        <v>0</v>
      </c>
      <c r="AB542" s="92"/>
      <c r="AC542" s="92">
        <v>2.91</v>
      </c>
      <c r="AD542" s="92"/>
      <c r="AE542" s="92">
        <v>5</v>
      </c>
      <c r="AF542" s="92">
        <v>20</v>
      </c>
      <c r="AG542" s="92"/>
      <c r="AH542" s="92"/>
      <c r="AI542" s="92" t="s">
        <v>1534</v>
      </c>
      <c r="AJ542" s="92">
        <v>300</v>
      </c>
      <c r="AK542" s="92">
        <v>415</v>
      </c>
      <c r="AL542" s="92">
        <v>1355</v>
      </c>
      <c r="AM542" s="1" t="s">
        <v>3098</v>
      </c>
    </row>
    <row r="543" spans="1:40" ht="15" thickBot="1" x14ac:dyDescent="0.35">
      <c r="A543" s="118" t="s">
        <v>1705</v>
      </c>
      <c r="B543" s="115" t="s">
        <v>3097</v>
      </c>
      <c r="C543" t="s">
        <v>3050</v>
      </c>
      <c r="D543" s="122"/>
      <c r="E543" s="12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0" t="s">
        <v>1407</v>
      </c>
      <c r="W543" s="92"/>
      <c r="X543" s="92"/>
      <c r="Y543" s="92"/>
      <c r="Z543" s="92"/>
      <c r="AA543" s="92">
        <v>0</v>
      </c>
      <c r="AB543" s="92"/>
      <c r="AC543" s="92">
        <v>2.88</v>
      </c>
      <c r="AD543" s="92"/>
      <c r="AE543" s="92">
        <v>5</v>
      </c>
      <c r="AF543" s="92">
        <v>20</v>
      </c>
      <c r="AG543" s="92"/>
      <c r="AH543" s="92"/>
      <c r="AI543" s="92" t="s">
        <v>1534</v>
      </c>
      <c r="AJ543" s="92">
        <v>300</v>
      </c>
      <c r="AK543" s="92">
        <v>415</v>
      </c>
      <c r="AL543" s="92">
        <v>59.48</v>
      </c>
      <c r="AM543" s="1" t="s">
        <v>3050</v>
      </c>
    </row>
    <row r="544" spans="1:40" ht="15" thickBot="1" x14ac:dyDescent="0.35">
      <c r="A544" s="118" t="s">
        <v>1705</v>
      </c>
      <c r="B544" s="115" t="s">
        <v>3097</v>
      </c>
      <c r="C544" t="s">
        <v>3050</v>
      </c>
      <c r="D544" s="122"/>
      <c r="E544" s="12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0" t="s">
        <v>1407</v>
      </c>
      <c r="W544" s="92"/>
      <c r="X544" s="92"/>
      <c r="Y544" s="92"/>
      <c r="Z544" s="92"/>
      <c r="AA544" s="92">
        <v>0</v>
      </c>
      <c r="AB544" s="92"/>
      <c r="AC544" s="92">
        <v>2.88</v>
      </c>
      <c r="AD544" s="92">
        <v>9.44</v>
      </c>
      <c r="AE544" s="92">
        <v>5</v>
      </c>
      <c r="AF544" s="92">
        <v>20</v>
      </c>
      <c r="AG544" s="92"/>
      <c r="AH544" s="92"/>
      <c r="AI544" s="92" t="s">
        <v>1534</v>
      </c>
      <c r="AJ544" s="92">
        <v>300</v>
      </c>
      <c r="AK544" s="92">
        <v>415</v>
      </c>
      <c r="AL544" s="92">
        <v>74</v>
      </c>
      <c r="AM544" s="1" t="s">
        <v>3050</v>
      </c>
    </row>
    <row r="545" spans="1:39" ht="15" thickBot="1" x14ac:dyDescent="0.35">
      <c r="A545" s="118" t="s">
        <v>1705</v>
      </c>
      <c r="B545" s="115" t="s">
        <v>3097</v>
      </c>
      <c r="C545" t="s">
        <v>3050</v>
      </c>
      <c r="D545" s="122"/>
      <c r="E545" s="12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0" t="s">
        <v>1407</v>
      </c>
      <c r="W545" s="92"/>
      <c r="X545" s="92"/>
      <c r="Y545" s="92"/>
      <c r="Z545" s="92"/>
      <c r="AA545" s="92">
        <v>0</v>
      </c>
      <c r="AB545" s="92"/>
      <c r="AC545" s="92">
        <v>2.88</v>
      </c>
      <c r="AD545" s="92"/>
      <c r="AE545" s="92">
        <v>5</v>
      </c>
      <c r="AF545" s="92">
        <v>20</v>
      </c>
      <c r="AG545" s="92"/>
      <c r="AH545" s="92"/>
      <c r="AI545" s="92" t="s">
        <v>1534</v>
      </c>
      <c r="AJ545" s="92">
        <v>300</v>
      </c>
      <c r="AK545" s="92">
        <v>415</v>
      </c>
      <c r="AL545" s="92">
        <v>61</v>
      </c>
      <c r="AM545" s="1" t="s">
        <v>3050</v>
      </c>
    </row>
    <row r="546" spans="1:39" ht="15" thickBot="1" x14ac:dyDescent="0.35">
      <c r="A546" s="118" t="s">
        <v>1705</v>
      </c>
      <c r="B546" s="115" t="s">
        <v>3097</v>
      </c>
      <c r="C546" t="s">
        <v>3049</v>
      </c>
      <c r="D546" s="122"/>
      <c r="E546" s="12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0"/>
      <c r="W546" s="92"/>
      <c r="X546" s="92"/>
      <c r="Y546" s="92"/>
      <c r="Z546" s="92"/>
      <c r="AA546" s="92">
        <v>0</v>
      </c>
      <c r="AB546" s="92"/>
      <c r="AC546" s="92">
        <v>2.96</v>
      </c>
      <c r="AD546" s="92"/>
      <c r="AE546" s="92">
        <v>5</v>
      </c>
      <c r="AF546" s="92">
        <v>20</v>
      </c>
      <c r="AG546" s="92"/>
      <c r="AH546" s="92"/>
      <c r="AI546" s="92" t="s">
        <v>1534</v>
      </c>
      <c r="AJ546" s="92">
        <v>300</v>
      </c>
      <c r="AK546" s="92">
        <v>415</v>
      </c>
      <c r="AL546" s="92">
        <v>210</v>
      </c>
      <c r="AM546" s="1" t="s">
        <v>3049</v>
      </c>
    </row>
    <row r="547" spans="1:39" ht="15" thickBot="1" x14ac:dyDescent="0.35">
      <c r="A547" s="118" t="s">
        <v>1705</v>
      </c>
      <c r="B547" s="115" t="s">
        <v>3097</v>
      </c>
      <c r="C547" t="s">
        <v>3099</v>
      </c>
      <c r="D547" s="122"/>
      <c r="E547" s="12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0"/>
      <c r="W547" s="92"/>
      <c r="X547" s="92"/>
      <c r="Y547" s="92"/>
      <c r="Z547" s="92"/>
      <c r="AA547" s="92">
        <v>0</v>
      </c>
      <c r="AB547" s="92"/>
      <c r="AC547" s="92">
        <v>2.83</v>
      </c>
      <c r="AD547" s="92"/>
      <c r="AE547" s="92">
        <v>5</v>
      </c>
      <c r="AF547" s="92">
        <v>20</v>
      </c>
      <c r="AG547" s="92"/>
      <c r="AH547" s="92"/>
      <c r="AI547" s="92" t="s">
        <v>1534</v>
      </c>
      <c r="AJ547" s="92">
        <v>300</v>
      </c>
      <c r="AK547" s="92">
        <v>415</v>
      </c>
      <c r="AL547" s="92">
        <v>210</v>
      </c>
      <c r="AM547" s="1" t="s">
        <v>3099</v>
      </c>
    </row>
    <row r="548" spans="1:39" ht="15" thickBot="1" x14ac:dyDescent="0.35">
      <c r="A548" s="118" t="s">
        <v>1705</v>
      </c>
      <c r="B548" s="115" t="s">
        <v>3097</v>
      </c>
      <c r="C548" t="s">
        <v>3051</v>
      </c>
      <c r="D548" s="122"/>
      <c r="E548" s="12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0"/>
      <c r="W548" s="92"/>
      <c r="X548" s="92"/>
      <c r="Y548" s="92"/>
      <c r="Z548" s="92"/>
      <c r="AA548" s="92">
        <v>0</v>
      </c>
      <c r="AB548" s="92"/>
      <c r="AC548" s="92">
        <v>2.79</v>
      </c>
      <c r="AD548" s="92"/>
      <c r="AE548" s="92">
        <v>5</v>
      </c>
      <c r="AF548" s="92">
        <v>20</v>
      </c>
      <c r="AG548" s="92"/>
      <c r="AH548" s="92"/>
      <c r="AI548" s="92" t="s">
        <v>1534</v>
      </c>
      <c r="AJ548" s="92">
        <v>300</v>
      </c>
      <c r="AK548" s="92">
        <v>415</v>
      </c>
      <c r="AL548" s="92">
        <v>205</v>
      </c>
      <c r="AM548" s="1" t="s">
        <v>3051</v>
      </c>
    </row>
    <row r="549" spans="1:39" ht="15" thickBot="1" x14ac:dyDescent="0.35">
      <c r="A549" s="118" t="s">
        <v>1705</v>
      </c>
      <c r="B549" s="115" t="s">
        <v>3097</v>
      </c>
      <c r="C549" t="s">
        <v>3098</v>
      </c>
      <c r="D549" s="122"/>
      <c r="E549" s="12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0" t="s">
        <v>1305</v>
      </c>
      <c r="W549" s="92">
        <v>1173</v>
      </c>
      <c r="X549" s="92"/>
      <c r="Y549" s="92" t="s">
        <v>1533</v>
      </c>
      <c r="Z549" s="92" t="s">
        <v>56</v>
      </c>
      <c r="AA549" s="92">
        <v>0.05</v>
      </c>
      <c r="AB549" s="92"/>
      <c r="AC549" s="92">
        <v>2.91</v>
      </c>
      <c r="AD549" s="92">
        <v>22.7</v>
      </c>
      <c r="AE549" s="92">
        <v>5</v>
      </c>
      <c r="AF549" s="92">
        <v>20</v>
      </c>
      <c r="AG549" s="92"/>
      <c r="AH549" s="92"/>
      <c r="AI549" s="92" t="s">
        <v>1534</v>
      </c>
      <c r="AJ549" s="92">
        <v>300</v>
      </c>
      <c r="AK549" s="92">
        <v>415</v>
      </c>
      <c r="AL549" s="92">
        <v>950</v>
      </c>
      <c r="AM549" s="1"/>
    </row>
    <row r="550" spans="1:39" ht="15" thickBot="1" x14ac:dyDescent="0.35">
      <c r="A550" s="118" t="s">
        <v>1705</v>
      </c>
      <c r="B550" s="115" t="s">
        <v>3097</v>
      </c>
      <c r="C550" t="s">
        <v>3098</v>
      </c>
      <c r="D550" s="122"/>
      <c r="E550" s="12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0" t="s">
        <v>1305</v>
      </c>
      <c r="W550" s="92">
        <v>1173</v>
      </c>
      <c r="X550" s="92"/>
      <c r="Y550" s="92" t="s">
        <v>1533</v>
      </c>
      <c r="Z550" s="92" t="s">
        <v>56</v>
      </c>
      <c r="AA550" s="92">
        <v>0.1</v>
      </c>
      <c r="AB550" s="92"/>
      <c r="AC550" s="92">
        <v>2.91</v>
      </c>
      <c r="AD550" s="92">
        <v>22.7</v>
      </c>
      <c r="AE550" s="92">
        <v>5</v>
      </c>
      <c r="AF550" s="92">
        <v>20</v>
      </c>
      <c r="AG550" s="92"/>
      <c r="AH550" s="92"/>
      <c r="AI550" s="92" t="s">
        <v>1534</v>
      </c>
      <c r="AJ550" s="92">
        <v>300</v>
      </c>
      <c r="AK550" s="92">
        <v>415</v>
      </c>
      <c r="AL550" s="92">
        <v>1100</v>
      </c>
      <c r="AM550" s="1"/>
    </row>
    <row r="551" spans="1:39" ht="15" thickBot="1" x14ac:dyDescent="0.35">
      <c r="A551" s="118" t="s">
        <v>1705</v>
      </c>
      <c r="B551" s="115" t="s">
        <v>3097</v>
      </c>
      <c r="C551" t="s">
        <v>3098</v>
      </c>
      <c r="D551" s="122"/>
      <c r="E551" s="12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0" t="s">
        <v>1305</v>
      </c>
      <c r="W551" s="92">
        <v>1173</v>
      </c>
      <c r="X551" s="92"/>
      <c r="Y551" s="92" t="s">
        <v>1533</v>
      </c>
      <c r="Z551" s="92" t="s">
        <v>56</v>
      </c>
      <c r="AA551" s="92">
        <v>0.2</v>
      </c>
      <c r="AB551" s="92"/>
      <c r="AC551" s="92">
        <v>2.91</v>
      </c>
      <c r="AD551" s="92">
        <v>22.7</v>
      </c>
      <c r="AE551" s="92">
        <v>5</v>
      </c>
      <c r="AF551" s="92">
        <v>20</v>
      </c>
      <c r="AG551" s="92"/>
      <c r="AH551" s="92"/>
      <c r="AI551" s="92" t="s">
        <v>1534</v>
      </c>
      <c r="AJ551" s="92">
        <v>300</v>
      </c>
      <c r="AK551" s="92">
        <v>415</v>
      </c>
      <c r="AL551" s="92">
        <v>1350</v>
      </c>
      <c r="AM551" s="1"/>
    </row>
    <row r="552" spans="1:39" ht="15" thickBot="1" x14ac:dyDescent="0.35">
      <c r="A552" s="118" t="s">
        <v>1705</v>
      </c>
      <c r="B552" s="115" t="s">
        <v>3097</v>
      </c>
      <c r="C552" t="s">
        <v>3098</v>
      </c>
      <c r="D552" s="122"/>
      <c r="E552" s="12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0" t="s">
        <v>1305</v>
      </c>
      <c r="W552" s="92">
        <v>1173</v>
      </c>
      <c r="X552" s="92"/>
      <c r="Y552" s="92" t="s">
        <v>1533</v>
      </c>
      <c r="Z552" s="92" t="s">
        <v>56</v>
      </c>
      <c r="AA552" s="92">
        <v>0.3</v>
      </c>
      <c r="AB552" s="92"/>
      <c r="AC552" s="92">
        <v>2.91</v>
      </c>
      <c r="AD552" s="92">
        <v>22.7</v>
      </c>
      <c r="AE552" s="92">
        <v>5</v>
      </c>
      <c r="AF552" s="92">
        <v>20</v>
      </c>
      <c r="AG552" s="92"/>
      <c r="AH552" s="92"/>
      <c r="AI552" s="92" t="s">
        <v>1534</v>
      </c>
      <c r="AJ552" s="92">
        <v>300</v>
      </c>
      <c r="AK552" s="92">
        <v>415</v>
      </c>
      <c r="AL552" s="92">
        <v>820</v>
      </c>
      <c r="AM552" s="1"/>
    </row>
    <row r="553" spans="1:39" ht="15" thickBot="1" x14ac:dyDescent="0.35">
      <c r="A553" s="118" t="s">
        <v>1706</v>
      </c>
      <c r="B553" s="115" t="s">
        <v>3101</v>
      </c>
      <c r="C553" s="115" t="s">
        <v>3100</v>
      </c>
      <c r="D553" s="122"/>
      <c r="E553" s="122"/>
      <c r="F553" s="92" t="s">
        <v>1583</v>
      </c>
      <c r="G553" s="92" t="s">
        <v>1578</v>
      </c>
      <c r="H553" s="92"/>
      <c r="I553" s="92" t="s">
        <v>1530</v>
      </c>
      <c r="J553" s="92"/>
      <c r="K553" s="92"/>
      <c r="L553" s="92" t="s">
        <v>1531</v>
      </c>
      <c r="M553" s="92"/>
      <c r="N553" s="92">
        <v>0.49299999999999999</v>
      </c>
      <c r="O553" s="92">
        <v>5.3999999999999999E-2</v>
      </c>
      <c r="P553" s="92"/>
      <c r="Q553" s="92">
        <v>0.22600000000000001</v>
      </c>
      <c r="R553" s="92"/>
      <c r="S553" s="92"/>
      <c r="T553" s="92">
        <v>0.22700000000000001</v>
      </c>
      <c r="U553" s="92"/>
      <c r="V553" s="90" t="s">
        <v>1538</v>
      </c>
      <c r="W553" s="92"/>
      <c r="X553" s="92"/>
      <c r="Y553" s="92" t="s">
        <v>1268</v>
      </c>
      <c r="Z553" s="92" t="s">
        <v>863</v>
      </c>
      <c r="AA553" s="92">
        <v>3</v>
      </c>
      <c r="AB553" s="92" t="s">
        <v>1539</v>
      </c>
      <c r="AC553" s="92">
        <v>3.02</v>
      </c>
      <c r="AD553" s="92">
        <v>17.399999999999999</v>
      </c>
      <c r="AE553" s="92">
        <v>0.75</v>
      </c>
      <c r="AF553" s="92">
        <v>20</v>
      </c>
      <c r="AG553" s="92"/>
      <c r="AH553" s="92"/>
      <c r="AI553" s="92" t="s">
        <v>1534</v>
      </c>
      <c r="AJ553" s="92">
        <v>500</v>
      </c>
      <c r="AK553" s="92">
        <v>420</v>
      </c>
      <c r="AL553" s="92">
        <v>369.8</v>
      </c>
    </row>
    <row r="554" spans="1:39" ht="15" thickBot="1" x14ac:dyDescent="0.35">
      <c r="A554" s="118" t="s">
        <v>1707</v>
      </c>
      <c r="B554" s="115" t="s">
        <v>3102</v>
      </c>
      <c r="C554" s="115" t="s">
        <v>3103</v>
      </c>
      <c r="D554" s="122"/>
      <c r="E554" s="12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0" t="s">
        <v>1264</v>
      </c>
      <c r="W554" s="92">
        <v>1173</v>
      </c>
      <c r="X554" s="92">
        <v>10</v>
      </c>
      <c r="Y554" s="92" t="s">
        <v>1268</v>
      </c>
      <c r="Z554" s="92" t="s">
        <v>863</v>
      </c>
      <c r="AA554" s="92">
        <v>0</v>
      </c>
      <c r="AB554" s="92"/>
      <c r="AC554" s="92">
        <v>2.64</v>
      </c>
      <c r="AD554" s="92">
        <v>1.22</v>
      </c>
      <c r="AE554" s="92">
        <v>0.5</v>
      </c>
      <c r="AF554" s="92">
        <v>20</v>
      </c>
      <c r="AG554" s="92"/>
      <c r="AH554" s="92"/>
      <c r="AI554" s="92" t="s">
        <v>1534</v>
      </c>
      <c r="AJ554" s="92">
        <v>800</v>
      </c>
      <c r="AK554" s="92">
        <v>390</v>
      </c>
      <c r="AL554" s="92">
        <v>0.06</v>
      </c>
      <c r="AM554" s="92"/>
    </row>
    <row r="555" spans="1:39" ht="15" thickBot="1" x14ac:dyDescent="0.35">
      <c r="A555" s="118" t="s">
        <v>1707</v>
      </c>
      <c r="B555" s="115" t="s">
        <v>3102</v>
      </c>
      <c r="C555" s="115" t="s">
        <v>3103</v>
      </c>
      <c r="D555" s="122"/>
      <c r="E555" s="12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0" t="s">
        <v>1264</v>
      </c>
      <c r="W555" s="92">
        <v>1173</v>
      </c>
      <c r="X555" s="92">
        <v>10</v>
      </c>
      <c r="Y555" s="92" t="s">
        <v>1268</v>
      </c>
      <c r="Z555" s="92" t="s">
        <v>863</v>
      </c>
      <c r="AA555" s="92">
        <v>0.03</v>
      </c>
      <c r="AB555" s="92"/>
      <c r="AC555" s="92">
        <v>2.64</v>
      </c>
      <c r="AD555" s="92">
        <v>1.22</v>
      </c>
      <c r="AE555" s="92">
        <v>0.5</v>
      </c>
      <c r="AF555" s="92">
        <v>20</v>
      </c>
      <c r="AG555" s="92"/>
      <c r="AH555" s="92"/>
      <c r="AI555" s="92" t="s">
        <v>1534</v>
      </c>
      <c r="AJ555" s="92">
        <v>800</v>
      </c>
      <c r="AK555" s="92">
        <v>390</v>
      </c>
      <c r="AL555" s="92">
        <v>0.57999999999999996</v>
      </c>
      <c r="AM555" s="92"/>
    </row>
    <row r="556" spans="1:39" ht="15" thickBot="1" x14ac:dyDescent="0.35">
      <c r="A556" s="118" t="s">
        <v>1707</v>
      </c>
      <c r="B556" s="115" t="s">
        <v>3102</v>
      </c>
      <c r="C556" s="115" t="s">
        <v>3103</v>
      </c>
      <c r="D556" s="122"/>
      <c r="E556" s="12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0" t="s">
        <v>1264</v>
      </c>
      <c r="W556" s="92">
        <v>1173</v>
      </c>
      <c r="X556" s="92">
        <v>10</v>
      </c>
      <c r="Y556" s="92" t="s">
        <v>1268</v>
      </c>
      <c r="Z556" s="92" t="s">
        <v>863</v>
      </c>
      <c r="AA556" s="92">
        <v>0.06</v>
      </c>
      <c r="AB556" s="92"/>
      <c r="AC556" s="92">
        <v>2.64</v>
      </c>
      <c r="AD556" s="92">
        <v>1.22</v>
      </c>
      <c r="AE556" s="92">
        <v>0.5</v>
      </c>
      <c r="AF556" s="92">
        <v>20</v>
      </c>
      <c r="AG556" s="92"/>
      <c r="AH556" s="92"/>
      <c r="AI556" s="92" t="s">
        <v>1534</v>
      </c>
      <c r="AJ556" s="92">
        <v>800</v>
      </c>
      <c r="AK556" s="92">
        <v>390</v>
      </c>
      <c r="AL556" s="92">
        <v>0.83</v>
      </c>
      <c r="AM556" s="92"/>
    </row>
    <row r="557" spans="1:39" ht="15" thickBot="1" x14ac:dyDescent="0.35">
      <c r="A557" s="118" t="s">
        <v>1707</v>
      </c>
      <c r="B557" s="115" t="s">
        <v>3102</v>
      </c>
      <c r="C557" s="115" t="s">
        <v>3103</v>
      </c>
      <c r="D557" s="122"/>
      <c r="E557" s="12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0" t="s">
        <v>1264</v>
      </c>
      <c r="W557" s="92">
        <v>1173</v>
      </c>
      <c r="X557" s="92">
        <v>10</v>
      </c>
      <c r="Y557" s="92" t="s">
        <v>1268</v>
      </c>
      <c r="Z557" s="92" t="s">
        <v>863</v>
      </c>
      <c r="AA557" s="92">
        <v>0.1</v>
      </c>
      <c r="AB557" s="92"/>
      <c r="AC557" s="92">
        <v>2.64</v>
      </c>
      <c r="AD557" s="92">
        <v>1.22</v>
      </c>
      <c r="AE557" s="92">
        <v>0.5</v>
      </c>
      <c r="AF557" s="92">
        <v>20</v>
      </c>
      <c r="AG557" s="92"/>
      <c r="AH557" s="92"/>
      <c r="AI557" s="92" t="s">
        <v>1534</v>
      </c>
      <c r="AJ557" s="92">
        <v>800</v>
      </c>
      <c r="AK557" s="92">
        <v>390</v>
      </c>
      <c r="AL557" s="92">
        <v>0.25</v>
      </c>
      <c r="AM557" s="92"/>
    </row>
    <row r="558" spans="1:39" ht="15" thickBot="1" x14ac:dyDescent="0.35">
      <c r="A558" s="118" t="s">
        <v>1707</v>
      </c>
      <c r="B558" s="115" t="s">
        <v>3102</v>
      </c>
      <c r="C558" s="115" t="s">
        <v>3103</v>
      </c>
      <c r="D558" s="122"/>
      <c r="E558" s="12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0" t="s">
        <v>1264</v>
      </c>
      <c r="W558" s="92">
        <v>1173</v>
      </c>
      <c r="X558" s="92">
        <v>10</v>
      </c>
      <c r="Y558" s="92" t="s">
        <v>1268</v>
      </c>
      <c r="Z558" s="92" t="s">
        <v>863</v>
      </c>
      <c r="AA558" s="92">
        <v>0.13</v>
      </c>
      <c r="AB558" s="92"/>
      <c r="AC558" s="92">
        <v>2.64</v>
      </c>
      <c r="AD558" s="92">
        <v>1.22</v>
      </c>
      <c r="AE558" s="92">
        <v>0.5</v>
      </c>
      <c r="AF558" s="92">
        <v>20</v>
      </c>
      <c r="AG558" s="92"/>
      <c r="AH558" s="92"/>
      <c r="AI558" s="92" t="s">
        <v>1534</v>
      </c>
      <c r="AJ558" s="92">
        <v>800</v>
      </c>
      <c r="AK558" s="92">
        <v>390</v>
      </c>
      <c r="AL558" s="92">
        <v>0.17</v>
      </c>
      <c r="AM558" s="92"/>
    </row>
    <row r="559" spans="1:39" ht="15" thickBot="1" x14ac:dyDescent="0.35">
      <c r="A559" s="118" t="s">
        <v>1707</v>
      </c>
      <c r="B559" s="115" t="s">
        <v>3102</v>
      </c>
      <c r="C559" s="115" t="s">
        <v>28</v>
      </c>
      <c r="D559" s="122"/>
      <c r="E559" s="12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0" t="s">
        <v>1264</v>
      </c>
      <c r="W559" s="92">
        <v>1173</v>
      </c>
      <c r="X559" s="92">
        <v>10</v>
      </c>
      <c r="Y559" s="92" t="s">
        <v>1268</v>
      </c>
      <c r="Z559" s="92" t="s">
        <v>863</v>
      </c>
      <c r="AA559" s="92">
        <v>0.06</v>
      </c>
      <c r="AB559" s="92"/>
      <c r="AC559" s="92">
        <v>2.64</v>
      </c>
      <c r="AD559" s="92">
        <v>1.22</v>
      </c>
      <c r="AE559" s="92">
        <v>0.5</v>
      </c>
      <c r="AF559" s="92">
        <v>20</v>
      </c>
      <c r="AG559" s="92"/>
      <c r="AH559" s="92"/>
      <c r="AI559" s="92" t="s">
        <v>1534</v>
      </c>
      <c r="AJ559" s="92">
        <v>800</v>
      </c>
      <c r="AK559" s="92">
        <v>390</v>
      </c>
      <c r="AL559" s="92">
        <v>0.05</v>
      </c>
      <c r="AM559" s="129"/>
    </row>
    <row r="560" spans="1:39" ht="15" thickBot="1" x14ac:dyDescent="0.35">
      <c r="A560" s="118" t="s">
        <v>1707</v>
      </c>
      <c r="B560" s="115" t="s">
        <v>3102</v>
      </c>
      <c r="C560" s="115" t="s">
        <v>3104</v>
      </c>
      <c r="D560" s="122"/>
      <c r="E560" s="12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0" t="s">
        <v>1264</v>
      </c>
      <c r="W560" s="92">
        <v>1173</v>
      </c>
      <c r="X560" s="92">
        <v>10</v>
      </c>
      <c r="Y560" s="92" t="s">
        <v>1268</v>
      </c>
      <c r="Z560" s="92" t="s">
        <v>863</v>
      </c>
      <c r="AA560" s="92">
        <v>0.06</v>
      </c>
      <c r="AB560" s="92"/>
      <c r="AC560" s="92">
        <v>2.64</v>
      </c>
      <c r="AD560" s="92">
        <v>1.22</v>
      </c>
      <c r="AE560" s="92">
        <v>0.5</v>
      </c>
      <c r="AF560" s="92">
        <v>20</v>
      </c>
      <c r="AG560" s="92"/>
      <c r="AH560" s="92"/>
      <c r="AI560" s="92" t="s">
        <v>1534</v>
      </c>
      <c r="AJ560" s="92">
        <v>800</v>
      </c>
      <c r="AK560" s="92">
        <v>390</v>
      </c>
      <c r="AL560" s="92">
        <v>0.1</v>
      </c>
      <c r="AM560" s="129"/>
    </row>
    <row r="561" spans="1:39" ht="15" thickBot="1" x14ac:dyDescent="0.35">
      <c r="A561" s="118" t="s">
        <v>1707</v>
      </c>
      <c r="B561" s="115" t="s">
        <v>3102</v>
      </c>
      <c r="C561" s="115" t="s">
        <v>3105</v>
      </c>
      <c r="D561" s="122"/>
      <c r="E561" s="12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0" t="s">
        <v>1264</v>
      </c>
      <c r="W561" s="92">
        <v>1173</v>
      </c>
      <c r="X561" s="92">
        <v>10</v>
      </c>
      <c r="Y561" s="92" t="s">
        <v>1268</v>
      </c>
      <c r="Z561" s="92" t="s">
        <v>863</v>
      </c>
      <c r="AA561" s="92">
        <v>0.06</v>
      </c>
      <c r="AB561" s="92"/>
      <c r="AC561" s="92">
        <v>2.64</v>
      </c>
      <c r="AD561" s="92">
        <v>1.22</v>
      </c>
      <c r="AE561" s="92">
        <v>0.5</v>
      </c>
      <c r="AF561" s="92">
        <v>20</v>
      </c>
      <c r="AG561" s="92"/>
      <c r="AH561" s="92"/>
      <c r="AI561" s="92" t="s">
        <v>1534</v>
      </c>
      <c r="AJ561" s="92">
        <v>800</v>
      </c>
      <c r="AK561" s="92">
        <v>390</v>
      </c>
      <c r="AL561" s="92">
        <v>0.625</v>
      </c>
      <c r="AM561" s="129"/>
    </row>
    <row r="562" spans="1:39" ht="15" thickBot="1" x14ac:dyDescent="0.35">
      <c r="A562" s="118" t="s">
        <v>1708</v>
      </c>
      <c r="B562" s="115" t="s">
        <v>3106</v>
      </c>
      <c r="C562" s="115" t="s">
        <v>2902</v>
      </c>
      <c r="D562" s="122"/>
      <c r="E562" s="122"/>
      <c r="F562" s="92" t="s">
        <v>1578</v>
      </c>
      <c r="G562" s="92"/>
      <c r="H562" s="92"/>
      <c r="I562" s="92" t="s">
        <v>1068</v>
      </c>
      <c r="J562" s="92"/>
      <c r="K562" s="92"/>
      <c r="L562" s="92" t="s">
        <v>1531</v>
      </c>
      <c r="M562" s="92"/>
      <c r="N562" s="92">
        <v>0.14000000000000001</v>
      </c>
      <c r="O562" s="92"/>
      <c r="P562" s="92"/>
      <c r="Q562" s="92">
        <v>0.56699999999999995</v>
      </c>
      <c r="R562" s="92"/>
      <c r="S562" s="92"/>
      <c r="T562" s="92">
        <v>0.29299999999999998</v>
      </c>
      <c r="U562" s="92"/>
      <c r="V562" s="90" t="s">
        <v>1538</v>
      </c>
      <c r="W562" s="92">
        <v>873</v>
      </c>
      <c r="X562" s="92">
        <v>2</v>
      </c>
      <c r="Y562" s="92" t="s">
        <v>1268</v>
      </c>
      <c r="Z562" s="92" t="s">
        <v>863</v>
      </c>
      <c r="AA562" s="92">
        <v>0.5</v>
      </c>
      <c r="AB562" s="92" t="s">
        <v>518</v>
      </c>
      <c r="AC562" s="92">
        <v>3.29</v>
      </c>
      <c r="AD562" s="92">
        <v>28.6</v>
      </c>
      <c r="AE562" s="92">
        <v>1.1100000000000001</v>
      </c>
      <c r="AF562" s="92">
        <v>18.5</v>
      </c>
      <c r="AG562" s="92"/>
      <c r="AH562" s="92"/>
      <c r="AI562" s="92" t="s">
        <v>1534</v>
      </c>
      <c r="AJ562" s="92">
        <v>300</v>
      </c>
      <c r="AK562" s="92">
        <v>300</v>
      </c>
      <c r="AL562" s="92">
        <v>520.33000000000004</v>
      </c>
    </row>
    <row r="563" spans="1:39" ht="15" thickBot="1" x14ac:dyDescent="0.35">
      <c r="A563" s="118" t="s">
        <v>1709</v>
      </c>
      <c r="B563" s="115" t="s">
        <v>3107</v>
      </c>
      <c r="C563" s="115" t="s">
        <v>1376</v>
      </c>
      <c r="D563" s="122"/>
      <c r="E563" s="122"/>
      <c r="F563" s="92" t="s">
        <v>1529</v>
      </c>
      <c r="G563" s="92"/>
      <c r="H563" s="92"/>
      <c r="I563" s="92" t="s">
        <v>1530</v>
      </c>
      <c r="J563" s="92"/>
      <c r="K563" s="92"/>
      <c r="L563" s="92" t="s">
        <v>1531</v>
      </c>
      <c r="M563" s="92"/>
      <c r="N563" s="92">
        <v>0.33300000000000002</v>
      </c>
      <c r="O563" s="92"/>
      <c r="P563" s="92"/>
      <c r="Q563" s="92">
        <v>0.36399999999999999</v>
      </c>
      <c r="R563" s="92"/>
      <c r="S563" s="92"/>
      <c r="T563" s="92">
        <v>0.30399999999999999</v>
      </c>
      <c r="U563" s="92"/>
      <c r="V563" s="90" t="s">
        <v>1407</v>
      </c>
      <c r="W563" s="92">
        <v>823</v>
      </c>
      <c r="X563" s="92">
        <v>1</v>
      </c>
      <c r="Y563" s="92"/>
      <c r="Z563" s="92"/>
      <c r="AA563" s="92"/>
      <c r="AB563" s="92" t="s">
        <v>518</v>
      </c>
      <c r="AC563" s="92">
        <v>3.17</v>
      </c>
      <c r="AD563" s="92">
        <v>98.26</v>
      </c>
      <c r="AE563" s="92">
        <v>0.5</v>
      </c>
      <c r="AF563" s="92">
        <v>18.5</v>
      </c>
      <c r="AG563" s="92"/>
      <c r="AH563" s="92"/>
      <c r="AI563" s="92" t="s">
        <v>1552</v>
      </c>
      <c r="AJ563" s="92">
        <v>400</v>
      </c>
      <c r="AK563" s="92">
        <v>365</v>
      </c>
      <c r="AL563" s="92">
        <v>1100</v>
      </c>
    </row>
    <row r="564" spans="1:39" ht="15" thickBot="1" x14ac:dyDescent="0.35">
      <c r="A564" s="118" t="s">
        <v>1710</v>
      </c>
      <c r="B564" s="115" t="s">
        <v>3108</v>
      </c>
      <c r="C564" s="115" t="s">
        <v>2902</v>
      </c>
      <c r="D564" s="122"/>
      <c r="E564" s="122"/>
      <c r="F564" s="92" t="s">
        <v>1578</v>
      </c>
      <c r="G564" s="92"/>
      <c r="H564" s="92"/>
      <c r="I564" s="92" t="s">
        <v>1068</v>
      </c>
      <c r="J564" s="92"/>
      <c r="K564" s="92"/>
      <c r="L564" s="92" t="s">
        <v>1531</v>
      </c>
      <c r="M564" s="92"/>
      <c r="N564" s="92">
        <v>0.14000000000000001</v>
      </c>
      <c r="O564" s="92"/>
      <c r="P564" s="92"/>
      <c r="Q564" s="92">
        <v>0.56699999999999995</v>
      </c>
      <c r="R564" s="92"/>
      <c r="S564" s="92"/>
      <c r="T564" s="92">
        <v>0.29299999999999998</v>
      </c>
      <c r="U564" s="92"/>
      <c r="V564" s="90" t="s">
        <v>1264</v>
      </c>
      <c r="W564" s="92">
        <v>673</v>
      </c>
      <c r="X564" s="92">
        <v>12</v>
      </c>
      <c r="Y564" s="92" t="s">
        <v>1533</v>
      </c>
      <c r="Z564" s="92" t="s">
        <v>863</v>
      </c>
      <c r="AA564" s="92">
        <v>0.5</v>
      </c>
      <c r="AB564" s="92" t="s">
        <v>1142</v>
      </c>
      <c r="AC564" s="92">
        <v>2.98</v>
      </c>
      <c r="AD564" s="92"/>
      <c r="AE564" s="92">
        <v>1</v>
      </c>
      <c r="AF564" s="92">
        <v>20</v>
      </c>
      <c r="AG564" s="92"/>
      <c r="AH564" s="92"/>
      <c r="AI564" s="92" t="s">
        <v>1534</v>
      </c>
      <c r="AJ564" s="92">
        <v>400</v>
      </c>
      <c r="AK564" s="92">
        <v>300</v>
      </c>
      <c r="AL564" s="92">
        <v>103.3</v>
      </c>
    </row>
    <row r="565" spans="1:39" ht="15" thickBot="1" x14ac:dyDescent="0.35">
      <c r="A565" s="118" t="s">
        <v>1710</v>
      </c>
      <c r="B565" s="115" t="s">
        <v>3108</v>
      </c>
      <c r="C565" s="115" t="s">
        <v>2902</v>
      </c>
      <c r="D565" s="122"/>
      <c r="E565" s="122"/>
      <c r="F565" s="92" t="s">
        <v>1578</v>
      </c>
      <c r="G565" s="92"/>
      <c r="H565" s="92"/>
      <c r="I565" s="92" t="s">
        <v>1068</v>
      </c>
      <c r="J565" s="92"/>
      <c r="K565" s="92"/>
      <c r="L565" s="92" t="s">
        <v>1531</v>
      </c>
      <c r="M565" s="92"/>
      <c r="N565" s="92">
        <v>0.14000000000000001</v>
      </c>
      <c r="O565" s="92"/>
      <c r="P565" s="92"/>
      <c r="Q565" s="92">
        <v>0.56699999999999995</v>
      </c>
      <c r="R565" s="92"/>
      <c r="S565" s="92"/>
      <c r="T565" s="92">
        <v>0.29299999999999998</v>
      </c>
      <c r="U565" s="92"/>
      <c r="V565" s="90" t="s">
        <v>1305</v>
      </c>
      <c r="W565" s="92">
        <v>773</v>
      </c>
      <c r="X565" s="92">
        <v>12</v>
      </c>
      <c r="Y565" s="92" t="s">
        <v>1533</v>
      </c>
      <c r="Z565" s="92" t="s">
        <v>863</v>
      </c>
      <c r="AA565" s="92">
        <v>1.5</v>
      </c>
      <c r="AB565" s="92" t="s">
        <v>1142</v>
      </c>
      <c r="AC565" s="92">
        <v>2.99</v>
      </c>
      <c r="AD565" s="92"/>
      <c r="AE565" s="92">
        <v>1</v>
      </c>
      <c r="AF565" s="92">
        <v>20</v>
      </c>
      <c r="AG565" s="92"/>
      <c r="AH565" s="92"/>
      <c r="AI565" s="92" t="s">
        <v>1534</v>
      </c>
      <c r="AJ565" s="92">
        <v>400</v>
      </c>
      <c r="AK565" s="92">
        <v>300</v>
      </c>
      <c r="AL565" s="92">
        <v>330.3</v>
      </c>
    </row>
    <row r="566" spans="1:39" ht="15" thickBot="1" x14ac:dyDescent="0.35">
      <c r="A566" s="118" t="s">
        <v>1710</v>
      </c>
      <c r="B566" s="115" t="s">
        <v>3108</v>
      </c>
      <c r="C566" s="115" t="s">
        <v>2902</v>
      </c>
      <c r="D566" s="122"/>
      <c r="E566" s="122"/>
      <c r="F566" s="92" t="s">
        <v>1578</v>
      </c>
      <c r="G566" s="92"/>
      <c r="H566" s="92"/>
      <c r="I566" s="92" t="s">
        <v>1068</v>
      </c>
      <c r="J566" s="92"/>
      <c r="K566" s="92"/>
      <c r="L566" s="92" t="s">
        <v>1531</v>
      </c>
      <c r="M566" s="92"/>
      <c r="N566" s="92">
        <v>0.14000000000000001</v>
      </c>
      <c r="O566" s="92"/>
      <c r="P566" s="92"/>
      <c r="Q566" s="92">
        <v>0.56699999999999995</v>
      </c>
      <c r="R566" s="92"/>
      <c r="S566" s="92"/>
      <c r="T566" s="92">
        <v>0.29299999999999998</v>
      </c>
      <c r="U566" s="92"/>
      <c r="V566" s="90" t="s">
        <v>1336</v>
      </c>
      <c r="W566" s="92">
        <v>873</v>
      </c>
      <c r="X566" s="92">
        <v>12</v>
      </c>
      <c r="Y566" s="92" t="s">
        <v>1533</v>
      </c>
      <c r="Z566" s="92" t="s">
        <v>863</v>
      </c>
      <c r="AA566" s="92">
        <v>2.5</v>
      </c>
      <c r="AB566" s="92" t="s">
        <v>1142</v>
      </c>
      <c r="AC566" s="92">
        <v>3.06</v>
      </c>
      <c r="AD566" s="92"/>
      <c r="AE566" s="92">
        <v>1</v>
      </c>
      <c r="AF566" s="92">
        <v>20</v>
      </c>
      <c r="AG566" s="92"/>
      <c r="AH566" s="92"/>
      <c r="AI566" s="92" t="s">
        <v>1534</v>
      </c>
      <c r="AJ566" s="92">
        <v>400</v>
      </c>
      <c r="AK566" s="92">
        <v>300</v>
      </c>
      <c r="AL566" s="92">
        <v>261.10000000000002</v>
      </c>
    </row>
    <row r="567" spans="1:39" ht="15" thickBot="1" x14ac:dyDescent="0.35">
      <c r="A567" s="118" t="s">
        <v>1710</v>
      </c>
      <c r="B567" s="115" t="s">
        <v>3108</v>
      </c>
      <c r="C567" s="115" t="s">
        <v>2902</v>
      </c>
      <c r="D567" s="122"/>
      <c r="E567" s="122"/>
      <c r="F567" s="92" t="s">
        <v>1578</v>
      </c>
      <c r="G567" s="92"/>
      <c r="H567" s="92"/>
      <c r="I567" s="92" t="s">
        <v>1068</v>
      </c>
      <c r="J567" s="92"/>
      <c r="K567" s="92"/>
      <c r="L567" s="92" t="s">
        <v>1531</v>
      </c>
      <c r="M567" s="92"/>
      <c r="N567" s="92">
        <v>0.14000000000000001</v>
      </c>
      <c r="O567" s="92"/>
      <c r="P567" s="92"/>
      <c r="Q567" s="92">
        <v>0.56699999999999995</v>
      </c>
      <c r="R567" s="92"/>
      <c r="S567" s="92"/>
      <c r="T567" s="92">
        <v>0.29299999999999998</v>
      </c>
      <c r="U567" s="92"/>
      <c r="V567" s="90" t="s">
        <v>1407</v>
      </c>
      <c r="W567" s="92"/>
      <c r="X567" s="92"/>
      <c r="Y567" s="92" t="s">
        <v>1533</v>
      </c>
      <c r="Z567" s="92" t="s">
        <v>863</v>
      </c>
      <c r="AA567" s="92">
        <v>3.5</v>
      </c>
      <c r="AB567" s="92" t="s">
        <v>1142</v>
      </c>
      <c r="AC567" s="92">
        <v>3.09</v>
      </c>
      <c r="AD567" s="92"/>
      <c r="AE567" s="92">
        <v>1</v>
      </c>
      <c r="AF567" s="92">
        <v>20</v>
      </c>
      <c r="AG567" s="92"/>
      <c r="AH567" s="92"/>
      <c r="AI567" s="92" t="s">
        <v>1534</v>
      </c>
      <c r="AJ567" s="92">
        <v>400</v>
      </c>
      <c r="AK567" s="92">
        <v>300</v>
      </c>
      <c r="AL567" s="92">
        <v>7.5</v>
      </c>
    </row>
    <row r="568" spans="1:39" ht="15" thickBot="1" x14ac:dyDescent="0.35">
      <c r="A568" s="118" t="s">
        <v>1711</v>
      </c>
      <c r="B568" s="115" t="s">
        <v>3109</v>
      </c>
      <c r="C568" s="115" t="s">
        <v>1273</v>
      </c>
      <c r="D568" s="92"/>
      <c r="E568" s="122"/>
      <c r="F568" s="92" t="s">
        <v>1557</v>
      </c>
      <c r="G568" s="92"/>
      <c r="H568" s="92"/>
      <c r="I568" s="92" t="s">
        <v>1068</v>
      </c>
      <c r="J568" s="92"/>
      <c r="K568" s="92"/>
      <c r="L568" s="92" t="s">
        <v>1531</v>
      </c>
      <c r="M568" s="92"/>
      <c r="N568" s="92">
        <v>0.217</v>
      </c>
      <c r="O568" s="92"/>
      <c r="P568" s="92"/>
      <c r="Q568" s="92">
        <v>0.51600000000000001</v>
      </c>
      <c r="R568" s="92"/>
      <c r="S568" s="92"/>
      <c r="T568" s="92">
        <v>0.26700000000000002</v>
      </c>
      <c r="U568" s="92"/>
      <c r="V568" s="90" t="s">
        <v>1407</v>
      </c>
      <c r="W568" s="92">
        <v>973</v>
      </c>
      <c r="X568" s="92"/>
      <c r="Y568" s="92"/>
      <c r="Z568" s="92" t="s">
        <v>863</v>
      </c>
      <c r="AA568" s="92">
        <v>1</v>
      </c>
      <c r="AB568" s="92" t="s">
        <v>1142</v>
      </c>
      <c r="AC568" s="92">
        <v>3.21</v>
      </c>
      <c r="AD568" s="92">
        <v>1.5</v>
      </c>
      <c r="AE568" s="92">
        <v>2</v>
      </c>
      <c r="AF568" s="92">
        <v>10</v>
      </c>
      <c r="AG568" s="92"/>
      <c r="AH568" s="92"/>
      <c r="AI568" s="92" t="s">
        <v>1534</v>
      </c>
      <c r="AJ568" s="92">
        <v>450</v>
      </c>
      <c r="AK568" s="92"/>
      <c r="AL568" s="92">
        <v>29</v>
      </c>
    </row>
    <row r="569" spans="1:39" ht="15" thickBot="1" x14ac:dyDescent="0.35">
      <c r="A569" s="118" t="s">
        <v>1711</v>
      </c>
      <c r="B569" s="115" t="s">
        <v>3109</v>
      </c>
      <c r="C569" s="115" t="s">
        <v>3110</v>
      </c>
      <c r="D569" s="92"/>
      <c r="E569" s="122"/>
      <c r="F569" s="92" t="s">
        <v>1557</v>
      </c>
      <c r="G569" s="92"/>
      <c r="H569" s="92"/>
      <c r="I569" s="92" t="s">
        <v>1068</v>
      </c>
      <c r="J569" s="92" t="s">
        <v>1569</v>
      </c>
      <c r="K569" s="92"/>
      <c r="L569" s="92" t="s">
        <v>1531</v>
      </c>
      <c r="M569" s="92"/>
      <c r="N569" s="92">
        <v>0.20699999999999999</v>
      </c>
      <c r="O569" s="92"/>
      <c r="P569" s="92"/>
      <c r="Q569" s="92">
        <v>0.49199999999999999</v>
      </c>
      <c r="R569" s="92">
        <v>4.4999999999999998E-2</v>
      </c>
      <c r="S569" s="92"/>
      <c r="T569" s="92">
        <v>0.255</v>
      </c>
      <c r="U569" s="92"/>
      <c r="V569" s="90" t="s">
        <v>1407</v>
      </c>
      <c r="W569" s="92">
        <v>973</v>
      </c>
      <c r="X569" s="92"/>
      <c r="Y569" s="92"/>
      <c r="Z569" s="92" t="s">
        <v>863</v>
      </c>
      <c r="AA569" s="92">
        <v>1</v>
      </c>
      <c r="AB569" s="92" t="s">
        <v>1142</v>
      </c>
      <c r="AC569" s="92">
        <v>3.2</v>
      </c>
      <c r="AD569" s="92">
        <v>1.83</v>
      </c>
      <c r="AE569" s="92">
        <v>2</v>
      </c>
      <c r="AF569" s="92">
        <v>10</v>
      </c>
      <c r="AG569" s="92"/>
      <c r="AH569" s="92"/>
      <c r="AI569" s="92" t="s">
        <v>1534</v>
      </c>
      <c r="AJ569" s="92">
        <v>450</v>
      </c>
      <c r="AK569" s="92"/>
      <c r="AL569" s="92">
        <v>175.41</v>
      </c>
    </row>
    <row r="570" spans="1:39" ht="15" thickBot="1" x14ac:dyDescent="0.35">
      <c r="A570" s="118" t="s">
        <v>1711</v>
      </c>
      <c r="B570" s="115" t="s">
        <v>3109</v>
      </c>
      <c r="C570" s="115" t="s">
        <v>3111</v>
      </c>
      <c r="D570" s="92"/>
      <c r="E570" s="122"/>
      <c r="F570" s="92" t="s">
        <v>1557</v>
      </c>
      <c r="G570" s="92"/>
      <c r="H570" s="92"/>
      <c r="I570" s="92" t="s">
        <v>1068</v>
      </c>
      <c r="J570" s="92" t="s">
        <v>1569</v>
      </c>
      <c r="K570" s="92"/>
      <c r="L570" s="92" t="s">
        <v>1531</v>
      </c>
      <c r="M570" s="92"/>
      <c r="N570" s="92">
        <v>0.192</v>
      </c>
      <c r="O570" s="92"/>
      <c r="P570" s="92"/>
      <c r="Q570" s="92">
        <v>0.45600000000000002</v>
      </c>
      <c r="R570" s="92">
        <v>0.115</v>
      </c>
      <c r="S570" s="92"/>
      <c r="T570" s="92">
        <v>0.23599999999999999</v>
      </c>
      <c r="U570" s="92"/>
      <c r="V570" s="90" t="s">
        <v>1407</v>
      </c>
      <c r="W570" s="92">
        <v>973</v>
      </c>
      <c r="X570" s="92"/>
      <c r="Y570" s="92"/>
      <c r="Z570" s="92" t="s">
        <v>863</v>
      </c>
      <c r="AA570" s="92">
        <v>1</v>
      </c>
      <c r="AB570" s="92" t="s">
        <v>1142</v>
      </c>
      <c r="AC570" s="92">
        <v>3.16</v>
      </c>
      <c r="AD570" s="92">
        <v>2.96</v>
      </c>
      <c r="AE570" s="92">
        <v>2</v>
      </c>
      <c r="AF570" s="92">
        <v>10</v>
      </c>
      <c r="AG570" s="92"/>
      <c r="AH570" s="92"/>
      <c r="AI570" s="92" t="s">
        <v>1534</v>
      </c>
      <c r="AJ570" s="92">
        <v>450</v>
      </c>
      <c r="AK570" s="92"/>
      <c r="AL570" s="92">
        <v>886.87</v>
      </c>
    </row>
    <row r="571" spans="1:39" ht="15" thickBot="1" x14ac:dyDescent="0.35">
      <c r="A571" s="118" t="s">
        <v>1711</v>
      </c>
      <c r="B571" s="115" t="s">
        <v>3109</v>
      </c>
      <c r="C571" s="115" t="s">
        <v>3112</v>
      </c>
      <c r="D571" s="92"/>
      <c r="E571" s="122"/>
      <c r="F571" s="92" t="s">
        <v>1557</v>
      </c>
      <c r="G571" s="92"/>
      <c r="H571" s="92"/>
      <c r="I571" s="92" t="s">
        <v>1068</v>
      </c>
      <c r="J571" s="92" t="s">
        <v>1569</v>
      </c>
      <c r="K571" s="92"/>
      <c r="L571" s="92" t="s">
        <v>1531</v>
      </c>
      <c r="M571" s="92"/>
      <c r="N571" s="92">
        <v>0.18099999999999999</v>
      </c>
      <c r="O571" s="92"/>
      <c r="P571" s="92"/>
      <c r="Q571" s="92">
        <v>0.43</v>
      </c>
      <c r="R571" s="92">
        <v>0.16600000000000001</v>
      </c>
      <c r="S571" s="92"/>
      <c r="T571" s="92">
        <v>0.223</v>
      </c>
      <c r="U571" s="92"/>
      <c r="V571" s="90" t="s">
        <v>1407</v>
      </c>
      <c r="W571" s="92">
        <v>973</v>
      </c>
      <c r="X571" s="92"/>
      <c r="Y571" s="92"/>
      <c r="Z571" s="92" t="s">
        <v>863</v>
      </c>
      <c r="AA571" s="92">
        <v>1</v>
      </c>
      <c r="AB571" s="92" t="s">
        <v>1142</v>
      </c>
      <c r="AC571" s="92">
        <v>3.08</v>
      </c>
      <c r="AD571" s="92">
        <v>8.5500000000000007</v>
      </c>
      <c r="AE571" s="92">
        <v>2</v>
      </c>
      <c r="AF571" s="92">
        <v>10</v>
      </c>
      <c r="AG571" s="92"/>
      <c r="AH571" s="92"/>
      <c r="AI571" s="92" t="s">
        <v>1534</v>
      </c>
      <c r="AJ571" s="92">
        <v>450</v>
      </c>
      <c r="AK571" s="92"/>
      <c r="AL571" s="92">
        <v>517.95000000000005</v>
      </c>
    </row>
    <row r="572" spans="1:39" ht="15" thickBot="1" x14ac:dyDescent="0.35">
      <c r="A572" s="118" t="s">
        <v>1711</v>
      </c>
      <c r="B572" s="115" t="s">
        <v>3109</v>
      </c>
      <c r="C572" s="115" t="s">
        <v>3113</v>
      </c>
      <c r="D572" s="92"/>
      <c r="E572" s="122"/>
      <c r="F572" s="92" t="s">
        <v>1557</v>
      </c>
      <c r="G572" s="92"/>
      <c r="H572" s="92"/>
      <c r="I572" s="92" t="s">
        <v>1068</v>
      </c>
      <c r="J572" s="92" t="s">
        <v>1569</v>
      </c>
      <c r="K572" s="92"/>
      <c r="L572" s="92" t="s">
        <v>1531</v>
      </c>
      <c r="M572" s="92"/>
      <c r="N572" s="92">
        <v>0.16300000000000001</v>
      </c>
      <c r="O572" s="92"/>
      <c r="P572" s="92"/>
      <c r="Q572" s="92">
        <v>0.38800000000000001</v>
      </c>
      <c r="R572" s="92">
        <v>0.248</v>
      </c>
      <c r="S572" s="92"/>
      <c r="T572" s="92">
        <v>0.20100000000000001</v>
      </c>
      <c r="U572" s="92"/>
      <c r="V572" s="90" t="s">
        <v>1407</v>
      </c>
      <c r="W572" s="92">
        <v>973</v>
      </c>
      <c r="X572" s="92"/>
      <c r="Y572" s="92"/>
      <c r="Z572" s="92" t="s">
        <v>863</v>
      </c>
      <c r="AA572" s="92">
        <v>1</v>
      </c>
      <c r="AB572" s="92" t="s">
        <v>1142</v>
      </c>
      <c r="AC572" s="92">
        <v>3.01</v>
      </c>
      <c r="AD572" s="92">
        <v>14.55</v>
      </c>
      <c r="AE572" s="92">
        <v>2</v>
      </c>
      <c r="AF572" s="92">
        <v>10</v>
      </c>
      <c r="AG572" s="92"/>
      <c r="AH572" s="92"/>
      <c r="AI572" s="92" t="s">
        <v>1534</v>
      </c>
      <c r="AJ572" s="92">
        <v>450</v>
      </c>
      <c r="AK572" s="92"/>
      <c r="AL572" s="92">
        <v>520.79999999999995</v>
      </c>
    </row>
    <row r="573" spans="1:39" ht="15" thickBot="1" x14ac:dyDescent="0.35">
      <c r="A573" s="118" t="s">
        <v>1711</v>
      </c>
      <c r="B573" s="115" t="s">
        <v>3109</v>
      </c>
      <c r="C573" s="115" t="s">
        <v>3112</v>
      </c>
      <c r="D573" s="92"/>
      <c r="E573" s="122"/>
      <c r="F573" s="92" t="s">
        <v>1557</v>
      </c>
      <c r="G573" s="92"/>
      <c r="H573" s="92"/>
      <c r="I573" s="92" t="s">
        <v>1068</v>
      </c>
      <c r="J573" s="92" t="s">
        <v>1569</v>
      </c>
      <c r="K573" s="92"/>
      <c r="L573" s="92" t="s">
        <v>1531</v>
      </c>
      <c r="M573" s="92"/>
      <c r="N573" s="92">
        <v>0.18099999999999999</v>
      </c>
      <c r="O573" s="92"/>
      <c r="P573" s="92"/>
      <c r="Q573" s="92">
        <v>0.43</v>
      </c>
      <c r="R573" s="92">
        <v>0.16600000000000001</v>
      </c>
      <c r="S573" s="92"/>
      <c r="T573" s="92">
        <v>0.223</v>
      </c>
      <c r="U573" s="92"/>
      <c r="V573" s="90" t="s">
        <v>1407</v>
      </c>
      <c r="W573" s="92">
        <v>973</v>
      </c>
      <c r="X573" s="92"/>
      <c r="Y573" s="92"/>
      <c r="Z573" s="92" t="s">
        <v>863</v>
      </c>
      <c r="AA573" s="92">
        <v>0.5</v>
      </c>
      <c r="AB573" s="92" t="s">
        <v>1142</v>
      </c>
      <c r="AC573" s="92">
        <v>3.08</v>
      </c>
      <c r="AD573" s="92">
        <v>8.5500000000000007</v>
      </c>
      <c r="AE573" s="92">
        <v>2</v>
      </c>
      <c r="AF573" s="92">
        <v>10</v>
      </c>
      <c r="AG573" s="92"/>
      <c r="AH573" s="92"/>
      <c r="AI573" s="92" t="s">
        <v>1534</v>
      </c>
      <c r="AJ573" s="92">
        <v>450</v>
      </c>
      <c r="AK573" s="92"/>
      <c r="AL573" s="92">
        <v>895</v>
      </c>
    </row>
    <row r="574" spans="1:39" ht="15" thickBot="1" x14ac:dyDescent="0.35">
      <c r="A574" s="118" t="s">
        <v>1711</v>
      </c>
      <c r="B574" s="115" t="s">
        <v>3109</v>
      </c>
      <c r="C574" s="115" t="s">
        <v>3112</v>
      </c>
      <c r="D574" s="92"/>
      <c r="E574" s="122"/>
      <c r="F574" s="92" t="s">
        <v>1557</v>
      </c>
      <c r="G574" s="92"/>
      <c r="H574" s="92"/>
      <c r="I574" s="92" t="s">
        <v>1068</v>
      </c>
      <c r="J574" s="92" t="s">
        <v>1569</v>
      </c>
      <c r="K574" s="92"/>
      <c r="L574" s="92" t="s">
        <v>1531</v>
      </c>
      <c r="M574" s="92"/>
      <c r="N574" s="92">
        <v>0.18099999999999999</v>
      </c>
      <c r="O574" s="92"/>
      <c r="P574" s="92"/>
      <c r="Q574" s="92">
        <v>0.43</v>
      </c>
      <c r="R574" s="92">
        <v>0.16600000000000001</v>
      </c>
      <c r="S574" s="92"/>
      <c r="T574" s="92">
        <v>0.223</v>
      </c>
      <c r="U574" s="92"/>
      <c r="V574" s="90" t="s">
        <v>1407</v>
      </c>
      <c r="W574" s="92">
        <v>973</v>
      </c>
      <c r="X574" s="92"/>
      <c r="Y574" s="92"/>
      <c r="Z574" s="92" t="s">
        <v>863</v>
      </c>
      <c r="AA574" s="92">
        <v>2</v>
      </c>
      <c r="AB574" s="92" t="s">
        <v>1142</v>
      </c>
      <c r="AC574" s="92">
        <v>3.08</v>
      </c>
      <c r="AD574" s="92">
        <v>8.5500000000000007</v>
      </c>
      <c r="AE574" s="92">
        <v>2</v>
      </c>
      <c r="AF574" s="92">
        <v>10</v>
      </c>
      <c r="AG574" s="92"/>
      <c r="AH574" s="92"/>
      <c r="AI574" s="92" t="s">
        <v>1534</v>
      </c>
      <c r="AJ574" s="92">
        <v>450</v>
      </c>
      <c r="AK574" s="92"/>
      <c r="AL574" s="92">
        <v>458.33</v>
      </c>
    </row>
    <row r="575" spans="1:39" ht="15" thickBot="1" x14ac:dyDescent="0.35">
      <c r="A575" s="118" t="s">
        <v>1712</v>
      </c>
      <c r="B575" s="115" t="s">
        <v>3114</v>
      </c>
      <c r="C575" s="115" t="s">
        <v>1376</v>
      </c>
      <c r="D575" s="122"/>
      <c r="E575" s="122"/>
      <c r="F575" s="92" t="s">
        <v>1529</v>
      </c>
      <c r="G575" s="92"/>
      <c r="H575" s="92"/>
      <c r="I575" s="92" t="s">
        <v>1530</v>
      </c>
      <c r="J575" s="92"/>
      <c r="K575" s="92"/>
      <c r="L575" s="92" t="s">
        <v>1531</v>
      </c>
      <c r="M575" s="92"/>
      <c r="N575" s="92">
        <v>0.47799999999999998</v>
      </c>
      <c r="O575" s="92"/>
      <c r="P575" s="92"/>
      <c r="Q575" s="92">
        <v>0.26100000000000001</v>
      </c>
      <c r="R575" s="92"/>
      <c r="S575" s="92"/>
      <c r="T575" s="92">
        <v>0.26200000000000001</v>
      </c>
      <c r="U575" s="92"/>
      <c r="V575" s="90" t="s">
        <v>1407</v>
      </c>
      <c r="W575" s="92">
        <v>1373</v>
      </c>
      <c r="X575" s="92">
        <v>10</v>
      </c>
      <c r="Y575" s="92"/>
      <c r="Z575" s="92"/>
      <c r="AA575" s="92"/>
      <c r="AB575" s="92" t="s">
        <v>518</v>
      </c>
      <c r="AC575" s="92">
        <v>3.2</v>
      </c>
      <c r="AD575" s="92"/>
      <c r="AE575" s="92">
        <v>1</v>
      </c>
      <c r="AF575" s="92">
        <v>0</v>
      </c>
      <c r="AG575" s="92"/>
      <c r="AH575" s="92"/>
      <c r="AI575" s="92" t="s">
        <v>1370</v>
      </c>
      <c r="AJ575" s="92">
        <v>420</v>
      </c>
      <c r="AK575" s="92">
        <v>420</v>
      </c>
      <c r="AL575" s="92">
        <v>0.6</v>
      </c>
    </row>
    <row r="576" spans="1:39" ht="15" thickBot="1" x14ac:dyDescent="0.35">
      <c r="A576" s="118" t="s">
        <v>1712</v>
      </c>
      <c r="B576" s="115" t="s">
        <v>3114</v>
      </c>
      <c r="C576" s="115" t="s">
        <v>1376</v>
      </c>
      <c r="D576" s="122"/>
      <c r="E576" s="122"/>
      <c r="F576" s="92" t="s">
        <v>1529</v>
      </c>
      <c r="G576" s="92"/>
      <c r="H576" s="92"/>
      <c r="I576" s="92" t="s">
        <v>1530</v>
      </c>
      <c r="J576" s="92"/>
      <c r="K576" s="92"/>
      <c r="L576" s="92" t="s">
        <v>1531</v>
      </c>
      <c r="M576" s="92"/>
      <c r="N576" s="92">
        <v>0.47799999999999998</v>
      </c>
      <c r="O576" s="92"/>
      <c r="P576" s="92"/>
      <c r="Q576" s="92">
        <v>0.26100000000000001</v>
      </c>
      <c r="R576" s="92"/>
      <c r="S576" s="92"/>
      <c r="T576" s="92">
        <v>0.26200000000000001</v>
      </c>
      <c r="U576" s="92"/>
      <c r="V576" s="90" t="s">
        <v>1407</v>
      </c>
      <c r="W576" s="92">
        <v>1373</v>
      </c>
      <c r="X576" s="92">
        <v>10</v>
      </c>
      <c r="Y576" s="92"/>
      <c r="Z576" s="92" t="s">
        <v>56</v>
      </c>
      <c r="AA576" s="92">
        <v>0.5</v>
      </c>
      <c r="AB576" s="92" t="s">
        <v>518</v>
      </c>
      <c r="AC576" s="92">
        <v>3.2</v>
      </c>
      <c r="AD576" s="92"/>
      <c r="AE576" s="92">
        <v>1</v>
      </c>
      <c r="AF576" s="92">
        <v>0</v>
      </c>
      <c r="AG576" s="92"/>
      <c r="AH576" s="92"/>
      <c r="AI576" s="92" t="s">
        <v>1370</v>
      </c>
      <c r="AJ576" s="92">
        <v>420</v>
      </c>
      <c r="AK576" s="92">
        <v>420</v>
      </c>
      <c r="AL576" s="92">
        <v>3</v>
      </c>
    </row>
    <row r="577" spans="1:38" ht="15" thickBot="1" x14ac:dyDescent="0.35">
      <c r="A577" s="118" t="s">
        <v>1712</v>
      </c>
      <c r="B577" s="115" t="s">
        <v>3114</v>
      </c>
      <c r="C577" s="115" t="s">
        <v>1376</v>
      </c>
      <c r="D577" s="122"/>
      <c r="E577" s="122"/>
      <c r="F577" s="92" t="s">
        <v>1529</v>
      </c>
      <c r="G577" s="92"/>
      <c r="H577" s="92"/>
      <c r="I577" s="92" t="s">
        <v>1530</v>
      </c>
      <c r="J577" s="92"/>
      <c r="K577" s="92"/>
      <c r="L577" s="92" t="s">
        <v>1531</v>
      </c>
      <c r="M577" s="92"/>
      <c r="N577" s="92">
        <v>0.47799999999999998</v>
      </c>
      <c r="O577" s="92"/>
      <c r="P577" s="92"/>
      <c r="Q577" s="92">
        <v>0.26100000000000001</v>
      </c>
      <c r="R577" s="92"/>
      <c r="S577" s="92"/>
      <c r="T577" s="92">
        <v>0.26200000000000001</v>
      </c>
      <c r="U577" s="92"/>
      <c r="V577" s="90" t="s">
        <v>1407</v>
      </c>
      <c r="W577" s="92">
        <v>1373</v>
      </c>
      <c r="X577" s="92">
        <v>10</v>
      </c>
      <c r="Y577" s="92"/>
      <c r="Z577" s="92" t="s">
        <v>56</v>
      </c>
      <c r="AA577" s="92">
        <v>1</v>
      </c>
      <c r="AB577" s="92" t="s">
        <v>518</v>
      </c>
      <c r="AC577" s="92">
        <v>3.2</v>
      </c>
      <c r="AD577" s="92"/>
      <c r="AE577" s="92">
        <v>1</v>
      </c>
      <c r="AF577" s="92">
        <v>0</v>
      </c>
      <c r="AG577" s="92"/>
      <c r="AH577" s="92"/>
      <c r="AI577" s="92" t="s">
        <v>1370</v>
      </c>
      <c r="AJ577" s="92">
        <v>420</v>
      </c>
      <c r="AK577" s="92">
        <v>420</v>
      </c>
      <c r="AL577" s="92">
        <v>12</v>
      </c>
    </row>
    <row r="578" spans="1:38" ht="15" thickBot="1" x14ac:dyDescent="0.35">
      <c r="A578" s="118" t="s">
        <v>1712</v>
      </c>
      <c r="B578" s="115" t="s">
        <v>3114</v>
      </c>
      <c r="C578" s="115" t="s">
        <v>1376</v>
      </c>
      <c r="D578" s="122"/>
      <c r="E578" s="122"/>
      <c r="F578" s="92" t="s">
        <v>1529</v>
      </c>
      <c r="G578" s="92"/>
      <c r="H578" s="92"/>
      <c r="I578" s="92" t="s">
        <v>1530</v>
      </c>
      <c r="J578" s="92"/>
      <c r="K578" s="92"/>
      <c r="L578" s="92" t="s">
        <v>1531</v>
      </c>
      <c r="M578" s="92"/>
      <c r="N578" s="92">
        <v>0.47799999999999998</v>
      </c>
      <c r="O578" s="92"/>
      <c r="P578" s="92"/>
      <c r="Q578" s="92">
        <v>0.26100000000000001</v>
      </c>
      <c r="R578" s="92"/>
      <c r="S578" s="92"/>
      <c r="T578" s="92">
        <v>0.26200000000000001</v>
      </c>
      <c r="U578" s="92"/>
      <c r="V578" s="90" t="s">
        <v>1264</v>
      </c>
      <c r="W578" s="92">
        <v>1373</v>
      </c>
      <c r="X578" s="92">
        <v>10</v>
      </c>
      <c r="Y578" s="92"/>
      <c r="Z578" s="92" t="s">
        <v>56</v>
      </c>
      <c r="AA578" s="92">
        <v>3</v>
      </c>
      <c r="AB578" s="92" t="s">
        <v>518</v>
      </c>
      <c r="AC578" s="92">
        <v>3.2</v>
      </c>
      <c r="AD578" s="92"/>
      <c r="AE578" s="92">
        <v>1</v>
      </c>
      <c r="AF578" s="92">
        <v>0</v>
      </c>
      <c r="AG578" s="92"/>
      <c r="AH578" s="92"/>
      <c r="AI578" s="92" t="s">
        <v>1370</v>
      </c>
      <c r="AJ578" s="92">
        <v>420</v>
      </c>
      <c r="AK578" s="92">
        <v>420</v>
      </c>
      <c r="AL578" s="92">
        <v>3</v>
      </c>
    </row>
    <row r="579" spans="1:38" ht="15" thickBot="1" x14ac:dyDescent="0.35">
      <c r="A579" s="118" t="s">
        <v>1713</v>
      </c>
      <c r="B579" s="115" t="s">
        <v>3115</v>
      </c>
      <c r="C579" s="115" t="s">
        <v>28</v>
      </c>
      <c r="D579" s="122"/>
      <c r="E579" s="122"/>
      <c r="F579" s="92" t="s">
        <v>1578</v>
      </c>
      <c r="G579" s="92"/>
      <c r="H579" s="92"/>
      <c r="I579" s="92" t="s">
        <v>1558</v>
      </c>
      <c r="J579" s="92"/>
      <c r="K579" s="92"/>
      <c r="L579" s="92" t="s">
        <v>1531</v>
      </c>
      <c r="M579" s="92"/>
      <c r="N579" s="92">
        <v>9.0999999999999998E-2</v>
      </c>
      <c r="O579" s="92"/>
      <c r="P579" s="92"/>
      <c r="Q579" s="92">
        <v>0.71799999999999997</v>
      </c>
      <c r="R579" s="92"/>
      <c r="S579" s="92"/>
      <c r="T579" s="92">
        <v>0.191</v>
      </c>
      <c r="U579" s="92"/>
      <c r="V579" s="90" t="s">
        <v>1264</v>
      </c>
      <c r="W579" s="92">
        <v>1023</v>
      </c>
      <c r="X579" s="92">
        <v>2</v>
      </c>
      <c r="Y579" s="92"/>
      <c r="Z579" s="92"/>
      <c r="AA579" s="92"/>
      <c r="AB579" s="92" t="s">
        <v>1142</v>
      </c>
      <c r="AC579" s="92">
        <v>3.97</v>
      </c>
      <c r="AD579" s="92"/>
      <c r="AE579" s="92">
        <v>1</v>
      </c>
      <c r="AF579" s="92">
        <v>10</v>
      </c>
      <c r="AG579" s="92"/>
      <c r="AH579" s="92"/>
      <c r="AI579" s="92" t="s">
        <v>1534</v>
      </c>
      <c r="AJ579" s="92">
        <v>300</v>
      </c>
      <c r="AK579" s="92">
        <v>400</v>
      </c>
      <c r="AL579" s="92">
        <v>633</v>
      </c>
    </row>
    <row r="580" spans="1:38" ht="15" thickBot="1" x14ac:dyDescent="0.35">
      <c r="A580" s="118" t="s">
        <v>1713</v>
      </c>
      <c r="B580" s="115" t="s">
        <v>3115</v>
      </c>
      <c r="C580" s="115" t="s">
        <v>3116</v>
      </c>
      <c r="D580" s="122"/>
      <c r="E580" s="122"/>
      <c r="F580" s="92" t="s">
        <v>1578</v>
      </c>
      <c r="G580" s="92"/>
      <c r="H580" s="92"/>
      <c r="I580" s="92" t="s">
        <v>1558</v>
      </c>
      <c r="J580" s="92" t="s">
        <v>1068</v>
      </c>
      <c r="K580" s="92"/>
      <c r="L580" s="92" t="s">
        <v>1531</v>
      </c>
      <c r="M580" s="92">
        <f>O580/(O580+P580)</f>
        <v>0.90058969763542818</v>
      </c>
      <c r="N580" s="92">
        <v>9.5000000000000001E-2</v>
      </c>
      <c r="O580" s="92">
        <f>Q580/181</f>
        <v>3.7016574585635362E-3</v>
      </c>
      <c r="P580" s="92">
        <f>R580/93</f>
        <v>4.0860215053763438E-4</v>
      </c>
      <c r="Q580" s="92">
        <v>0.67</v>
      </c>
      <c r="R580" s="92">
        <v>3.7999999999999999E-2</v>
      </c>
      <c r="S580" s="92"/>
      <c r="T580" s="92">
        <v>0.19700000000000001</v>
      </c>
      <c r="U580" s="92"/>
      <c r="V580" s="90" t="s">
        <v>1264</v>
      </c>
      <c r="W580" s="92">
        <v>1023</v>
      </c>
      <c r="X580" s="92">
        <v>2</v>
      </c>
      <c r="Y580" s="92"/>
      <c r="Z580" s="92"/>
      <c r="AA580" s="92"/>
      <c r="AB580" s="92" t="s">
        <v>1142</v>
      </c>
      <c r="AC580" s="92">
        <v>3.9</v>
      </c>
      <c r="AD580" s="92"/>
      <c r="AE580" s="92">
        <v>1</v>
      </c>
      <c r="AF580" s="92">
        <v>10</v>
      </c>
      <c r="AG580" s="92"/>
      <c r="AH580" s="92"/>
      <c r="AI580" s="92" t="s">
        <v>1534</v>
      </c>
      <c r="AJ580" s="92">
        <v>300</v>
      </c>
      <c r="AK580" s="92">
        <v>400</v>
      </c>
      <c r="AL580" s="92">
        <v>717</v>
      </c>
    </row>
    <row r="581" spans="1:38" ht="15" thickBot="1" x14ac:dyDescent="0.35">
      <c r="A581" s="118" t="s">
        <v>1713</v>
      </c>
      <c r="B581" s="115" t="s">
        <v>3115</v>
      </c>
      <c r="C581" s="115" t="s">
        <v>3117</v>
      </c>
      <c r="D581" s="122"/>
      <c r="E581" s="122"/>
      <c r="F581" s="92" t="s">
        <v>1578</v>
      </c>
      <c r="G581" s="92"/>
      <c r="H581" s="92"/>
      <c r="I581" s="92" t="s">
        <v>1558</v>
      </c>
      <c r="J581" s="92" t="s">
        <v>1068</v>
      </c>
      <c r="K581" s="92"/>
      <c r="L581" s="92" t="s">
        <v>1531</v>
      </c>
      <c r="M581" s="92">
        <f t="shared" ref="M581:M585" si="18">O581/(O581+P581)</f>
        <v>0.80077466456745583</v>
      </c>
      <c r="N581" s="92">
        <v>9.8000000000000004E-2</v>
      </c>
      <c r="O581" s="92">
        <f t="shared" ref="O581:O585" si="19">Q581/181</f>
        <v>3.4143646408839779E-3</v>
      </c>
      <c r="P581" s="92">
        <f t="shared" ref="P581:P585" si="20">R581/93</f>
        <v>8.4946236559139781E-4</v>
      </c>
      <c r="Q581" s="92">
        <v>0.61799999999999999</v>
      </c>
      <c r="R581" s="92">
        <v>7.9000000000000001E-2</v>
      </c>
      <c r="S581" s="92"/>
      <c r="T581" s="92">
        <v>0.20499999999999999</v>
      </c>
      <c r="U581" s="92"/>
      <c r="V581" s="90" t="s">
        <v>1264</v>
      </c>
      <c r="W581" s="92">
        <v>1023</v>
      </c>
      <c r="X581" s="92">
        <v>2</v>
      </c>
      <c r="Y581" s="92"/>
      <c r="Z581" s="92"/>
      <c r="AA581" s="92"/>
      <c r="AB581" s="92" t="s">
        <v>1142</v>
      </c>
      <c r="AC581" s="92">
        <v>3.83</v>
      </c>
      <c r="AD581" s="92"/>
      <c r="AE581" s="92">
        <v>1</v>
      </c>
      <c r="AF581" s="92">
        <v>10</v>
      </c>
      <c r="AG581" s="92"/>
      <c r="AH581" s="92"/>
      <c r="AI581" s="92" t="s">
        <v>1534</v>
      </c>
      <c r="AJ581" s="92">
        <v>300</v>
      </c>
      <c r="AK581" s="92">
        <v>400</v>
      </c>
      <c r="AL581" s="92">
        <v>1333</v>
      </c>
    </row>
    <row r="582" spans="1:38" ht="15" thickBot="1" x14ac:dyDescent="0.35">
      <c r="A582" s="118" t="s">
        <v>1713</v>
      </c>
      <c r="B582" s="115" t="s">
        <v>3115</v>
      </c>
      <c r="C582" s="115" t="s">
        <v>3118</v>
      </c>
      <c r="D582" s="122"/>
      <c r="E582" s="122"/>
      <c r="F582" s="92" t="s">
        <v>1578</v>
      </c>
      <c r="G582" s="92"/>
      <c r="H582" s="92"/>
      <c r="I582" s="92" t="s">
        <v>1558</v>
      </c>
      <c r="J582" s="92" t="s">
        <v>1068</v>
      </c>
      <c r="K582" s="92"/>
      <c r="L582" s="92" t="s">
        <v>1531</v>
      </c>
      <c r="M582" s="92">
        <f t="shared" si="18"/>
        <v>0.69958506224066397</v>
      </c>
      <c r="N582" s="92">
        <v>0.10199999999999999</v>
      </c>
      <c r="O582" s="92">
        <f t="shared" si="19"/>
        <v>3.1049723756906081E-3</v>
      </c>
      <c r="P582" s="92">
        <f t="shared" si="20"/>
        <v>1.3333333333333333E-3</v>
      </c>
      <c r="Q582" s="92">
        <v>0.56200000000000006</v>
      </c>
      <c r="R582" s="92">
        <v>0.124</v>
      </c>
      <c r="S582" s="92"/>
      <c r="T582" s="92">
        <v>0.21299999999999999</v>
      </c>
      <c r="U582" s="92"/>
      <c r="V582" s="90" t="s">
        <v>1538</v>
      </c>
      <c r="W582" s="92">
        <v>1023</v>
      </c>
      <c r="X582" s="92">
        <v>2</v>
      </c>
      <c r="Y582" s="92"/>
      <c r="Z582" s="92"/>
      <c r="AA582" s="92"/>
      <c r="AB582" s="92" t="s">
        <v>1142</v>
      </c>
      <c r="AC582" s="92">
        <v>3.76</v>
      </c>
      <c r="AD582" s="92"/>
      <c r="AE582" s="92">
        <v>1</v>
      </c>
      <c r="AF582" s="92">
        <v>10</v>
      </c>
      <c r="AG582" s="92"/>
      <c r="AH582" s="92"/>
      <c r="AI582" s="92" t="s">
        <v>1534</v>
      </c>
      <c r="AJ582" s="92">
        <v>300</v>
      </c>
      <c r="AK582" s="92">
        <v>400</v>
      </c>
      <c r="AL582" s="92">
        <v>2000</v>
      </c>
    </row>
    <row r="583" spans="1:38" ht="15" thickBot="1" x14ac:dyDescent="0.35">
      <c r="A583" s="118" t="s">
        <v>1713</v>
      </c>
      <c r="B583" s="115" t="s">
        <v>3115</v>
      </c>
      <c r="C583" s="115" t="s">
        <v>3120</v>
      </c>
      <c r="D583" s="122"/>
      <c r="E583" s="122"/>
      <c r="F583" s="92" t="s">
        <v>1578</v>
      </c>
      <c r="G583" s="92"/>
      <c r="H583" s="92"/>
      <c r="I583" s="92" t="s">
        <v>1558</v>
      </c>
      <c r="J583" s="92" t="s">
        <v>1068</v>
      </c>
      <c r="K583" s="92"/>
      <c r="L583" s="92" t="s">
        <v>1531</v>
      </c>
      <c r="M583" s="92">
        <f t="shared" si="18"/>
        <v>0.50056918013313867</v>
      </c>
      <c r="N583" s="92">
        <v>0.111</v>
      </c>
      <c r="O583" s="92">
        <f t="shared" si="19"/>
        <v>2.4033149171270719E-3</v>
      </c>
      <c r="P583" s="92">
        <f t="shared" si="20"/>
        <v>2.3978494623655916E-3</v>
      </c>
      <c r="Q583" s="92">
        <v>0.435</v>
      </c>
      <c r="R583" s="92">
        <v>0.223</v>
      </c>
      <c r="S583" s="92"/>
      <c r="T583" s="92">
        <v>0.23100000000000001</v>
      </c>
      <c r="U583" s="92"/>
      <c r="V583" s="90" t="s">
        <v>1538</v>
      </c>
      <c r="W583" s="92">
        <v>1023</v>
      </c>
      <c r="X583" s="92">
        <v>2</v>
      </c>
      <c r="Y583" s="92"/>
      <c r="Z583" s="92"/>
      <c r="AA583" s="92"/>
      <c r="AB583" s="92" t="s">
        <v>1142</v>
      </c>
      <c r="AC583" s="92">
        <v>3.69</v>
      </c>
      <c r="AD583" s="92"/>
      <c r="AE583" s="92">
        <v>1</v>
      </c>
      <c r="AF583" s="92">
        <v>10</v>
      </c>
      <c r="AG583" s="92"/>
      <c r="AH583" s="92"/>
      <c r="AI583" s="92" t="s">
        <v>1534</v>
      </c>
      <c r="AJ583" s="92">
        <v>300</v>
      </c>
      <c r="AK583" s="92">
        <v>400</v>
      </c>
      <c r="AL583" s="92">
        <v>2416</v>
      </c>
    </row>
    <row r="584" spans="1:38" ht="15" thickBot="1" x14ac:dyDescent="0.35">
      <c r="A584" s="118" t="s">
        <v>1713</v>
      </c>
      <c r="B584" s="115" t="s">
        <v>3115</v>
      </c>
      <c r="C584" s="115" t="s">
        <v>3119</v>
      </c>
      <c r="D584" s="122"/>
      <c r="E584" s="122"/>
      <c r="F584" s="92" t="s">
        <v>1578</v>
      </c>
      <c r="G584" s="92"/>
      <c r="H584" s="92"/>
      <c r="I584" s="92" t="s">
        <v>1558</v>
      </c>
      <c r="J584" s="92" t="s">
        <v>1068</v>
      </c>
      <c r="K584" s="92"/>
      <c r="L584" s="92" t="s">
        <v>1531</v>
      </c>
      <c r="M584" s="92">
        <f t="shared" si="18"/>
        <v>0.29980657640232106</v>
      </c>
      <c r="N584" s="92">
        <v>0.121</v>
      </c>
      <c r="O584" s="92">
        <f t="shared" si="19"/>
        <v>1.5745856353591159E-3</v>
      </c>
      <c r="P584" s="92">
        <f t="shared" si="20"/>
        <v>3.67741935483871E-3</v>
      </c>
      <c r="Q584" s="92">
        <v>0.28499999999999998</v>
      </c>
      <c r="R584" s="92">
        <v>0.34200000000000003</v>
      </c>
      <c r="S584" s="92"/>
      <c r="T584" s="92">
        <v>0.252</v>
      </c>
      <c r="U584" s="92"/>
      <c r="V584" s="90" t="s">
        <v>1538</v>
      </c>
      <c r="W584" s="92">
        <v>1023</v>
      </c>
      <c r="X584" s="92">
        <v>2</v>
      </c>
      <c r="Y584" s="92"/>
      <c r="Z584" s="92"/>
      <c r="AA584" s="92"/>
      <c r="AB584" s="92" t="s">
        <v>518</v>
      </c>
      <c r="AC584" s="92">
        <v>3.62</v>
      </c>
      <c r="AD584" s="92"/>
      <c r="AE584" s="92">
        <v>1</v>
      </c>
      <c r="AF584" s="92">
        <v>10</v>
      </c>
      <c r="AG584" s="92"/>
      <c r="AH584" s="92"/>
      <c r="AI584" s="92" t="s">
        <v>1534</v>
      </c>
      <c r="AJ584" s="92">
        <v>300</v>
      </c>
      <c r="AK584" s="92">
        <v>400</v>
      </c>
      <c r="AL584" s="92">
        <v>1583</v>
      </c>
    </row>
    <row r="585" spans="1:38" ht="15" thickBot="1" x14ac:dyDescent="0.35">
      <c r="A585" s="118" t="s">
        <v>1713</v>
      </c>
      <c r="B585" s="115" t="s">
        <v>3115</v>
      </c>
      <c r="C585" s="115" t="s">
        <v>3121</v>
      </c>
      <c r="D585" s="122"/>
      <c r="E585" s="122"/>
      <c r="F585" s="92" t="s">
        <v>1578</v>
      </c>
      <c r="G585" s="92"/>
      <c r="H585" s="92"/>
      <c r="I585" s="92" t="s">
        <v>1558</v>
      </c>
      <c r="J585" s="92" t="s">
        <v>1068</v>
      </c>
      <c r="K585" s="92"/>
      <c r="L585" s="92" t="s">
        <v>1531</v>
      </c>
      <c r="M585" s="92">
        <f t="shared" si="18"/>
        <v>0.19999783867900064</v>
      </c>
      <c r="N585" s="92">
        <v>0.127</v>
      </c>
      <c r="O585" s="92">
        <f t="shared" si="19"/>
        <v>1.0994475138121549E-3</v>
      </c>
      <c r="P585" s="92">
        <f t="shared" si="20"/>
        <v>4.3978494623655908E-3</v>
      </c>
      <c r="Q585" s="92">
        <v>0.19900000000000001</v>
      </c>
      <c r="R585" s="92">
        <v>0.40899999999999997</v>
      </c>
      <c r="S585" s="92"/>
      <c r="T585" s="92">
        <v>0.26400000000000001</v>
      </c>
      <c r="U585" s="92"/>
      <c r="V585" s="90" t="s">
        <v>1538</v>
      </c>
      <c r="W585" s="92">
        <v>1023</v>
      </c>
      <c r="X585" s="92">
        <v>2</v>
      </c>
      <c r="Y585" s="92"/>
      <c r="Z585" s="92"/>
      <c r="AA585" s="92"/>
      <c r="AB585" s="92" t="s">
        <v>518</v>
      </c>
      <c r="AC585" s="92">
        <v>3.55</v>
      </c>
      <c r="AD585" s="92"/>
      <c r="AE585" s="92">
        <v>1</v>
      </c>
      <c r="AF585" s="92">
        <v>10</v>
      </c>
      <c r="AG585" s="92"/>
      <c r="AH585" s="92"/>
      <c r="AI585" s="92" t="s">
        <v>1534</v>
      </c>
      <c r="AJ585" s="92">
        <v>300</v>
      </c>
      <c r="AK585" s="92">
        <v>400</v>
      </c>
      <c r="AL585" s="92">
        <v>1366</v>
      </c>
    </row>
    <row r="586" spans="1:38" ht="15" thickBot="1" x14ac:dyDescent="0.35">
      <c r="A586" s="118" t="s">
        <v>1713</v>
      </c>
      <c r="B586" s="115" t="s">
        <v>3115</v>
      </c>
      <c r="C586" s="115" t="s">
        <v>2902</v>
      </c>
      <c r="D586" s="122"/>
      <c r="E586" s="122"/>
      <c r="F586" s="92" t="s">
        <v>1578</v>
      </c>
      <c r="G586" s="92"/>
      <c r="H586" s="92"/>
      <c r="I586" s="92" t="s">
        <v>1068</v>
      </c>
      <c r="J586" s="92"/>
      <c r="K586" s="92"/>
      <c r="L586" s="92" t="s">
        <v>1531</v>
      </c>
      <c r="M586" s="92"/>
      <c r="N586" s="92">
        <v>0.14000000000000001</v>
      </c>
      <c r="O586" s="92"/>
      <c r="P586" s="92"/>
      <c r="Q586" s="92">
        <v>0.56699999999999995</v>
      </c>
      <c r="R586" s="92"/>
      <c r="S586" s="92"/>
      <c r="T586" s="92">
        <v>0.29299999999999998</v>
      </c>
      <c r="U586" s="92"/>
      <c r="V586" s="90" t="s">
        <v>1538</v>
      </c>
      <c r="W586" s="92">
        <v>1023</v>
      </c>
      <c r="X586" s="92">
        <v>2</v>
      </c>
      <c r="Y586" s="92"/>
      <c r="Z586" s="92"/>
      <c r="AA586" s="92"/>
      <c r="AB586" s="92" t="s">
        <v>518</v>
      </c>
      <c r="AC586" s="92">
        <v>3.43</v>
      </c>
      <c r="AD586" s="92"/>
      <c r="AE586" s="92">
        <v>1</v>
      </c>
      <c r="AF586" s="92">
        <v>10</v>
      </c>
      <c r="AG586" s="92"/>
      <c r="AH586" s="92"/>
      <c r="AI586" s="92" t="s">
        <v>1534</v>
      </c>
      <c r="AJ586" s="92">
        <v>300</v>
      </c>
      <c r="AK586" s="92">
        <v>400</v>
      </c>
      <c r="AL586" s="92">
        <v>950</v>
      </c>
    </row>
    <row r="587" spans="1:38" ht="15" thickBot="1" x14ac:dyDescent="0.35">
      <c r="A587" s="118" t="s">
        <v>1714</v>
      </c>
      <c r="B587" s="115" t="s">
        <v>3122</v>
      </c>
      <c r="C587" s="115" t="s">
        <v>3028</v>
      </c>
      <c r="D587" s="92"/>
      <c r="E587" s="122"/>
      <c r="F587" s="92" t="s">
        <v>1091</v>
      </c>
      <c r="G587" s="92"/>
      <c r="H587" s="92"/>
      <c r="I587" s="92" t="s">
        <v>1530</v>
      </c>
      <c r="J587" s="92"/>
      <c r="K587" s="92"/>
      <c r="L587" s="92" t="s">
        <v>1531</v>
      </c>
      <c r="M587" s="92"/>
      <c r="N587" s="92">
        <v>0.29499999999999998</v>
      </c>
      <c r="O587" s="92"/>
      <c r="P587" s="92"/>
      <c r="Q587" s="92">
        <v>0.35199999999999998</v>
      </c>
      <c r="R587" s="92"/>
      <c r="S587" s="92"/>
      <c r="T587" s="92">
        <v>0.35299999999999998</v>
      </c>
      <c r="U587" s="92"/>
      <c r="V587" s="90" t="s">
        <v>1538</v>
      </c>
      <c r="W587" s="92">
        <v>453</v>
      </c>
      <c r="X587" s="92">
        <v>15</v>
      </c>
      <c r="Y587" s="92" t="s">
        <v>1533</v>
      </c>
      <c r="Z587" s="92" t="s">
        <v>863</v>
      </c>
      <c r="AA587" s="92">
        <v>1</v>
      </c>
      <c r="AB587" s="92" t="s">
        <v>1142</v>
      </c>
      <c r="AC587" s="92">
        <v>3.51</v>
      </c>
      <c r="AD587" s="92">
        <v>5.37</v>
      </c>
      <c r="AE587" s="92">
        <v>1</v>
      </c>
      <c r="AF587" s="92">
        <v>0</v>
      </c>
      <c r="AG587" s="92" t="s">
        <v>1551</v>
      </c>
      <c r="AH587" s="92"/>
      <c r="AI587" s="92" t="s">
        <v>1552</v>
      </c>
      <c r="AJ587" s="92">
        <v>500</v>
      </c>
      <c r="AK587" s="92">
        <v>400</v>
      </c>
      <c r="AL587" s="92">
        <v>156</v>
      </c>
    </row>
    <row r="588" spans="1:38" ht="15" thickBot="1" x14ac:dyDescent="0.35">
      <c r="A588" s="118" t="s">
        <v>1714</v>
      </c>
      <c r="B588" s="115" t="s">
        <v>3122</v>
      </c>
      <c r="C588" s="115" t="s">
        <v>3123</v>
      </c>
      <c r="D588" s="92"/>
      <c r="E588" s="122"/>
      <c r="F588" s="92" t="s">
        <v>1091</v>
      </c>
      <c r="G588" s="92" t="s">
        <v>1088</v>
      </c>
      <c r="H588" s="92"/>
      <c r="I588" s="92" t="s">
        <v>1530</v>
      </c>
      <c r="J588" s="92" t="s">
        <v>1541</v>
      </c>
      <c r="K588" s="92"/>
      <c r="L588" s="92" t="s">
        <v>1531</v>
      </c>
      <c r="M588" s="92"/>
      <c r="N588" s="92">
        <v>0.27</v>
      </c>
      <c r="O588" s="92">
        <v>4.9000000000000002E-2</v>
      </c>
      <c r="P588" s="92"/>
      <c r="Q588" s="92">
        <v>0.32200000000000001</v>
      </c>
      <c r="R588" s="92">
        <v>1.7999999999999999E-2</v>
      </c>
      <c r="S588" s="92"/>
      <c r="T588" s="92">
        <v>0.34</v>
      </c>
      <c r="U588" s="92"/>
      <c r="V588" s="90" t="s">
        <v>1538</v>
      </c>
      <c r="W588" s="92">
        <v>453</v>
      </c>
      <c r="X588" s="92">
        <v>15</v>
      </c>
      <c r="Y588" s="92" t="s">
        <v>1533</v>
      </c>
      <c r="Z588" s="92" t="s">
        <v>863</v>
      </c>
      <c r="AA588" s="92">
        <v>1</v>
      </c>
      <c r="AB588" s="92"/>
      <c r="AC588" s="92">
        <v>2.4900000000000002</v>
      </c>
      <c r="AD588" s="92">
        <v>14.69</v>
      </c>
      <c r="AE588" s="92">
        <v>1</v>
      </c>
      <c r="AF588" s="92">
        <v>0</v>
      </c>
      <c r="AG588" s="92" t="s">
        <v>1551</v>
      </c>
      <c r="AH588" s="92"/>
      <c r="AI588" s="92" t="s">
        <v>1552</v>
      </c>
      <c r="AJ588" s="92">
        <v>500</v>
      </c>
      <c r="AK588" s="92">
        <v>250</v>
      </c>
      <c r="AL588" s="92">
        <v>495</v>
      </c>
    </row>
    <row r="589" spans="1:38" ht="15" thickBot="1" x14ac:dyDescent="0.35">
      <c r="A589" s="118" t="s">
        <v>1714</v>
      </c>
      <c r="B589" s="115" t="s">
        <v>3122</v>
      </c>
      <c r="C589" s="115" t="s">
        <v>3123</v>
      </c>
      <c r="D589" s="92"/>
      <c r="E589" s="122"/>
      <c r="F589" s="92" t="s">
        <v>1091</v>
      </c>
      <c r="G589" s="92" t="s">
        <v>1088</v>
      </c>
      <c r="H589" s="92"/>
      <c r="I589" s="92" t="s">
        <v>1530</v>
      </c>
      <c r="J589" s="92" t="s">
        <v>1541</v>
      </c>
      <c r="K589" s="92"/>
      <c r="L589" s="92" t="s">
        <v>1531</v>
      </c>
      <c r="M589" s="92"/>
      <c r="N589" s="92">
        <v>0.27</v>
      </c>
      <c r="O589" s="92">
        <v>4.9000000000000002E-2</v>
      </c>
      <c r="P589" s="92"/>
      <c r="Q589" s="92">
        <v>0.32200000000000001</v>
      </c>
      <c r="R589" s="92">
        <v>1.7999999999999999E-2</v>
      </c>
      <c r="S589" s="92"/>
      <c r="T589" s="92">
        <v>0.34</v>
      </c>
      <c r="U589" s="92"/>
      <c r="V589" s="90" t="s">
        <v>1538</v>
      </c>
      <c r="W589" s="92">
        <v>453</v>
      </c>
      <c r="X589" s="92">
        <v>15</v>
      </c>
      <c r="Y589" s="92" t="s">
        <v>1533</v>
      </c>
      <c r="Z589" s="92" t="s">
        <v>863</v>
      </c>
      <c r="AA589" s="92">
        <v>1</v>
      </c>
      <c r="AB589" s="92"/>
      <c r="AC589" s="92">
        <v>2.4900000000000002</v>
      </c>
      <c r="AD589" s="92">
        <v>14.69</v>
      </c>
      <c r="AE589" s="92">
        <v>1</v>
      </c>
      <c r="AF589" s="92">
        <v>0</v>
      </c>
      <c r="AG589" s="92" t="s">
        <v>1551</v>
      </c>
      <c r="AH589" s="92"/>
      <c r="AI589" s="92" t="s">
        <v>1552</v>
      </c>
      <c r="AJ589" s="92">
        <v>500</v>
      </c>
      <c r="AK589" s="92">
        <v>400</v>
      </c>
      <c r="AL589" s="92">
        <v>98.1</v>
      </c>
    </row>
    <row r="590" spans="1:38" ht="15" thickBot="1" x14ac:dyDescent="0.35">
      <c r="A590" s="118" t="s">
        <v>1714</v>
      </c>
      <c r="B590" s="115" t="s">
        <v>3122</v>
      </c>
      <c r="C590" s="115" t="s">
        <v>3124</v>
      </c>
      <c r="D590" s="92"/>
      <c r="E590" s="122"/>
      <c r="F590" s="92" t="s">
        <v>1091</v>
      </c>
      <c r="G590" s="92" t="s">
        <v>1088</v>
      </c>
      <c r="H590" s="92"/>
      <c r="I590" s="92" t="s">
        <v>1530</v>
      </c>
      <c r="J590" s="92" t="s">
        <v>1541</v>
      </c>
      <c r="K590" s="92"/>
      <c r="L590" s="92" t="s">
        <v>1531</v>
      </c>
      <c r="M590" s="92"/>
      <c r="N590" s="92">
        <v>0.247</v>
      </c>
      <c r="O590" s="92">
        <v>9.5000000000000001E-2</v>
      </c>
      <c r="P590" s="92"/>
      <c r="Q590" s="92">
        <v>0.29499999999999998</v>
      </c>
      <c r="R590" s="92">
        <v>3.5999999999999997E-2</v>
      </c>
      <c r="S590" s="92"/>
      <c r="T590" s="92">
        <v>0.32800000000000001</v>
      </c>
      <c r="U590" s="92"/>
      <c r="V590" s="90" t="s">
        <v>1407</v>
      </c>
      <c r="W590" s="92">
        <v>453</v>
      </c>
      <c r="X590" s="92">
        <v>15</v>
      </c>
      <c r="Y590" s="92" t="s">
        <v>1533</v>
      </c>
      <c r="Z590" s="92" t="s">
        <v>863</v>
      </c>
      <c r="AA590" s="92">
        <v>1</v>
      </c>
      <c r="AB590" s="92"/>
      <c r="AC590" s="92">
        <v>2.48</v>
      </c>
      <c r="AD590" s="92">
        <v>9.7200000000000006</v>
      </c>
      <c r="AE590" s="92">
        <v>1</v>
      </c>
      <c r="AF590" s="92">
        <v>0</v>
      </c>
      <c r="AG590" s="92" t="s">
        <v>1551</v>
      </c>
      <c r="AH590" s="92"/>
      <c r="AI590" s="92" t="s">
        <v>1552</v>
      </c>
      <c r="AJ590" s="92">
        <v>500</v>
      </c>
      <c r="AK590" s="92">
        <v>250</v>
      </c>
      <c r="AL590" s="92">
        <v>268</v>
      </c>
    </row>
    <row r="591" spans="1:38" ht="15" thickBot="1" x14ac:dyDescent="0.35">
      <c r="A591" s="118" t="s">
        <v>1714</v>
      </c>
      <c r="B591" s="115" t="s">
        <v>3122</v>
      </c>
      <c r="C591" s="115" t="s">
        <v>3124</v>
      </c>
      <c r="D591" s="92"/>
      <c r="E591" s="122"/>
      <c r="F591" s="92" t="s">
        <v>1091</v>
      </c>
      <c r="G591" s="92" t="s">
        <v>1088</v>
      </c>
      <c r="H591" s="92"/>
      <c r="I591" s="92" t="s">
        <v>1530</v>
      </c>
      <c r="J591" s="92" t="s">
        <v>1541</v>
      </c>
      <c r="K591" s="92"/>
      <c r="L591" s="92" t="s">
        <v>1531</v>
      </c>
      <c r="M591" s="92"/>
      <c r="N591" s="92">
        <v>0.247</v>
      </c>
      <c r="O591" s="92">
        <v>9.5000000000000001E-2</v>
      </c>
      <c r="P591" s="92"/>
      <c r="Q591" s="92">
        <v>0.29499999999999998</v>
      </c>
      <c r="R591" s="92">
        <v>3.5999999999999997E-2</v>
      </c>
      <c r="S591" s="92"/>
      <c r="T591" s="92">
        <v>0.32800000000000001</v>
      </c>
      <c r="U591" s="92"/>
      <c r="V591" s="90" t="s">
        <v>1407</v>
      </c>
      <c r="W591" s="92">
        <v>453</v>
      </c>
      <c r="X591" s="92">
        <v>15</v>
      </c>
      <c r="Y591" s="92" t="s">
        <v>1533</v>
      </c>
      <c r="Z591" s="92" t="s">
        <v>863</v>
      </c>
      <c r="AA591" s="92">
        <v>1</v>
      </c>
      <c r="AB591" s="92"/>
      <c r="AC591" s="92">
        <v>2.48</v>
      </c>
      <c r="AD591" s="92">
        <v>9.7200000000000006</v>
      </c>
      <c r="AE591" s="92">
        <v>1</v>
      </c>
      <c r="AF591" s="92">
        <v>0</v>
      </c>
      <c r="AG591" s="92" t="s">
        <v>1551</v>
      </c>
      <c r="AH591" s="92"/>
      <c r="AI591" s="92" t="s">
        <v>1552</v>
      </c>
      <c r="AJ591" s="92">
        <v>500</v>
      </c>
      <c r="AK591" s="92">
        <v>400</v>
      </c>
      <c r="AL591" s="92">
        <v>116</v>
      </c>
    </row>
    <row r="592" spans="1:38" ht="15" thickBot="1" x14ac:dyDescent="0.35">
      <c r="A592" s="118" t="s">
        <v>1714</v>
      </c>
      <c r="B592" s="115" t="s">
        <v>3122</v>
      </c>
      <c r="C592" s="115" t="s">
        <v>3125</v>
      </c>
      <c r="D592" s="92"/>
      <c r="E592" s="122"/>
      <c r="F592" s="92" t="s">
        <v>1091</v>
      </c>
      <c r="G592" s="92" t="s">
        <v>1088</v>
      </c>
      <c r="H592" s="92"/>
      <c r="I592" s="92" t="s">
        <v>1530</v>
      </c>
      <c r="J592" s="92" t="s">
        <v>1541</v>
      </c>
      <c r="K592" s="92"/>
      <c r="L592" s="92" t="s">
        <v>1531</v>
      </c>
      <c r="M592" s="92"/>
      <c r="N592" s="92">
        <v>0.20499999999999999</v>
      </c>
      <c r="O592" s="92">
        <v>0.17699999999999999</v>
      </c>
      <c r="P592" s="92"/>
      <c r="Q592" s="92">
        <v>0.245</v>
      </c>
      <c r="R592" s="92">
        <v>6.6000000000000003E-2</v>
      </c>
      <c r="S592" s="92"/>
      <c r="T592" s="92">
        <v>0.307</v>
      </c>
      <c r="U592" s="92"/>
      <c r="V592" s="90" t="s">
        <v>1407</v>
      </c>
      <c r="W592" s="92">
        <v>453</v>
      </c>
      <c r="X592" s="92">
        <v>15</v>
      </c>
      <c r="Y592" s="92" t="s">
        <v>1533</v>
      </c>
      <c r="Z592" s="92" t="s">
        <v>863</v>
      </c>
      <c r="AA592" s="92">
        <v>1</v>
      </c>
      <c r="AB592" s="92"/>
      <c r="AC592" s="92">
        <v>2.5</v>
      </c>
      <c r="AD592" s="92">
        <v>9.51</v>
      </c>
      <c r="AE592" s="92">
        <v>1</v>
      </c>
      <c r="AF592" s="92">
        <v>0</v>
      </c>
      <c r="AG592" s="92" t="s">
        <v>1551</v>
      </c>
      <c r="AH592" s="92"/>
      <c r="AI592" s="92" t="s">
        <v>1552</v>
      </c>
      <c r="AJ592" s="92">
        <v>500</v>
      </c>
      <c r="AK592" s="92">
        <v>250</v>
      </c>
      <c r="AL592" s="92">
        <v>324</v>
      </c>
    </row>
    <row r="593" spans="1:38" ht="15" thickBot="1" x14ac:dyDescent="0.35">
      <c r="A593" s="118" t="s">
        <v>1714</v>
      </c>
      <c r="B593" s="115" t="s">
        <v>3122</v>
      </c>
      <c r="C593" s="115" t="s">
        <v>3125</v>
      </c>
      <c r="D593" s="92"/>
      <c r="E593" s="122"/>
      <c r="F593" s="92" t="s">
        <v>1091</v>
      </c>
      <c r="G593" s="92" t="s">
        <v>1088</v>
      </c>
      <c r="H593" s="92"/>
      <c r="I593" s="92" t="s">
        <v>1530</v>
      </c>
      <c r="J593" s="92" t="s">
        <v>1541</v>
      </c>
      <c r="K593" s="92"/>
      <c r="L593" s="92" t="s">
        <v>1531</v>
      </c>
      <c r="M593" s="92"/>
      <c r="N593" s="92">
        <v>0.20499999999999999</v>
      </c>
      <c r="O593" s="92">
        <v>0.17699999999999999</v>
      </c>
      <c r="P593" s="92"/>
      <c r="Q593" s="92">
        <v>0.245</v>
      </c>
      <c r="R593" s="92">
        <v>6.6000000000000003E-2</v>
      </c>
      <c r="S593" s="92"/>
      <c r="T593" s="92">
        <v>0.307</v>
      </c>
      <c r="U593" s="92"/>
      <c r="V593" s="90" t="s">
        <v>1407</v>
      </c>
      <c r="W593" s="92">
        <v>453</v>
      </c>
      <c r="X593" s="92">
        <v>15</v>
      </c>
      <c r="Y593" s="92" t="s">
        <v>1533</v>
      </c>
      <c r="Z593" s="92" t="s">
        <v>863</v>
      </c>
      <c r="AA593" s="92">
        <v>1</v>
      </c>
      <c r="AB593" s="92"/>
      <c r="AC593" s="92">
        <v>2.5</v>
      </c>
      <c r="AD593" s="92">
        <v>9.51</v>
      </c>
      <c r="AE593" s="92">
        <v>1</v>
      </c>
      <c r="AF593" s="92">
        <v>0</v>
      </c>
      <c r="AG593" s="92" t="s">
        <v>1551</v>
      </c>
      <c r="AH593" s="92"/>
      <c r="AI593" s="92" t="s">
        <v>1552</v>
      </c>
      <c r="AJ593" s="92">
        <v>500</v>
      </c>
      <c r="AK593" s="92">
        <v>400</v>
      </c>
      <c r="AL593" s="92">
        <v>163</v>
      </c>
    </row>
    <row r="594" spans="1:38" ht="15" thickBot="1" x14ac:dyDescent="0.35">
      <c r="A594" s="118" t="s">
        <v>1715</v>
      </c>
      <c r="B594" s="115" t="s">
        <v>3126</v>
      </c>
      <c r="C594" s="92" t="s">
        <v>251</v>
      </c>
      <c r="D594" s="92"/>
      <c r="E594" s="122"/>
      <c r="F594" s="92" t="s">
        <v>1554</v>
      </c>
      <c r="G594" s="92"/>
      <c r="H594" s="92"/>
      <c r="I594" s="92" t="s">
        <v>1566</v>
      </c>
      <c r="J594" s="92"/>
      <c r="K594" s="92"/>
      <c r="L594" s="92" t="s">
        <v>1548</v>
      </c>
      <c r="M594" s="92"/>
      <c r="N594" s="92">
        <v>0.27</v>
      </c>
      <c r="O594" s="92"/>
      <c r="P594" s="92"/>
      <c r="Q594" s="92">
        <v>0.46500000000000002</v>
      </c>
      <c r="R594" s="92"/>
      <c r="S594" s="92"/>
      <c r="T594" s="92">
        <v>0.26500000000000001</v>
      </c>
      <c r="U594" s="92"/>
      <c r="V594" s="90" t="s">
        <v>1407</v>
      </c>
      <c r="W594" s="92">
        <v>413</v>
      </c>
      <c r="X594" s="92">
        <v>12</v>
      </c>
      <c r="Y594" s="92"/>
      <c r="Z594" s="92"/>
      <c r="AA594" s="92"/>
      <c r="AB594" s="92" t="s">
        <v>518</v>
      </c>
      <c r="AC594" s="92">
        <v>2.4700000000000002</v>
      </c>
      <c r="AD594" s="92">
        <v>162</v>
      </c>
      <c r="AE594" s="92">
        <v>0.33300000000000002</v>
      </c>
      <c r="AF594" s="92">
        <v>0</v>
      </c>
      <c r="AG594" s="92" t="s">
        <v>1550</v>
      </c>
      <c r="AH594" s="92" t="s">
        <v>1551</v>
      </c>
      <c r="AI594" s="92" t="s">
        <v>1534</v>
      </c>
      <c r="AJ594" s="92">
        <v>300</v>
      </c>
      <c r="AK594" s="92">
        <v>420</v>
      </c>
      <c r="AL594" s="92">
        <v>7582</v>
      </c>
    </row>
    <row r="595" spans="1:38" ht="15" thickBot="1" x14ac:dyDescent="0.35">
      <c r="A595" s="118" t="s">
        <v>1715</v>
      </c>
      <c r="B595" s="115" t="s">
        <v>3126</v>
      </c>
      <c r="C595" s="92" t="s">
        <v>3127</v>
      </c>
      <c r="D595" s="92"/>
      <c r="E595" s="122"/>
      <c r="F595" s="92" t="s">
        <v>1554</v>
      </c>
      <c r="G595" s="92" t="s">
        <v>1559</v>
      </c>
      <c r="H595" s="92"/>
      <c r="I595" s="92" t="s">
        <v>1566</v>
      </c>
      <c r="J595" s="92"/>
      <c r="K595" s="92"/>
      <c r="L595" s="92" t="s">
        <v>1548</v>
      </c>
      <c r="M595" s="92"/>
      <c r="N595" s="92">
        <v>0.26500000000000001</v>
      </c>
      <c r="O595" s="92">
        <v>0.05</v>
      </c>
      <c r="P595" s="92"/>
      <c r="Q595" s="92">
        <v>0.46500000000000002</v>
      </c>
      <c r="R595" s="92"/>
      <c r="S595" s="92"/>
      <c r="T595" s="92">
        <v>0.26500000000000001</v>
      </c>
      <c r="U595" s="92"/>
      <c r="V595" s="90" t="s">
        <v>1407</v>
      </c>
      <c r="W595" s="92">
        <v>413</v>
      </c>
      <c r="X595" s="92">
        <v>12</v>
      </c>
      <c r="Y595" s="92"/>
      <c r="Z595" s="92"/>
      <c r="AA595" s="92"/>
      <c r="AB595" s="92" t="s">
        <v>518</v>
      </c>
      <c r="AC595" s="92">
        <v>2.4500000000000002</v>
      </c>
      <c r="AD595" s="92">
        <v>202.2</v>
      </c>
      <c r="AE595" s="92">
        <v>0.33300000000000002</v>
      </c>
      <c r="AF595" s="92">
        <v>0</v>
      </c>
      <c r="AG595" s="92" t="s">
        <v>1550</v>
      </c>
      <c r="AH595" s="92" t="s">
        <v>1551</v>
      </c>
      <c r="AI595" s="92" t="s">
        <v>1534</v>
      </c>
      <c r="AJ595" s="92">
        <v>300</v>
      </c>
      <c r="AK595" s="92">
        <v>420</v>
      </c>
      <c r="AL595" s="92">
        <v>12934</v>
      </c>
    </row>
    <row r="596" spans="1:38" ht="15" thickBot="1" x14ac:dyDescent="0.35">
      <c r="A596" s="118" t="s">
        <v>1715</v>
      </c>
      <c r="B596" s="115" t="s">
        <v>3126</v>
      </c>
      <c r="C596" s="92" t="s">
        <v>3128</v>
      </c>
      <c r="D596" s="92"/>
      <c r="E596" s="122"/>
      <c r="F596" s="92" t="s">
        <v>1554</v>
      </c>
      <c r="G596" s="92" t="s">
        <v>1559</v>
      </c>
      <c r="H596" s="92"/>
      <c r="I596" s="92" t="s">
        <v>1566</v>
      </c>
      <c r="J596" s="92"/>
      <c r="K596" s="92"/>
      <c r="L596" s="92" t="s">
        <v>1548</v>
      </c>
      <c r="M596" s="92"/>
      <c r="N596" s="92">
        <v>0.26</v>
      </c>
      <c r="O596" s="92">
        <v>1.0999999999999999E-2</v>
      </c>
      <c r="P596" s="92"/>
      <c r="Q596" s="92">
        <v>0.46500000000000002</v>
      </c>
      <c r="R596" s="92"/>
      <c r="S596" s="92"/>
      <c r="T596" s="92">
        <v>0.26500000000000001</v>
      </c>
      <c r="U596" s="92"/>
      <c r="V596" s="90" t="s">
        <v>1407</v>
      </c>
      <c r="W596" s="92">
        <v>413</v>
      </c>
      <c r="X596" s="92">
        <v>12</v>
      </c>
      <c r="Y596" s="92"/>
      <c r="Z596" s="92"/>
      <c r="AA596" s="92"/>
      <c r="AB596" s="92" t="s">
        <v>518</v>
      </c>
      <c r="AC596" s="92">
        <v>2.4300000000000002</v>
      </c>
      <c r="AD596" s="92">
        <v>206.5</v>
      </c>
      <c r="AE596" s="92">
        <v>0.33300000000000002</v>
      </c>
      <c r="AF596" s="92">
        <v>0</v>
      </c>
      <c r="AG596" s="92" t="s">
        <v>1550</v>
      </c>
      <c r="AH596" s="92" t="s">
        <v>1551</v>
      </c>
      <c r="AI596" s="92" t="s">
        <v>1534</v>
      </c>
      <c r="AJ596" s="92">
        <v>300</v>
      </c>
      <c r="AK596" s="92">
        <v>420</v>
      </c>
      <c r="AL596" s="92">
        <v>21318.799999999999</v>
      </c>
    </row>
    <row r="597" spans="1:38" ht="15" thickBot="1" x14ac:dyDescent="0.35">
      <c r="A597" s="118" t="s">
        <v>1715</v>
      </c>
      <c r="B597" s="115" t="s">
        <v>3126</v>
      </c>
      <c r="C597" s="92" t="s">
        <v>3129</v>
      </c>
      <c r="D597" s="92"/>
      <c r="E597" s="122"/>
      <c r="F597" s="92" t="s">
        <v>1554</v>
      </c>
      <c r="G597" s="92" t="s">
        <v>1559</v>
      </c>
      <c r="H597" s="92"/>
      <c r="I597" s="92" t="s">
        <v>1566</v>
      </c>
      <c r="J597" s="92"/>
      <c r="K597" s="92"/>
      <c r="L597" s="92" t="s">
        <v>1548</v>
      </c>
      <c r="M597" s="92"/>
      <c r="N597" s="92">
        <v>0.254</v>
      </c>
      <c r="O597" s="92">
        <v>1.6E-2</v>
      </c>
      <c r="P597" s="92"/>
      <c r="Q597" s="92">
        <v>0.46500000000000002</v>
      </c>
      <c r="R597" s="92"/>
      <c r="S597" s="92"/>
      <c r="T597" s="92">
        <v>0.26500000000000001</v>
      </c>
      <c r="U597" s="92"/>
      <c r="V597" s="90" t="s">
        <v>1407</v>
      </c>
      <c r="W597" s="92">
        <v>413</v>
      </c>
      <c r="X597" s="92">
        <v>12</v>
      </c>
      <c r="Y597" s="92"/>
      <c r="Z597" s="92"/>
      <c r="AA597" s="92"/>
      <c r="AB597" s="92" t="s">
        <v>518</v>
      </c>
      <c r="AC597" s="92">
        <v>2.41</v>
      </c>
      <c r="AD597" s="92">
        <v>197.7</v>
      </c>
      <c r="AE597" s="92">
        <v>0.33300000000000002</v>
      </c>
      <c r="AF597" s="92">
        <v>0</v>
      </c>
      <c r="AG597" s="92" t="s">
        <v>1550</v>
      </c>
      <c r="AH597" s="92" t="s">
        <v>1551</v>
      </c>
      <c r="AI597" s="92" t="s">
        <v>1534</v>
      </c>
      <c r="AJ597" s="92">
        <v>300</v>
      </c>
      <c r="AK597" s="92">
        <v>420</v>
      </c>
      <c r="AL597" s="92">
        <v>13870.6</v>
      </c>
    </row>
    <row r="598" spans="1:38" ht="15" thickBot="1" x14ac:dyDescent="0.35">
      <c r="A598" s="118" t="s">
        <v>1715</v>
      </c>
      <c r="B598" s="114" t="s">
        <v>3126</v>
      </c>
      <c r="C598" s="92" t="s">
        <v>3130</v>
      </c>
      <c r="D598" s="90"/>
      <c r="E598" s="120"/>
      <c r="F598" s="90" t="s">
        <v>1554</v>
      </c>
      <c r="G598" s="90" t="s">
        <v>1559</v>
      </c>
      <c r="H598" s="90"/>
      <c r="I598" s="90" t="s">
        <v>1566</v>
      </c>
      <c r="J598" s="90"/>
      <c r="K598" s="90"/>
      <c r="L598" s="90" t="s">
        <v>1548</v>
      </c>
      <c r="M598" s="90"/>
      <c r="N598" s="90">
        <v>0.249</v>
      </c>
      <c r="O598" s="90">
        <v>2.1000000000000001E-2</v>
      </c>
      <c r="P598" s="90"/>
      <c r="Q598" s="90">
        <v>0.46500000000000002</v>
      </c>
      <c r="R598" s="90"/>
      <c r="S598" s="90"/>
      <c r="T598" s="90">
        <v>0.26500000000000001</v>
      </c>
      <c r="U598" s="90"/>
      <c r="V598" s="90" t="s">
        <v>1407</v>
      </c>
      <c r="W598" s="90">
        <v>413</v>
      </c>
      <c r="X598" s="90">
        <v>12</v>
      </c>
      <c r="Y598" s="90"/>
      <c r="Z598" s="90"/>
      <c r="AA598" s="90"/>
      <c r="AB598" s="90" t="s">
        <v>518</v>
      </c>
      <c r="AC598" s="90">
        <v>2.39</v>
      </c>
      <c r="AD598" s="90">
        <v>167.1</v>
      </c>
      <c r="AE598" s="90">
        <v>0.33300000000000002</v>
      </c>
      <c r="AF598" s="90">
        <v>0</v>
      </c>
      <c r="AG598" s="90" t="s">
        <v>1550</v>
      </c>
      <c r="AH598" s="90" t="s">
        <v>1551</v>
      </c>
      <c r="AI598" s="90" t="s">
        <v>1534</v>
      </c>
      <c r="AJ598" s="90">
        <v>300</v>
      </c>
      <c r="AK598" s="90">
        <v>420</v>
      </c>
      <c r="AL598" s="90">
        <v>13870.6</v>
      </c>
    </row>
    <row r="599" spans="1:38" ht="15" thickBot="1" x14ac:dyDescent="0.35">
      <c r="A599" s="118" t="s">
        <v>1715</v>
      </c>
      <c r="B599" s="114" t="s">
        <v>3126</v>
      </c>
      <c r="C599" s="92" t="s">
        <v>3131</v>
      </c>
      <c r="D599" s="90"/>
      <c r="E599" s="120"/>
      <c r="F599" s="90" t="s">
        <v>1554</v>
      </c>
      <c r="G599" s="90" t="s">
        <v>1559</v>
      </c>
      <c r="H599" s="90"/>
      <c r="I599" s="90" t="s">
        <v>1566</v>
      </c>
      <c r="J599" s="90"/>
      <c r="K599" s="90"/>
      <c r="L599" s="90" t="s">
        <v>1548</v>
      </c>
      <c r="M599" s="90"/>
      <c r="N599" s="90">
        <v>0.24299999999999999</v>
      </c>
      <c r="O599" s="90">
        <v>2.5999999999999999E-2</v>
      </c>
      <c r="P599" s="90"/>
      <c r="Q599" s="90">
        <v>0.46500000000000002</v>
      </c>
      <c r="R599" s="90"/>
      <c r="S599" s="90"/>
      <c r="T599" s="90">
        <v>0.26500000000000001</v>
      </c>
      <c r="U599" s="90"/>
      <c r="V599" s="90" t="s">
        <v>1407</v>
      </c>
      <c r="W599" s="90">
        <v>413</v>
      </c>
      <c r="X599" s="90">
        <v>12</v>
      </c>
      <c r="Y599" s="90"/>
      <c r="Z599" s="90"/>
      <c r="AA599" s="90"/>
      <c r="AB599" s="90" t="s">
        <v>518</v>
      </c>
      <c r="AC599" s="90">
        <v>2.38</v>
      </c>
      <c r="AD599" s="90">
        <v>163</v>
      </c>
      <c r="AE599" s="90">
        <v>0.33300000000000002</v>
      </c>
      <c r="AF599" s="90">
        <v>0</v>
      </c>
      <c r="AG599" s="90" t="s">
        <v>1550</v>
      </c>
      <c r="AH599" s="90" t="s">
        <v>1551</v>
      </c>
      <c r="AI599" s="90" t="s">
        <v>1534</v>
      </c>
      <c r="AJ599" s="90">
        <v>300</v>
      </c>
      <c r="AK599" s="90">
        <v>420</v>
      </c>
      <c r="AL599" s="90">
        <v>10927</v>
      </c>
    </row>
    <row r="600" spans="1:38" ht="15" thickBot="1" x14ac:dyDescent="0.35">
      <c r="A600" s="118" t="s">
        <v>1716</v>
      </c>
      <c r="B600" s="114" t="s">
        <v>3132</v>
      </c>
      <c r="C600" s="114" t="s">
        <v>3133</v>
      </c>
      <c r="D600" s="120"/>
      <c r="E600" s="120"/>
      <c r="F600" s="90" t="s">
        <v>1529</v>
      </c>
      <c r="G600" s="90" t="s">
        <v>1088</v>
      </c>
      <c r="H600" s="90"/>
      <c r="I600" s="90" t="s">
        <v>1530</v>
      </c>
      <c r="J600" s="90" t="s">
        <v>1541</v>
      </c>
      <c r="K600" s="90"/>
      <c r="L600" s="90" t="s">
        <v>1531</v>
      </c>
      <c r="M600" s="90"/>
      <c r="N600" s="90">
        <v>0.41699999999999998</v>
      </c>
      <c r="O600" s="90">
        <v>7.2999999999999995E-2</v>
      </c>
      <c r="P600" s="90"/>
      <c r="Q600" s="90">
        <v>0.22800000000000001</v>
      </c>
      <c r="R600" s="90">
        <v>2.8000000000000001E-2</v>
      </c>
      <c r="S600" s="90"/>
      <c r="T600" s="90">
        <v>0.254</v>
      </c>
      <c r="U600" s="90"/>
      <c r="V600" s="90" t="s">
        <v>1407</v>
      </c>
      <c r="W600" s="90">
        <v>473</v>
      </c>
      <c r="X600" s="90">
        <v>48</v>
      </c>
      <c r="Y600" s="90" t="s">
        <v>1533</v>
      </c>
      <c r="Z600" s="90" t="s">
        <v>863</v>
      </c>
      <c r="AA600" s="90">
        <v>1</v>
      </c>
      <c r="AB600" s="90" t="s">
        <v>518</v>
      </c>
      <c r="AC600" s="90">
        <v>2.31</v>
      </c>
      <c r="AD600" s="90">
        <v>7.0301</v>
      </c>
      <c r="AE600" s="90">
        <v>1</v>
      </c>
      <c r="AF600" s="90">
        <v>10</v>
      </c>
      <c r="AG600" s="90" t="s">
        <v>1575</v>
      </c>
      <c r="AH600" s="90"/>
      <c r="AI600" s="90" t="s">
        <v>1534</v>
      </c>
      <c r="AJ600" s="90">
        <v>300</v>
      </c>
      <c r="AK600" s="90">
        <v>250</v>
      </c>
      <c r="AL600" s="90">
        <v>64</v>
      </c>
    </row>
    <row r="601" spans="1:38" ht="15" thickBot="1" x14ac:dyDescent="0.35">
      <c r="A601" s="118" t="s">
        <v>1716</v>
      </c>
      <c r="B601" s="114" t="s">
        <v>3132</v>
      </c>
      <c r="C601" s="114" t="s">
        <v>3133</v>
      </c>
      <c r="D601" s="120"/>
      <c r="E601" s="120"/>
      <c r="F601" s="90" t="s">
        <v>1529</v>
      </c>
      <c r="G601" s="90" t="s">
        <v>1088</v>
      </c>
      <c r="H601" s="90"/>
      <c r="I601" s="90" t="s">
        <v>1530</v>
      </c>
      <c r="J601" s="90" t="s">
        <v>1541</v>
      </c>
      <c r="K601" s="90"/>
      <c r="L601" s="90" t="s">
        <v>1531</v>
      </c>
      <c r="M601" s="90"/>
      <c r="N601" s="90">
        <v>0.41699999999999998</v>
      </c>
      <c r="O601" s="90">
        <v>7.2999999999999995E-2</v>
      </c>
      <c r="P601" s="90"/>
      <c r="Q601" s="90">
        <v>0.22800000000000001</v>
      </c>
      <c r="R601" s="90">
        <v>2.8000000000000001E-2</v>
      </c>
      <c r="S601" s="90"/>
      <c r="T601" s="90">
        <v>0.254</v>
      </c>
      <c r="U601" s="90"/>
      <c r="V601" s="90" t="s">
        <v>1407</v>
      </c>
      <c r="W601" s="90">
        <v>473</v>
      </c>
      <c r="X601" s="90">
        <v>48</v>
      </c>
      <c r="Y601" s="90" t="s">
        <v>1533</v>
      </c>
      <c r="Z601" s="90" t="s">
        <v>863</v>
      </c>
      <c r="AA601" s="90">
        <v>1</v>
      </c>
      <c r="AB601" s="90" t="s">
        <v>518</v>
      </c>
      <c r="AC601" s="90">
        <v>2.31</v>
      </c>
      <c r="AD601" s="90">
        <v>7.0301</v>
      </c>
      <c r="AE601" s="90">
        <v>1</v>
      </c>
      <c r="AF601" s="90">
        <v>10</v>
      </c>
      <c r="AG601" s="90" t="s">
        <v>1575</v>
      </c>
      <c r="AH601" s="90"/>
      <c r="AI601" s="90" t="s">
        <v>1534</v>
      </c>
      <c r="AJ601" s="90">
        <v>300</v>
      </c>
      <c r="AK601" s="90">
        <v>400</v>
      </c>
      <c r="AL601" s="90">
        <v>28.8</v>
      </c>
    </row>
    <row r="602" spans="1:38" ht="15" thickBot="1" x14ac:dyDescent="0.35">
      <c r="A602" s="118" t="s">
        <v>1716</v>
      </c>
      <c r="B602" s="114" t="s">
        <v>3132</v>
      </c>
      <c r="C602" s="114" t="s">
        <v>3124</v>
      </c>
      <c r="D602" s="120"/>
      <c r="E602" s="120"/>
      <c r="F602" s="90" t="s">
        <v>1091</v>
      </c>
      <c r="G602" s="90" t="s">
        <v>1088</v>
      </c>
      <c r="H602" s="90"/>
      <c r="I602" s="90" t="s">
        <v>1530</v>
      </c>
      <c r="J602" s="90" t="s">
        <v>1541</v>
      </c>
      <c r="K602" s="90"/>
      <c r="L602" s="90" t="s">
        <v>1531</v>
      </c>
      <c r="M602" s="90"/>
      <c r="N602" s="90">
        <v>0.247</v>
      </c>
      <c r="O602" s="90">
        <v>9.5000000000000001E-2</v>
      </c>
      <c r="P602" s="90"/>
      <c r="Q602" s="90">
        <v>0.29499999999999998</v>
      </c>
      <c r="R602" s="90">
        <v>3.5999999999999997E-2</v>
      </c>
      <c r="S602" s="90"/>
      <c r="T602" s="90">
        <v>0.32800000000000001</v>
      </c>
      <c r="U602" s="90"/>
      <c r="V602" s="90" t="s">
        <v>1407</v>
      </c>
      <c r="W602" s="90">
        <v>473</v>
      </c>
      <c r="X602" s="90">
        <v>48</v>
      </c>
      <c r="Y602" s="90" t="s">
        <v>1533</v>
      </c>
      <c r="Z602" s="90" t="s">
        <v>863</v>
      </c>
      <c r="AA602" s="90">
        <v>1</v>
      </c>
      <c r="AB602" s="90" t="s">
        <v>1142</v>
      </c>
      <c r="AC602" s="90">
        <v>2.52</v>
      </c>
      <c r="AD602" s="90">
        <v>3.3447</v>
      </c>
      <c r="AE602" s="90">
        <v>1</v>
      </c>
      <c r="AF602" s="90">
        <v>10</v>
      </c>
      <c r="AG602" s="90" t="s">
        <v>1575</v>
      </c>
      <c r="AH602" s="90"/>
      <c r="AI602" s="90" t="s">
        <v>1534</v>
      </c>
      <c r="AJ602" s="90">
        <v>300</v>
      </c>
      <c r="AK602" s="90">
        <v>250</v>
      </c>
      <c r="AL602" s="90">
        <v>32</v>
      </c>
    </row>
    <row r="603" spans="1:38" ht="15" thickBot="1" x14ac:dyDescent="0.35">
      <c r="A603" s="118" t="s">
        <v>1716</v>
      </c>
      <c r="B603" s="114" t="s">
        <v>3132</v>
      </c>
      <c r="C603" s="114" t="s">
        <v>3124</v>
      </c>
      <c r="D603" s="120"/>
      <c r="E603" s="120"/>
      <c r="F603" s="90" t="s">
        <v>1091</v>
      </c>
      <c r="G603" s="90" t="s">
        <v>1088</v>
      </c>
      <c r="H603" s="90"/>
      <c r="I603" s="90" t="s">
        <v>1530</v>
      </c>
      <c r="J603" s="90" t="s">
        <v>1541</v>
      </c>
      <c r="K603" s="90"/>
      <c r="L603" s="90" t="s">
        <v>1531</v>
      </c>
      <c r="M603" s="90"/>
      <c r="N603" s="90">
        <v>0.247</v>
      </c>
      <c r="O603" s="90">
        <v>9.5000000000000001E-2</v>
      </c>
      <c r="P603" s="90"/>
      <c r="Q603" s="90">
        <v>0.29499999999999998</v>
      </c>
      <c r="R603" s="90">
        <v>3.5999999999999997E-2</v>
      </c>
      <c r="S603" s="90"/>
      <c r="T603" s="90">
        <v>0.32800000000000001</v>
      </c>
      <c r="U603" s="90"/>
      <c r="V603" s="90" t="s">
        <v>1407</v>
      </c>
      <c r="W603" s="90">
        <v>473</v>
      </c>
      <c r="X603" s="90">
        <v>48</v>
      </c>
      <c r="Y603" s="90" t="s">
        <v>1533</v>
      </c>
      <c r="Z603" s="90" t="s">
        <v>863</v>
      </c>
      <c r="AA603" s="90">
        <v>1</v>
      </c>
      <c r="AB603" s="90" t="s">
        <v>1142</v>
      </c>
      <c r="AC603" s="90">
        <v>2.52</v>
      </c>
      <c r="AD603" s="90">
        <v>3.3447</v>
      </c>
      <c r="AE603" s="90">
        <v>1</v>
      </c>
      <c r="AF603" s="90">
        <v>10</v>
      </c>
      <c r="AG603" s="90" t="s">
        <v>1575</v>
      </c>
      <c r="AH603" s="90"/>
      <c r="AI603" s="90" t="s">
        <v>1534</v>
      </c>
      <c r="AJ603" s="90">
        <v>300</v>
      </c>
      <c r="AK603" s="90">
        <v>400</v>
      </c>
      <c r="AL603" s="90">
        <v>6</v>
      </c>
    </row>
    <row r="604" spans="1:38" ht="15" thickBot="1" x14ac:dyDescent="0.35">
      <c r="A604" s="118" t="s">
        <v>1716</v>
      </c>
      <c r="B604" s="114" t="s">
        <v>3132</v>
      </c>
      <c r="C604" s="114" t="s">
        <v>3134</v>
      </c>
      <c r="D604" s="120"/>
      <c r="E604" s="120"/>
      <c r="F604" s="90" t="s">
        <v>1568</v>
      </c>
      <c r="G604" s="90" t="s">
        <v>1088</v>
      </c>
      <c r="H604" s="90"/>
      <c r="I604" s="90" t="s">
        <v>1530</v>
      </c>
      <c r="J604" s="90" t="s">
        <v>1541</v>
      </c>
      <c r="K604" s="90"/>
      <c r="L604" s="90" t="s">
        <v>1531</v>
      </c>
      <c r="M604" s="90"/>
      <c r="N604" s="90">
        <v>0.52900000000000003</v>
      </c>
      <c r="O604" s="90">
        <v>5.8999999999999997E-2</v>
      </c>
      <c r="P604" s="90"/>
      <c r="Q604" s="90">
        <v>0.184</v>
      </c>
      <c r="R604" s="90">
        <v>2.1999999999999999E-2</v>
      </c>
      <c r="S604" s="90"/>
      <c r="T604" s="90">
        <v>0.20499999999999999</v>
      </c>
      <c r="U604" s="90"/>
      <c r="V604" s="90" t="s">
        <v>1407</v>
      </c>
      <c r="W604" s="90">
        <v>473</v>
      </c>
      <c r="X604" s="90">
        <v>48</v>
      </c>
      <c r="Y604" s="90" t="s">
        <v>1533</v>
      </c>
      <c r="Z604" s="90" t="s">
        <v>863</v>
      </c>
      <c r="AA604" s="90">
        <v>1</v>
      </c>
      <c r="AB604" s="90" t="s">
        <v>519</v>
      </c>
      <c r="AC604" s="90">
        <v>2.4900000000000002</v>
      </c>
      <c r="AD604" s="90">
        <v>22.463100000000001</v>
      </c>
      <c r="AE604" s="90">
        <v>1</v>
      </c>
      <c r="AF604" s="90">
        <v>10</v>
      </c>
      <c r="AG604" s="90" t="s">
        <v>1575</v>
      </c>
      <c r="AH604" s="90"/>
      <c r="AI604" s="90" t="s">
        <v>1534</v>
      </c>
      <c r="AJ604" s="90">
        <v>300</v>
      </c>
      <c r="AK604" s="90">
        <v>250</v>
      </c>
      <c r="AL604" s="90">
        <v>5.83</v>
      </c>
    </row>
    <row r="605" spans="1:38" ht="15" thickBot="1" x14ac:dyDescent="0.35">
      <c r="A605" s="118" t="s">
        <v>1716</v>
      </c>
      <c r="B605" s="114" t="s">
        <v>3132</v>
      </c>
      <c r="C605" s="114" t="s">
        <v>3134</v>
      </c>
      <c r="D605" s="120"/>
      <c r="E605" s="120"/>
      <c r="F605" s="90" t="s">
        <v>1568</v>
      </c>
      <c r="G605" s="90" t="s">
        <v>1088</v>
      </c>
      <c r="H605" s="90"/>
      <c r="I605" s="90" t="s">
        <v>1530</v>
      </c>
      <c r="J605" s="90" t="s">
        <v>1541</v>
      </c>
      <c r="K605" s="90"/>
      <c r="L605" s="90" t="s">
        <v>1531</v>
      </c>
      <c r="M605" s="90"/>
      <c r="N605" s="90">
        <v>0.52900000000000003</v>
      </c>
      <c r="O605" s="90">
        <v>5.8999999999999997E-2</v>
      </c>
      <c r="P605" s="90"/>
      <c r="Q605" s="90">
        <v>0.184</v>
      </c>
      <c r="R605" s="90">
        <v>2.1999999999999999E-2</v>
      </c>
      <c r="S605" s="90"/>
      <c r="T605" s="90">
        <v>0.20499999999999999</v>
      </c>
      <c r="U605" s="90"/>
      <c r="V605" s="90" t="s">
        <v>1407</v>
      </c>
      <c r="W605" s="90">
        <v>473</v>
      </c>
      <c r="X605" s="90">
        <v>48</v>
      </c>
      <c r="Y605" s="90" t="s">
        <v>1533</v>
      </c>
      <c r="Z605" s="90" t="s">
        <v>863</v>
      </c>
      <c r="AA605" s="90">
        <v>1</v>
      </c>
      <c r="AB605" s="90" t="s">
        <v>519</v>
      </c>
      <c r="AC605" s="90">
        <v>2.4900000000000002</v>
      </c>
      <c r="AD605" s="90">
        <v>22.463100000000001</v>
      </c>
      <c r="AE605" s="90">
        <v>1</v>
      </c>
      <c r="AF605" s="90">
        <v>10</v>
      </c>
      <c r="AG605" s="90" t="s">
        <v>1575</v>
      </c>
      <c r="AH605" s="90"/>
      <c r="AI605" s="90" t="s">
        <v>1534</v>
      </c>
      <c r="AJ605" s="90">
        <v>300</v>
      </c>
      <c r="AK605" s="90">
        <v>400</v>
      </c>
      <c r="AL605" s="90">
        <v>2</v>
      </c>
    </row>
    <row r="606" spans="1:38" ht="15" thickBot="1" x14ac:dyDescent="0.35">
      <c r="A606" s="118" t="s">
        <v>1717</v>
      </c>
      <c r="B606" s="114" t="s">
        <v>3135</v>
      </c>
      <c r="C606" s="114" t="s">
        <v>51</v>
      </c>
      <c r="D606" s="90"/>
      <c r="E606" s="120"/>
      <c r="F606" s="90" t="s">
        <v>1529</v>
      </c>
      <c r="G606" s="90" t="s">
        <v>1583</v>
      </c>
      <c r="H606" s="90"/>
      <c r="I606" s="90" t="s">
        <v>1558</v>
      </c>
      <c r="J606" s="90"/>
      <c r="K606" s="90"/>
      <c r="L606" s="90" t="s">
        <v>1531</v>
      </c>
      <c r="M606" s="90"/>
      <c r="N606" s="90">
        <v>8.6999999999999994E-2</v>
      </c>
      <c r="O606" s="90">
        <v>0.41299999999999998</v>
      </c>
      <c r="P606" s="90"/>
      <c r="Q606" s="90">
        <v>0.35799999999999998</v>
      </c>
      <c r="R606" s="90"/>
      <c r="S606" s="90"/>
      <c r="T606" s="90">
        <v>0.14199999999999999</v>
      </c>
      <c r="U606" s="90"/>
      <c r="V606" s="90" t="s">
        <v>1407</v>
      </c>
      <c r="W606" s="90">
        <v>1273</v>
      </c>
      <c r="X606" s="90">
        <v>2</v>
      </c>
      <c r="Y606" s="90"/>
      <c r="Z606" s="90"/>
      <c r="AA606" s="90"/>
      <c r="AB606" s="90" t="s">
        <v>1142</v>
      </c>
      <c r="AC606" s="90">
        <v>4.21</v>
      </c>
      <c r="AD606" s="90"/>
      <c r="AE606" s="90">
        <v>0.5</v>
      </c>
      <c r="AF606" s="90">
        <v>12.5</v>
      </c>
      <c r="AG606" s="90" t="s">
        <v>1637</v>
      </c>
      <c r="AH606" s="90"/>
      <c r="AI606" s="90" t="s">
        <v>1552</v>
      </c>
      <c r="AJ606" s="90">
        <v>350</v>
      </c>
      <c r="AK606" s="90"/>
      <c r="AL606" s="90">
        <v>2640</v>
      </c>
    </row>
    <row r="607" spans="1:38" ht="15" thickBot="1" x14ac:dyDescent="0.35">
      <c r="A607" s="118" t="s">
        <v>1717</v>
      </c>
      <c r="B607" s="114" t="s">
        <v>3135</v>
      </c>
      <c r="C607" s="114" t="s">
        <v>3136</v>
      </c>
      <c r="D607" s="90"/>
      <c r="E607" s="120"/>
      <c r="F607" s="90" t="s">
        <v>1529</v>
      </c>
      <c r="G607" s="90" t="s">
        <v>1583</v>
      </c>
      <c r="H607" s="90"/>
      <c r="I607" s="90" t="s">
        <v>1558</v>
      </c>
      <c r="J607" s="90" t="s">
        <v>1609</v>
      </c>
      <c r="K607" s="90"/>
      <c r="L607" s="90" t="s">
        <v>1531</v>
      </c>
      <c r="M607" s="90"/>
      <c r="N607" s="90">
        <v>8.6999999999999994E-2</v>
      </c>
      <c r="O607" s="90">
        <v>0.40899999999999997</v>
      </c>
      <c r="P607" s="90"/>
      <c r="Q607" s="90">
        <v>0.35899999999999999</v>
      </c>
      <c r="R607" s="90">
        <v>3.0000000000000001E-3</v>
      </c>
      <c r="S607" s="90"/>
      <c r="T607" s="90">
        <v>0.14299999999999999</v>
      </c>
      <c r="U607" s="90"/>
      <c r="V607" s="90" t="s">
        <v>1407</v>
      </c>
      <c r="W607" s="90">
        <v>1273</v>
      </c>
      <c r="X607" s="90">
        <v>2</v>
      </c>
      <c r="Y607" s="90"/>
      <c r="Z607" s="90"/>
      <c r="AA607" s="90"/>
      <c r="AB607" s="90" t="s">
        <v>1142</v>
      </c>
      <c r="AC607" s="90">
        <v>4.6100000000000003</v>
      </c>
      <c r="AD607" s="90"/>
      <c r="AE607" s="90">
        <v>0.5</v>
      </c>
      <c r="AF607" s="90">
        <v>12.5</v>
      </c>
      <c r="AG607" s="90" t="s">
        <v>1637</v>
      </c>
      <c r="AH607" s="90"/>
      <c r="AI607" s="90" t="s">
        <v>1552</v>
      </c>
      <c r="AJ607" s="90">
        <v>350</v>
      </c>
      <c r="AK607" s="90"/>
      <c r="AL607" s="90">
        <v>2470</v>
      </c>
    </row>
    <row r="608" spans="1:38" ht="15" thickBot="1" x14ac:dyDescent="0.35">
      <c r="A608" s="118" t="s">
        <v>1717</v>
      </c>
      <c r="B608" s="114" t="s">
        <v>3135</v>
      </c>
      <c r="C608" s="114" t="s">
        <v>3137</v>
      </c>
      <c r="D608" s="90"/>
      <c r="E608" s="120"/>
      <c r="F608" s="90" t="s">
        <v>1529</v>
      </c>
      <c r="G608" s="90" t="s">
        <v>1583</v>
      </c>
      <c r="H608" s="90"/>
      <c r="I608" s="90" t="s">
        <v>1558</v>
      </c>
      <c r="J608" s="90" t="s">
        <v>1609</v>
      </c>
      <c r="K608" s="90"/>
      <c r="L608" s="90" t="s">
        <v>1531</v>
      </c>
      <c r="M608" s="90"/>
      <c r="N608" s="90">
        <v>8.6999999999999994E-2</v>
      </c>
      <c r="O608" s="90">
        <v>0.40500000000000003</v>
      </c>
      <c r="P608" s="90"/>
      <c r="Q608" s="90">
        <v>0.36</v>
      </c>
      <c r="R608" s="90">
        <v>5.0000000000000001E-3</v>
      </c>
      <c r="S608" s="90"/>
      <c r="T608" s="90">
        <v>0.14299999999999999</v>
      </c>
      <c r="U608" s="90"/>
      <c r="V608" s="90" t="s">
        <v>1407</v>
      </c>
      <c r="W608" s="90">
        <v>1273</v>
      </c>
      <c r="X608" s="90">
        <v>2</v>
      </c>
      <c r="Y608" s="90"/>
      <c r="Z608" s="90"/>
      <c r="AA608" s="90"/>
      <c r="AB608" s="90" t="s">
        <v>1142</v>
      </c>
      <c r="AC608" s="90">
        <v>4.78</v>
      </c>
      <c r="AD608" s="90"/>
      <c r="AE608" s="90">
        <v>0.5</v>
      </c>
      <c r="AF608" s="90">
        <v>12.5</v>
      </c>
      <c r="AG608" s="90" t="s">
        <v>1637</v>
      </c>
      <c r="AH608" s="90"/>
      <c r="AI608" s="90" t="s">
        <v>1552</v>
      </c>
      <c r="AJ608" s="90">
        <v>350</v>
      </c>
      <c r="AK608" s="90"/>
      <c r="AL608" s="90">
        <v>3000</v>
      </c>
    </row>
    <row r="609" spans="1:38" ht="15" thickBot="1" x14ac:dyDescent="0.35">
      <c r="A609" s="118" t="s">
        <v>1717</v>
      </c>
      <c r="B609" s="114" t="s">
        <v>3135</v>
      </c>
      <c r="C609" s="114" t="s">
        <v>3138</v>
      </c>
      <c r="D609" s="90"/>
      <c r="E609" s="120"/>
      <c r="F609" s="90" t="s">
        <v>1529</v>
      </c>
      <c r="G609" s="90" t="s">
        <v>1583</v>
      </c>
      <c r="H609" s="90"/>
      <c r="I609" s="90" t="s">
        <v>1558</v>
      </c>
      <c r="J609" s="90" t="s">
        <v>1609</v>
      </c>
      <c r="K609" s="90"/>
      <c r="L609" s="90" t="s">
        <v>1531</v>
      </c>
      <c r="M609" s="90"/>
      <c r="N609" s="90">
        <v>8.6999999999999994E-2</v>
      </c>
      <c r="O609" s="90">
        <v>0.40100000000000002</v>
      </c>
      <c r="P609" s="90"/>
      <c r="Q609" s="90">
        <v>0.36099999999999999</v>
      </c>
      <c r="R609" s="90">
        <v>8.0000000000000002E-3</v>
      </c>
      <c r="S609" s="90"/>
      <c r="T609" s="90">
        <v>0.14299999999999999</v>
      </c>
      <c r="U609" s="90"/>
      <c r="V609" s="90" t="s">
        <v>1264</v>
      </c>
      <c r="W609" s="90">
        <v>1273</v>
      </c>
      <c r="X609" s="90">
        <v>2</v>
      </c>
      <c r="Y609" s="90"/>
      <c r="Z609" s="90"/>
      <c r="AA609" s="90"/>
      <c r="AB609" s="90" t="s">
        <v>1142</v>
      </c>
      <c r="AC609" s="90">
        <v>5.0599999999999996</v>
      </c>
      <c r="AD609" s="90"/>
      <c r="AE609" s="90">
        <v>0.5</v>
      </c>
      <c r="AF609" s="90">
        <v>12.5</v>
      </c>
      <c r="AG609" s="90" t="s">
        <v>1637</v>
      </c>
      <c r="AH609" s="90"/>
      <c r="AI609" s="90" t="s">
        <v>1552</v>
      </c>
      <c r="AJ609" s="90">
        <v>350</v>
      </c>
      <c r="AK609" s="90"/>
      <c r="AL609" s="90">
        <v>3460</v>
      </c>
    </row>
    <row r="610" spans="1:38" ht="15" thickBot="1" x14ac:dyDescent="0.35">
      <c r="A610" s="118" t="s">
        <v>1717</v>
      </c>
      <c r="B610" s="114" t="s">
        <v>3135</v>
      </c>
      <c r="C610" s="114" t="s">
        <v>3139</v>
      </c>
      <c r="D610" s="90"/>
      <c r="E610" s="120"/>
      <c r="F610" s="90" t="s">
        <v>1529</v>
      </c>
      <c r="G610" s="90" t="s">
        <v>1583</v>
      </c>
      <c r="H610" s="90"/>
      <c r="I610" s="90" t="s">
        <v>1558</v>
      </c>
      <c r="J610" s="90" t="s">
        <v>1609</v>
      </c>
      <c r="K610" s="90"/>
      <c r="L610" s="90" t="s">
        <v>1531</v>
      </c>
      <c r="M610" s="90"/>
      <c r="N610" s="90">
        <v>8.7999999999999995E-2</v>
      </c>
      <c r="O610" s="90"/>
      <c r="P610" s="90"/>
      <c r="Q610" s="90">
        <v>0.36199999999999999</v>
      </c>
      <c r="R610" s="90">
        <v>0.01</v>
      </c>
      <c r="S610" s="90"/>
      <c r="T610" s="90">
        <v>0.14399999999999999</v>
      </c>
      <c r="U610" s="90"/>
      <c r="V610" s="90" t="s">
        <v>1264</v>
      </c>
      <c r="W610" s="90">
        <v>1273</v>
      </c>
      <c r="X610" s="90">
        <v>2</v>
      </c>
      <c r="Y610" s="90"/>
      <c r="Z610" s="90"/>
      <c r="AA610" s="90"/>
      <c r="AB610" s="90" t="s">
        <v>1142</v>
      </c>
      <c r="AC610" s="90">
        <v>5.85</v>
      </c>
      <c r="AD610" s="90"/>
      <c r="AE610" s="90">
        <v>0.5</v>
      </c>
      <c r="AF610" s="90">
        <v>12.5</v>
      </c>
      <c r="AG610" s="90" t="s">
        <v>1637</v>
      </c>
      <c r="AH610" s="90"/>
      <c r="AI610" s="90" t="s">
        <v>1552</v>
      </c>
      <c r="AJ610" s="90">
        <v>350</v>
      </c>
      <c r="AK610" s="90"/>
      <c r="AL610" s="90">
        <v>4640</v>
      </c>
    </row>
    <row r="611" spans="1:38" ht="15" thickBot="1" x14ac:dyDescent="0.35">
      <c r="A611" s="118" t="s">
        <v>1718</v>
      </c>
      <c r="B611" s="114" t="s">
        <v>3140</v>
      </c>
      <c r="C611" s="114" t="s">
        <v>3141</v>
      </c>
      <c r="D611" s="90"/>
      <c r="E611" s="120"/>
      <c r="F611" s="90" t="s">
        <v>1578</v>
      </c>
      <c r="G611" s="90"/>
      <c r="H611" s="90"/>
      <c r="I611" s="90" t="s">
        <v>1530</v>
      </c>
      <c r="J611" s="90"/>
      <c r="K611" s="90"/>
      <c r="L611" s="90" t="s">
        <v>1531</v>
      </c>
      <c r="M611" s="90"/>
      <c r="N611" s="90">
        <v>8.5000000000000006E-2</v>
      </c>
      <c r="O611" s="90"/>
      <c r="P611" s="90"/>
      <c r="Q611" s="90">
        <v>0.53100000000000003</v>
      </c>
      <c r="R611" s="90"/>
      <c r="S611" s="90"/>
      <c r="T611" s="90">
        <v>0.38400000000000001</v>
      </c>
      <c r="U611" s="90"/>
      <c r="V611" s="90" t="s">
        <v>1264</v>
      </c>
      <c r="W611" s="90">
        <v>453</v>
      </c>
      <c r="X611" s="90">
        <v>4</v>
      </c>
      <c r="Y611" s="90"/>
      <c r="Z611" s="90"/>
      <c r="AA611" s="90"/>
      <c r="AB611" s="90" t="s">
        <v>1549</v>
      </c>
      <c r="AC611" s="90">
        <v>3.58</v>
      </c>
      <c r="AD611" s="90">
        <v>48</v>
      </c>
      <c r="AE611" s="90">
        <v>0.5</v>
      </c>
      <c r="AF611" s="90">
        <v>0</v>
      </c>
      <c r="AG611" s="90"/>
      <c r="AH611" s="90"/>
      <c r="AI611" s="90" t="s">
        <v>1572</v>
      </c>
      <c r="AJ611" s="90">
        <v>300</v>
      </c>
      <c r="AK611" s="90">
        <v>254</v>
      </c>
      <c r="AL611" s="90">
        <v>85</v>
      </c>
    </row>
    <row r="612" spans="1:38" ht="15" thickBot="1" x14ac:dyDescent="0.35">
      <c r="A612" s="118" t="s">
        <v>1718</v>
      </c>
      <c r="B612" s="114" t="s">
        <v>3140</v>
      </c>
      <c r="C612" s="114" t="s">
        <v>3141</v>
      </c>
      <c r="D612" s="90"/>
      <c r="E612" s="120"/>
      <c r="F612" s="90" t="s">
        <v>1578</v>
      </c>
      <c r="G612" s="90"/>
      <c r="H612" s="90"/>
      <c r="I612" s="90" t="s">
        <v>1530</v>
      </c>
      <c r="J612" s="90"/>
      <c r="K612" s="90"/>
      <c r="L612" s="90" t="s">
        <v>1531</v>
      </c>
      <c r="M612" s="90"/>
      <c r="N612" s="90">
        <v>8.5000000000000006E-2</v>
      </c>
      <c r="O612" s="90"/>
      <c r="P612" s="90"/>
      <c r="Q612" s="90">
        <v>0.53100000000000003</v>
      </c>
      <c r="R612" s="90"/>
      <c r="S612" s="90"/>
      <c r="T612" s="90">
        <v>0.38400000000000001</v>
      </c>
      <c r="U612" s="90"/>
      <c r="V612" s="90" t="s">
        <v>1264</v>
      </c>
      <c r="W612" s="90">
        <v>673</v>
      </c>
      <c r="X612" s="90">
        <v>4</v>
      </c>
      <c r="Y612" s="90"/>
      <c r="Z612" s="90"/>
      <c r="AA612" s="90"/>
      <c r="AB612" s="90" t="s">
        <v>1549</v>
      </c>
      <c r="AC612" s="90">
        <v>3.58</v>
      </c>
      <c r="AD612" s="90">
        <v>29</v>
      </c>
      <c r="AE612" s="90">
        <v>0.5</v>
      </c>
      <c r="AF612" s="90">
        <v>0</v>
      </c>
      <c r="AG612" s="90"/>
      <c r="AH612" s="90"/>
      <c r="AI612" s="90" t="s">
        <v>1572</v>
      </c>
      <c r="AJ612" s="90">
        <v>300</v>
      </c>
      <c r="AK612" s="90">
        <v>254</v>
      </c>
      <c r="AL612" s="90">
        <v>128</v>
      </c>
    </row>
    <row r="613" spans="1:38" ht="15" thickBot="1" x14ac:dyDescent="0.35">
      <c r="A613" s="118" t="s">
        <v>1718</v>
      </c>
      <c r="B613" s="114" t="s">
        <v>3140</v>
      </c>
      <c r="C613" s="114" t="s">
        <v>3141</v>
      </c>
      <c r="D613" s="90"/>
      <c r="E613" s="120"/>
      <c r="F613" s="90" t="s">
        <v>1578</v>
      </c>
      <c r="G613" s="90"/>
      <c r="H613" s="90"/>
      <c r="I613" s="90" t="s">
        <v>1530</v>
      </c>
      <c r="J613" s="90"/>
      <c r="K613" s="90"/>
      <c r="L613" s="90" t="s">
        <v>1531</v>
      </c>
      <c r="M613" s="90"/>
      <c r="N613" s="90">
        <v>8.5000000000000006E-2</v>
      </c>
      <c r="O613" s="90"/>
      <c r="P613" s="90"/>
      <c r="Q613" s="90">
        <v>0.53100000000000003</v>
      </c>
      <c r="R613" s="90"/>
      <c r="S613" s="90"/>
      <c r="T613" s="90">
        <v>0.38400000000000001</v>
      </c>
      <c r="U613" s="90"/>
      <c r="V613" s="90" t="s">
        <v>1264</v>
      </c>
      <c r="W613" s="90">
        <v>873</v>
      </c>
      <c r="X613" s="90">
        <v>4</v>
      </c>
      <c r="Y613" s="90"/>
      <c r="Z613" s="90"/>
      <c r="AA613" s="90"/>
      <c r="AB613" s="90" t="s">
        <v>1595</v>
      </c>
      <c r="AC613" s="90">
        <v>3.58</v>
      </c>
      <c r="AD613" s="90">
        <v>22</v>
      </c>
      <c r="AE613" s="90">
        <v>0.5</v>
      </c>
      <c r="AF613" s="90">
        <v>0</v>
      </c>
      <c r="AG613" s="90"/>
      <c r="AH613" s="90"/>
      <c r="AI613" s="90" t="s">
        <v>1572</v>
      </c>
      <c r="AJ613" s="90">
        <v>300</v>
      </c>
      <c r="AK613" s="90">
        <v>254</v>
      </c>
      <c r="AL613" s="90">
        <v>213</v>
      </c>
    </row>
    <row r="614" spans="1:38" ht="15" thickBot="1" x14ac:dyDescent="0.35">
      <c r="A614" s="118" t="s">
        <v>1718</v>
      </c>
      <c r="B614" s="114" t="s">
        <v>3140</v>
      </c>
      <c r="C614" s="114" t="s">
        <v>3141</v>
      </c>
      <c r="D614" s="90"/>
      <c r="E614" s="120"/>
      <c r="F614" s="90" t="s">
        <v>1578</v>
      </c>
      <c r="G614" s="90"/>
      <c r="H614" s="90"/>
      <c r="I614" s="90" t="s">
        <v>1530</v>
      </c>
      <c r="J614" s="90"/>
      <c r="K614" s="90"/>
      <c r="L614" s="90" t="s">
        <v>1531</v>
      </c>
      <c r="M614" s="90"/>
      <c r="N614" s="90">
        <v>8.5000000000000006E-2</v>
      </c>
      <c r="O614" s="90"/>
      <c r="P614" s="90"/>
      <c r="Q614" s="90">
        <v>0.53100000000000003</v>
      </c>
      <c r="R614" s="90"/>
      <c r="S614" s="90"/>
      <c r="T614" s="90">
        <v>0.38400000000000001</v>
      </c>
      <c r="U614" s="90"/>
      <c r="V614" s="90" t="s">
        <v>1538</v>
      </c>
      <c r="W614" s="90">
        <v>1073</v>
      </c>
      <c r="X614" s="90">
        <v>4</v>
      </c>
      <c r="Y614" s="90"/>
      <c r="Z614" s="90"/>
      <c r="AA614" s="90"/>
      <c r="AB614" s="90" t="s">
        <v>1595</v>
      </c>
      <c r="AC614" s="90">
        <v>3.58</v>
      </c>
      <c r="AD614" s="90">
        <v>12</v>
      </c>
      <c r="AE614" s="90">
        <v>0.5</v>
      </c>
      <c r="AF614" s="90">
        <v>0</v>
      </c>
      <c r="AG614" s="90"/>
      <c r="AH614" s="90"/>
      <c r="AI614" s="90" t="s">
        <v>1572</v>
      </c>
      <c r="AJ614" s="90">
        <v>300</v>
      </c>
      <c r="AK614" s="90">
        <v>254</v>
      </c>
      <c r="AL614" s="90">
        <v>179</v>
      </c>
    </row>
    <row r="615" spans="1:38" ht="15" thickBot="1" x14ac:dyDescent="0.35">
      <c r="A615" s="118" t="s">
        <v>1718</v>
      </c>
      <c r="B615" s="114" t="s">
        <v>3140</v>
      </c>
      <c r="C615" s="114" t="s">
        <v>3141</v>
      </c>
      <c r="D615" s="90"/>
      <c r="E615" s="120"/>
      <c r="F615" s="90" t="s">
        <v>1578</v>
      </c>
      <c r="G615" s="90"/>
      <c r="H615" s="90"/>
      <c r="I615" s="90" t="s">
        <v>1530</v>
      </c>
      <c r="J615" s="90"/>
      <c r="K615" s="90"/>
      <c r="L615" s="90" t="s">
        <v>1531</v>
      </c>
      <c r="M615" s="90"/>
      <c r="N615" s="90">
        <v>8.5000000000000006E-2</v>
      </c>
      <c r="O615" s="90"/>
      <c r="P615" s="90"/>
      <c r="Q615" s="90">
        <v>0.53100000000000003</v>
      </c>
      <c r="R615" s="90"/>
      <c r="S615" s="90"/>
      <c r="T615" s="90">
        <v>0.38400000000000001</v>
      </c>
      <c r="U615" s="90"/>
      <c r="V615" s="90" t="s">
        <v>1538</v>
      </c>
      <c r="W615" s="90">
        <v>873</v>
      </c>
      <c r="X615" s="90">
        <v>4</v>
      </c>
      <c r="Y615" s="90" t="s">
        <v>1533</v>
      </c>
      <c r="Z615" s="90" t="s">
        <v>56</v>
      </c>
      <c r="AA615" s="90">
        <v>2</v>
      </c>
      <c r="AB615" s="90" t="s">
        <v>1595</v>
      </c>
      <c r="AC615" s="90">
        <v>3.59</v>
      </c>
      <c r="AD615" s="90">
        <v>22</v>
      </c>
      <c r="AE615" s="90">
        <v>0.5</v>
      </c>
      <c r="AF615" s="90">
        <v>0</v>
      </c>
      <c r="AG615" s="90"/>
      <c r="AH615" s="90"/>
      <c r="AI615" s="90" t="s">
        <v>1572</v>
      </c>
      <c r="AJ615" s="90">
        <v>300</v>
      </c>
      <c r="AK615" s="90">
        <v>254</v>
      </c>
      <c r="AL615" s="90">
        <v>389</v>
      </c>
    </row>
    <row r="616" spans="1:38" ht="15" thickBot="1" x14ac:dyDescent="0.35">
      <c r="A616" s="118" t="s">
        <v>1718</v>
      </c>
      <c r="B616" s="114" t="s">
        <v>3140</v>
      </c>
      <c r="C616" s="114" t="s">
        <v>3142</v>
      </c>
      <c r="D616" s="90"/>
      <c r="E616" s="120"/>
      <c r="F616" s="90" t="s">
        <v>1578</v>
      </c>
      <c r="G616" s="90"/>
      <c r="H616" s="90"/>
      <c r="I616" s="90" t="s">
        <v>1530</v>
      </c>
      <c r="J616" s="90" t="s">
        <v>1569</v>
      </c>
      <c r="K616" s="90"/>
      <c r="L616" s="90" t="s">
        <v>1531</v>
      </c>
      <c r="M616" s="90"/>
      <c r="N616" s="90">
        <v>7.9000000000000001E-2</v>
      </c>
      <c r="O616" s="90"/>
      <c r="P616" s="90"/>
      <c r="Q616" s="90">
        <v>0.40899999999999997</v>
      </c>
      <c r="R616" s="90">
        <v>0.156</v>
      </c>
      <c r="S616" s="90"/>
      <c r="T616" s="90">
        <v>0.35599999999999998</v>
      </c>
      <c r="U616" s="90"/>
      <c r="V616" s="90" t="s">
        <v>1538</v>
      </c>
      <c r="W616" s="90">
        <v>673</v>
      </c>
      <c r="X616" s="90">
        <v>2</v>
      </c>
      <c r="Y616" s="90"/>
      <c r="Z616" s="90"/>
      <c r="AA616" s="90"/>
      <c r="AB616" s="90" t="s">
        <v>1595</v>
      </c>
      <c r="AC616" s="90">
        <v>3.62</v>
      </c>
      <c r="AD616" s="90">
        <v>21</v>
      </c>
      <c r="AE616" s="90">
        <v>0.5</v>
      </c>
      <c r="AF616" s="90">
        <v>0</v>
      </c>
      <c r="AG616" s="90"/>
      <c r="AH616" s="90"/>
      <c r="AI616" s="90" t="s">
        <v>1572</v>
      </c>
      <c r="AJ616" s="90">
        <v>300</v>
      </c>
      <c r="AK616" s="90">
        <v>254</v>
      </c>
      <c r="AL616" s="90">
        <v>1896</v>
      </c>
    </row>
    <row r="617" spans="1:38" ht="15" thickBot="1" x14ac:dyDescent="0.35">
      <c r="A617" s="118" t="s">
        <v>1718</v>
      </c>
      <c r="B617" s="114" t="s">
        <v>3140</v>
      </c>
      <c r="C617" s="114" t="s">
        <v>3142</v>
      </c>
      <c r="D617" s="90"/>
      <c r="E617" s="120"/>
      <c r="F617" s="90" t="s">
        <v>1578</v>
      </c>
      <c r="G617" s="90"/>
      <c r="H617" s="90"/>
      <c r="I617" s="90" t="s">
        <v>1530</v>
      </c>
      <c r="J617" s="90" t="s">
        <v>1569</v>
      </c>
      <c r="K617" s="90"/>
      <c r="L617" s="90" t="s">
        <v>1531</v>
      </c>
      <c r="M617" s="90"/>
      <c r="N617" s="90">
        <v>7.9000000000000001E-2</v>
      </c>
      <c r="O617" s="90"/>
      <c r="P617" s="90"/>
      <c r="Q617" s="90">
        <v>0.40899999999999997</v>
      </c>
      <c r="R617" s="90">
        <v>0.156</v>
      </c>
      <c r="S617" s="90"/>
      <c r="T617" s="90">
        <v>0.35599999999999998</v>
      </c>
      <c r="U617" s="90"/>
      <c r="V617" s="90" t="s">
        <v>1538</v>
      </c>
      <c r="W617" s="90">
        <v>673</v>
      </c>
      <c r="X617" s="90">
        <v>2</v>
      </c>
      <c r="Y617" s="90" t="s">
        <v>1533</v>
      </c>
      <c r="Z617" s="90" t="s">
        <v>56</v>
      </c>
      <c r="AA617" s="90">
        <v>2</v>
      </c>
      <c r="AB617" s="90" t="s">
        <v>1595</v>
      </c>
      <c r="AC617" s="90">
        <v>3.61</v>
      </c>
      <c r="AD617" s="90">
        <v>21</v>
      </c>
      <c r="AE617" s="90">
        <v>0.5</v>
      </c>
      <c r="AF617" s="90">
        <v>0</v>
      </c>
      <c r="AG617" s="90"/>
      <c r="AH617" s="90"/>
      <c r="AI617" s="90" t="s">
        <v>1572</v>
      </c>
      <c r="AJ617" s="90">
        <v>300</v>
      </c>
      <c r="AK617" s="90">
        <v>254</v>
      </c>
      <c r="AL617" s="90">
        <v>2482</v>
      </c>
    </row>
    <row r="618" spans="1:38" ht="15" thickBot="1" x14ac:dyDescent="0.35">
      <c r="A618" s="118" t="s">
        <v>1719</v>
      </c>
      <c r="B618" s="114" t="s">
        <v>3143</v>
      </c>
      <c r="C618" s="114" t="s">
        <v>3071</v>
      </c>
      <c r="D618" s="90"/>
      <c r="E618" s="120"/>
      <c r="F618" s="90" t="s">
        <v>1088</v>
      </c>
      <c r="G618" s="90"/>
      <c r="H618" s="90"/>
      <c r="I618" s="90" t="s">
        <v>1658</v>
      </c>
      <c r="J618" s="90"/>
      <c r="K618" s="90"/>
      <c r="L618" s="90" t="s">
        <v>1531</v>
      </c>
      <c r="M618" s="90"/>
      <c r="N618" s="90">
        <v>0.57199999999999995</v>
      </c>
      <c r="O618" s="90"/>
      <c r="P618" s="90"/>
      <c r="Q618" s="90">
        <v>0.23</v>
      </c>
      <c r="R618" s="90"/>
      <c r="S618" s="90"/>
      <c r="T618" s="90">
        <v>0.19800000000000001</v>
      </c>
      <c r="U618" s="90"/>
      <c r="V618" s="90" t="s">
        <v>1538</v>
      </c>
      <c r="W618" s="90">
        <v>1273</v>
      </c>
      <c r="X618" s="90">
        <v>10</v>
      </c>
      <c r="Y618" s="90" t="s">
        <v>1268</v>
      </c>
      <c r="Z618" s="90" t="s">
        <v>863</v>
      </c>
      <c r="AA618" s="90">
        <v>0.5</v>
      </c>
      <c r="AB618" s="90" t="s">
        <v>1142</v>
      </c>
      <c r="AC618" s="90">
        <v>2.2000000000000002</v>
      </c>
      <c r="AD618" s="90"/>
      <c r="AE618" s="90">
        <v>1</v>
      </c>
      <c r="AF618" s="90">
        <v>10</v>
      </c>
      <c r="AG618" s="90"/>
      <c r="AH618" s="90"/>
      <c r="AI618" s="90" t="s">
        <v>1534</v>
      </c>
      <c r="AJ618" s="90">
        <v>300</v>
      </c>
      <c r="AK618" s="90">
        <v>420</v>
      </c>
      <c r="AL618" s="90">
        <v>133</v>
      </c>
    </row>
    <row r="619" spans="1:38" ht="15" thickBot="1" x14ac:dyDescent="0.35">
      <c r="A619" s="118" t="s">
        <v>1719</v>
      </c>
      <c r="B619" s="114" t="s">
        <v>3143</v>
      </c>
      <c r="C619" s="114" t="s">
        <v>3146</v>
      </c>
      <c r="D619" s="90"/>
      <c r="E619" s="120"/>
      <c r="F619" s="90" t="s">
        <v>1088</v>
      </c>
      <c r="G619" s="90"/>
      <c r="H619" s="90"/>
      <c r="I619" s="90" t="s">
        <v>1658</v>
      </c>
      <c r="J619" s="90" t="s">
        <v>1530</v>
      </c>
      <c r="K619" s="90"/>
      <c r="L619" s="90" t="s">
        <v>1531</v>
      </c>
      <c r="M619" s="90"/>
      <c r="N619" s="90">
        <v>0.57499999999999996</v>
      </c>
      <c r="O619" s="90"/>
      <c r="P619" s="90"/>
      <c r="Q619" s="90">
        <v>0.19600000000000001</v>
      </c>
      <c r="R619" s="90">
        <v>0.03</v>
      </c>
      <c r="S619" s="90"/>
      <c r="T619" s="90">
        <v>0.19900000000000001</v>
      </c>
      <c r="U619" s="90"/>
      <c r="V619" s="90" t="s">
        <v>1538</v>
      </c>
      <c r="W619" s="90">
        <v>1273</v>
      </c>
      <c r="X619" s="90">
        <v>10</v>
      </c>
      <c r="Y619" s="90" t="s">
        <v>1268</v>
      </c>
      <c r="Z619" s="90" t="s">
        <v>863</v>
      </c>
      <c r="AA619" s="90">
        <v>0.5</v>
      </c>
      <c r="AB619" s="90" t="s">
        <v>1142</v>
      </c>
      <c r="AC619" s="90">
        <v>2.1</v>
      </c>
      <c r="AD619" s="90"/>
      <c r="AE619" s="90">
        <v>1</v>
      </c>
      <c r="AF619" s="90">
        <v>10</v>
      </c>
      <c r="AG619" s="90"/>
      <c r="AH619" s="90"/>
      <c r="AI619" s="90" t="s">
        <v>1534</v>
      </c>
      <c r="AJ619" s="90">
        <v>300</v>
      </c>
      <c r="AK619" s="90">
        <v>420</v>
      </c>
      <c r="AL619" s="90">
        <v>300</v>
      </c>
    </row>
    <row r="620" spans="1:38" ht="15" thickBot="1" x14ac:dyDescent="0.35">
      <c r="A620" s="118" t="s">
        <v>1719</v>
      </c>
      <c r="B620" s="114" t="s">
        <v>3143</v>
      </c>
      <c r="C620" s="114" t="s">
        <v>3148</v>
      </c>
      <c r="D620" s="90"/>
      <c r="E620" s="120"/>
      <c r="F620" s="90" t="s">
        <v>1088</v>
      </c>
      <c r="G620" s="90" t="s">
        <v>1529</v>
      </c>
      <c r="H620" s="90"/>
      <c r="I620" s="90" t="s">
        <v>1658</v>
      </c>
      <c r="J620" s="90"/>
      <c r="K620" s="90"/>
      <c r="L620" s="90" t="s">
        <v>1531</v>
      </c>
      <c r="M620" s="90"/>
      <c r="N620" s="90">
        <v>0.502</v>
      </c>
      <c r="O620" s="90">
        <v>5.6000000000000001E-2</v>
      </c>
      <c r="P620" s="90"/>
      <c r="Q620" s="90">
        <v>0.23699999999999999</v>
      </c>
      <c r="R620" s="90"/>
      <c r="S620" s="90"/>
      <c r="T620" s="90">
        <v>0.20399999999999999</v>
      </c>
      <c r="U620" s="90"/>
      <c r="V620" s="90" t="s">
        <v>1538</v>
      </c>
      <c r="W620" s="90">
        <v>1273</v>
      </c>
      <c r="X620" s="90">
        <v>10</v>
      </c>
      <c r="Y620" s="90" t="s">
        <v>1268</v>
      </c>
      <c r="Z620" s="90" t="s">
        <v>863</v>
      </c>
      <c r="AA620" s="90">
        <v>0.5</v>
      </c>
      <c r="AB620" s="90" t="s">
        <v>1142</v>
      </c>
      <c r="AC620" s="90">
        <v>1.5</v>
      </c>
      <c r="AD620" s="90"/>
      <c r="AE620" s="90">
        <v>1</v>
      </c>
      <c r="AF620" s="90">
        <v>10</v>
      </c>
      <c r="AG620" s="90"/>
      <c r="AH620" s="90"/>
      <c r="AI620" s="90" t="s">
        <v>1534</v>
      </c>
      <c r="AJ620" s="90">
        <v>300</v>
      </c>
      <c r="AK620" s="90">
        <v>420</v>
      </c>
      <c r="AL620" s="90">
        <v>33.33</v>
      </c>
    </row>
    <row r="621" spans="1:38" ht="15" thickBot="1" x14ac:dyDescent="0.35">
      <c r="A621" s="118" t="s">
        <v>1719</v>
      </c>
      <c r="B621" s="114" t="s">
        <v>3143</v>
      </c>
      <c r="C621" s="114" t="s">
        <v>3147</v>
      </c>
      <c r="D621" s="90"/>
      <c r="E621" s="120"/>
      <c r="F621" s="90" t="s">
        <v>1088</v>
      </c>
      <c r="G621" s="90" t="s">
        <v>1529</v>
      </c>
      <c r="H621" s="90"/>
      <c r="I621" s="90" t="s">
        <v>1658</v>
      </c>
      <c r="J621" s="90" t="s">
        <v>1530</v>
      </c>
      <c r="K621" s="90"/>
      <c r="L621" s="90" t="s">
        <v>1531</v>
      </c>
      <c r="M621" s="90"/>
      <c r="N621" s="90">
        <v>0.52100000000000002</v>
      </c>
      <c r="O621" s="90">
        <v>4.2000000000000003E-2</v>
      </c>
      <c r="P621" s="90"/>
      <c r="Q621" s="90">
        <v>0.22700000000000001</v>
      </c>
      <c r="R621" s="90">
        <v>8.0000000000000002E-3</v>
      </c>
      <c r="S621" s="90"/>
      <c r="T621" s="90">
        <v>0.20300000000000001</v>
      </c>
      <c r="U621" s="90"/>
      <c r="V621" s="90" t="s">
        <v>1532</v>
      </c>
      <c r="W621" s="90">
        <v>1273</v>
      </c>
      <c r="X621" s="90">
        <v>10</v>
      </c>
      <c r="Y621" s="90" t="s">
        <v>1268</v>
      </c>
      <c r="Z621" s="90" t="s">
        <v>863</v>
      </c>
      <c r="AA621" s="90">
        <v>0.5</v>
      </c>
      <c r="AB621" s="90" t="s">
        <v>1142</v>
      </c>
      <c r="AC621" s="90">
        <v>1.5</v>
      </c>
      <c r="AD621" s="90"/>
      <c r="AE621" s="90">
        <v>1</v>
      </c>
      <c r="AF621" s="90">
        <v>10</v>
      </c>
      <c r="AG621" s="90"/>
      <c r="AH621" s="90"/>
      <c r="AI621" s="90" t="s">
        <v>1534</v>
      </c>
      <c r="AJ621" s="90">
        <v>300</v>
      </c>
      <c r="AK621" s="90">
        <v>420</v>
      </c>
      <c r="AL621" s="90">
        <v>53.33</v>
      </c>
    </row>
    <row r="622" spans="1:38" ht="15" thickBot="1" x14ac:dyDescent="0.35">
      <c r="A622" s="118" t="s">
        <v>1719</v>
      </c>
      <c r="B622" s="114" t="s">
        <v>3143</v>
      </c>
      <c r="C622" s="114" t="s">
        <v>3145</v>
      </c>
      <c r="D622" s="90"/>
      <c r="E622" s="120"/>
      <c r="F622" s="90" t="s">
        <v>1088</v>
      </c>
      <c r="G622" s="90" t="s">
        <v>1529</v>
      </c>
      <c r="H622" s="90"/>
      <c r="I622" s="90" t="s">
        <v>1658</v>
      </c>
      <c r="J622" s="90" t="s">
        <v>1530</v>
      </c>
      <c r="K622" s="90"/>
      <c r="L622" s="90" t="s">
        <v>1531</v>
      </c>
      <c r="M622" s="90"/>
      <c r="N622" s="90">
        <v>0.55700000000000005</v>
      </c>
      <c r="O622" s="90">
        <v>1.4E-2</v>
      </c>
      <c r="P622" s="90"/>
      <c r="Q622" s="90">
        <v>0.20599999999999999</v>
      </c>
      <c r="R622" s="90">
        <v>2.1999999999999999E-2</v>
      </c>
      <c r="S622" s="90"/>
      <c r="T622" s="90">
        <v>0.2</v>
      </c>
      <c r="U622" s="90"/>
      <c r="V622" s="90" t="s">
        <v>1532</v>
      </c>
      <c r="W622" s="90">
        <v>1273</v>
      </c>
      <c r="X622" s="90">
        <v>10</v>
      </c>
      <c r="Y622" s="90" t="s">
        <v>1268</v>
      </c>
      <c r="Z622" s="90" t="s">
        <v>863</v>
      </c>
      <c r="AA622" s="90">
        <v>0.5</v>
      </c>
      <c r="AB622" s="90" t="s">
        <v>1142</v>
      </c>
      <c r="AC622" s="90">
        <v>1.5</v>
      </c>
      <c r="AD622" s="90"/>
      <c r="AE622" s="90">
        <v>1</v>
      </c>
      <c r="AF622" s="90">
        <v>10</v>
      </c>
      <c r="AG622" s="90"/>
      <c r="AH622" s="90"/>
      <c r="AI622" s="90" t="s">
        <v>1534</v>
      </c>
      <c r="AJ622" s="90">
        <v>300</v>
      </c>
      <c r="AK622" s="90">
        <v>420</v>
      </c>
      <c r="AL622" s="90">
        <v>426.67</v>
      </c>
    </row>
    <row r="623" spans="1:38" ht="15" thickBot="1" x14ac:dyDescent="0.35">
      <c r="A623" s="118" t="s">
        <v>1719</v>
      </c>
      <c r="B623" s="114" t="s">
        <v>3143</v>
      </c>
      <c r="C623" s="114" t="s">
        <v>3144</v>
      </c>
      <c r="D623" s="90"/>
      <c r="E623" s="120"/>
      <c r="F623" s="90" t="s">
        <v>1088</v>
      </c>
      <c r="G623" s="90" t="s">
        <v>1529</v>
      </c>
      <c r="H623" s="90"/>
      <c r="I623" s="90" t="s">
        <v>1658</v>
      </c>
      <c r="J623" s="90" t="s">
        <v>1530</v>
      </c>
      <c r="K623" s="90"/>
      <c r="L623" s="90" t="s">
        <v>1531</v>
      </c>
      <c r="M623" s="90"/>
      <c r="N623" s="90">
        <v>0.53900000000000003</v>
      </c>
      <c r="O623" s="90">
        <v>2.8000000000000001E-2</v>
      </c>
      <c r="P623" s="90"/>
      <c r="Q623" s="90">
        <v>0.217</v>
      </c>
      <c r="R623" s="90">
        <v>1.4999999999999999E-2</v>
      </c>
      <c r="S623" s="90"/>
      <c r="T623" s="90">
        <v>0.20100000000000001</v>
      </c>
      <c r="U623" s="90"/>
      <c r="V623" s="90" t="s">
        <v>1532</v>
      </c>
      <c r="W623" s="90">
        <v>1273</v>
      </c>
      <c r="X623" s="90">
        <v>10</v>
      </c>
      <c r="Y623" s="90" t="s">
        <v>1268</v>
      </c>
      <c r="Z623" s="90" t="s">
        <v>863</v>
      </c>
      <c r="AA623" s="90">
        <v>0.5</v>
      </c>
      <c r="AB623" s="90" t="s">
        <v>1142</v>
      </c>
      <c r="AC623" s="90">
        <v>2</v>
      </c>
      <c r="AD623" s="90"/>
      <c r="AE623" s="90">
        <v>1</v>
      </c>
      <c r="AF623" s="90">
        <v>10</v>
      </c>
      <c r="AG623" s="90"/>
      <c r="AH623" s="90"/>
      <c r="AI623" s="90" t="s">
        <v>1534</v>
      </c>
      <c r="AJ623" s="90">
        <v>300</v>
      </c>
      <c r="AK623" s="90">
        <v>420</v>
      </c>
      <c r="AL623" s="90">
        <v>560</v>
      </c>
    </row>
    <row r="624" spans="1:38" ht="15" thickBot="1" x14ac:dyDescent="0.35">
      <c r="A624" s="118" t="s">
        <v>1720</v>
      </c>
      <c r="B624" s="114" t="s">
        <v>3149</v>
      </c>
      <c r="C624" s="114" t="s">
        <v>2784</v>
      </c>
      <c r="D624" s="90"/>
      <c r="E624" s="120"/>
      <c r="F624" s="90" t="s">
        <v>1529</v>
      </c>
      <c r="G624" s="90"/>
      <c r="H624" s="90"/>
      <c r="I624" s="90" t="s">
        <v>1530</v>
      </c>
      <c r="J624" s="90" t="s">
        <v>1535</v>
      </c>
      <c r="K624" s="90"/>
      <c r="L624" s="90" t="s">
        <v>1531</v>
      </c>
      <c r="M624" s="90">
        <f>P624/(O624)</f>
        <v>0.10421248519709017</v>
      </c>
      <c r="N624" s="90">
        <v>0.47099999999999997</v>
      </c>
      <c r="O624" s="90">
        <f>Q624/44</f>
        <v>5.8409090909090911E-3</v>
      </c>
      <c r="P624" s="90">
        <f>R624/23</f>
        <v>6.086956521739131E-4</v>
      </c>
      <c r="Q624" s="90">
        <v>0.25700000000000001</v>
      </c>
      <c r="R624" s="90">
        <v>1.4E-2</v>
      </c>
      <c r="S624" s="90"/>
      <c r="T624" s="90">
        <v>0.25800000000000001</v>
      </c>
      <c r="U624" s="90"/>
      <c r="V624" s="90" t="s">
        <v>1532</v>
      </c>
      <c r="W624" s="90">
        <v>1273</v>
      </c>
      <c r="X624" s="90">
        <v>10</v>
      </c>
      <c r="Y624" s="90"/>
      <c r="Z624" s="90" t="s">
        <v>1560</v>
      </c>
      <c r="AA624" s="90">
        <v>0.1</v>
      </c>
      <c r="AB624" s="90" t="s">
        <v>518</v>
      </c>
      <c r="AC624" s="90">
        <v>3.3</v>
      </c>
      <c r="AD624" s="90"/>
      <c r="AE624" s="90">
        <v>2.5</v>
      </c>
      <c r="AF624" s="90">
        <v>20</v>
      </c>
      <c r="AG624" s="90"/>
      <c r="AH624" s="90"/>
      <c r="AI624" s="90" t="s">
        <v>1534</v>
      </c>
      <c r="AJ624" s="90">
        <v>150</v>
      </c>
      <c r="AK624" s="90"/>
      <c r="AL624" s="90">
        <v>200</v>
      </c>
    </row>
    <row r="625" spans="1:38" ht="15" thickBot="1" x14ac:dyDescent="0.35">
      <c r="A625" s="118" t="s">
        <v>1720</v>
      </c>
      <c r="B625" s="114" t="s">
        <v>3149</v>
      </c>
      <c r="C625" s="114" t="s">
        <v>2784</v>
      </c>
      <c r="D625" s="90"/>
      <c r="E625" s="120"/>
      <c r="F625" s="90" t="s">
        <v>1529</v>
      </c>
      <c r="G625" s="90"/>
      <c r="H625" s="90"/>
      <c r="I625" s="90" t="s">
        <v>1530</v>
      </c>
      <c r="J625" s="90" t="s">
        <v>1535</v>
      </c>
      <c r="K625" s="90"/>
      <c r="L625" s="90" t="s">
        <v>1531</v>
      </c>
      <c r="M625" s="90">
        <f t="shared" ref="M625:M635" si="21">P625/(O625)</f>
        <v>0.10421248519709017</v>
      </c>
      <c r="N625" s="90">
        <v>0.47099999999999997</v>
      </c>
      <c r="O625" s="90">
        <f t="shared" ref="O625:O635" si="22">Q625/44</f>
        <v>5.8409090909090911E-3</v>
      </c>
      <c r="P625" s="90">
        <f t="shared" ref="P625:P635" si="23">R625/23</f>
        <v>6.086956521739131E-4</v>
      </c>
      <c r="Q625" s="90">
        <v>0.25700000000000001</v>
      </c>
      <c r="R625" s="90">
        <v>1.4E-2</v>
      </c>
      <c r="S625" s="90"/>
      <c r="T625" s="90">
        <v>0.25800000000000001</v>
      </c>
      <c r="U625" s="90"/>
      <c r="V625" s="90" t="s">
        <v>1532</v>
      </c>
      <c r="W625" s="90">
        <v>1273</v>
      </c>
      <c r="X625" s="90">
        <v>10</v>
      </c>
      <c r="Y625" s="90"/>
      <c r="Z625" s="90" t="s">
        <v>1560</v>
      </c>
      <c r="AA625" s="90">
        <v>0.1</v>
      </c>
      <c r="AB625" s="90" t="s">
        <v>518</v>
      </c>
      <c r="AC625" s="90">
        <v>3.3</v>
      </c>
      <c r="AD625" s="90"/>
      <c r="AE625" s="90">
        <v>2.5</v>
      </c>
      <c r="AF625" s="90">
        <v>0</v>
      </c>
      <c r="AG625" s="90" t="s">
        <v>1672</v>
      </c>
      <c r="AH625" s="90"/>
      <c r="AI625" s="90" t="s">
        <v>1534</v>
      </c>
      <c r="AJ625" s="90">
        <v>150</v>
      </c>
      <c r="AK625" s="90"/>
      <c r="AL625" s="90">
        <v>200</v>
      </c>
    </row>
    <row r="626" spans="1:38" ht="15" thickBot="1" x14ac:dyDescent="0.35">
      <c r="A626" s="118" t="s">
        <v>1720</v>
      </c>
      <c r="B626" s="114" t="s">
        <v>3149</v>
      </c>
      <c r="C626" s="114" t="s">
        <v>2784</v>
      </c>
      <c r="D626" s="90"/>
      <c r="E626" s="120"/>
      <c r="F626" s="90" t="s">
        <v>1529</v>
      </c>
      <c r="G626" s="90"/>
      <c r="H626" s="90"/>
      <c r="I626" s="90" t="s">
        <v>1530</v>
      </c>
      <c r="J626" s="90" t="s">
        <v>1535</v>
      </c>
      <c r="K626" s="90"/>
      <c r="L626" s="90" t="s">
        <v>1531</v>
      </c>
      <c r="M626" s="90">
        <f t="shared" si="21"/>
        <v>0.10421248519709017</v>
      </c>
      <c r="N626" s="90">
        <v>0.47099999999999997</v>
      </c>
      <c r="O626" s="90">
        <f t="shared" si="22"/>
        <v>5.8409090909090911E-3</v>
      </c>
      <c r="P626" s="90">
        <f t="shared" si="23"/>
        <v>6.086956521739131E-4</v>
      </c>
      <c r="Q626" s="90">
        <v>0.25700000000000001</v>
      </c>
      <c r="R626" s="90">
        <v>1.4E-2</v>
      </c>
      <c r="S626" s="90"/>
      <c r="T626" s="90">
        <v>0.25800000000000001</v>
      </c>
      <c r="U626" s="90"/>
      <c r="V626" s="90" t="s">
        <v>1532</v>
      </c>
      <c r="W626" s="90">
        <v>1273</v>
      </c>
      <c r="X626" s="90">
        <v>10</v>
      </c>
      <c r="Y626" s="90"/>
      <c r="Z626" s="90" t="s">
        <v>1560</v>
      </c>
      <c r="AA626" s="90">
        <v>0.25</v>
      </c>
      <c r="AB626" s="90" t="s">
        <v>518</v>
      </c>
      <c r="AC626" s="90">
        <v>3.3</v>
      </c>
      <c r="AD626" s="90"/>
      <c r="AE626" s="90">
        <v>2.5</v>
      </c>
      <c r="AF626" s="90">
        <v>20</v>
      </c>
      <c r="AG626" s="90"/>
      <c r="AH626" s="90"/>
      <c r="AI626" s="90" t="s">
        <v>1534</v>
      </c>
      <c r="AJ626" s="90">
        <v>150</v>
      </c>
      <c r="AK626" s="90"/>
      <c r="AL626" s="90">
        <v>270</v>
      </c>
    </row>
    <row r="627" spans="1:38" ht="15" thickBot="1" x14ac:dyDescent="0.35">
      <c r="A627" s="118" t="s">
        <v>1720</v>
      </c>
      <c r="B627" s="114" t="s">
        <v>3149</v>
      </c>
      <c r="C627" s="114" t="s">
        <v>2784</v>
      </c>
      <c r="D627" s="90"/>
      <c r="E627" s="120"/>
      <c r="F627" s="90" t="s">
        <v>1529</v>
      </c>
      <c r="G627" s="90"/>
      <c r="H627" s="90"/>
      <c r="I627" s="90" t="s">
        <v>1530</v>
      </c>
      <c r="J627" s="90" t="s">
        <v>1535</v>
      </c>
      <c r="K627" s="90"/>
      <c r="L627" s="90" t="s">
        <v>1531</v>
      </c>
      <c r="M627" s="90">
        <f t="shared" si="21"/>
        <v>0.10421248519709017</v>
      </c>
      <c r="N627" s="90">
        <v>0.47099999999999997</v>
      </c>
      <c r="O627" s="90">
        <f t="shared" si="22"/>
        <v>5.8409090909090911E-3</v>
      </c>
      <c r="P627" s="90">
        <f t="shared" si="23"/>
        <v>6.086956521739131E-4</v>
      </c>
      <c r="Q627" s="90">
        <v>0.25700000000000001</v>
      </c>
      <c r="R627" s="90">
        <v>1.4E-2</v>
      </c>
      <c r="S627" s="90"/>
      <c r="T627" s="90">
        <v>0.25800000000000001</v>
      </c>
      <c r="U627" s="90"/>
      <c r="V627" s="90" t="s">
        <v>1264</v>
      </c>
      <c r="W627" s="90">
        <v>1273</v>
      </c>
      <c r="X627" s="90">
        <v>10</v>
      </c>
      <c r="Y627" s="90"/>
      <c r="Z627" s="90" t="s">
        <v>1560</v>
      </c>
      <c r="AA627" s="90">
        <v>0.25</v>
      </c>
      <c r="AB627" s="90" t="s">
        <v>518</v>
      </c>
      <c r="AC627" s="90">
        <v>3.3</v>
      </c>
      <c r="AD627" s="90"/>
      <c r="AE627" s="90">
        <v>2.5</v>
      </c>
      <c r="AF627" s="90">
        <v>0</v>
      </c>
      <c r="AG627" s="90" t="s">
        <v>1672</v>
      </c>
      <c r="AH627" s="90"/>
      <c r="AI627" s="90" t="s">
        <v>1534</v>
      </c>
      <c r="AJ627" s="90">
        <v>150</v>
      </c>
      <c r="AK627" s="90"/>
      <c r="AL627" s="90">
        <v>230</v>
      </c>
    </row>
    <row r="628" spans="1:38" ht="15" thickBot="1" x14ac:dyDescent="0.35">
      <c r="A628" s="118" t="s">
        <v>1720</v>
      </c>
      <c r="B628" s="114" t="s">
        <v>3149</v>
      </c>
      <c r="C628" s="114" t="s">
        <v>2784</v>
      </c>
      <c r="D628" s="90"/>
      <c r="E628" s="120"/>
      <c r="F628" s="90" t="s">
        <v>1529</v>
      </c>
      <c r="G628" s="90"/>
      <c r="H628" s="90"/>
      <c r="I628" s="90" t="s">
        <v>1530</v>
      </c>
      <c r="J628" s="90" t="s">
        <v>1535</v>
      </c>
      <c r="K628" s="90"/>
      <c r="L628" s="90" t="s">
        <v>1531</v>
      </c>
      <c r="M628" s="90">
        <f t="shared" si="21"/>
        <v>0.10421248519709017</v>
      </c>
      <c r="N628" s="90">
        <v>0.47099999999999997</v>
      </c>
      <c r="O628" s="90">
        <f t="shared" si="22"/>
        <v>5.8409090909090911E-3</v>
      </c>
      <c r="P628" s="90">
        <f t="shared" si="23"/>
        <v>6.086956521739131E-4</v>
      </c>
      <c r="Q628" s="90">
        <v>0.25700000000000001</v>
      </c>
      <c r="R628" s="90">
        <v>1.4E-2</v>
      </c>
      <c r="S628" s="90"/>
      <c r="T628" s="90">
        <v>0.25800000000000001</v>
      </c>
      <c r="U628" s="90"/>
      <c r="V628" s="90" t="s">
        <v>1264</v>
      </c>
      <c r="W628" s="90">
        <v>1273</v>
      </c>
      <c r="X628" s="90">
        <v>10</v>
      </c>
      <c r="Y628" s="90"/>
      <c r="Z628" s="90" t="s">
        <v>1560</v>
      </c>
      <c r="AA628" s="90">
        <v>0.5</v>
      </c>
      <c r="AB628" s="90" t="s">
        <v>518</v>
      </c>
      <c r="AC628" s="90">
        <v>3.3</v>
      </c>
      <c r="AD628" s="90"/>
      <c r="AE628" s="90">
        <v>2.5</v>
      </c>
      <c r="AF628" s="90">
        <v>20</v>
      </c>
      <c r="AG628" s="90"/>
      <c r="AH628" s="90"/>
      <c r="AI628" s="90" t="s">
        <v>1534</v>
      </c>
      <c r="AJ628" s="90">
        <v>150</v>
      </c>
      <c r="AK628" s="90"/>
      <c r="AL628" s="90">
        <v>255</v>
      </c>
    </row>
    <row r="629" spans="1:38" ht="15" thickBot="1" x14ac:dyDescent="0.35">
      <c r="A629" s="118" t="s">
        <v>1720</v>
      </c>
      <c r="B629" s="114" t="s">
        <v>3149</v>
      </c>
      <c r="C629" s="114" t="s">
        <v>2784</v>
      </c>
      <c r="D629" s="90"/>
      <c r="E629" s="120"/>
      <c r="F629" s="90" t="s">
        <v>1529</v>
      </c>
      <c r="G629" s="90"/>
      <c r="H629" s="90"/>
      <c r="I629" s="90" t="s">
        <v>1530</v>
      </c>
      <c r="J629" s="90" t="s">
        <v>1535</v>
      </c>
      <c r="K629" s="90"/>
      <c r="L629" s="90" t="s">
        <v>1531</v>
      </c>
      <c r="M629" s="90">
        <f t="shared" si="21"/>
        <v>0.10421248519709017</v>
      </c>
      <c r="N629" s="90">
        <v>0.47099999999999997</v>
      </c>
      <c r="O629" s="90">
        <f t="shared" si="22"/>
        <v>5.8409090909090911E-3</v>
      </c>
      <c r="P629" s="90">
        <f t="shared" si="23"/>
        <v>6.086956521739131E-4</v>
      </c>
      <c r="Q629" s="90">
        <v>0.25700000000000001</v>
      </c>
      <c r="R629" s="90">
        <v>1.4E-2</v>
      </c>
      <c r="S629" s="90"/>
      <c r="T629" s="90">
        <v>0.25800000000000001</v>
      </c>
      <c r="U629" s="90"/>
      <c r="V629" s="90" t="s">
        <v>1264</v>
      </c>
      <c r="W629" s="90">
        <v>1273</v>
      </c>
      <c r="X629" s="90">
        <v>10</v>
      </c>
      <c r="Y629" s="90"/>
      <c r="Z629" s="90" t="s">
        <v>1560</v>
      </c>
      <c r="AA629" s="90">
        <v>0.5</v>
      </c>
      <c r="AB629" s="90" t="s">
        <v>518</v>
      </c>
      <c r="AC629" s="90">
        <v>3.3</v>
      </c>
      <c r="AD629" s="90"/>
      <c r="AE629" s="90">
        <v>2.5</v>
      </c>
      <c r="AF629" s="90">
        <v>0</v>
      </c>
      <c r="AG629" s="90" t="s">
        <v>1672</v>
      </c>
      <c r="AH629" s="90"/>
      <c r="AI629" s="90" t="s">
        <v>1534</v>
      </c>
      <c r="AJ629" s="90">
        <v>150</v>
      </c>
      <c r="AK629" s="90"/>
      <c r="AL629" s="90">
        <v>250</v>
      </c>
    </row>
    <row r="630" spans="1:38" ht="15" thickBot="1" x14ac:dyDescent="0.35">
      <c r="A630" s="118" t="s">
        <v>1720</v>
      </c>
      <c r="B630" s="114" t="s">
        <v>3149</v>
      </c>
      <c r="C630" s="114" t="s">
        <v>1376</v>
      </c>
      <c r="D630" s="90"/>
      <c r="E630" s="120"/>
      <c r="F630" s="90" t="s">
        <v>1529</v>
      </c>
      <c r="G630" s="90"/>
      <c r="H630" s="90"/>
      <c r="I630" s="90" t="s">
        <v>1530</v>
      </c>
      <c r="J630" s="90"/>
      <c r="K630" s="90"/>
      <c r="L630" s="90" t="s">
        <v>1531</v>
      </c>
      <c r="M630" s="90">
        <f t="shared" si="21"/>
        <v>0</v>
      </c>
      <c r="N630" s="90">
        <v>0.47799999999999998</v>
      </c>
      <c r="O630" s="90">
        <f t="shared" si="22"/>
        <v>5.9318181818181822E-3</v>
      </c>
      <c r="P630" s="90">
        <f t="shared" si="23"/>
        <v>0</v>
      </c>
      <c r="Q630" s="90">
        <v>0.26100000000000001</v>
      </c>
      <c r="R630" s="90"/>
      <c r="S630" s="90"/>
      <c r="T630" s="90">
        <v>0.26200000000000001</v>
      </c>
      <c r="U630" s="90"/>
      <c r="V630" s="90" t="s">
        <v>1264</v>
      </c>
      <c r="W630" s="90">
        <v>1273</v>
      </c>
      <c r="X630" s="90">
        <v>10</v>
      </c>
      <c r="Y630" s="90"/>
      <c r="Z630" s="90" t="s">
        <v>1560</v>
      </c>
      <c r="AA630" s="90">
        <v>0.25</v>
      </c>
      <c r="AB630" s="90" t="s">
        <v>518</v>
      </c>
      <c r="AC630" s="90">
        <v>3.4</v>
      </c>
      <c r="AD630" s="90"/>
      <c r="AE630" s="90">
        <v>2.5</v>
      </c>
      <c r="AF630" s="90">
        <v>20</v>
      </c>
      <c r="AG630" s="90"/>
      <c r="AH630" s="90"/>
      <c r="AI630" s="90" t="s">
        <v>1534</v>
      </c>
      <c r="AJ630" s="90">
        <v>150</v>
      </c>
      <c r="AK630" s="90"/>
      <c r="AL630" s="90">
        <v>10</v>
      </c>
    </row>
    <row r="631" spans="1:38" ht="15" thickBot="1" x14ac:dyDescent="0.35">
      <c r="A631" s="118" t="s">
        <v>1720</v>
      </c>
      <c r="B631" s="114" t="s">
        <v>3149</v>
      </c>
      <c r="C631" s="114" t="s">
        <v>1376</v>
      </c>
      <c r="D631" s="90"/>
      <c r="E631" s="120"/>
      <c r="F631" s="90" t="s">
        <v>1529</v>
      </c>
      <c r="G631" s="90"/>
      <c r="H631" s="90"/>
      <c r="I631" s="90" t="s">
        <v>1530</v>
      </c>
      <c r="J631" s="90"/>
      <c r="K631" s="90"/>
      <c r="L631" s="90" t="s">
        <v>1531</v>
      </c>
      <c r="M631" s="90">
        <f t="shared" si="21"/>
        <v>0</v>
      </c>
      <c r="N631" s="90">
        <v>0.47799999999999998</v>
      </c>
      <c r="O631" s="90">
        <f t="shared" si="22"/>
        <v>5.9318181818181822E-3</v>
      </c>
      <c r="P631" s="90">
        <f t="shared" si="23"/>
        <v>0</v>
      </c>
      <c r="Q631" s="90">
        <v>0.26100000000000001</v>
      </c>
      <c r="R631" s="90"/>
      <c r="S631" s="90"/>
      <c r="T631" s="90">
        <v>0.26200000000000001</v>
      </c>
      <c r="U631" s="90"/>
      <c r="V631" s="90" t="s">
        <v>1264</v>
      </c>
      <c r="W631" s="90">
        <v>1273</v>
      </c>
      <c r="X631" s="90">
        <v>10</v>
      </c>
      <c r="Y631" s="90"/>
      <c r="Z631" s="90" t="s">
        <v>1560</v>
      </c>
      <c r="AA631" s="90">
        <v>0.25</v>
      </c>
      <c r="AB631" s="90" t="s">
        <v>518</v>
      </c>
      <c r="AC631" s="90">
        <v>3.4</v>
      </c>
      <c r="AD631" s="90"/>
      <c r="AE631" s="90">
        <v>2.5</v>
      </c>
      <c r="AF631" s="90">
        <v>0</v>
      </c>
      <c r="AG631" s="90" t="s">
        <v>1672</v>
      </c>
      <c r="AH631" s="90"/>
      <c r="AI631" s="90" t="s">
        <v>1534</v>
      </c>
      <c r="AJ631" s="90">
        <v>150</v>
      </c>
      <c r="AK631" s="90"/>
      <c r="AL631" s="90">
        <v>150</v>
      </c>
    </row>
    <row r="632" spans="1:38" ht="15" thickBot="1" x14ac:dyDescent="0.35">
      <c r="A632" s="118" t="s">
        <v>1720</v>
      </c>
      <c r="B632" s="114" t="s">
        <v>3149</v>
      </c>
      <c r="C632" s="114" t="s">
        <v>3150</v>
      </c>
      <c r="D632" s="90"/>
      <c r="E632" s="120"/>
      <c r="F632" s="90" t="s">
        <v>1529</v>
      </c>
      <c r="G632" s="90"/>
      <c r="H632" s="90"/>
      <c r="I632" s="90" t="s">
        <v>1530</v>
      </c>
      <c r="J632" s="90" t="s">
        <v>1535</v>
      </c>
      <c r="K632" s="90"/>
      <c r="L632" s="90" t="s">
        <v>1531</v>
      </c>
      <c r="M632" s="90">
        <f t="shared" si="21"/>
        <v>5.1703877790834317E-2</v>
      </c>
      <c r="N632" s="90">
        <v>0.47399999999999998</v>
      </c>
      <c r="O632" s="90">
        <f t="shared" si="22"/>
        <v>5.8863636363636366E-3</v>
      </c>
      <c r="P632" s="90">
        <f t="shared" si="23"/>
        <v>3.0434782608695655E-4</v>
      </c>
      <c r="Q632" s="90">
        <v>0.25900000000000001</v>
      </c>
      <c r="R632" s="90">
        <v>7.0000000000000001E-3</v>
      </c>
      <c r="S632" s="90"/>
      <c r="T632" s="90">
        <v>0.26</v>
      </c>
      <c r="U632" s="90"/>
      <c r="V632" s="90" t="s">
        <v>1264</v>
      </c>
      <c r="W632" s="90">
        <v>1273</v>
      </c>
      <c r="X632" s="90">
        <v>10</v>
      </c>
      <c r="Y632" s="90"/>
      <c r="Z632" s="90" t="s">
        <v>1560</v>
      </c>
      <c r="AA632" s="90">
        <v>0.25</v>
      </c>
      <c r="AB632" s="90" t="s">
        <v>518</v>
      </c>
      <c r="AC632" s="90">
        <v>3.45</v>
      </c>
      <c r="AD632" s="90"/>
      <c r="AE632" s="90">
        <v>2.5</v>
      </c>
      <c r="AF632" s="90">
        <v>20</v>
      </c>
      <c r="AG632" s="90"/>
      <c r="AH632" s="90"/>
      <c r="AI632" s="90" t="s">
        <v>1534</v>
      </c>
      <c r="AJ632" s="90">
        <v>150</v>
      </c>
      <c r="AK632" s="90"/>
      <c r="AL632" s="90">
        <v>40</v>
      </c>
    </row>
    <row r="633" spans="1:38" ht="15" thickBot="1" x14ac:dyDescent="0.35">
      <c r="A633" s="118" t="s">
        <v>1720</v>
      </c>
      <c r="B633" s="114" t="s">
        <v>3149</v>
      </c>
      <c r="C633" s="114" t="s">
        <v>3150</v>
      </c>
      <c r="D633" s="90"/>
      <c r="E633" s="120"/>
      <c r="F633" s="90" t="s">
        <v>1529</v>
      </c>
      <c r="G633" s="90"/>
      <c r="H633" s="90"/>
      <c r="I633" s="90" t="s">
        <v>1530</v>
      </c>
      <c r="J633" s="90" t="s">
        <v>1535</v>
      </c>
      <c r="K633" s="90"/>
      <c r="L633" s="90" t="s">
        <v>1531</v>
      </c>
      <c r="M633" s="90">
        <f t="shared" si="21"/>
        <v>5.1703877790834317E-2</v>
      </c>
      <c r="N633" s="90">
        <v>0.47399999999999998</v>
      </c>
      <c r="O633" s="90">
        <f t="shared" si="22"/>
        <v>5.8863636363636366E-3</v>
      </c>
      <c r="P633" s="90">
        <f t="shared" si="23"/>
        <v>3.0434782608695655E-4</v>
      </c>
      <c r="Q633" s="90">
        <v>0.25900000000000001</v>
      </c>
      <c r="R633" s="90">
        <v>7.0000000000000001E-3</v>
      </c>
      <c r="S633" s="90"/>
      <c r="T633" s="90">
        <v>0.26</v>
      </c>
      <c r="U633" s="90"/>
      <c r="V633" s="90" t="s">
        <v>1264</v>
      </c>
      <c r="W633" s="90">
        <v>1273</v>
      </c>
      <c r="X633" s="90">
        <v>10</v>
      </c>
      <c r="Y633" s="90"/>
      <c r="Z633" s="90" t="s">
        <v>1560</v>
      </c>
      <c r="AA633" s="90">
        <v>0.25</v>
      </c>
      <c r="AB633" s="90" t="s">
        <v>518</v>
      </c>
      <c r="AC633" s="90">
        <v>3.45</v>
      </c>
      <c r="AD633" s="90"/>
      <c r="AE633" s="90">
        <v>2.5</v>
      </c>
      <c r="AF633" s="90">
        <v>0</v>
      </c>
      <c r="AG633" s="90" t="s">
        <v>1672</v>
      </c>
      <c r="AH633" s="90"/>
      <c r="AI633" s="90" t="s">
        <v>1534</v>
      </c>
      <c r="AJ633" s="90">
        <v>150</v>
      </c>
      <c r="AK633" s="90"/>
      <c r="AL633" s="90">
        <v>210</v>
      </c>
    </row>
    <row r="634" spans="1:38" ht="15" thickBot="1" x14ac:dyDescent="0.35">
      <c r="A634" s="118" t="s">
        <v>1720</v>
      </c>
      <c r="B634" s="114" t="s">
        <v>3149</v>
      </c>
      <c r="C634" s="114" t="s">
        <v>3151</v>
      </c>
      <c r="D634" s="90"/>
      <c r="E634" s="120"/>
      <c r="F634" s="90" t="s">
        <v>1529</v>
      </c>
      <c r="G634" s="90"/>
      <c r="H634" s="90"/>
      <c r="I634" s="90" t="s">
        <v>1530</v>
      </c>
      <c r="J634" s="90" t="s">
        <v>1535</v>
      </c>
      <c r="K634" s="90"/>
      <c r="L634" s="90" t="s">
        <v>1531</v>
      </c>
      <c r="M634" s="90">
        <f t="shared" si="21"/>
        <v>0.16504688832054559</v>
      </c>
      <c r="N634" s="90">
        <v>0.46700000000000003</v>
      </c>
      <c r="O634" s="90">
        <f t="shared" si="22"/>
        <v>5.7954545454545455E-3</v>
      </c>
      <c r="P634" s="90">
        <f t="shared" si="23"/>
        <v>9.565217391304347E-4</v>
      </c>
      <c r="Q634" s="90">
        <v>0.255</v>
      </c>
      <c r="R634" s="90">
        <v>2.1999999999999999E-2</v>
      </c>
      <c r="S634" s="90"/>
      <c r="T634" s="90">
        <v>0.25600000000000001</v>
      </c>
      <c r="U634" s="90"/>
      <c r="V634" s="90" t="s">
        <v>1264</v>
      </c>
      <c r="W634" s="90">
        <v>1273</v>
      </c>
      <c r="X634" s="90">
        <v>10</v>
      </c>
      <c r="Y634" s="90"/>
      <c r="Z634" s="90" t="s">
        <v>1560</v>
      </c>
      <c r="AA634" s="90">
        <v>0.25</v>
      </c>
      <c r="AB634" s="90" t="s">
        <v>518</v>
      </c>
      <c r="AC634" s="90">
        <v>3.45</v>
      </c>
      <c r="AD634" s="90"/>
      <c r="AE634" s="90">
        <v>2.5</v>
      </c>
      <c r="AF634" s="90">
        <v>20</v>
      </c>
      <c r="AG634" s="90"/>
      <c r="AH634" s="90"/>
      <c r="AI634" s="90" t="s">
        <v>1534</v>
      </c>
      <c r="AJ634" s="90">
        <v>150</v>
      </c>
      <c r="AK634" s="90"/>
      <c r="AL634" s="90">
        <v>275</v>
      </c>
    </row>
    <row r="635" spans="1:38" ht="15" thickBot="1" x14ac:dyDescent="0.35">
      <c r="A635" s="118" t="s">
        <v>1720</v>
      </c>
      <c r="B635" s="114" t="s">
        <v>3149</v>
      </c>
      <c r="C635" s="114" t="s">
        <v>3151</v>
      </c>
      <c r="D635" s="90"/>
      <c r="E635" s="120"/>
      <c r="F635" s="90" t="s">
        <v>1529</v>
      </c>
      <c r="G635" s="90"/>
      <c r="H635" s="90"/>
      <c r="I635" s="90" t="s">
        <v>1530</v>
      </c>
      <c r="J635" s="90" t="s">
        <v>1535</v>
      </c>
      <c r="K635" s="90"/>
      <c r="L635" s="90" t="s">
        <v>1531</v>
      </c>
      <c r="M635" s="90">
        <f t="shared" si="21"/>
        <v>0.16504688832054559</v>
      </c>
      <c r="N635" s="90">
        <v>0.46700000000000003</v>
      </c>
      <c r="O635" s="90">
        <f t="shared" si="22"/>
        <v>5.7954545454545455E-3</v>
      </c>
      <c r="P635" s="90">
        <f t="shared" si="23"/>
        <v>9.565217391304347E-4</v>
      </c>
      <c r="Q635" s="90">
        <v>0.255</v>
      </c>
      <c r="R635" s="90">
        <v>2.1999999999999999E-2</v>
      </c>
      <c r="S635" s="90"/>
      <c r="T635" s="90">
        <v>0.25600000000000001</v>
      </c>
      <c r="U635" s="90"/>
      <c r="V635" s="90" t="s">
        <v>1264</v>
      </c>
      <c r="W635" s="90">
        <v>1273</v>
      </c>
      <c r="X635" s="90">
        <v>10</v>
      </c>
      <c r="Y635" s="90"/>
      <c r="Z635" s="90" t="s">
        <v>1560</v>
      </c>
      <c r="AA635" s="90">
        <v>0.25</v>
      </c>
      <c r="AB635" s="90" t="s">
        <v>518</v>
      </c>
      <c r="AC635" s="90">
        <v>3.45</v>
      </c>
      <c r="AD635" s="90"/>
      <c r="AE635" s="90">
        <v>2.5</v>
      </c>
      <c r="AF635" s="90">
        <v>0</v>
      </c>
      <c r="AG635" s="90" t="s">
        <v>1672</v>
      </c>
      <c r="AH635" s="90"/>
      <c r="AI635" s="90" t="s">
        <v>1534</v>
      </c>
      <c r="AJ635" s="90">
        <v>150</v>
      </c>
      <c r="AK635" s="90"/>
      <c r="AL635" s="90">
        <v>345</v>
      </c>
    </row>
    <row r="636" spans="1:38" ht="15" thickBot="1" x14ac:dyDescent="0.35">
      <c r="A636" s="118" t="s">
        <v>1721</v>
      </c>
      <c r="B636" s="114" t="s">
        <v>3152</v>
      </c>
      <c r="C636" s="114" t="s">
        <v>3153</v>
      </c>
      <c r="D636" s="120"/>
      <c r="E636" s="120"/>
      <c r="F636" s="90" t="s">
        <v>1088</v>
      </c>
      <c r="G636" s="90"/>
      <c r="H636" s="90"/>
      <c r="I636" s="90" t="s">
        <v>678</v>
      </c>
      <c r="J636" s="90"/>
      <c r="K636" s="90"/>
      <c r="L636" s="90" t="s">
        <v>1531</v>
      </c>
      <c r="M636" s="90"/>
      <c r="N636" s="90">
        <v>0.56499999999999995</v>
      </c>
      <c r="O636" s="90"/>
      <c r="P636" s="90"/>
      <c r="Q636" s="90">
        <v>0.24</v>
      </c>
      <c r="R636" s="90"/>
      <c r="S636" s="90"/>
      <c r="T636" s="90">
        <v>0.19500000000000001</v>
      </c>
      <c r="U636" s="90"/>
      <c r="V636" s="90" t="s">
        <v>1264</v>
      </c>
      <c r="W636" s="90">
        <v>1073</v>
      </c>
      <c r="X636" s="90">
        <v>2</v>
      </c>
      <c r="Y636" s="90"/>
      <c r="Z636" s="90"/>
      <c r="AA636" s="90"/>
      <c r="AB636" s="90" t="s">
        <v>1589</v>
      </c>
      <c r="AC636" s="90">
        <v>1.42</v>
      </c>
      <c r="AD636" s="90"/>
      <c r="AE636" s="90">
        <v>1</v>
      </c>
      <c r="AF636" s="90">
        <v>0</v>
      </c>
      <c r="AG636" s="90" t="s">
        <v>1600</v>
      </c>
      <c r="AH636" s="90"/>
      <c r="AI636" s="90" t="s">
        <v>1534</v>
      </c>
      <c r="AJ636" s="90">
        <v>500</v>
      </c>
      <c r="AK636" s="90"/>
      <c r="AL636" s="90">
        <v>14.37</v>
      </c>
    </row>
    <row r="637" spans="1:38" ht="15" thickBot="1" x14ac:dyDescent="0.35">
      <c r="A637" s="118" t="s">
        <v>1721</v>
      </c>
      <c r="B637" s="114" t="s">
        <v>3152</v>
      </c>
      <c r="C637" s="114" t="s">
        <v>3153</v>
      </c>
      <c r="D637" s="120"/>
      <c r="E637" s="120"/>
      <c r="F637" s="90" t="s">
        <v>1088</v>
      </c>
      <c r="G637" s="90"/>
      <c r="H637" s="90"/>
      <c r="I637" s="90" t="s">
        <v>678</v>
      </c>
      <c r="J637" s="90"/>
      <c r="K637" s="90"/>
      <c r="L637" s="90" t="s">
        <v>1531</v>
      </c>
      <c r="M637" s="90"/>
      <c r="N637" s="90">
        <v>0.56499999999999995</v>
      </c>
      <c r="O637" s="90"/>
      <c r="P637" s="90"/>
      <c r="Q637" s="90">
        <v>0.24</v>
      </c>
      <c r="R637" s="90"/>
      <c r="S637" s="90"/>
      <c r="T637" s="90">
        <v>0.19500000000000001</v>
      </c>
      <c r="U637" s="90"/>
      <c r="V637" s="90" t="s">
        <v>1264</v>
      </c>
      <c r="W637" s="90">
        <v>773</v>
      </c>
      <c r="X637" s="90">
        <v>2</v>
      </c>
      <c r="Y637" s="90"/>
      <c r="Z637" s="90" t="s">
        <v>1560</v>
      </c>
      <c r="AA637" s="90">
        <v>0.1</v>
      </c>
      <c r="AB637" s="90" t="s">
        <v>1589</v>
      </c>
      <c r="AC637" s="90">
        <v>1.42</v>
      </c>
      <c r="AD637" s="90"/>
      <c r="AE637" s="90">
        <v>1</v>
      </c>
      <c r="AF637" s="90">
        <v>0</v>
      </c>
      <c r="AG637" s="90" t="s">
        <v>1600</v>
      </c>
      <c r="AH637" s="90"/>
      <c r="AI637" s="90" t="s">
        <v>1534</v>
      </c>
      <c r="AJ637" s="90">
        <v>500</v>
      </c>
      <c r="AK637" s="90"/>
      <c r="AL637" s="90">
        <v>22.75</v>
      </c>
    </row>
    <row r="638" spans="1:38" ht="15" thickBot="1" x14ac:dyDescent="0.35">
      <c r="A638" s="118" t="s">
        <v>1721</v>
      </c>
      <c r="B638" s="115" t="s">
        <v>3152</v>
      </c>
      <c r="C638" s="114" t="s">
        <v>3153</v>
      </c>
      <c r="D638" s="122"/>
      <c r="E638" s="122"/>
      <c r="F638" s="92" t="s">
        <v>1088</v>
      </c>
      <c r="G638" s="92"/>
      <c r="H638" s="92"/>
      <c r="I638" s="92" t="s">
        <v>678</v>
      </c>
      <c r="J638" s="92"/>
      <c r="K638" s="92"/>
      <c r="L638" s="92" t="s">
        <v>1531</v>
      </c>
      <c r="M638" s="92"/>
      <c r="N638" s="92">
        <v>0.56499999999999995</v>
      </c>
      <c r="O638" s="92"/>
      <c r="P638" s="92"/>
      <c r="Q638" s="92">
        <v>0.24</v>
      </c>
      <c r="R638" s="92"/>
      <c r="S638" s="92"/>
      <c r="T638" s="92">
        <v>0.19500000000000001</v>
      </c>
      <c r="U638" s="92"/>
      <c r="V638" s="90" t="s">
        <v>1264</v>
      </c>
      <c r="W638" s="92">
        <v>773</v>
      </c>
      <c r="X638" s="92">
        <v>2</v>
      </c>
      <c r="Y638" s="92"/>
      <c r="Z638" s="92" t="s">
        <v>1560</v>
      </c>
      <c r="AA638" s="92">
        <v>0.5</v>
      </c>
      <c r="AB638" s="92" t="s">
        <v>1589</v>
      </c>
      <c r="AC638" s="92">
        <v>1.42</v>
      </c>
      <c r="AD638" s="92"/>
      <c r="AE638" s="92">
        <v>1</v>
      </c>
      <c r="AF638" s="92">
        <v>0</v>
      </c>
      <c r="AG638" s="92" t="s">
        <v>1600</v>
      </c>
      <c r="AH638" s="92"/>
      <c r="AI638" s="92" t="s">
        <v>1534</v>
      </c>
      <c r="AJ638" s="92">
        <v>500</v>
      </c>
      <c r="AK638" s="92"/>
      <c r="AL638" s="92">
        <v>33.53</v>
      </c>
    </row>
    <row r="639" spans="1:38" ht="15" thickBot="1" x14ac:dyDescent="0.35">
      <c r="A639" s="118" t="s">
        <v>1721</v>
      </c>
      <c r="B639" s="115" t="s">
        <v>3152</v>
      </c>
      <c r="C639" s="114" t="s">
        <v>3153</v>
      </c>
      <c r="D639" s="122"/>
      <c r="E639" s="122"/>
      <c r="F639" s="92" t="s">
        <v>1088</v>
      </c>
      <c r="G639" s="92"/>
      <c r="H639" s="92"/>
      <c r="I639" s="92" t="s">
        <v>678</v>
      </c>
      <c r="J639" s="92"/>
      <c r="K639" s="92"/>
      <c r="L639" s="92" t="s">
        <v>1531</v>
      </c>
      <c r="M639" s="92"/>
      <c r="N639" s="92">
        <v>0.56499999999999995</v>
      </c>
      <c r="O639" s="92"/>
      <c r="P639" s="92"/>
      <c r="Q639" s="92">
        <v>0.24</v>
      </c>
      <c r="R639" s="92"/>
      <c r="S639" s="92"/>
      <c r="T639" s="92">
        <v>0.19500000000000001</v>
      </c>
      <c r="U639" s="92"/>
      <c r="V639" s="90" t="s">
        <v>1336</v>
      </c>
      <c r="W639" s="92">
        <v>773</v>
      </c>
      <c r="X639" s="92">
        <v>2</v>
      </c>
      <c r="Y639" s="92"/>
      <c r="Z639" s="92" t="s">
        <v>1560</v>
      </c>
      <c r="AA639" s="92">
        <v>1</v>
      </c>
      <c r="AB639" s="92" t="s">
        <v>1589</v>
      </c>
      <c r="AC639" s="92">
        <v>1.42</v>
      </c>
      <c r="AD639" s="92"/>
      <c r="AE639" s="92">
        <v>1</v>
      </c>
      <c r="AF639" s="92">
        <v>0</v>
      </c>
      <c r="AG639" s="92" t="s">
        <v>1600</v>
      </c>
      <c r="AH639" s="92"/>
      <c r="AI639" s="92" t="s">
        <v>1534</v>
      </c>
      <c r="AJ639" s="92">
        <v>500</v>
      </c>
      <c r="AK639" s="92"/>
      <c r="AL639" s="92">
        <v>28.74</v>
      </c>
    </row>
    <row r="640" spans="1:38" ht="15" thickBot="1" x14ac:dyDescent="0.35">
      <c r="A640" s="118" t="s">
        <v>1721</v>
      </c>
      <c r="B640" s="115" t="s">
        <v>3152</v>
      </c>
      <c r="C640" s="114" t="s">
        <v>3153</v>
      </c>
      <c r="D640" s="122"/>
      <c r="E640" s="122"/>
      <c r="F640" s="92" t="s">
        <v>1088</v>
      </c>
      <c r="G640" s="92"/>
      <c r="H640" s="92"/>
      <c r="I640" s="92" t="s">
        <v>678</v>
      </c>
      <c r="J640" s="92"/>
      <c r="K640" s="92"/>
      <c r="L640" s="92" t="s">
        <v>1531</v>
      </c>
      <c r="M640" s="92"/>
      <c r="N640" s="92">
        <v>0.56499999999999995</v>
      </c>
      <c r="O640" s="92"/>
      <c r="P640" s="92"/>
      <c r="Q640" s="92">
        <v>0.24</v>
      </c>
      <c r="R640" s="92"/>
      <c r="S640" s="92"/>
      <c r="T640" s="92">
        <v>0.19500000000000001</v>
      </c>
      <c r="U640" s="92"/>
      <c r="V640" s="90" t="s">
        <v>1336</v>
      </c>
      <c r="W640" s="92">
        <v>773</v>
      </c>
      <c r="X640" s="92">
        <v>2</v>
      </c>
      <c r="Y640" s="92"/>
      <c r="Z640" s="92" t="s">
        <v>1560</v>
      </c>
      <c r="AA640" s="92">
        <v>2</v>
      </c>
      <c r="AB640" s="92" t="s">
        <v>1589</v>
      </c>
      <c r="AC640" s="92">
        <v>1.42</v>
      </c>
      <c r="AD640" s="92"/>
      <c r="AE640" s="92">
        <v>1</v>
      </c>
      <c r="AF640" s="92">
        <v>0</v>
      </c>
      <c r="AG640" s="92" t="s">
        <v>1600</v>
      </c>
      <c r="AH640" s="92"/>
      <c r="AI640" s="92" t="s">
        <v>1534</v>
      </c>
      <c r="AJ640" s="92">
        <v>500</v>
      </c>
      <c r="AK640" s="92"/>
      <c r="AL640" s="92">
        <v>26.94</v>
      </c>
    </row>
  </sheetData>
  <hyperlinks>
    <hyperlink ref="B2" r:id="rId1" xr:uid="{00000000-0004-0000-0B00-000000000000}"/>
    <hyperlink ref="B177" r:id="rId2" xr:uid="{00000000-0004-0000-0B00-000001000000}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90"/>
  <sheetViews>
    <sheetView zoomScaleNormal="100" workbookViewId="0">
      <selection activeCell="C1089" sqref="C1:C1089"/>
    </sheetView>
  </sheetViews>
  <sheetFormatPr defaultRowHeight="14.4" x14ac:dyDescent="0.3"/>
  <cols>
    <col min="1" max="1" width="30.109375" customWidth="1"/>
    <col min="3" max="3" width="15.109375" customWidth="1"/>
  </cols>
  <sheetData>
    <row r="1" spans="1:3" x14ac:dyDescent="0.3">
      <c r="A1" t="s">
        <v>0</v>
      </c>
      <c r="B1">
        <v>1</v>
      </c>
      <c r="C1" t="s">
        <v>0</v>
      </c>
    </row>
    <row r="2" spans="1:3" x14ac:dyDescent="0.3">
      <c r="A2" t="s">
        <v>1</v>
      </c>
      <c r="B2">
        <v>2</v>
      </c>
      <c r="C2" t="s">
        <v>153</v>
      </c>
    </row>
    <row r="3" spans="1:3" x14ac:dyDescent="0.3">
      <c r="A3" t="s">
        <v>2</v>
      </c>
      <c r="B3">
        <v>3</v>
      </c>
      <c r="C3" t="s">
        <v>153</v>
      </c>
    </row>
    <row r="4" spans="1:3" x14ac:dyDescent="0.3">
      <c r="A4" t="s">
        <v>3</v>
      </c>
      <c r="B4">
        <v>4</v>
      </c>
      <c r="C4" t="s">
        <v>153</v>
      </c>
    </row>
    <row r="5" spans="1:3" x14ac:dyDescent="0.3">
      <c r="A5" t="s">
        <v>4</v>
      </c>
      <c r="B5">
        <v>5</v>
      </c>
      <c r="C5" t="s">
        <v>4</v>
      </c>
    </row>
    <row r="6" spans="1:3" x14ac:dyDescent="0.3">
      <c r="A6" t="s">
        <v>5</v>
      </c>
      <c r="B6">
        <v>6</v>
      </c>
      <c r="C6" t="s">
        <v>4</v>
      </c>
    </row>
    <row r="7" spans="1:3" x14ac:dyDescent="0.3">
      <c r="A7" t="s">
        <v>6</v>
      </c>
      <c r="B7">
        <v>7</v>
      </c>
      <c r="C7" t="s">
        <v>4</v>
      </c>
    </row>
    <row r="8" spans="1:3" x14ac:dyDescent="0.3">
      <c r="A8" t="s">
        <v>7</v>
      </c>
      <c r="B8">
        <v>8</v>
      </c>
      <c r="C8" t="s">
        <v>4</v>
      </c>
    </row>
    <row r="9" spans="1:3" x14ac:dyDescent="0.3">
      <c r="A9" t="s">
        <v>455</v>
      </c>
      <c r="B9">
        <v>9</v>
      </c>
    </row>
    <row r="10" spans="1:3" x14ac:dyDescent="0.3">
      <c r="A10" t="s">
        <v>8</v>
      </c>
      <c r="B10">
        <v>10</v>
      </c>
      <c r="C10" t="s">
        <v>2777</v>
      </c>
    </row>
    <row r="11" spans="1:3" x14ac:dyDescent="0.3">
      <c r="A11" t="s">
        <v>0</v>
      </c>
      <c r="B11">
        <v>11</v>
      </c>
      <c r="C11" t="s">
        <v>0</v>
      </c>
    </row>
    <row r="12" spans="1:3" x14ac:dyDescent="0.3">
      <c r="A12" t="s">
        <v>1</v>
      </c>
      <c r="B12">
        <v>12</v>
      </c>
      <c r="C12" t="s">
        <v>153</v>
      </c>
    </row>
    <row r="13" spans="1:3" x14ac:dyDescent="0.3">
      <c r="A13" t="s">
        <v>2</v>
      </c>
      <c r="B13">
        <v>13</v>
      </c>
      <c r="C13" t="s">
        <v>153</v>
      </c>
    </row>
    <row r="14" spans="1:3" x14ac:dyDescent="0.3">
      <c r="A14" t="s">
        <v>3</v>
      </c>
      <c r="B14">
        <v>14</v>
      </c>
      <c r="C14" t="s">
        <v>153</v>
      </c>
    </row>
    <row r="15" spans="1:3" x14ac:dyDescent="0.3">
      <c r="A15" t="s">
        <v>4</v>
      </c>
      <c r="B15">
        <v>15</v>
      </c>
      <c r="C15" t="s">
        <v>4</v>
      </c>
    </row>
    <row r="16" spans="1:3" x14ac:dyDescent="0.3">
      <c r="A16" t="s">
        <v>5</v>
      </c>
      <c r="B16">
        <v>16</v>
      </c>
      <c r="C16" t="s">
        <v>4</v>
      </c>
    </row>
    <row r="17" spans="1:3" x14ac:dyDescent="0.3">
      <c r="A17" t="s">
        <v>6</v>
      </c>
      <c r="B17">
        <v>17</v>
      </c>
      <c r="C17" t="s">
        <v>4</v>
      </c>
    </row>
    <row r="18" spans="1:3" x14ac:dyDescent="0.3">
      <c r="A18" t="s">
        <v>7</v>
      </c>
      <c r="B18">
        <v>18</v>
      </c>
      <c r="C18" t="s">
        <v>4</v>
      </c>
    </row>
    <row r="19" spans="1:3" x14ac:dyDescent="0.3">
      <c r="A19" t="s">
        <v>455</v>
      </c>
      <c r="B19">
        <v>19</v>
      </c>
    </row>
    <row r="20" spans="1:3" x14ac:dyDescent="0.3">
      <c r="A20" t="s">
        <v>8</v>
      </c>
      <c r="B20">
        <v>20</v>
      </c>
      <c r="C20" t="s">
        <v>2777</v>
      </c>
    </row>
    <row r="21" spans="1:3" x14ac:dyDescent="0.3">
      <c r="A21" t="s">
        <v>304</v>
      </c>
      <c r="B21">
        <v>21</v>
      </c>
      <c r="C21" t="s">
        <v>0</v>
      </c>
    </row>
    <row r="22" spans="1:3" x14ac:dyDescent="0.3">
      <c r="A22" t="s">
        <v>153</v>
      </c>
      <c r="B22">
        <v>22</v>
      </c>
      <c r="C22" t="s">
        <v>153</v>
      </c>
    </row>
    <row r="23" spans="1:3" x14ac:dyDescent="0.3">
      <c r="A23" t="s">
        <v>153</v>
      </c>
      <c r="B23">
        <v>23</v>
      </c>
      <c r="C23" t="s">
        <v>153</v>
      </c>
    </row>
    <row r="24" spans="1:3" x14ac:dyDescent="0.3">
      <c r="A24" t="s">
        <v>153</v>
      </c>
      <c r="B24">
        <v>24</v>
      </c>
      <c r="C24" t="s">
        <v>153</v>
      </c>
    </row>
    <row r="25" spans="1:3" x14ac:dyDescent="0.3">
      <c r="A25" t="s">
        <v>63</v>
      </c>
      <c r="B25">
        <v>25</v>
      </c>
      <c r="C25" t="s">
        <v>4</v>
      </c>
    </row>
    <row r="26" spans="1:3" x14ac:dyDescent="0.3">
      <c r="A26" t="s">
        <v>63</v>
      </c>
      <c r="B26">
        <v>26</v>
      </c>
      <c r="C26" t="s">
        <v>4</v>
      </c>
    </row>
    <row r="27" spans="1:3" x14ac:dyDescent="0.3">
      <c r="A27" t="s">
        <v>63</v>
      </c>
      <c r="B27">
        <v>27</v>
      </c>
      <c r="C27" t="s">
        <v>4</v>
      </c>
    </row>
    <row r="28" spans="1:3" x14ac:dyDescent="0.3">
      <c r="A28" t="s">
        <v>151</v>
      </c>
      <c r="B28">
        <v>28</v>
      </c>
      <c r="C28" t="s">
        <v>4</v>
      </c>
    </row>
    <row r="29" spans="1:3" x14ac:dyDescent="0.3">
      <c r="A29" t="s">
        <v>1269</v>
      </c>
      <c r="B29">
        <v>29</v>
      </c>
    </row>
    <row r="30" spans="1:3" x14ac:dyDescent="0.3">
      <c r="A30" t="s">
        <v>304</v>
      </c>
      <c r="B30">
        <v>30</v>
      </c>
      <c r="C30" t="s">
        <v>0</v>
      </c>
    </row>
    <row r="31" spans="1:3" x14ac:dyDescent="0.3">
      <c r="A31" t="s">
        <v>153</v>
      </c>
      <c r="B31">
        <v>31</v>
      </c>
      <c r="C31" t="s">
        <v>153</v>
      </c>
    </row>
    <row r="32" spans="1:3" x14ac:dyDescent="0.3">
      <c r="A32" t="s">
        <v>153</v>
      </c>
      <c r="B32">
        <v>32</v>
      </c>
      <c r="C32" t="s">
        <v>153</v>
      </c>
    </row>
    <row r="33" spans="1:3" x14ac:dyDescent="0.3">
      <c r="A33" t="s">
        <v>153</v>
      </c>
      <c r="B33">
        <v>33</v>
      </c>
      <c r="C33" t="s">
        <v>153</v>
      </c>
    </row>
    <row r="34" spans="1:3" x14ac:dyDescent="0.3">
      <c r="A34" t="s">
        <v>63</v>
      </c>
      <c r="B34">
        <v>34</v>
      </c>
      <c r="C34" t="s">
        <v>4</v>
      </c>
    </row>
    <row r="35" spans="1:3" x14ac:dyDescent="0.3">
      <c r="A35" t="s">
        <v>63</v>
      </c>
      <c r="B35">
        <v>35</v>
      </c>
      <c r="C35" t="s">
        <v>4</v>
      </c>
    </row>
    <row r="36" spans="1:3" x14ac:dyDescent="0.3">
      <c r="A36" t="s">
        <v>63</v>
      </c>
      <c r="B36">
        <v>36</v>
      </c>
      <c r="C36" t="s">
        <v>4</v>
      </c>
    </row>
    <row r="37" spans="1:3" x14ac:dyDescent="0.3">
      <c r="A37" t="s">
        <v>151</v>
      </c>
      <c r="B37">
        <v>37</v>
      </c>
      <c r="C37" t="s">
        <v>4</v>
      </c>
    </row>
    <row r="38" spans="1:3" x14ac:dyDescent="0.3">
      <c r="A38" t="s">
        <v>1269</v>
      </c>
      <c r="B38">
        <v>38</v>
      </c>
    </row>
    <row r="39" spans="1:3" x14ac:dyDescent="0.3">
      <c r="A39" t="s">
        <v>0</v>
      </c>
      <c r="B39">
        <v>39</v>
      </c>
      <c r="C39" t="s">
        <v>0</v>
      </c>
    </row>
    <row r="40" spans="1:3" x14ac:dyDescent="0.3">
      <c r="A40" t="s">
        <v>1272</v>
      </c>
      <c r="B40">
        <v>40</v>
      </c>
    </row>
    <row r="41" spans="1:3" x14ac:dyDescent="0.3">
      <c r="A41" t="s">
        <v>1273</v>
      </c>
      <c r="B41">
        <v>41</v>
      </c>
    </row>
    <row r="42" spans="1:3" x14ac:dyDescent="0.3">
      <c r="A42" t="s">
        <v>0</v>
      </c>
      <c r="B42">
        <v>42</v>
      </c>
      <c r="C42" t="s">
        <v>0</v>
      </c>
    </row>
    <row r="43" spans="1:3" x14ac:dyDescent="0.3">
      <c r="A43" t="s">
        <v>0</v>
      </c>
      <c r="B43">
        <v>43</v>
      </c>
      <c r="C43" t="s">
        <v>0</v>
      </c>
    </row>
    <row r="44" spans="1:3" x14ac:dyDescent="0.3">
      <c r="A44" t="s">
        <v>0</v>
      </c>
      <c r="B44">
        <v>44</v>
      </c>
      <c r="C44" t="s">
        <v>0</v>
      </c>
    </row>
    <row r="45" spans="1:3" x14ac:dyDescent="0.3">
      <c r="A45" t="s">
        <v>0</v>
      </c>
      <c r="B45">
        <v>45</v>
      </c>
      <c r="C45" t="s">
        <v>0</v>
      </c>
    </row>
    <row r="46" spans="1:3" x14ac:dyDescent="0.3">
      <c r="A46" t="s">
        <v>0</v>
      </c>
      <c r="B46">
        <v>46</v>
      </c>
      <c r="C46" t="s">
        <v>0</v>
      </c>
    </row>
    <row r="47" spans="1:3" x14ac:dyDescent="0.3">
      <c r="A47" t="s">
        <v>10</v>
      </c>
      <c r="B47">
        <v>47</v>
      </c>
      <c r="C47" t="s">
        <v>153</v>
      </c>
    </row>
    <row r="48" spans="1:3" x14ac:dyDescent="0.3">
      <c r="A48" t="s">
        <v>11</v>
      </c>
      <c r="B48">
        <v>48</v>
      </c>
      <c r="C48" t="s">
        <v>153</v>
      </c>
    </row>
    <row r="49" spans="1:3" x14ac:dyDescent="0.3">
      <c r="A49" t="s">
        <v>12</v>
      </c>
      <c r="B49">
        <v>49</v>
      </c>
      <c r="C49" t="s">
        <v>153</v>
      </c>
    </row>
    <row r="50" spans="1:3" x14ac:dyDescent="0.3">
      <c r="A50" t="s">
        <v>13</v>
      </c>
      <c r="B50">
        <v>50</v>
      </c>
      <c r="C50" t="s">
        <v>153</v>
      </c>
    </row>
    <row r="51" spans="1:3" x14ac:dyDescent="0.3">
      <c r="A51" t="s">
        <v>10</v>
      </c>
      <c r="B51">
        <v>51</v>
      </c>
      <c r="C51" t="s">
        <v>153</v>
      </c>
    </row>
    <row r="52" spans="1:3" x14ac:dyDescent="0.3">
      <c r="A52" t="s">
        <v>11</v>
      </c>
      <c r="B52">
        <v>52</v>
      </c>
      <c r="C52" t="s">
        <v>153</v>
      </c>
    </row>
    <row r="53" spans="1:3" x14ac:dyDescent="0.3">
      <c r="A53" t="s">
        <v>12</v>
      </c>
      <c r="B53">
        <v>53</v>
      </c>
      <c r="C53" t="s">
        <v>153</v>
      </c>
    </row>
    <row r="54" spans="1:3" x14ac:dyDescent="0.3">
      <c r="A54" t="s">
        <v>13</v>
      </c>
      <c r="B54">
        <v>54</v>
      </c>
      <c r="C54" t="s">
        <v>153</v>
      </c>
    </row>
    <row r="55" spans="1:3" x14ac:dyDescent="0.3">
      <c r="A55" t="s">
        <v>8</v>
      </c>
      <c r="B55">
        <v>55</v>
      </c>
      <c r="C55" t="s">
        <v>2777</v>
      </c>
    </row>
    <row r="56" spans="1:3" x14ac:dyDescent="0.3">
      <c r="A56" s="4" t="s">
        <v>14</v>
      </c>
      <c r="B56">
        <v>56</v>
      </c>
    </row>
    <row r="57" spans="1:3" x14ac:dyDescent="0.3">
      <c r="A57" s="4" t="s">
        <v>15</v>
      </c>
      <c r="B57">
        <v>57</v>
      </c>
    </row>
    <row r="58" spans="1:3" x14ac:dyDescent="0.3">
      <c r="A58" s="4" t="s">
        <v>16</v>
      </c>
      <c r="B58">
        <v>58</v>
      </c>
    </row>
    <row r="59" spans="1:3" x14ac:dyDescent="0.3">
      <c r="A59" t="s">
        <v>17</v>
      </c>
      <c r="B59">
        <v>59</v>
      </c>
    </row>
    <row r="60" spans="1:3" x14ac:dyDescent="0.3">
      <c r="A60" t="s">
        <v>51</v>
      </c>
      <c r="B60">
        <v>60</v>
      </c>
    </row>
    <row r="61" spans="1:3" x14ac:dyDescent="0.3">
      <c r="A61" t="s">
        <v>18</v>
      </c>
      <c r="B61">
        <v>61</v>
      </c>
    </row>
    <row r="62" spans="1:3" x14ac:dyDescent="0.3">
      <c r="A62" t="s">
        <v>19</v>
      </c>
      <c r="B62">
        <v>62</v>
      </c>
    </row>
    <row r="63" spans="1:3" x14ac:dyDescent="0.3">
      <c r="A63" t="s">
        <v>20</v>
      </c>
      <c r="B63">
        <v>63</v>
      </c>
    </row>
    <row r="64" spans="1:3" x14ac:dyDescent="0.3">
      <c r="A64" t="s">
        <v>21</v>
      </c>
      <c r="B64">
        <v>64</v>
      </c>
    </row>
    <row r="65" spans="1:3" x14ac:dyDescent="0.3">
      <c r="A65" t="s">
        <v>22</v>
      </c>
      <c r="B65">
        <v>65</v>
      </c>
    </row>
    <row r="66" spans="1:3" x14ac:dyDescent="0.3">
      <c r="A66" t="s">
        <v>23</v>
      </c>
      <c r="B66">
        <v>66</v>
      </c>
    </row>
    <row r="67" spans="1:3" x14ac:dyDescent="0.3">
      <c r="A67" t="s">
        <v>24</v>
      </c>
      <c r="B67">
        <v>67</v>
      </c>
    </row>
    <row r="68" spans="1:3" x14ac:dyDescent="0.3">
      <c r="A68" t="s">
        <v>25</v>
      </c>
      <c r="B68">
        <v>68</v>
      </c>
    </row>
    <row r="69" spans="1:3" x14ac:dyDescent="0.3">
      <c r="A69" t="s">
        <v>26</v>
      </c>
      <c r="B69">
        <v>69</v>
      </c>
    </row>
    <row r="70" spans="1:3" x14ac:dyDescent="0.3">
      <c r="A70" t="s">
        <v>10</v>
      </c>
      <c r="B70">
        <v>70</v>
      </c>
      <c r="C70" t="s">
        <v>153</v>
      </c>
    </row>
    <row r="71" spans="1:3" x14ac:dyDescent="0.3">
      <c r="A71" t="s">
        <v>11</v>
      </c>
      <c r="B71">
        <v>71</v>
      </c>
      <c r="C71" t="s">
        <v>153</v>
      </c>
    </row>
    <row r="72" spans="1:3" x14ac:dyDescent="0.3">
      <c r="A72" t="s">
        <v>12</v>
      </c>
      <c r="B72">
        <v>72</v>
      </c>
      <c r="C72" t="s">
        <v>153</v>
      </c>
    </row>
    <row r="73" spans="1:3" x14ac:dyDescent="0.3">
      <c r="A73" t="s">
        <v>13</v>
      </c>
      <c r="B73">
        <v>73</v>
      </c>
      <c r="C73" t="s">
        <v>153</v>
      </c>
    </row>
    <row r="74" spans="1:3" x14ac:dyDescent="0.3">
      <c r="A74" t="s">
        <v>1288</v>
      </c>
      <c r="B74">
        <v>74</v>
      </c>
      <c r="C74" t="s">
        <v>2777</v>
      </c>
    </row>
    <row r="75" spans="1:3" x14ac:dyDescent="0.3">
      <c r="A75" t="s">
        <v>1289</v>
      </c>
      <c r="B75">
        <v>75</v>
      </c>
      <c r="C75" t="s">
        <v>2777</v>
      </c>
    </row>
    <row r="76" spans="1:3" x14ac:dyDescent="0.3">
      <c r="A76" t="s">
        <v>30</v>
      </c>
      <c r="B76">
        <v>76</v>
      </c>
    </row>
    <row r="77" spans="1:3" x14ac:dyDescent="0.3">
      <c r="A77" t="s">
        <v>31</v>
      </c>
      <c r="B77">
        <v>77</v>
      </c>
    </row>
    <row r="78" spans="1:3" x14ac:dyDescent="0.3">
      <c r="A78" t="s">
        <v>25</v>
      </c>
      <c r="B78">
        <v>78</v>
      </c>
    </row>
    <row r="79" spans="1:3" x14ac:dyDescent="0.3">
      <c r="A79" t="s">
        <v>32</v>
      </c>
      <c r="B79">
        <v>79</v>
      </c>
    </row>
    <row r="80" spans="1:3" x14ac:dyDescent="0.3">
      <c r="A80" s="4" t="s">
        <v>1503</v>
      </c>
      <c r="B80">
        <v>80</v>
      </c>
    </row>
    <row r="81" spans="1:2" x14ac:dyDescent="0.3">
      <c r="A81" s="4" t="s">
        <v>33</v>
      </c>
      <c r="B81">
        <v>81</v>
      </c>
    </row>
    <row r="82" spans="1:2" x14ac:dyDescent="0.3">
      <c r="A82" t="s">
        <v>34</v>
      </c>
      <c r="B82">
        <v>82</v>
      </c>
    </row>
    <row r="83" spans="1:2" x14ac:dyDescent="0.3">
      <c r="A83" t="s">
        <v>35</v>
      </c>
      <c r="B83">
        <v>83</v>
      </c>
    </row>
    <row r="84" spans="1:2" x14ac:dyDescent="0.3">
      <c r="A84" t="s">
        <v>41</v>
      </c>
      <c r="B84">
        <v>84</v>
      </c>
    </row>
    <row r="85" spans="1:2" x14ac:dyDescent="0.3">
      <c r="A85" t="s">
        <v>39</v>
      </c>
      <c r="B85">
        <v>85</v>
      </c>
    </row>
    <row r="86" spans="1:2" x14ac:dyDescent="0.3">
      <c r="A86" t="s">
        <v>42</v>
      </c>
      <c r="B86">
        <v>86</v>
      </c>
    </row>
    <row r="87" spans="1:2" x14ac:dyDescent="0.3">
      <c r="A87" t="s">
        <v>40</v>
      </c>
      <c r="B87">
        <v>87</v>
      </c>
    </row>
    <row r="88" spans="1:2" x14ac:dyDescent="0.3">
      <c r="A88" t="s">
        <v>43</v>
      </c>
      <c r="B88">
        <v>88</v>
      </c>
    </row>
    <row r="89" spans="1:2" x14ac:dyDescent="0.3">
      <c r="A89" t="s">
        <v>37</v>
      </c>
      <c r="B89">
        <v>89</v>
      </c>
    </row>
    <row r="90" spans="1:2" x14ac:dyDescent="0.3">
      <c r="A90" t="s">
        <v>38</v>
      </c>
      <c r="B90">
        <v>90</v>
      </c>
    </row>
    <row r="91" spans="1:2" x14ac:dyDescent="0.3">
      <c r="A91" t="s">
        <v>41</v>
      </c>
      <c r="B91">
        <v>91</v>
      </c>
    </row>
    <row r="92" spans="1:2" x14ac:dyDescent="0.3">
      <c r="A92" t="s">
        <v>39</v>
      </c>
      <c r="B92">
        <v>92</v>
      </c>
    </row>
    <row r="93" spans="1:2" x14ac:dyDescent="0.3">
      <c r="A93" t="s">
        <v>42</v>
      </c>
      <c r="B93">
        <v>93</v>
      </c>
    </row>
    <row r="94" spans="1:2" x14ac:dyDescent="0.3">
      <c r="A94" t="s">
        <v>39</v>
      </c>
      <c r="B94">
        <v>94</v>
      </c>
    </row>
    <row r="95" spans="1:2" x14ac:dyDescent="0.3">
      <c r="A95" t="s">
        <v>185</v>
      </c>
      <c r="B95">
        <v>95</v>
      </c>
    </row>
    <row r="96" spans="1:2" x14ac:dyDescent="0.3">
      <c r="A96" t="s">
        <v>49</v>
      </c>
      <c r="B96">
        <v>96</v>
      </c>
    </row>
    <row r="97" spans="1:3" x14ac:dyDescent="0.3">
      <c r="A97" t="s">
        <v>185</v>
      </c>
      <c r="B97">
        <v>97</v>
      </c>
    </row>
    <row r="98" spans="1:3" x14ac:dyDescent="0.3">
      <c r="A98" t="s">
        <v>49</v>
      </c>
      <c r="B98">
        <v>98</v>
      </c>
    </row>
    <row r="99" spans="1:3" x14ac:dyDescent="0.3">
      <c r="A99" t="s">
        <v>0</v>
      </c>
      <c r="B99">
        <v>99</v>
      </c>
      <c r="C99" t="s">
        <v>0</v>
      </c>
    </row>
    <row r="100" spans="1:3" x14ac:dyDescent="0.3">
      <c r="A100" t="s">
        <v>1299</v>
      </c>
      <c r="B100">
        <v>100</v>
      </c>
      <c r="C100" t="s">
        <v>0</v>
      </c>
    </row>
    <row r="101" spans="1:3" x14ac:dyDescent="0.3">
      <c r="A101" t="s">
        <v>1300</v>
      </c>
      <c r="B101">
        <v>101</v>
      </c>
      <c r="C101" t="s">
        <v>0</v>
      </c>
    </row>
    <row r="102" spans="1:3" x14ac:dyDescent="0.3">
      <c r="A102" t="s">
        <v>1301</v>
      </c>
      <c r="B102">
        <v>102</v>
      </c>
      <c r="C102" t="s">
        <v>0</v>
      </c>
    </row>
    <row r="103" spans="1:3" x14ac:dyDescent="0.3">
      <c r="A103" t="s">
        <v>1302</v>
      </c>
      <c r="B103">
        <v>103</v>
      </c>
      <c r="C103" t="s">
        <v>0</v>
      </c>
    </row>
    <row r="104" spans="1:3" x14ac:dyDescent="0.3">
      <c r="A104" t="s">
        <v>59</v>
      </c>
      <c r="B104">
        <v>104</v>
      </c>
      <c r="C104" t="s">
        <v>0</v>
      </c>
    </row>
    <row r="105" spans="1:3" x14ac:dyDescent="0.3">
      <c r="A105" t="s">
        <v>1296</v>
      </c>
      <c r="B105">
        <v>105</v>
      </c>
      <c r="C105" t="s">
        <v>0</v>
      </c>
    </row>
    <row r="106" spans="1:3" x14ac:dyDescent="0.3">
      <c r="A106" t="s">
        <v>1297</v>
      </c>
      <c r="B106">
        <v>106</v>
      </c>
      <c r="C106" t="s">
        <v>0</v>
      </c>
    </row>
    <row r="107" spans="1:3" x14ac:dyDescent="0.3">
      <c r="A107" t="s">
        <v>1298</v>
      </c>
      <c r="B107">
        <v>107</v>
      </c>
      <c r="C107" t="s">
        <v>0</v>
      </c>
    </row>
    <row r="108" spans="1:3" x14ac:dyDescent="0.3">
      <c r="A108" t="s">
        <v>58</v>
      </c>
      <c r="B108">
        <v>108</v>
      </c>
      <c r="C108" t="s">
        <v>0</v>
      </c>
    </row>
    <row r="109" spans="1:3" x14ac:dyDescent="0.3">
      <c r="A109" t="s">
        <v>1289</v>
      </c>
      <c r="B109">
        <v>109</v>
      </c>
      <c r="C109" t="s">
        <v>2777</v>
      </c>
    </row>
    <row r="110" spans="1:3" x14ac:dyDescent="0.3">
      <c r="A110" t="s">
        <v>1273</v>
      </c>
      <c r="B110">
        <v>110</v>
      </c>
    </row>
    <row r="111" spans="1:3" x14ac:dyDescent="0.3">
      <c r="A111" t="s">
        <v>1303</v>
      </c>
      <c r="B111">
        <v>111</v>
      </c>
    </row>
    <row r="112" spans="1:3" x14ac:dyDescent="0.3">
      <c r="A112" t="s">
        <v>1288</v>
      </c>
      <c r="B112">
        <v>112</v>
      </c>
      <c r="C112" t="s">
        <v>2777</v>
      </c>
    </row>
    <row r="113" spans="1:3" x14ac:dyDescent="0.3">
      <c r="A113" t="s">
        <v>27</v>
      </c>
      <c r="B113">
        <v>113</v>
      </c>
    </row>
    <row r="114" spans="1:3" x14ac:dyDescent="0.3">
      <c r="A114" t="s">
        <v>60</v>
      </c>
      <c r="B114">
        <v>114</v>
      </c>
    </row>
    <row r="115" spans="1:3" x14ac:dyDescent="0.3">
      <c r="A115" t="s">
        <v>61</v>
      </c>
      <c r="B115">
        <v>115</v>
      </c>
    </row>
    <row r="116" spans="1:3" x14ac:dyDescent="0.3">
      <c r="A116" t="s">
        <v>883</v>
      </c>
      <c r="B116">
        <v>116</v>
      </c>
    </row>
    <row r="117" spans="1:3" x14ac:dyDescent="0.3">
      <c r="A117" t="s">
        <v>884</v>
      </c>
      <c r="B117">
        <v>117</v>
      </c>
    </row>
    <row r="118" spans="1:3" x14ac:dyDescent="0.3">
      <c r="A118" t="s">
        <v>885</v>
      </c>
      <c r="B118">
        <v>118</v>
      </c>
    </row>
    <row r="119" spans="1:3" x14ac:dyDescent="0.3">
      <c r="A119" t="s">
        <v>886</v>
      </c>
      <c r="B119">
        <v>119</v>
      </c>
    </row>
    <row r="120" spans="1:3" x14ac:dyDescent="0.3">
      <c r="A120" t="s">
        <v>215</v>
      </c>
      <c r="B120">
        <v>120</v>
      </c>
      <c r="C120" t="s">
        <v>4</v>
      </c>
    </row>
    <row r="121" spans="1:3" x14ac:dyDescent="0.3">
      <c r="A121" t="s">
        <v>1727</v>
      </c>
      <c r="B121">
        <v>121</v>
      </c>
      <c r="C121" t="s">
        <v>4</v>
      </c>
    </row>
    <row r="122" spans="1:3" x14ac:dyDescent="0.3">
      <c r="A122" t="s">
        <v>1728</v>
      </c>
      <c r="B122">
        <v>122</v>
      </c>
      <c r="C122" t="s">
        <v>4</v>
      </c>
    </row>
    <row r="123" spans="1:3" x14ac:dyDescent="0.3">
      <c r="A123" t="s">
        <v>1309</v>
      </c>
      <c r="B123">
        <v>123</v>
      </c>
      <c r="C123" t="s">
        <v>4</v>
      </c>
    </row>
    <row r="124" spans="1:3" x14ac:dyDescent="0.3">
      <c r="A124" t="s">
        <v>215</v>
      </c>
      <c r="B124">
        <v>124</v>
      </c>
      <c r="C124" t="s">
        <v>4</v>
      </c>
    </row>
    <row r="125" spans="1:3" x14ac:dyDescent="0.3">
      <c r="A125" t="s">
        <v>1727</v>
      </c>
      <c r="B125">
        <v>125</v>
      </c>
      <c r="C125" t="s">
        <v>4</v>
      </c>
    </row>
    <row r="126" spans="1:3" x14ac:dyDescent="0.3">
      <c r="A126" t="s">
        <v>1728</v>
      </c>
      <c r="B126">
        <v>126</v>
      </c>
      <c r="C126" t="s">
        <v>4</v>
      </c>
    </row>
    <row r="127" spans="1:3" x14ac:dyDescent="0.3">
      <c r="A127" s="4" t="s">
        <v>65</v>
      </c>
      <c r="B127">
        <v>127</v>
      </c>
    </row>
    <row r="128" spans="1:3" x14ac:dyDescent="0.3">
      <c r="A128" s="4" t="s">
        <v>67</v>
      </c>
      <c r="B128">
        <v>128</v>
      </c>
    </row>
    <row r="129" spans="1:3" x14ac:dyDescent="0.3">
      <c r="A129" s="4" t="s">
        <v>68</v>
      </c>
      <c r="B129">
        <v>129</v>
      </c>
    </row>
    <row r="130" spans="1:3" x14ac:dyDescent="0.3">
      <c r="A130" t="s">
        <v>71</v>
      </c>
      <c r="B130">
        <v>130</v>
      </c>
      <c r="C130" t="s">
        <v>318</v>
      </c>
    </row>
    <row r="131" spans="1:3" x14ac:dyDescent="0.3">
      <c r="A131" t="s">
        <v>72</v>
      </c>
      <c r="B131">
        <v>131</v>
      </c>
      <c r="C131" t="s">
        <v>318</v>
      </c>
    </row>
    <row r="132" spans="1:3" x14ac:dyDescent="0.3">
      <c r="A132" t="s">
        <v>76</v>
      </c>
      <c r="B132">
        <v>132</v>
      </c>
      <c r="C132" t="s">
        <v>318</v>
      </c>
    </row>
    <row r="133" spans="1:3" x14ac:dyDescent="0.3">
      <c r="A133" t="s">
        <v>75</v>
      </c>
      <c r="B133">
        <v>133</v>
      </c>
      <c r="C133" t="s">
        <v>318</v>
      </c>
    </row>
    <row r="134" spans="1:3" x14ac:dyDescent="0.3">
      <c r="A134" t="s">
        <v>74</v>
      </c>
      <c r="B134">
        <v>134</v>
      </c>
      <c r="C134" t="s">
        <v>318</v>
      </c>
    </row>
    <row r="135" spans="1:3" x14ac:dyDescent="0.3">
      <c r="A135" t="s">
        <v>73</v>
      </c>
      <c r="B135">
        <v>135</v>
      </c>
      <c r="C135" t="s">
        <v>318</v>
      </c>
    </row>
    <row r="136" spans="1:3" x14ac:dyDescent="0.3">
      <c r="A136" t="s">
        <v>71</v>
      </c>
      <c r="B136">
        <v>136</v>
      </c>
      <c r="C136" t="s">
        <v>318</v>
      </c>
    </row>
    <row r="137" spans="1:3" x14ac:dyDescent="0.3">
      <c r="A137" t="s">
        <v>72</v>
      </c>
      <c r="B137">
        <v>137</v>
      </c>
      <c r="C137" t="s">
        <v>318</v>
      </c>
    </row>
    <row r="138" spans="1:3" x14ac:dyDescent="0.3">
      <c r="A138" t="s">
        <v>76</v>
      </c>
      <c r="B138">
        <v>138</v>
      </c>
      <c r="C138" t="s">
        <v>318</v>
      </c>
    </row>
    <row r="139" spans="1:3" x14ac:dyDescent="0.3">
      <c r="A139" t="s">
        <v>75</v>
      </c>
      <c r="B139">
        <v>139</v>
      </c>
      <c r="C139" t="s">
        <v>318</v>
      </c>
    </row>
    <row r="140" spans="1:3" x14ac:dyDescent="0.3">
      <c r="A140" t="s">
        <v>74</v>
      </c>
      <c r="B140">
        <v>140</v>
      </c>
      <c r="C140" t="s">
        <v>318</v>
      </c>
    </row>
    <row r="141" spans="1:3" x14ac:dyDescent="0.3">
      <c r="A141" t="s">
        <v>73</v>
      </c>
      <c r="B141">
        <v>141</v>
      </c>
      <c r="C141" t="s">
        <v>318</v>
      </c>
    </row>
    <row r="142" spans="1:3" x14ac:dyDescent="0.3">
      <c r="A142" t="s">
        <v>44</v>
      </c>
      <c r="B142">
        <v>142</v>
      </c>
      <c r="C142" t="s">
        <v>2776</v>
      </c>
    </row>
    <row r="143" spans="1:3" x14ac:dyDescent="0.3">
      <c r="A143" t="s">
        <v>79</v>
      </c>
      <c r="B143">
        <v>143</v>
      </c>
      <c r="C143" t="s">
        <v>2776</v>
      </c>
    </row>
    <row r="144" spans="1:3" x14ac:dyDescent="0.3">
      <c r="A144" t="s">
        <v>81</v>
      </c>
      <c r="B144">
        <v>144</v>
      </c>
      <c r="C144" t="s">
        <v>2776</v>
      </c>
    </row>
    <row r="145" spans="1:3" x14ac:dyDescent="0.3">
      <c r="A145" t="s">
        <v>82</v>
      </c>
      <c r="B145">
        <v>145</v>
      </c>
      <c r="C145" t="s">
        <v>2776</v>
      </c>
    </row>
    <row r="146" spans="1:3" x14ac:dyDescent="0.3">
      <c r="A146" t="s">
        <v>83</v>
      </c>
      <c r="B146">
        <v>146</v>
      </c>
      <c r="C146" t="s">
        <v>2776</v>
      </c>
    </row>
    <row r="147" spans="1:3" x14ac:dyDescent="0.3">
      <c r="A147" s="4" t="s">
        <v>84</v>
      </c>
      <c r="B147">
        <v>147</v>
      </c>
      <c r="C147" t="s">
        <v>2776</v>
      </c>
    </row>
    <row r="148" spans="1:3" x14ac:dyDescent="0.3">
      <c r="A148" t="s">
        <v>85</v>
      </c>
      <c r="B148">
        <v>148</v>
      </c>
      <c r="C148" t="s">
        <v>2776</v>
      </c>
    </row>
    <row r="149" spans="1:3" x14ac:dyDescent="0.3">
      <c r="A149" t="s">
        <v>86</v>
      </c>
      <c r="B149">
        <v>149</v>
      </c>
      <c r="C149" t="s">
        <v>2776</v>
      </c>
    </row>
    <row r="150" spans="1:3" x14ac:dyDescent="0.3">
      <c r="A150" t="s">
        <v>44</v>
      </c>
      <c r="B150">
        <v>150</v>
      </c>
      <c r="C150" t="s">
        <v>2776</v>
      </c>
    </row>
    <row r="151" spans="1:3" x14ac:dyDescent="0.3">
      <c r="A151" t="s">
        <v>79</v>
      </c>
      <c r="B151">
        <v>151</v>
      </c>
      <c r="C151" t="s">
        <v>2776</v>
      </c>
    </row>
    <row r="152" spans="1:3" x14ac:dyDescent="0.3">
      <c r="A152" t="s">
        <v>81</v>
      </c>
      <c r="B152">
        <v>152</v>
      </c>
      <c r="C152" t="s">
        <v>2776</v>
      </c>
    </row>
    <row r="153" spans="1:3" x14ac:dyDescent="0.3">
      <c r="A153" t="s">
        <v>82</v>
      </c>
      <c r="B153">
        <v>153</v>
      </c>
      <c r="C153" t="s">
        <v>2776</v>
      </c>
    </row>
    <row r="154" spans="1:3" x14ac:dyDescent="0.3">
      <c r="A154" t="s">
        <v>83</v>
      </c>
      <c r="B154">
        <v>154</v>
      </c>
      <c r="C154" t="s">
        <v>2776</v>
      </c>
    </row>
    <row r="155" spans="1:3" x14ac:dyDescent="0.3">
      <c r="A155" s="4" t="s">
        <v>84</v>
      </c>
      <c r="B155">
        <v>155</v>
      </c>
      <c r="C155" t="s">
        <v>2776</v>
      </c>
    </row>
    <row r="156" spans="1:3" x14ac:dyDescent="0.3">
      <c r="A156" t="s">
        <v>85</v>
      </c>
      <c r="B156">
        <v>156</v>
      </c>
      <c r="C156" t="s">
        <v>2776</v>
      </c>
    </row>
    <row r="157" spans="1:3" x14ac:dyDescent="0.3">
      <c r="A157" t="s">
        <v>86</v>
      </c>
      <c r="B157">
        <v>157</v>
      </c>
      <c r="C157" t="s">
        <v>2776</v>
      </c>
    </row>
    <row r="158" spans="1:3" x14ac:dyDescent="0.3">
      <c r="A158" t="s">
        <v>87</v>
      </c>
      <c r="B158">
        <v>158</v>
      </c>
    </row>
    <row r="159" spans="1:3" x14ac:dyDescent="0.3">
      <c r="A159" t="s">
        <v>88</v>
      </c>
      <c r="B159">
        <v>159</v>
      </c>
    </row>
    <row r="160" spans="1:3" x14ac:dyDescent="0.3">
      <c r="A160" t="s">
        <v>856</v>
      </c>
      <c r="B160">
        <v>160</v>
      </c>
    </row>
    <row r="161" spans="1:2" x14ac:dyDescent="0.3">
      <c r="A161" t="s">
        <v>857</v>
      </c>
      <c r="B161">
        <v>161</v>
      </c>
    </row>
    <row r="162" spans="1:2" x14ac:dyDescent="0.3">
      <c r="A162" t="s">
        <v>27</v>
      </c>
      <c r="B162">
        <v>162</v>
      </c>
    </row>
    <row r="163" spans="1:2" x14ac:dyDescent="0.3">
      <c r="A163" t="s">
        <v>87</v>
      </c>
      <c r="B163">
        <v>163</v>
      </c>
    </row>
    <row r="164" spans="1:2" x14ac:dyDescent="0.3">
      <c r="A164" t="s">
        <v>856</v>
      </c>
      <c r="B164">
        <v>164</v>
      </c>
    </row>
    <row r="165" spans="1:2" x14ac:dyDescent="0.3">
      <c r="A165" t="s">
        <v>27</v>
      </c>
      <c r="B165">
        <v>165</v>
      </c>
    </row>
    <row r="166" spans="1:2" x14ac:dyDescent="0.3">
      <c r="A166" t="s">
        <v>864</v>
      </c>
      <c r="B166">
        <v>166</v>
      </c>
    </row>
    <row r="167" spans="1:2" x14ac:dyDescent="0.3">
      <c r="A167" t="s">
        <v>865</v>
      </c>
      <c r="B167">
        <v>167</v>
      </c>
    </row>
    <row r="168" spans="1:2" x14ac:dyDescent="0.3">
      <c r="A168" t="s">
        <v>858</v>
      </c>
      <c r="B168">
        <v>168</v>
      </c>
    </row>
    <row r="169" spans="1:2" x14ac:dyDescent="0.3">
      <c r="A169" t="s">
        <v>87</v>
      </c>
      <c r="B169">
        <v>169</v>
      </c>
    </row>
    <row r="170" spans="1:2" x14ac:dyDescent="0.3">
      <c r="A170" t="s">
        <v>27</v>
      </c>
      <c r="B170">
        <v>170</v>
      </c>
    </row>
    <row r="171" spans="1:2" x14ac:dyDescent="0.3">
      <c r="A171" t="s">
        <v>864</v>
      </c>
      <c r="B171">
        <v>171</v>
      </c>
    </row>
    <row r="172" spans="1:2" x14ac:dyDescent="0.3">
      <c r="A172" t="s">
        <v>865</v>
      </c>
      <c r="B172">
        <v>172</v>
      </c>
    </row>
    <row r="173" spans="1:2" x14ac:dyDescent="0.3">
      <c r="A173" t="s">
        <v>858</v>
      </c>
      <c r="B173">
        <v>173</v>
      </c>
    </row>
    <row r="174" spans="1:2" x14ac:dyDescent="0.3">
      <c r="A174" t="s">
        <v>87</v>
      </c>
      <c r="B174">
        <v>174</v>
      </c>
    </row>
    <row r="175" spans="1:2" x14ac:dyDescent="0.3">
      <c r="A175" t="s">
        <v>27</v>
      </c>
      <c r="B175">
        <v>175</v>
      </c>
    </row>
    <row r="176" spans="1:2" x14ac:dyDescent="0.3">
      <c r="A176" t="s">
        <v>865</v>
      </c>
      <c r="B176">
        <v>176</v>
      </c>
    </row>
    <row r="177" spans="1:2" x14ac:dyDescent="0.3">
      <c r="A177" t="s">
        <v>87</v>
      </c>
      <c r="B177">
        <v>177</v>
      </c>
    </row>
    <row r="178" spans="1:2" x14ac:dyDescent="0.3">
      <c r="A178" t="s">
        <v>92</v>
      </c>
      <c r="B178">
        <v>178</v>
      </c>
    </row>
    <row r="179" spans="1:2" x14ac:dyDescent="0.3">
      <c r="A179" t="s">
        <v>92</v>
      </c>
      <c r="B179">
        <v>179</v>
      </c>
    </row>
    <row r="180" spans="1:2" x14ac:dyDescent="0.3">
      <c r="A180" t="s">
        <v>34</v>
      </c>
      <c r="B180">
        <v>180</v>
      </c>
    </row>
    <row r="181" spans="1:2" x14ac:dyDescent="0.3">
      <c r="A181" t="s">
        <v>34</v>
      </c>
      <c r="B181">
        <v>181</v>
      </c>
    </row>
    <row r="182" spans="1:2" x14ac:dyDescent="0.3">
      <c r="A182" t="s">
        <v>34</v>
      </c>
      <c r="B182">
        <v>182</v>
      </c>
    </row>
    <row r="183" spans="1:2" x14ac:dyDescent="0.3">
      <c r="A183" t="s">
        <v>34</v>
      </c>
      <c r="B183">
        <v>183</v>
      </c>
    </row>
    <row r="184" spans="1:2" x14ac:dyDescent="0.3">
      <c r="A184" t="s">
        <v>34</v>
      </c>
      <c r="B184">
        <v>184</v>
      </c>
    </row>
    <row r="185" spans="1:2" x14ac:dyDescent="0.3">
      <c r="A185" t="s">
        <v>34</v>
      </c>
      <c r="B185">
        <v>185</v>
      </c>
    </row>
    <row r="186" spans="1:2" x14ac:dyDescent="0.3">
      <c r="A186" t="s">
        <v>34</v>
      </c>
      <c r="B186">
        <v>186</v>
      </c>
    </row>
    <row r="187" spans="1:2" x14ac:dyDescent="0.3">
      <c r="A187" t="s">
        <v>34</v>
      </c>
      <c r="B187">
        <v>187</v>
      </c>
    </row>
    <row r="188" spans="1:2" x14ac:dyDescent="0.3">
      <c r="A188" t="s">
        <v>95</v>
      </c>
      <c r="B188">
        <v>188</v>
      </c>
    </row>
    <row r="189" spans="1:2" x14ac:dyDescent="0.3">
      <c r="A189" t="s">
        <v>95</v>
      </c>
      <c r="B189">
        <v>189</v>
      </c>
    </row>
    <row r="190" spans="1:2" x14ac:dyDescent="0.3">
      <c r="A190" t="s">
        <v>95</v>
      </c>
      <c r="B190">
        <v>190</v>
      </c>
    </row>
    <row r="191" spans="1:2" x14ac:dyDescent="0.3">
      <c r="A191" t="s">
        <v>95</v>
      </c>
      <c r="B191">
        <v>191</v>
      </c>
    </row>
    <row r="192" spans="1:2" x14ac:dyDescent="0.3">
      <c r="A192" t="s">
        <v>95</v>
      </c>
      <c r="B192">
        <v>192</v>
      </c>
    </row>
    <row r="193" spans="1:3" x14ac:dyDescent="0.3">
      <c r="A193" t="s">
        <v>95</v>
      </c>
      <c r="B193">
        <v>193</v>
      </c>
    </row>
    <row r="194" spans="1:3" x14ac:dyDescent="0.3">
      <c r="A194" t="s">
        <v>95</v>
      </c>
      <c r="B194">
        <v>194</v>
      </c>
    </row>
    <row r="195" spans="1:3" x14ac:dyDescent="0.3">
      <c r="A195" t="s">
        <v>95</v>
      </c>
      <c r="B195">
        <v>195</v>
      </c>
    </row>
    <row r="196" spans="1:3" x14ac:dyDescent="0.3">
      <c r="A196" t="s">
        <v>97</v>
      </c>
      <c r="B196">
        <v>196</v>
      </c>
    </row>
    <row r="197" spans="1:3" x14ac:dyDescent="0.3">
      <c r="A197" t="s">
        <v>1213</v>
      </c>
      <c r="B197">
        <v>197</v>
      </c>
    </row>
    <row r="198" spans="1:3" x14ac:dyDescent="0.3">
      <c r="A198" t="s">
        <v>1214</v>
      </c>
      <c r="B198">
        <v>198</v>
      </c>
    </row>
    <row r="199" spans="1:3" x14ac:dyDescent="0.3">
      <c r="A199" t="s">
        <v>916</v>
      </c>
      <c r="B199">
        <v>199</v>
      </c>
    </row>
    <row r="200" spans="1:3" x14ac:dyDescent="0.3">
      <c r="A200" t="s">
        <v>917</v>
      </c>
      <c r="B200">
        <v>200</v>
      </c>
    </row>
    <row r="201" spans="1:3" x14ac:dyDescent="0.3">
      <c r="A201" t="s">
        <v>917</v>
      </c>
      <c r="B201">
        <v>201</v>
      </c>
    </row>
    <row r="202" spans="1:3" x14ac:dyDescent="0.3">
      <c r="A202" t="s">
        <v>8</v>
      </c>
      <c r="B202">
        <v>202</v>
      </c>
      <c r="C202" t="s">
        <v>2777</v>
      </c>
    </row>
    <row r="203" spans="1:3" x14ac:dyDescent="0.3">
      <c r="A203" t="s">
        <v>8</v>
      </c>
      <c r="B203">
        <v>203</v>
      </c>
      <c r="C203" t="s">
        <v>2777</v>
      </c>
    </row>
    <row r="204" spans="1:3" x14ac:dyDescent="0.3">
      <c r="A204" t="s">
        <v>104</v>
      </c>
      <c r="B204">
        <v>204</v>
      </c>
    </row>
    <row r="205" spans="1:3" x14ac:dyDescent="0.3">
      <c r="A205" t="s">
        <v>69</v>
      </c>
      <c r="B205">
        <v>205</v>
      </c>
    </row>
    <row r="206" spans="1:3" x14ac:dyDescent="0.3">
      <c r="A206" t="s">
        <v>105</v>
      </c>
      <c r="B206">
        <v>206</v>
      </c>
    </row>
    <row r="207" spans="1:3" x14ac:dyDescent="0.3">
      <c r="A207" t="s">
        <v>106</v>
      </c>
      <c r="B207">
        <v>207</v>
      </c>
      <c r="C207" t="s">
        <v>46</v>
      </c>
    </row>
    <row r="208" spans="1:3" x14ac:dyDescent="0.3">
      <c r="A208" t="s">
        <v>107</v>
      </c>
      <c r="B208">
        <v>208</v>
      </c>
    </row>
    <row r="209" spans="1:3" x14ac:dyDescent="0.3">
      <c r="A209" t="s">
        <v>108</v>
      </c>
      <c r="B209">
        <v>209</v>
      </c>
    </row>
    <row r="210" spans="1:3" x14ac:dyDescent="0.3">
      <c r="A210" t="s">
        <v>109</v>
      </c>
      <c r="B210">
        <v>210</v>
      </c>
    </row>
    <row r="211" spans="1:3" x14ac:dyDescent="0.3">
      <c r="A211" t="s">
        <v>110</v>
      </c>
      <c r="B211">
        <v>211</v>
      </c>
    </row>
    <row r="212" spans="1:3" x14ac:dyDescent="0.3">
      <c r="A212" t="s">
        <v>25</v>
      </c>
      <c r="B212">
        <v>212</v>
      </c>
    </row>
    <row r="213" spans="1:3" x14ac:dyDescent="0.3">
      <c r="A213" t="s">
        <v>8</v>
      </c>
      <c r="B213">
        <v>213</v>
      </c>
      <c r="C213" t="s">
        <v>2777</v>
      </c>
    </row>
    <row r="214" spans="1:3" x14ac:dyDescent="0.3">
      <c r="A214" t="s">
        <v>118</v>
      </c>
      <c r="B214">
        <v>214</v>
      </c>
    </row>
    <row r="215" spans="1:3" x14ac:dyDescent="0.3">
      <c r="A215" t="s">
        <v>119</v>
      </c>
      <c r="B215">
        <v>215</v>
      </c>
    </row>
    <row r="216" spans="1:3" x14ac:dyDescent="0.3">
      <c r="A216" t="s">
        <v>120</v>
      </c>
      <c r="B216">
        <v>216</v>
      </c>
    </row>
    <row r="217" spans="1:3" x14ac:dyDescent="0.3">
      <c r="A217" t="s">
        <v>121</v>
      </c>
      <c r="B217">
        <v>217</v>
      </c>
      <c r="C217" t="s">
        <v>2776</v>
      </c>
    </row>
    <row r="218" spans="1:3" x14ac:dyDescent="0.3">
      <c r="A218" t="s">
        <v>1185</v>
      </c>
      <c r="B218">
        <v>218</v>
      </c>
    </row>
    <row r="219" spans="1:3" x14ac:dyDescent="0.3">
      <c r="A219" t="s">
        <v>123</v>
      </c>
      <c r="B219">
        <v>219</v>
      </c>
      <c r="C219" t="s">
        <v>2776</v>
      </c>
    </row>
    <row r="220" spans="1:3" x14ac:dyDescent="0.3">
      <c r="A220" t="s">
        <v>124</v>
      </c>
      <c r="B220">
        <v>220</v>
      </c>
    </row>
    <row r="221" spans="1:3" x14ac:dyDescent="0.3">
      <c r="A221" t="s">
        <v>125</v>
      </c>
      <c r="B221">
        <v>221</v>
      </c>
    </row>
    <row r="222" spans="1:3" x14ac:dyDescent="0.3">
      <c r="A222" t="s">
        <v>120</v>
      </c>
      <c r="B222">
        <v>222</v>
      </c>
    </row>
    <row r="223" spans="1:3" x14ac:dyDescent="0.3">
      <c r="A223" t="s">
        <v>129</v>
      </c>
      <c r="B223">
        <v>223</v>
      </c>
    </row>
    <row r="224" spans="1:3" x14ac:dyDescent="0.3">
      <c r="A224" t="s">
        <v>129</v>
      </c>
      <c r="B224">
        <v>224</v>
      </c>
    </row>
    <row r="225" spans="1:3" x14ac:dyDescent="0.3">
      <c r="A225" t="s">
        <v>130</v>
      </c>
      <c r="B225">
        <v>225</v>
      </c>
    </row>
    <row r="226" spans="1:3" x14ac:dyDescent="0.3">
      <c r="A226" t="s">
        <v>131</v>
      </c>
      <c r="B226">
        <v>226</v>
      </c>
    </row>
    <row r="227" spans="1:3" x14ac:dyDescent="0.3">
      <c r="A227" t="s">
        <v>132</v>
      </c>
      <c r="B227">
        <v>227</v>
      </c>
    </row>
    <row r="228" spans="1:3" x14ac:dyDescent="0.3">
      <c r="A228" t="s">
        <v>136</v>
      </c>
      <c r="B228">
        <v>228</v>
      </c>
      <c r="C228" t="s">
        <v>153</v>
      </c>
    </row>
    <row r="229" spans="1:3" x14ac:dyDescent="0.3">
      <c r="A229" t="s">
        <v>137</v>
      </c>
      <c r="B229">
        <v>229</v>
      </c>
      <c r="C229" t="s">
        <v>153</v>
      </c>
    </row>
    <row r="230" spans="1:3" x14ac:dyDescent="0.3">
      <c r="A230" t="s">
        <v>10</v>
      </c>
      <c r="B230">
        <v>230</v>
      </c>
      <c r="C230" t="s">
        <v>153</v>
      </c>
    </row>
    <row r="231" spans="1:3" x14ac:dyDescent="0.3">
      <c r="A231" t="s">
        <v>138</v>
      </c>
      <c r="B231">
        <v>231</v>
      </c>
      <c r="C231" t="s">
        <v>153</v>
      </c>
    </row>
    <row r="232" spans="1:3" x14ac:dyDescent="0.3">
      <c r="A232" t="s">
        <v>139</v>
      </c>
      <c r="B232">
        <v>232</v>
      </c>
      <c r="C232" t="s">
        <v>153</v>
      </c>
    </row>
    <row r="233" spans="1:3" x14ac:dyDescent="0.3">
      <c r="A233" t="s">
        <v>140</v>
      </c>
      <c r="B233">
        <v>233</v>
      </c>
      <c r="C233" t="s">
        <v>153</v>
      </c>
    </row>
    <row r="234" spans="1:3" x14ac:dyDescent="0.3">
      <c r="A234" t="s">
        <v>11</v>
      </c>
      <c r="B234">
        <v>234</v>
      </c>
      <c r="C234" t="s">
        <v>153</v>
      </c>
    </row>
    <row r="235" spans="1:3" x14ac:dyDescent="0.3">
      <c r="A235" t="s">
        <v>141</v>
      </c>
      <c r="B235">
        <v>235</v>
      </c>
      <c r="C235" t="s">
        <v>153</v>
      </c>
    </row>
    <row r="236" spans="1:3" x14ac:dyDescent="0.3">
      <c r="A236" t="s">
        <v>142</v>
      </c>
      <c r="B236">
        <v>236</v>
      </c>
      <c r="C236" t="s">
        <v>153</v>
      </c>
    </row>
    <row r="237" spans="1:3" x14ac:dyDescent="0.3">
      <c r="A237" t="s">
        <v>143</v>
      </c>
      <c r="B237">
        <v>237</v>
      </c>
      <c r="C237" t="s">
        <v>153</v>
      </c>
    </row>
    <row r="238" spans="1:3" x14ac:dyDescent="0.3">
      <c r="A238" t="s">
        <v>12</v>
      </c>
      <c r="B238">
        <v>238</v>
      </c>
      <c r="C238" t="s">
        <v>153</v>
      </c>
    </row>
    <row r="239" spans="1:3" x14ac:dyDescent="0.3">
      <c r="A239" t="s">
        <v>144</v>
      </c>
      <c r="B239">
        <v>239</v>
      </c>
      <c r="C239" t="s">
        <v>153</v>
      </c>
    </row>
    <row r="240" spans="1:3" x14ac:dyDescent="0.3">
      <c r="A240" t="s">
        <v>145</v>
      </c>
      <c r="B240">
        <v>240</v>
      </c>
      <c r="C240" t="s">
        <v>153</v>
      </c>
    </row>
    <row r="241" spans="1:3" x14ac:dyDescent="0.3">
      <c r="A241" t="s">
        <v>146</v>
      </c>
      <c r="B241">
        <v>241</v>
      </c>
      <c r="C241" t="s">
        <v>153</v>
      </c>
    </row>
    <row r="242" spans="1:3" x14ac:dyDescent="0.3">
      <c r="A242" t="s">
        <v>13</v>
      </c>
      <c r="B242">
        <v>242</v>
      </c>
      <c r="C242" t="s">
        <v>153</v>
      </c>
    </row>
    <row r="243" spans="1:3" x14ac:dyDescent="0.3">
      <c r="A243" t="s">
        <v>147</v>
      </c>
      <c r="B243">
        <v>243</v>
      </c>
      <c r="C243" t="s">
        <v>153</v>
      </c>
    </row>
    <row r="244" spans="1:3" x14ac:dyDescent="0.3">
      <c r="A244" t="s">
        <v>136</v>
      </c>
      <c r="B244">
        <v>244</v>
      </c>
      <c r="C244" t="s">
        <v>153</v>
      </c>
    </row>
    <row r="245" spans="1:3" x14ac:dyDescent="0.3">
      <c r="A245" t="s">
        <v>137</v>
      </c>
      <c r="B245">
        <v>245</v>
      </c>
      <c r="C245" t="s">
        <v>153</v>
      </c>
    </row>
    <row r="246" spans="1:3" x14ac:dyDescent="0.3">
      <c r="A246" t="s">
        <v>10</v>
      </c>
      <c r="B246">
        <v>246</v>
      </c>
      <c r="C246" t="s">
        <v>153</v>
      </c>
    </row>
    <row r="247" spans="1:3" x14ac:dyDescent="0.3">
      <c r="A247" t="s">
        <v>148</v>
      </c>
      <c r="B247">
        <v>247</v>
      </c>
      <c r="C247" t="s">
        <v>4</v>
      </c>
    </row>
    <row r="248" spans="1:3" x14ac:dyDescent="0.3">
      <c r="A248" t="s">
        <v>1317</v>
      </c>
      <c r="B248">
        <v>248</v>
      </c>
      <c r="C248" t="s">
        <v>4</v>
      </c>
    </row>
    <row r="249" spans="1:3" x14ac:dyDescent="0.3">
      <c r="A249" t="s">
        <v>308</v>
      </c>
      <c r="B249">
        <v>249</v>
      </c>
      <c r="C249" t="s">
        <v>4</v>
      </c>
    </row>
    <row r="250" spans="1:3" x14ac:dyDescent="0.3">
      <c r="A250" t="s">
        <v>203</v>
      </c>
      <c r="B250">
        <v>250</v>
      </c>
      <c r="C250" t="s">
        <v>4</v>
      </c>
    </row>
    <row r="251" spans="1:3" x14ac:dyDescent="0.3">
      <c r="A251" t="s">
        <v>215</v>
      </c>
      <c r="B251">
        <v>251</v>
      </c>
      <c r="C251" t="s">
        <v>4</v>
      </c>
    </row>
    <row r="252" spans="1:3" x14ac:dyDescent="0.3">
      <c r="A252" t="s">
        <v>148</v>
      </c>
      <c r="B252">
        <v>252</v>
      </c>
      <c r="C252" t="s">
        <v>4</v>
      </c>
    </row>
    <row r="253" spans="1:3" x14ac:dyDescent="0.3">
      <c r="A253" t="s">
        <v>1318</v>
      </c>
      <c r="B253">
        <v>253</v>
      </c>
      <c r="C253" t="s">
        <v>4</v>
      </c>
    </row>
    <row r="254" spans="1:3" x14ac:dyDescent="0.3">
      <c r="A254" t="s">
        <v>1319</v>
      </c>
      <c r="B254">
        <v>254</v>
      </c>
      <c r="C254" t="s">
        <v>4</v>
      </c>
    </row>
    <row r="255" spans="1:3" x14ac:dyDescent="0.3">
      <c r="A255" t="s">
        <v>1320</v>
      </c>
      <c r="B255">
        <v>255</v>
      </c>
      <c r="C255" t="s">
        <v>4</v>
      </c>
    </row>
    <row r="256" spans="1:3" x14ac:dyDescent="0.3">
      <c r="A256" t="s">
        <v>1321</v>
      </c>
      <c r="B256">
        <v>256</v>
      </c>
      <c r="C256" t="s">
        <v>4</v>
      </c>
    </row>
    <row r="257" spans="1:3" x14ac:dyDescent="0.3">
      <c r="A257" t="s">
        <v>1322</v>
      </c>
      <c r="B257">
        <v>257</v>
      </c>
      <c r="C257" t="s">
        <v>4</v>
      </c>
    </row>
    <row r="258" spans="1:3" x14ac:dyDescent="0.3">
      <c r="A258" t="s">
        <v>1323</v>
      </c>
      <c r="B258">
        <v>258</v>
      </c>
      <c r="C258" t="s">
        <v>4</v>
      </c>
    </row>
    <row r="259" spans="1:3" x14ac:dyDescent="0.3">
      <c r="A259" t="s">
        <v>1324</v>
      </c>
      <c r="B259">
        <v>259</v>
      </c>
      <c r="C259" t="s">
        <v>4</v>
      </c>
    </row>
    <row r="260" spans="1:3" x14ac:dyDescent="0.3">
      <c r="A260" t="s">
        <v>1325</v>
      </c>
      <c r="B260">
        <v>260</v>
      </c>
      <c r="C260" t="s">
        <v>4</v>
      </c>
    </row>
    <row r="261" spans="1:3" x14ac:dyDescent="0.3">
      <c r="A261" t="s">
        <v>1326</v>
      </c>
      <c r="B261">
        <v>261</v>
      </c>
      <c r="C261" t="s">
        <v>4</v>
      </c>
    </row>
    <row r="262" spans="1:3" x14ac:dyDescent="0.3">
      <c r="A262" t="s">
        <v>1327</v>
      </c>
      <c r="B262">
        <v>262</v>
      </c>
      <c r="C262" t="s">
        <v>4</v>
      </c>
    </row>
    <row r="263" spans="1:3" x14ac:dyDescent="0.3">
      <c r="A263" t="s">
        <v>1328</v>
      </c>
      <c r="B263">
        <v>263</v>
      </c>
      <c r="C263" t="s">
        <v>4</v>
      </c>
    </row>
    <row r="264" spans="1:3" x14ac:dyDescent="0.3">
      <c r="A264" t="s">
        <v>63</v>
      </c>
      <c r="B264">
        <v>264</v>
      </c>
      <c r="C264" t="s">
        <v>4</v>
      </c>
    </row>
    <row r="265" spans="1:3" x14ac:dyDescent="0.3">
      <c r="A265" t="s">
        <v>151</v>
      </c>
      <c r="B265">
        <v>265</v>
      </c>
      <c r="C265" t="s">
        <v>4</v>
      </c>
    </row>
    <row r="266" spans="1:3" x14ac:dyDescent="0.3">
      <c r="A266" t="s">
        <v>153</v>
      </c>
      <c r="B266">
        <v>266</v>
      </c>
      <c r="C266" t="s">
        <v>153</v>
      </c>
    </row>
    <row r="267" spans="1:3" x14ac:dyDescent="0.3">
      <c r="A267" t="s">
        <v>7</v>
      </c>
      <c r="B267">
        <v>267</v>
      </c>
      <c r="C267" t="s">
        <v>4</v>
      </c>
    </row>
    <row r="268" spans="1:3" x14ac:dyDescent="0.3">
      <c r="A268" t="s">
        <v>155</v>
      </c>
      <c r="B268">
        <v>268</v>
      </c>
      <c r="C268" t="s">
        <v>4</v>
      </c>
    </row>
    <row r="269" spans="1:3" x14ac:dyDescent="0.3">
      <c r="A269" t="s">
        <v>156</v>
      </c>
      <c r="B269">
        <v>269</v>
      </c>
      <c r="C269" t="s">
        <v>4</v>
      </c>
    </row>
    <row r="270" spans="1:3" x14ac:dyDescent="0.3">
      <c r="A270" t="s">
        <v>157</v>
      </c>
      <c r="B270">
        <v>270</v>
      </c>
      <c r="C270" t="s">
        <v>4</v>
      </c>
    </row>
    <row r="271" spans="1:3" x14ac:dyDescent="0.3">
      <c r="A271" t="s">
        <v>158</v>
      </c>
      <c r="B271">
        <v>271</v>
      </c>
      <c r="C271" t="s">
        <v>4</v>
      </c>
    </row>
    <row r="272" spans="1:3" x14ac:dyDescent="0.3">
      <c r="A272" t="s">
        <v>151</v>
      </c>
      <c r="B272">
        <v>272</v>
      </c>
      <c r="C272" t="s">
        <v>4</v>
      </c>
    </row>
    <row r="273" spans="1:3" x14ac:dyDescent="0.3">
      <c r="A273" t="s">
        <v>159</v>
      </c>
      <c r="B273">
        <v>273</v>
      </c>
      <c r="C273" t="s">
        <v>4</v>
      </c>
    </row>
    <row r="274" spans="1:3" x14ac:dyDescent="0.3">
      <c r="A274" t="s">
        <v>160</v>
      </c>
      <c r="B274">
        <v>274</v>
      </c>
      <c r="C274" t="s">
        <v>4</v>
      </c>
    </row>
    <row r="275" spans="1:3" x14ac:dyDescent="0.3">
      <c r="A275" t="s">
        <v>161</v>
      </c>
      <c r="B275">
        <v>275</v>
      </c>
      <c r="C275" t="s">
        <v>4</v>
      </c>
    </row>
    <row r="276" spans="1:3" x14ac:dyDescent="0.3">
      <c r="A276" t="s">
        <v>162</v>
      </c>
      <c r="B276">
        <v>276</v>
      </c>
      <c r="C276" t="s">
        <v>4</v>
      </c>
    </row>
    <row r="277" spans="1:3" x14ac:dyDescent="0.3">
      <c r="A277" t="s">
        <v>151</v>
      </c>
      <c r="B277">
        <v>277</v>
      </c>
      <c r="C277" t="s">
        <v>4</v>
      </c>
    </row>
    <row r="278" spans="1:3" x14ac:dyDescent="0.3">
      <c r="A278" t="s">
        <v>159</v>
      </c>
      <c r="B278">
        <v>278</v>
      </c>
      <c r="C278" t="s">
        <v>4</v>
      </c>
    </row>
    <row r="279" spans="1:3" x14ac:dyDescent="0.3">
      <c r="A279" t="s">
        <v>160</v>
      </c>
      <c r="B279">
        <v>279</v>
      </c>
      <c r="C279" t="s">
        <v>4</v>
      </c>
    </row>
    <row r="280" spans="1:3" x14ac:dyDescent="0.3">
      <c r="A280" t="s">
        <v>161</v>
      </c>
      <c r="B280">
        <v>280</v>
      </c>
      <c r="C280" t="s">
        <v>4</v>
      </c>
    </row>
    <row r="281" spans="1:3" x14ac:dyDescent="0.3">
      <c r="A281" t="s">
        <v>162</v>
      </c>
      <c r="B281">
        <v>281</v>
      </c>
      <c r="C281" t="s">
        <v>4</v>
      </c>
    </row>
    <row r="282" spans="1:3" x14ac:dyDescent="0.3">
      <c r="A282" t="s">
        <v>8</v>
      </c>
      <c r="B282">
        <v>282</v>
      </c>
      <c r="C282" t="s">
        <v>2777</v>
      </c>
    </row>
    <row r="283" spans="1:3" x14ac:dyDescent="0.3">
      <c r="A283" t="s">
        <v>8</v>
      </c>
      <c r="B283">
        <v>283</v>
      </c>
      <c r="C283" t="s">
        <v>2777</v>
      </c>
    </row>
    <row r="284" spans="1:3" x14ac:dyDescent="0.3">
      <c r="A284" t="s">
        <v>4</v>
      </c>
      <c r="B284">
        <v>284</v>
      </c>
      <c r="C284" t="s">
        <v>4</v>
      </c>
    </row>
    <row r="285" spans="1:3" x14ac:dyDescent="0.3">
      <c r="A285" t="s">
        <v>4</v>
      </c>
      <c r="B285">
        <v>285</v>
      </c>
      <c r="C285" t="s">
        <v>4</v>
      </c>
    </row>
    <row r="286" spans="1:3" x14ac:dyDescent="0.3">
      <c r="A286" t="s">
        <v>4</v>
      </c>
      <c r="B286">
        <v>286</v>
      </c>
      <c r="C286" t="s">
        <v>4</v>
      </c>
    </row>
    <row r="287" spans="1:3" x14ac:dyDescent="0.3">
      <c r="A287" t="s">
        <v>4</v>
      </c>
      <c r="B287">
        <v>287</v>
      </c>
      <c r="C287" t="s">
        <v>4</v>
      </c>
    </row>
    <row r="288" spans="1:3" x14ac:dyDescent="0.3">
      <c r="A288" t="s">
        <v>4</v>
      </c>
      <c r="B288">
        <v>288</v>
      </c>
      <c r="C288" t="s">
        <v>4</v>
      </c>
    </row>
    <row r="289" spans="1:3" x14ac:dyDescent="0.3">
      <c r="A289" t="s">
        <v>4</v>
      </c>
      <c r="B289">
        <v>289</v>
      </c>
      <c r="C289" t="s">
        <v>4</v>
      </c>
    </row>
    <row r="290" spans="1:3" x14ac:dyDescent="0.3">
      <c r="A290" t="s">
        <v>4</v>
      </c>
      <c r="B290">
        <v>290</v>
      </c>
      <c r="C290" t="s">
        <v>4</v>
      </c>
    </row>
    <row r="291" spans="1:3" x14ac:dyDescent="0.3">
      <c r="A291" t="s">
        <v>4</v>
      </c>
      <c r="B291">
        <v>291</v>
      </c>
      <c r="C291" t="s">
        <v>4</v>
      </c>
    </row>
    <row r="292" spans="1:3" x14ac:dyDescent="0.3">
      <c r="A292" t="s">
        <v>4</v>
      </c>
      <c r="B292">
        <v>292</v>
      </c>
      <c r="C292" t="s">
        <v>4</v>
      </c>
    </row>
    <row r="293" spans="1:3" x14ac:dyDescent="0.3">
      <c r="A293" t="s">
        <v>165</v>
      </c>
      <c r="B293">
        <v>293</v>
      </c>
    </row>
    <row r="294" spans="1:3" x14ac:dyDescent="0.3">
      <c r="A294" t="s">
        <v>166</v>
      </c>
      <c r="B294">
        <v>294</v>
      </c>
    </row>
    <row r="295" spans="1:3" x14ac:dyDescent="0.3">
      <c r="A295" s="4" t="s">
        <v>167</v>
      </c>
      <c r="B295">
        <v>295</v>
      </c>
      <c r="C295" t="s">
        <v>153</v>
      </c>
    </row>
    <row r="296" spans="1:3" x14ac:dyDescent="0.3">
      <c r="A296" t="s">
        <v>165</v>
      </c>
      <c r="B296">
        <v>296</v>
      </c>
    </row>
    <row r="297" spans="1:3" x14ac:dyDescent="0.3">
      <c r="A297" t="s">
        <v>166</v>
      </c>
      <c r="B297">
        <v>297</v>
      </c>
    </row>
    <row r="298" spans="1:3" x14ac:dyDescent="0.3">
      <c r="A298" s="4" t="s">
        <v>167</v>
      </c>
      <c r="B298">
        <v>298</v>
      </c>
      <c r="C298" t="s">
        <v>153</v>
      </c>
    </row>
    <row r="299" spans="1:3" x14ac:dyDescent="0.3">
      <c r="A299" t="s">
        <v>63</v>
      </c>
      <c r="B299">
        <v>299</v>
      </c>
      <c r="C299" t="s">
        <v>4</v>
      </c>
    </row>
    <row r="300" spans="1:3" x14ac:dyDescent="0.3">
      <c r="A300" t="s">
        <v>232</v>
      </c>
      <c r="B300">
        <v>300</v>
      </c>
      <c r="C300" t="s">
        <v>4</v>
      </c>
    </row>
    <row r="301" spans="1:3" x14ac:dyDescent="0.3">
      <c r="A301" t="s">
        <v>1220</v>
      </c>
      <c r="B301">
        <v>301</v>
      </c>
      <c r="C301" t="s">
        <v>4</v>
      </c>
    </row>
    <row r="302" spans="1:3" x14ac:dyDescent="0.3">
      <c r="A302" t="s">
        <v>1221</v>
      </c>
      <c r="B302">
        <v>302</v>
      </c>
      <c r="C302" t="s">
        <v>4</v>
      </c>
    </row>
    <row r="303" spans="1:3" x14ac:dyDescent="0.3">
      <c r="A303" t="s">
        <v>855</v>
      </c>
      <c r="B303">
        <v>303</v>
      </c>
      <c r="C303" t="s">
        <v>4</v>
      </c>
    </row>
    <row r="304" spans="1:3" x14ac:dyDescent="0.3">
      <c r="A304" t="s">
        <v>2</v>
      </c>
      <c r="B304">
        <v>304</v>
      </c>
      <c r="C304" t="s">
        <v>153</v>
      </c>
    </row>
    <row r="305" spans="1:3" x14ac:dyDescent="0.3">
      <c r="A305" t="s">
        <v>175</v>
      </c>
      <c r="B305">
        <v>305</v>
      </c>
      <c r="C305" t="s">
        <v>153</v>
      </c>
    </row>
    <row r="306" spans="1:3" x14ac:dyDescent="0.3">
      <c r="A306" t="s">
        <v>2</v>
      </c>
      <c r="B306">
        <v>306</v>
      </c>
      <c r="C306" t="s">
        <v>153</v>
      </c>
    </row>
    <row r="307" spans="1:3" x14ac:dyDescent="0.3">
      <c r="A307" t="s">
        <v>175</v>
      </c>
      <c r="B307">
        <v>307</v>
      </c>
      <c r="C307" t="s">
        <v>153</v>
      </c>
    </row>
    <row r="308" spans="1:3" x14ac:dyDescent="0.3">
      <c r="A308" t="s">
        <v>2</v>
      </c>
      <c r="B308">
        <v>308</v>
      </c>
      <c r="C308" t="s">
        <v>153</v>
      </c>
    </row>
    <row r="309" spans="1:3" x14ac:dyDescent="0.3">
      <c r="A309" t="s">
        <v>175</v>
      </c>
      <c r="B309">
        <v>309</v>
      </c>
      <c r="C309" t="s">
        <v>153</v>
      </c>
    </row>
    <row r="310" spans="1:3" x14ac:dyDescent="0.3">
      <c r="A310" t="s">
        <v>5</v>
      </c>
      <c r="B310">
        <v>310</v>
      </c>
      <c r="C310" t="s">
        <v>4</v>
      </c>
    </row>
    <row r="311" spans="1:3" x14ac:dyDescent="0.3">
      <c r="A311" s="4" t="s">
        <v>177</v>
      </c>
      <c r="B311">
        <v>311</v>
      </c>
      <c r="C311" t="s">
        <v>4</v>
      </c>
    </row>
    <row r="312" spans="1:3" x14ac:dyDescent="0.3">
      <c r="A312" t="s">
        <v>178</v>
      </c>
      <c r="B312">
        <v>312</v>
      </c>
      <c r="C312" t="s">
        <v>4</v>
      </c>
    </row>
    <row r="313" spans="1:3" x14ac:dyDescent="0.3">
      <c r="A313" s="4" t="s">
        <v>179</v>
      </c>
      <c r="B313">
        <v>313</v>
      </c>
      <c r="C313" t="s">
        <v>4</v>
      </c>
    </row>
    <row r="314" spans="1:3" x14ac:dyDescent="0.3">
      <c r="A314" t="s">
        <v>180</v>
      </c>
      <c r="B314">
        <v>314</v>
      </c>
      <c r="C314" t="s">
        <v>2776</v>
      </c>
    </row>
    <row r="315" spans="1:3" x14ac:dyDescent="0.3">
      <c r="A315" t="s">
        <v>181</v>
      </c>
      <c r="B315">
        <v>315</v>
      </c>
      <c r="C315" t="s">
        <v>2776</v>
      </c>
    </row>
    <row r="316" spans="1:3" x14ac:dyDescent="0.3">
      <c r="A316" t="s">
        <v>2</v>
      </c>
      <c r="B316">
        <v>316</v>
      </c>
      <c r="C316" t="s">
        <v>153</v>
      </c>
    </row>
    <row r="317" spans="1:3" x14ac:dyDescent="0.3">
      <c r="A317" t="s">
        <v>175</v>
      </c>
      <c r="B317">
        <v>317</v>
      </c>
      <c r="C317" t="s">
        <v>153</v>
      </c>
    </row>
    <row r="318" spans="1:3" x14ac:dyDescent="0.3">
      <c r="A318" t="s">
        <v>5</v>
      </c>
      <c r="B318">
        <v>318</v>
      </c>
      <c r="C318" t="s">
        <v>4</v>
      </c>
    </row>
    <row r="319" spans="1:3" x14ac:dyDescent="0.3">
      <c r="A319" s="4" t="s">
        <v>177</v>
      </c>
      <c r="B319">
        <v>319</v>
      </c>
      <c r="C319" t="s">
        <v>4</v>
      </c>
    </row>
    <row r="320" spans="1:3" x14ac:dyDescent="0.3">
      <c r="A320" t="s">
        <v>178</v>
      </c>
      <c r="B320">
        <v>320</v>
      </c>
      <c r="C320" t="s">
        <v>4</v>
      </c>
    </row>
    <row r="321" spans="1:3" x14ac:dyDescent="0.3">
      <c r="A321" s="4" t="s">
        <v>179</v>
      </c>
      <c r="B321">
        <v>321</v>
      </c>
      <c r="C321" t="s">
        <v>4</v>
      </c>
    </row>
    <row r="322" spans="1:3" x14ac:dyDescent="0.3">
      <c r="A322" t="s">
        <v>180</v>
      </c>
      <c r="B322">
        <v>322</v>
      </c>
      <c r="C322" t="s">
        <v>2776</v>
      </c>
    </row>
    <row r="323" spans="1:3" x14ac:dyDescent="0.3">
      <c r="A323" t="s">
        <v>181</v>
      </c>
      <c r="B323">
        <v>323</v>
      </c>
      <c r="C323" t="s">
        <v>2776</v>
      </c>
    </row>
    <row r="324" spans="1:3" x14ac:dyDescent="0.3">
      <c r="A324" t="s">
        <v>38</v>
      </c>
      <c r="B324">
        <v>324</v>
      </c>
    </row>
    <row r="325" spans="1:3" x14ac:dyDescent="0.3">
      <c r="A325" t="s">
        <v>38</v>
      </c>
      <c r="B325">
        <v>325</v>
      </c>
    </row>
    <row r="326" spans="1:3" x14ac:dyDescent="0.3">
      <c r="A326" t="s">
        <v>38</v>
      </c>
      <c r="B326">
        <v>326</v>
      </c>
    </row>
    <row r="327" spans="1:3" x14ac:dyDescent="0.3">
      <c r="A327" t="s">
        <v>48</v>
      </c>
      <c r="B327">
        <v>327</v>
      </c>
      <c r="C327" t="s">
        <v>153</v>
      </c>
    </row>
    <row r="328" spans="1:3" x14ac:dyDescent="0.3">
      <c r="A328" t="s">
        <v>49</v>
      </c>
      <c r="B328">
        <v>328</v>
      </c>
    </row>
    <row r="329" spans="1:3" x14ac:dyDescent="0.3">
      <c r="A329" t="s">
        <v>46</v>
      </c>
      <c r="B329">
        <v>329</v>
      </c>
      <c r="C329" t="s">
        <v>46</v>
      </c>
    </row>
    <row r="330" spans="1:3" x14ac:dyDescent="0.3">
      <c r="A330" t="s">
        <v>47</v>
      </c>
      <c r="B330">
        <v>330</v>
      </c>
    </row>
    <row r="331" spans="1:3" x14ac:dyDescent="0.3">
      <c r="A331" t="s">
        <v>8</v>
      </c>
      <c r="B331">
        <v>331</v>
      </c>
      <c r="C331" t="s">
        <v>2777</v>
      </c>
    </row>
    <row r="332" spans="1:3" x14ac:dyDescent="0.3">
      <c r="A332" t="s">
        <v>0</v>
      </c>
      <c r="B332">
        <v>332</v>
      </c>
      <c r="C332" t="s">
        <v>0</v>
      </c>
    </row>
    <row r="333" spans="1:3" x14ac:dyDescent="0.3">
      <c r="A333" s="4" t="s">
        <v>184</v>
      </c>
      <c r="B333">
        <v>333</v>
      </c>
      <c r="C333" t="s">
        <v>4</v>
      </c>
    </row>
    <row r="334" spans="1:3" x14ac:dyDescent="0.3">
      <c r="A334" t="s">
        <v>185</v>
      </c>
      <c r="B334">
        <v>334</v>
      </c>
    </row>
    <row r="335" spans="1:3" x14ac:dyDescent="0.3">
      <c r="A335" t="s">
        <v>1227</v>
      </c>
      <c r="B335">
        <v>335</v>
      </c>
    </row>
    <row r="336" spans="1:3" x14ac:dyDescent="0.3">
      <c r="A336" t="s">
        <v>1228</v>
      </c>
      <c r="B336">
        <v>336</v>
      </c>
    </row>
    <row r="337" spans="1:3" x14ac:dyDescent="0.3">
      <c r="A337" t="s">
        <v>2241</v>
      </c>
      <c r="B337">
        <v>337</v>
      </c>
    </row>
    <row r="338" spans="1:3" x14ac:dyDescent="0.3">
      <c r="A338" t="s">
        <v>1230</v>
      </c>
      <c r="B338">
        <v>338</v>
      </c>
    </row>
    <row r="339" spans="1:3" x14ac:dyDescent="0.3">
      <c r="A339" t="s">
        <v>1231</v>
      </c>
      <c r="B339">
        <v>339</v>
      </c>
    </row>
    <row r="340" spans="1:3" x14ac:dyDescent="0.3">
      <c r="A340" t="s">
        <v>1232</v>
      </c>
      <c r="B340">
        <v>340</v>
      </c>
    </row>
    <row r="341" spans="1:3" x14ac:dyDescent="0.3">
      <c r="A341" t="s">
        <v>1233</v>
      </c>
      <c r="B341">
        <v>341</v>
      </c>
    </row>
    <row r="342" spans="1:3" x14ac:dyDescent="0.3">
      <c r="A342" t="s">
        <v>49</v>
      </c>
      <c r="B342">
        <v>342</v>
      </c>
    </row>
    <row r="343" spans="1:3" x14ac:dyDescent="0.3">
      <c r="A343" t="s">
        <v>46</v>
      </c>
      <c r="B343">
        <v>343</v>
      </c>
      <c r="C343" t="s">
        <v>46</v>
      </c>
    </row>
    <row r="344" spans="1:3" x14ac:dyDescent="0.3">
      <c r="A344" t="s">
        <v>193</v>
      </c>
      <c r="B344">
        <v>344</v>
      </c>
      <c r="C344" t="s">
        <v>46</v>
      </c>
    </row>
    <row r="345" spans="1:3" x14ac:dyDescent="0.3">
      <c r="A345" t="s">
        <v>194</v>
      </c>
      <c r="B345">
        <v>345</v>
      </c>
      <c r="C345" t="s">
        <v>46</v>
      </c>
    </row>
    <row r="346" spans="1:3" x14ac:dyDescent="0.3">
      <c r="A346" t="s">
        <v>195</v>
      </c>
      <c r="B346">
        <v>346</v>
      </c>
      <c r="C346" t="s">
        <v>46</v>
      </c>
    </row>
    <row r="347" spans="1:3" x14ac:dyDescent="0.3">
      <c r="A347" t="s">
        <v>196</v>
      </c>
      <c r="B347">
        <v>347</v>
      </c>
      <c r="C347" t="s">
        <v>46</v>
      </c>
    </row>
    <row r="348" spans="1:3" x14ac:dyDescent="0.3">
      <c r="A348" t="s">
        <v>46</v>
      </c>
      <c r="B348">
        <v>348</v>
      </c>
      <c r="C348" t="s">
        <v>46</v>
      </c>
    </row>
    <row r="349" spans="1:3" x14ac:dyDescent="0.3">
      <c r="A349" t="s">
        <v>193</v>
      </c>
      <c r="B349">
        <v>349</v>
      </c>
      <c r="C349" t="s">
        <v>46</v>
      </c>
    </row>
    <row r="350" spans="1:3" x14ac:dyDescent="0.3">
      <c r="A350" t="s">
        <v>194</v>
      </c>
      <c r="B350">
        <v>350</v>
      </c>
      <c r="C350" t="s">
        <v>46</v>
      </c>
    </row>
    <row r="351" spans="1:3" x14ac:dyDescent="0.3">
      <c r="A351" t="s">
        <v>195</v>
      </c>
      <c r="B351">
        <v>351</v>
      </c>
      <c r="C351" t="s">
        <v>46</v>
      </c>
    </row>
    <row r="352" spans="1:3" x14ac:dyDescent="0.3">
      <c r="A352" t="s">
        <v>196</v>
      </c>
      <c r="B352">
        <v>352</v>
      </c>
      <c r="C352" t="s">
        <v>46</v>
      </c>
    </row>
    <row r="353" spans="1:3" x14ac:dyDescent="0.3">
      <c r="A353" t="s">
        <v>46</v>
      </c>
      <c r="B353">
        <v>353</v>
      </c>
      <c r="C353" t="s">
        <v>46</v>
      </c>
    </row>
    <row r="354" spans="1:3" x14ac:dyDescent="0.3">
      <c r="A354" t="s">
        <v>193</v>
      </c>
      <c r="B354">
        <v>354</v>
      </c>
      <c r="C354" t="s">
        <v>46</v>
      </c>
    </row>
    <row r="355" spans="1:3" x14ac:dyDescent="0.3">
      <c r="A355" t="s">
        <v>194</v>
      </c>
      <c r="B355">
        <v>355</v>
      </c>
      <c r="C355" t="s">
        <v>46</v>
      </c>
    </row>
    <row r="356" spans="1:3" x14ac:dyDescent="0.3">
      <c r="A356" t="s">
        <v>195</v>
      </c>
      <c r="B356">
        <v>356</v>
      </c>
      <c r="C356" t="s">
        <v>46</v>
      </c>
    </row>
    <row r="357" spans="1:3" x14ac:dyDescent="0.3">
      <c r="A357" t="s">
        <v>196</v>
      </c>
      <c r="B357">
        <v>357</v>
      </c>
      <c r="C357" t="s">
        <v>46</v>
      </c>
    </row>
    <row r="358" spans="1:3" x14ac:dyDescent="0.3">
      <c r="A358" t="s">
        <v>46</v>
      </c>
      <c r="B358">
        <v>358</v>
      </c>
      <c r="C358" t="s">
        <v>46</v>
      </c>
    </row>
    <row r="359" spans="1:3" x14ac:dyDescent="0.3">
      <c r="A359" t="s">
        <v>193</v>
      </c>
      <c r="B359">
        <v>359</v>
      </c>
      <c r="C359" t="s">
        <v>46</v>
      </c>
    </row>
    <row r="360" spans="1:3" x14ac:dyDescent="0.3">
      <c r="A360" t="s">
        <v>194</v>
      </c>
      <c r="B360">
        <v>360</v>
      </c>
      <c r="C360" t="s">
        <v>46</v>
      </c>
    </row>
    <row r="361" spans="1:3" x14ac:dyDescent="0.3">
      <c r="A361" t="s">
        <v>195</v>
      </c>
      <c r="B361">
        <v>361</v>
      </c>
      <c r="C361" t="s">
        <v>46</v>
      </c>
    </row>
    <row r="362" spans="1:3" x14ac:dyDescent="0.3">
      <c r="A362" t="s">
        <v>196</v>
      </c>
      <c r="B362">
        <v>362</v>
      </c>
      <c r="C362" t="s">
        <v>46</v>
      </c>
    </row>
    <row r="363" spans="1:3" x14ac:dyDescent="0.3">
      <c r="A363" t="s">
        <v>46</v>
      </c>
      <c r="B363">
        <v>363</v>
      </c>
      <c r="C363" t="s">
        <v>46</v>
      </c>
    </row>
    <row r="364" spans="1:3" x14ac:dyDescent="0.3">
      <c r="A364" t="s">
        <v>193</v>
      </c>
      <c r="B364">
        <v>364</v>
      </c>
      <c r="C364" t="s">
        <v>46</v>
      </c>
    </row>
    <row r="365" spans="1:3" x14ac:dyDescent="0.3">
      <c r="A365" t="s">
        <v>194</v>
      </c>
      <c r="B365">
        <v>365</v>
      </c>
      <c r="C365" t="s">
        <v>46</v>
      </c>
    </row>
    <row r="366" spans="1:3" x14ac:dyDescent="0.3">
      <c r="A366" t="s">
        <v>195</v>
      </c>
      <c r="B366">
        <v>366</v>
      </c>
      <c r="C366" t="s">
        <v>46</v>
      </c>
    </row>
    <row r="367" spans="1:3" x14ac:dyDescent="0.3">
      <c r="A367" t="s">
        <v>196</v>
      </c>
      <c r="B367">
        <v>367</v>
      </c>
      <c r="C367" t="s">
        <v>46</v>
      </c>
    </row>
    <row r="368" spans="1:3" x14ac:dyDescent="0.3">
      <c r="A368" t="s">
        <v>46</v>
      </c>
      <c r="B368">
        <v>368</v>
      </c>
      <c r="C368" t="s">
        <v>46</v>
      </c>
    </row>
    <row r="369" spans="1:3" x14ac:dyDescent="0.3">
      <c r="A369" t="s">
        <v>193</v>
      </c>
      <c r="B369">
        <v>369</v>
      </c>
      <c r="C369" t="s">
        <v>46</v>
      </c>
    </row>
    <row r="370" spans="1:3" x14ac:dyDescent="0.3">
      <c r="A370" t="s">
        <v>194</v>
      </c>
      <c r="B370">
        <v>370</v>
      </c>
      <c r="C370" t="s">
        <v>46</v>
      </c>
    </row>
    <row r="371" spans="1:3" x14ac:dyDescent="0.3">
      <c r="A371" t="s">
        <v>195</v>
      </c>
      <c r="B371">
        <v>371</v>
      </c>
      <c r="C371" t="s">
        <v>46</v>
      </c>
    </row>
    <row r="372" spans="1:3" x14ac:dyDescent="0.3">
      <c r="A372" t="s">
        <v>196</v>
      </c>
      <c r="B372">
        <v>372</v>
      </c>
      <c r="C372" t="s">
        <v>46</v>
      </c>
    </row>
    <row r="373" spans="1:3" x14ac:dyDescent="0.3">
      <c r="A373" t="s">
        <v>44</v>
      </c>
      <c r="B373">
        <v>373</v>
      </c>
      <c r="C373" t="s">
        <v>2776</v>
      </c>
    </row>
    <row r="374" spans="1:3" x14ac:dyDescent="0.3">
      <c r="A374" t="s">
        <v>1337</v>
      </c>
      <c r="B374">
        <v>374</v>
      </c>
      <c r="C374" t="s">
        <v>2776</v>
      </c>
    </row>
    <row r="375" spans="1:3" x14ac:dyDescent="0.3">
      <c r="A375" t="s">
        <v>1338</v>
      </c>
      <c r="B375">
        <v>375</v>
      </c>
      <c r="C375" t="s">
        <v>2776</v>
      </c>
    </row>
    <row r="376" spans="1:3" x14ac:dyDescent="0.3">
      <c r="A376" t="s">
        <v>1339</v>
      </c>
      <c r="B376">
        <v>376</v>
      </c>
      <c r="C376" t="s">
        <v>2776</v>
      </c>
    </row>
    <row r="377" spans="1:3" x14ac:dyDescent="0.3">
      <c r="A377" t="s">
        <v>1340</v>
      </c>
      <c r="B377">
        <v>377</v>
      </c>
      <c r="C377" t="s">
        <v>2776</v>
      </c>
    </row>
    <row r="378" spans="1:3" x14ac:dyDescent="0.3">
      <c r="A378" t="s">
        <v>1341</v>
      </c>
      <c r="B378">
        <v>378</v>
      </c>
      <c r="C378" t="s">
        <v>2776</v>
      </c>
    </row>
    <row r="379" spans="1:3" x14ac:dyDescent="0.3">
      <c r="A379" t="s">
        <v>44</v>
      </c>
      <c r="B379">
        <v>379</v>
      </c>
      <c r="C379" t="s">
        <v>2776</v>
      </c>
    </row>
    <row r="380" spans="1:3" x14ac:dyDescent="0.3">
      <c r="A380" t="s">
        <v>1337</v>
      </c>
      <c r="B380">
        <v>380</v>
      </c>
      <c r="C380" t="s">
        <v>2776</v>
      </c>
    </row>
    <row r="381" spans="1:3" x14ac:dyDescent="0.3">
      <c r="A381" t="s">
        <v>1338</v>
      </c>
      <c r="B381">
        <v>381</v>
      </c>
      <c r="C381" t="s">
        <v>2776</v>
      </c>
    </row>
    <row r="382" spans="1:3" x14ac:dyDescent="0.3">
      <c r="A382" t="s">
        <v>1339</v>
      </c>
      <c r="B382">
        <v>382</v>
      </c>
      <c r="C382" t="s">
        <v>2776</v>
      </c>
    </row>
    <row r="383" spans="1:3" x14ac:dyDescent="0.3">
      <c r="A383" t="s">
        <v>1340</v>
      </c>
      <c r="B383">
        <v>383</v>
      </c>
      <c r="C383" t="s">
        <v>2776</v>
      </c>
    </row>
    <row r="384" spans="1:3" x14ac:dyDescent="0.3">
      <c r="A384" t="s">
        <v>1341</v>
      </c>
      <c r="B384">
        <v>384</v>
      </c>
      <c r="C384" t="s">
        <v>2776</v>
      </c>
    </row>
    <row r="385" spans="1:3" x14ac:dyDescent="0.3">
      <c r="A385" t="s">
        <v>1342</v>
      </c>
      <c r="B385">
        <v>385</v>
      </c>
      <c r="C385" t="s">
        <v>2776</v>
      </c>
    </row>
    <row r="386" spans="1:3" x14ac:dyDescent="0.3">
      <c r="A386" t="s">
        <v>1342</v>
      </c>
      <c r="B386">
        <v>386</v>
      </c>
      <c r="C386" t="s">
        <v>2776</v>
      </c>
    </row>
    <row r="387" spans="1:3" x14ac:dyDescent="0.3">
      <c r="A387" t="s">
        <v>1343</v>
      </c>
      <c r="B387">
        <v>387</v>
      </c>
      <c r="C387" t="s">
        <v>0</v>
      </c>
    </row>
    <row r="388" spans="1:3" x14ac:dyDescent="0.3">
      <c r="A388" t="s">
        <v>44</v>
      </c>
      <c r="B388">
        <v>388</v>
      </c>
      <c r="C388" t="s">
        <v>2776</v>
      </c>
    </row>
    <row r="389" spans="1:3" x14ac:dyDescent="0.3">
      <c r="A389" t="s">
        <v>1344</v>
      </c>
      <c r="B389">
        <v>389</v>
      </c>
    </row>
    <row r="390" spans="1:3" x14ac:dyDescent="0.3">
      <c r="A390" t="s">
        <v>1345</v>
      </c>
      <c r="B390">
        <v>390</v>
      </c>
      <c r="C390" t="s">
        <v>4</v>
      </c>
    </row>
    <row r="391" spans="1:3" x14ac:dyDescent="0.3">
      <c r="A391" t="s">
        <v>203</v>
      </c>
      <c r="B391">
        <v>391</v>
      </c>
      <c r="C391" t="s">
        <v>4</v>
      </c>
    </row>
    <row r="392" spans="1:3" x14ac:dyDescent="0.3">
      <c r="A392" t="s">
        <v>28</v>
      </c>
      <c r="B392">
        <v>392</v>
      </c>
    </row>
    <row r="393" spans="1:3" x14ac:dyDescent="0.3">
      <c r="A393" t="s">
        <v>1346</v>
      </c>
      <c r="B393">
        <v>393</v>
      </c>
    </row>
    <row r="394" spans="1:3" x14ac:dyDescent="0.3">
      <c r="A394" t="s">
        <v>1347</v>
      </c>
      <c r="B394">
        <v>394</v>
      </c>
    </row>
    <row r="395" spans="1:3" x14ac:dyDescent="0.3">
      <c r="A395" t="s">
        <v>1347</v>
      </c>
      <c r="B395">
        <v>395</v>
      </c>
    </row>
    <row r="396" spans="1:3" x14ac:dyDescent="0.3">
      <c r="A396" t="s">
        <v>153</v>
      </c>
      <c r="B396">
        <v>396</v>
      </c>
      <c r="C396" t="s">
        <v>153</v>
      </c>
    </row>
    <row r="397" spans="1:3" x14ac:dyDescent="0.3">
      <c r="A397" t="s">
        <v>1350</v>
      </c>
      <c r="B397">
        <v>397</v>
      </c>
      <c r="C397" t="s">
        <v>153</v>
      </c>
    </row>
    <row r="398" spans="1:3" x14ac:dyDescent="0.3">
      <c r="A398" t="s">
        <v>1351</v>
      </c>
      <c r="B398">
        <v>398</v>
      </c>
      <c r="C398" t="s">
        <v>153</v>
      </c>
    </row>
    <row r="399" spans="1:3" x14ac:dyDescent="0.3">
      <c r="A399" t="s">
        <v>1352</v>
      </c>
      <c r="B399">
        <v>399</v>
      </c>
      <c r="C399" t="s">
        <v>153</v>
      </c>
    </row>
    <row r="400" spans="1:3" x14ac:dyDescent="0.3">
      <c r="A400" t="s">
        <v>1353</v>
      </c>
      <c r="B400">
        <v>400</v>
      </c>
      <c r="C400" t="s">
        <v>153</v>
      </c>
    </row>
    <row r="401" spans="1:3" x14ac:dyDescent="0.3">
      <c r="A401" t="s">
        <v>1354</v>
      </c>
      <c r="B401">
        <v>401</v>
      </c>
      <c r="C401" t="s">
        <v>153</v>
      </c>
    </row>
    <row r="402" spans="1:3" x14ac:dyDescent="0.3">
      <c r="A402" t="s">
        <v>153</v>
      </c>
      <c r="B402">
        <v>402</v>
      </c>
      <c r="C402" t="s">
        <v>153</v>
      </c>
    </row>
    <row r="403" spans="1:3" x14ac:dyDescent="0.3">
      <c r="A403" t="s">
        <v>210</v>
      </c>
      <c r="B403">
        <v>403</v>
      </c>
      <c r="C403" t="s">
        <v>153</v>
      </c>
    </row>
    <row r="404" spans="1:3" x14ac:dyDescent="0.3">
      <c r="A404" t="s">
        <v>211</v>
      </c>
      <c r="B404">
        <v>404</v>
      </c>
      <c r="C404" t="s">
        <v>153</v>
      </c>
    </row>
    <row r="405" spans="1:3" x14ac:dyDescent="0.3">
      <c r="A405" t="s">
        <v>1355</v>
      </c>
      <c r="B405">
        <v>405</v>
      </c>
      <c r="C405" t="s">
        <v>153</v>
      </c>
    </row>
    <row r="406" spans="1:3" x14ac:dyDescent="0.3">
      <c r="A406" t="s">
        <v>212</v>
      </c>
      <c r="B406">
        <v>406</v>
      </c>
      <c r="C406" t="s">
        <v>153</v>
      </c>
    </row>
    <row r="407" spans="1:3" x14ac:dyDescent="0.3">
      <c r="A407" t="s">
        <v>153</v>
      </c>
      <c r="B407">
        <v>407</v>
      </c>
      <c r="C407" t="s">
        <v>153</v>
      </c>
    </row>
    <row r="408" spans="1:3" x14ac:dyDescent="0.3">
      <c r="A408" t="s">
        <v>210</v>
      </c>
      <c r="B408">
        <v>408</v>
      </c>
      <c r="C408" t="s">
        <v>153</v>
      </c>
    </row>
    <row r="409" spans="1:3" x14ac:dyDescent="0.3">
      <c r="A409" t="s">
        <v>211</v>
      </c>
      <c r="B409">
        <v>409</v>
      </c>
      <c r="C409" t="s">
        <v>153</v>
      </c>
    </row>
    <row r="410" spans="1:3" x14ac:dyDescent="0.3">
      <c r="A410" t="s">
        <v>1355</v>
      </c>
      <c r="B410">
        <v>410</v>
      </c>
      <c r="C410" t="s">
        <v>153</v>
      </c>
    </row>
    <row r="411" spans="1:3" x14ac:dyDescent="0.3">
      <c r="A411" t="s">
        <v>212</v>
      </c>
      <c r="B411">
        <v>411</v>
      </c>
      <c r="C411" t="s">
        <v>153</v>
      </c>
    </row>
    <row r="412" spans="1:3" x14ac:dyDescent="0.3">
      <c r="A412" t="s">
        <v>107</v>
      </c>
      <c r="B412">
        <v>412</v>
      </c>
    </row>
    <row r="413" spans="1:3" x14ac:dyDescent="0.3">
      <c r="A413" t="s">
        <v>1356</v>
      </c>
      <c r="B413">
        <v>413</v>
      </c>
    </row>
    <row r="414" spans="1:3" x14ac:dyDescent="0.3">
      <c r="A414" t="s">
        <v>1357</v>
      </c>
      <c r="B414">
        <v>414</v>
      </c>
    </row>
    <row r="415" spans="1:3" x14ac:dyDescent="0.3">
      <c r="A415" t="s">
        <v>1358</v>
      </c>
      <c r="B415">
        <v>415</v>
      </c>
    </row>
    <row r="416" spans="1:3" x14ac:dyDescent="0.3">
      <c r="A416" t="s">
        <v>1359</v>
      </c>
      <c r="B416">
        <v>416</v>
      </c>
    </row>
    <row r="417" spans="1:3" x14ac:dyDescent="0.3">
      <c r="A417" t="s">
        <v>1360</v>
      </c>
      <c r="B417">
        <v>417</v>
      </c>
    </row>
    <row r="418" spans="1:3" x14ac:dyDescent="0.3">
      <c r="A418" t="s">
        <v>1359</v>
      </c>
      <c r="B418">
        <v>418</v>
      </c>
    </row>
    <row r="419" spans="1:3" x14ac:dyDescent="0.3">
      <c r="A419" t="s">
        <v>1359</v>
      </c>
      <c r="B419">
        <v>419</v>
      </c>
    </row>
    <row r="420" spans="1:3" x14ac:dyDescent="0.3">
      <c r="A420" t="s">
        <v>1359</v>
      </c>
      <c r="B420">
        <v>420</v>
      </c>
    </row>
    <row r="421" spans="1:3" x14ac:dyDescent="0.3">
      <c r="A421" t="s">
        <v>1359</v>
      </c>
      <c r="B421">
        <v>421</v>
      </c>
    </row>
    <row r="422" spans="1:3" x14ac:dyDescent="0.3">
      <c r="A422" t="s">
        <v>1359</v>
      </c>
      <c r="B422">
        <v>422</v>
      </c>
    </row>
    <row r="423" spans="1:3" x14ac:dyDescent="0.3">
      <c r="A423" t="s">
        <v>1359</v>
      </c>
      <c r="B423">
        <v>423</v>
      </c>
    </row>
    <row r="424" spans="1:3" x14ac:dyDescent="0.3">
      <c r="A424" t="s">
        <v>215</v>
      </c>
      <c r="B424">
        <v>424</v>
      </c>
      <c r="C424" t="s">
        <v>4</v>
      </c>
    </row>
    <row r="425" spans="1:3" x14ac:dyDescent="0.3">
      <c r="A425" t="s">
        <v>1361</v>
      </c>
      <c r="B425">
        <v>425</v>
      </c>
      <c r="C425" t="s">
        <v>4</v>
      </c>
    </row>
    <row r="426" spans="1:3" x14ac:dyDescent="0.3">
      <c r="A426" t="s">
        <v>1362</v>
      </c>
      <c r="B426">
        <v>426</v>
      </c>
      <c r="C426" t="s">
        <v>4</v>
      </c>
    </row>
    <row r="427" spans="1:3" x14ac:dyDescent="0.3">
      <c r="A427" t="s">
        <v>1363</v>
      </c>
      <c r="B427">
        <v>427</v>
      </c>
      <c r="C427" t="s">
        <v>4</v>
      </c>
    </row>
    <row r="428" spans="1:3" x14ac:dyDescent="0.3">
      <c r="A428" t="s">
        <v>217</v>
      </c>
      <c r="B428">
        <v>428</v>
      </c>
      <c r="C428" t="s">
        <v>4</v>
      </c>
    </row>
    <row r="429" spans="1:3" x14ac:dyDescent="0.3">
      <c r="A429" t="s">
        <v>1364</v>
      </c>
      <c r="B429">
        <v>429</v>
      </c>
      <c r="C429" t="s">
        <v>4</v>
      </c>
    </row>
    <row r="430" spans="1:3" x14ac:dyDescent="0.3">
      <c r="A430" t="s">
        <v>1365</v>
      </c>
      <c r="B430">
        <v>430</v>
      </c>
      <c r="C430" t="s">
        <v>4</v>
      </c>
    </row>
    <row r="431" spans="1:3" x14ac:dyDescent="0.3">
      <c r="A431" t="s">
        <v>1366</v>
      </c>
      <c r="B431">
        <v>431</v>
      </c>
      <c r="C431" t="s">
        <v>4</v>
      </c>
    </row>
    <row r="432" spans="1:3" x14ac:dyDescent="0.3">
      <c r="A432" t="s">
        <v>1367</v>
      </c>
      <c r="B432">
        <v>432</v>
      </c>
      <c r="C432" t="s">
        <v>2776</v>
      </c>
    </row>
    <row r="433" spans="1:3" x14ac:dyDescent="0.3">
      <c r="A433" t="s">
        <v>1368</v>
      </c>
      <c r="B433">
        <v>433</v>
      </c>
      <c r="C433" t="s">
        <v>4</v>
      </c>
    </row>
    <row r="434" spans="1:3" x14ac:dyDescent="0.3">
      <c r="A434" t="s">
        <v>217</v>
      </c>
      <c r="B434">
        <v>434</v>
      </c>
      <c r="C434" t="s">
        <v>4</v>
      </c>
    </row>
    <row r="435" spans="1:3" x14ac:dyDescent="0.3">
      <c r="A435" t="s">
        <v>1364</v>
      </c>
      <c r="B435">
        <v>435</v>
      </c>
      <c r="C435" t="s">
        <v>4</v>
      </c>
    </row>
    <row r="436" spans="1:3" x14ac:dyDescent="0.3">
      <c r="A436" t="s">
        <v>1365</v>
      </c>
      <c r="B436">
        <v>436</v>
      </c>
      <c r="C436" t="s">
        <v>4</v>
      </c>
    </row>
    <row r="437" spans="1:3" x14ac:dyDescent="0.3">
      <c r="A437" t="s">
        <v>1366</v>
      </c>
      <c r="B437">
        <v>437</v>
      </c>
      <c r="C437" t="s">
        <v>4</v>
      </c>
    </row>
    <row r="438" spans="1:3" x14ac:dyDescent="0.3">
      <c r="A438" t="s">
        <v>1367</v>
      </c>
      <c r="B438">
        <v>438</v>
      </c>
      <c r="C438" t="s">
        <v>2776</v>
      </c>
    </row>
    <row r="439" spans="1:3" x14ac:dyDescent="0.3">
      <c r="A439" t="s">
        <v>1368</v>
      </c>
      <c r="B439">
        <v>439</v>
      </c>
      <c r="C439" t="s">
        <v>4</v>
      </c>
    </row>
    <row r="440" spans="1:3" x14ac:dyDescent="0.3">
      <c r="A440" t="s">
        <v>220</v>
      </c>
      <c r="B440">
        <v>440</v>
      </c>
    </row>
    <row r="441" spans="1:3" x14ac:dyDescent="0.3">
      <c r="A441" t="s">
        <v>1369</v>
      </c>
      <c r="B441">
        <v>441</v>
      </c>
    </row>
    <row r="442" spans="1:3" x14ac:dyDescent="0.3">
      <c r="A442" t="s">
        <v>220</v>
      </c>
      <c r="B442">
        <v>442</v>
      </c>
    </row>
    <row r="443" spans="1:3" x14ac:dyDescent="0.3">
      <c r="A443" t="s">
        <v>1369</v>
      </c>
      <c r="B443">
        <v>443</v>
      </c>
    </row>
    <row r="444" spans="1:3" x14ac:dyDescent="0.3">
      <c r="A444" t="s">
        <v>221</v>
      </c>
      <c r="B444">
        <v>444</v>
      </c>
    </row>
    <row r="445" spans="1:3" x14ac:dyDescent="0.3">
      <c r="A445" t="s">
        <v>1374</v>
      </c>
      <c r="B445">
        <v>445</v>
      </c>
    </row>
    <row r="446" spans="1:3" x14ac:dyDescent="0.3">
      <c r="A446" t="s">
        <v>1372</v>
      </c>
      <c r="B446">
        <v>446</v>
      </c>
    </row>
    <row r="447" spans="1:3" x14ac:dyDescent="0.3">
      <c r="A447" t="s">
        <v>1373</v>
      </c>
      <c r="B447">
        <v>447</v>
      </c>
    </row>
    <row r="448" spans="1:3" x14ac:dyDescent="0.3">
      <c r="A448" t="s">
        <v>1374</v>
      </c>
      <c r="B448">
        <v>448</v>
      </c>
    </row>
    <row r="449" spans="1:3" x14ac:dyDescent="0.3">
      <c r="A449" t="s">
        <v>1372</v>
      </c>
      <c r="B449">
        <v>449</v>
      </c>
    </row>
    <row r="450" spans="1:3" x14ac:dyDescent="0.3">
      <c r="A450" t="s">
        <v>1373</v>
      </c>
      <c r="B450">
        <v>450</v>
      </c>
    </row>
    <row r="451" spans="1:3" x14ac:dyDescent="0.3">
      <c r="A451" t="s">
        <v>1374</v>
      </c>
      <c r="B451">
        <v>451</v>
      </c>
    </row>
    <row r="452" spans="1:3" x14ac:dyDescent="0.3">
      <c r="A452" t="s">
        <v>1374</v>
      </c>
      <c r="B452">
        <v>452</v>
      </c>
    </row>
    <row r="453" spans="1:3" x14ac:dyDescent="0.3">
      <c r="A453" t="s">
        <v>1374</v>
      </c>
      <c r="B453">
        <v>453</v>
      </c>
    </row>
    <row r="454" spans="1:3" x14ac:dyDescent="0.3">
      <c r="A454" t="s">
        <v>1374</v>
      </c>
      <c r="B454">
        <v>454</v>
      </c>
    </row>
    <row r="455" spans="1:3" x14ac:dyDescent="0.3">
      <c r="A455" t="s">
        <v>1374</v>
      </c>
      <c r="B455">
        <v>455</v>
      </c>
    </row>
    <row r="456" spans="1:3" x14ac:dyDescent="0.3">
      <c r="A456" t="s">
        <v>1374</v>
      </c>
      <c r="B456">
        <v>456</v>
      </c>
    </row>
    <row r="457" spans="1:3" x14ac:dyDescent="0.3">
      <c r="A457" t="s">
        <v>185</v>
      </c>
      <c r="B457">
        <v>457</v>
      </c>
    </row>
    <row r="458" spans="1:3" x14ac:dyDescent="0.3">
      <c r="A458" t="s">
        <v>1373</v>
      </c>
      <c r="B458">
        <v>458</v>
      </c>
    </row>
    <row r="459" spans="1:3" x14ac:dyDescent="0.3">
      <c r="A459" t="s">
        <v>1376</v>
      </c>
      <c r="B459">
        <v>459</v>
      </c>
    </row>
    <row r="460" spans="1:3" x14ac:dyDescent="0.3">
      <c r="A460" t="s">
        <v>34</v>
      </c>
      <c r="B460">
        <v>460</v>
      </c>
    </row>
    <row r="461" spans="1:3" x14ac:dyDescent="0.3">
      <c r="A461" t="s">
        <v>49</v>
      </c>
      <c r="B461">
        <v>461</v>
      </c>
    </row>
    <row r="462" spans="1:3" x14ac:dyDescent="0.3">
      <c r="A462" t="s">
        <v>185</v>
      </c>
      <c r="B462">
        <v>462</v>
      </c>
    </row>
    <row r="463" spans="1:3" x14ac:dyDescent="0.3">
      <c r="A463" t="s">
        <v>46</v>
      </c>
      <c r="B463">
        <v>463</v>
      </c>
      <c r="C463" t="s">
        <v>46</v>
      </c>
    </row>
    <row r="464" spans="1:3" x14ac:dyDescent="0.3">
      <c r="A464" t="s">
        <v>1377</v>
      </c>
      <c r="B464">
        <v>464</v>
      </c>
    </row>
    <row r="465" spans="1:3" x14ac:dyDescent="0.3">
      <c r="A465" t="s">
        <v>46</v>
      </c>
      <c r="B465">
        <v>465</v>
      </c>
      <c r="C465" t="s">
        <v>46</v>
      </c>
    </row>
    <row r="466" spans="1:3" x14ac:dyDescent="0.3">
      <c r="A466" t="s">
        <v>1382</v>
      </c>
      <c r="B466">
        <v>466</v>
      </c>
      <c r="C466" t="s">
        <v>46</v>
      </c>
    </row>
    <row r="467" spans="1:3" x14ac:dyDescent="0.3">
      <c r="A467" t="s">
        <v>1383</v>
      </c>
      <c r="B467">
        <v>467</v>
      </c>
      <c r="C467" t="s">
        <v>46</v>
      </c>
    </row>
    <row r="468" spans="1:3" x14ac:dyDescent="0.3">
      <c r="A468" t="s">
        <v>1384</v>
      </c>
      <c r="B468">
        <v>468</v>
      </c>
      <c r="C468" t="s">
        <v>46</v>
      </c>
    </row>
    <row r="469" spans="1:3" x14ac:dyDescent="0.3">
      <c r="A469" t="s">
        <v>1385</v>
      </c>
      <c r="B469">
        <v>469</v>
      </c>
      <c r="C469" t="s">
        <v>46</v>
      </c>
    </row>
    <row r="470" spans="1:3" x14ac:dyDescent="0.3">
      <c r="A470" t="s">
        <v>46</v>
      </c>
      <c r="B470">
        <v>470</v>
      </c>
      <c r="C470" t="s">
        <v>46</v>
      </c>
    </row>
    <row r="471" spans="1:3" x14ac:dyDescent="0.3">
      <c r="A471" t="s">
        <v>1382</v>
      </c>
      <c r="B471">
        <v>471</v>
      </c>
      <c r="C471" t="s">
        <v>46</v>
      </c>
    </row>
    <row r="472" spans="1:3" x14ac:dyDescent="0.3">
      <c r="A472" t="s">
        <v>1384</v>
      </c>
      <c r="B472">
        <v>472</v>
      </c>
      <c r="C472" t="s">
        <v>46</v>
      </c>
    </row>
    <row r="473" spans="1:3" x14ac:dyDescent="0.3">
      <c r="A473" t="s">
        <v>46</v>
      </c>
      <c r="B473">
        <v>473</v>
      </c>
      <c r="C473" t="s">
        <v>46</v>
      </c>
    </row>
    <row r="474" spans="1:3" x14ac:dyDescent="0.3">
      <c r="A474" t="s">
        <v>1382</v>
      </c>
      <c r="B474">
        <v>474</v>
      </c>
      <c r="C474" t="s">
        <v>46</v>
      </c>
    </row>
    <row r="475" spans="1:3" x14ac:dyDescent="0.3">
      <c r="A475" t="s">
        <v>1383</v>
      </c>
      <c r="B475">
        <v>475</v>
      </c>
      <c r="C475" t="s">
        <v>46</v>
      </c>
    </row>
    <row r="476" spans="1:3" x14ac:dyDescent="0.3">
      <c r="A476" t="s">
        <v>1384</v>
      </c>
      <c r="B476">
        <v>476</v>
      </c>
      <c r="C476" t="s">
        <v>46</v>
      </c>
    </row>
    <row r="477" spans="1:3" x14ac:dyDescent="0.3">
      <c r="A477" t="s">
        <v>1385</v>
      </c>
      <c r="B477">
        <v>477</v>
      </c>
      <c r="C477" t="s">
        <v>46</v>
      </c>
    </row>
    <row r="478" spans="1:3" x14ac:dyDescent="0.3">
      <c r="A478" t="s">
        <v>46</v>
      </c>
      <c r="B478">
        <v>478</v>
      </c>
      <c r="C478" t="s">
        <v>46</v>
      </c>
    </row>
    <row r="479" spans="1:3" x14ac:dyDescent="0.3">
      <c r="A479" t="s">
        <v>1382</v>
      </c>
      <c r="B479">
        <v>479</v>
      </c>
      <c r="C479" t="s">
        <v>46</v>
      </c>
    </row>
    <row r="480" spans="1:3" x14ac:dyDescent="0.3">
      <c r="A480" t="s">
        <v>1384</v>
      </c>
      <c r="B480">
        <v>480</v>
      </c>
      <c r="C480" t="s">
        <v>46</v>
      </c>
    </row>
    <row r="481" spans="1:3" x14ac:dyDescent="0.3">
      <c r="A481" t="s">
        <v>49</v>
      </c>
      <c r="B481">
        <v>481</v>
      </c>
    </row>
    <row r="482" spans="1:3" x14ac:dyDescent="0.3">
      <c r="A482" t="s">
        <v>1387</v>
      </c>
      <c r="B482">
        <v>482</v>
      </c>
    </row>
    <row r="483" spans="1:3" x14ac:dyDescent="0.3">
      <c r="A483" t="s">
        <v>1388</v>
      </c>
      <c r="B483">
        <v>483</v>
      </c>
    </row>
    <row r="484" spans="1:3" x14ac:dyDescent="0.3">
      <c r="A484" t="s">
        <v>1389</v>
      </c>
      <c r="B484">
        <v>484</v>
      </c>
    </row>
    <row r="485" spans="1:3" x14ac:dyDescent="0.3">
      <c r="A485" t="s">
        <v>1390</v>
      </c>
      <c r="B485">
        <v>485</v>
      </c>
    </row>
    <row r="486" spans="1:3" x14ac:dyDescent="0.3">
      <c r="A486" t="s">
        <v>1391</v>
      </c>
      <c r="B486">
        <v>486</v>
      </c>
    </row>
    <row r="487" spans="1:3" x14ac:dyDescent="0.3">
      <c r="A487" t="s">
        <v>1392</v>
      </c>
      <c r="B487">
        <v>487</v>
      </c>
    </row>
    <row r="488" spans="1:3" x14ac:dyDescent="0.3">
      <c r="A488" t="s">
        <v>1392</v>
      </c>
      <c r="B488">
        <v>488</v>
      </c>
    </row>
    <row r="489" spans="1:3" x14ac:dyDescent="0.3">
      <c r="A489" t="s">
        <v>46</v>
      </c>
      <c r="B489">
        <v>489</v>
      </c>
      <c r="C489" t="s">
        <v>46</v>
      </c>
    </row>
    <row r="490" spans="1:3" x14ac:dyDescent="0.3">
      <c r="A490" t="s">
        <v>1394</v>
      </c>
      <c r="B490">
        <v>490</v>
      </c>
      <c r="C490" t="s">
        <v>46</v>
      </c>
    </row>
    <row r="491" spans="1:3" x14ac:dyDescent="0.3">
      <c r="A491" t="s">
        <v>1394</v>
      </c>
      <c r="B491">
        <v>491</v>
      </c>
      <c r="C491" t="s">
        <v>46</v>
      </c>
    </row>
    <row r="492" spans="1:3" x14ac:dyDescent="0.3">
      <c r="A492" t="s">
        <v>1394</v>
      </c>
      <c r="B492">
        <v>492</v>
      </c>
      <c r="C492" t="s">
        <v>46</v>
      </c>
    </row>
    <row r="493" spans="1:3" x14ac:dyDescent="0.3">
      <c r="A493" t="s">
        <v>1394</v>
      </c>
      <c r="B493">
        <v>493</v>
      </c>
      <c r="C493" t="s">
        <v>46</v>
      </c>
    </row>
    <row r="494" spans="1:3" x14ac:dyDescent="0.3">
      <c r="A494" t="s">
        <v>1394</v>
      </c>
      <c r="B494">
        <v>494</v>
      </c>
      <c r="C494" t="s">
        <v>46</v>
      </c>
    </row>
    <row r="495" spans="1:3" x14ac:dyDescent="0.3">
      <c r="A495" t="s">
        <v>1394</v>
      </c>
      <c r="B495">
        <v>495</v>
      </c>
      <c r="C495" t="s">
        <v>46</v>
      </c>
    </row>
    <row r="496" spans="1:3" x14ac:dyDescent="0.3">
      <c r="A496" t="s">
        <v>1395</v>
      </c>
      <c r="B496">
        <v>496</v>
      </c>
      <c r="C496" t="s">
        <v>46</v>
      </c>
    </row>
    <row r="497" spans="1:3" x14ac:dyDescent="0.3">
      <c r="A497" t="s">
        <v>1396</v>
      </c>
      <c r="B497">
        <v>497</v>
      </c>
      <c r="C497" t="s">
        <v>46</v>
      </c>
    </row>
    <row r="498" spans="1:3" x14ac:dyDescent="0.3">
      <c r="A498" t="s">
        <v>44</v>
      </c>
      <c r="B498">
        <v>498</v>
      </c>
      <c r="C498" t="s">
        <v>2776</v>
      </c>
    </row>
    <row r="499" spans="1:3" x14ac:dyDescent="0.3">
      <c r="A499" t="s">
        <v>1397</v>
      </c>
      <c r="B499">
        <v>499</v>
      </c>
      <c r="C499" t="s">
        <v>2776</v>
      </c>
    </row>
    <row r="500" spans="1:3" x14ac:dyDescent="0.3">
      <c r="A500" t="s">
        <v>8</v>
      </c>
      <c r="B500">
        <v>500</v>
      </c>
      <c r="C500" t="s">
        <v>2777</v>
      </c>
    </row>
    <row r="501" spans="1:3" x14ac:dyDescent="0.3">
      <c r="A501" t="s">
        <v>153</v>
      </c>
      <c r="B501">
        <v>501</v>
      </c>
      <c r="C501" t="s">
        <v>153</v>
      </c>
    </row>
    <row r="502" spans="1:3" x14ac:dyDescent="0.3">
      <c r="A502" t="s">
        <v>153</v>
      </c>
      <c r="B502">
        <v>502</v>
      </c>
      <c r="C502" t="s">
        <v>153</v>
      </c>
    </row>
    <row r="503" spans="1:3" x14ac:dyDescent="0.3">
      <c r="A503" t="s">
        <v>1400</v>
      </c>
      <c r="B503">
        <v>503</v>
      </c>
      <c r="C503" t="s">
        <v>153</v>
      </c>
    </row>
    <row r="504" spans="1:3" x14ac:dyDescent="0.3">
      <c r="A504" t="s">
        <v>1401</v>
      </c>
      <c r="B504">
        <v>504</v>
      </c>
      <c r="C504" t="s">
        <v>153</v>
      </c>
    </row>
    <row r="505" spans="1:3" x14ac:dyDescent="0.3">
      <c r="A505" t="s">
        <v>63</v>
      </c>
      <c r="B505">
        <v>505</v>
      </c>
      <c r="C505" t="s">
        <v>4</v>
      </c>
    </row>
    <row r="506" spans="1:3" x14ac:dyDescent="0.3">
      <c r="A506" t="s">
        <v>1404</v>
      </c>
      <c r="B506">
        <v>506</v>
      </c>
      <c r="C506" t="s">
        <v>4</v>
      </c>
    </row>
    <row r="507" spans="1:3" x14ac:dyDescent="0.3">
      <c r="A507" t="s">
        <v>1405</v>
      </c>
      <c r="B507">
        <v>507</v>
      </c>
      <c r="C507" t="s">
        <v>4</v>
      </c>
    </row>
    <row r="508" spans="1:3" x14ac:dyDescent="0.3">
      <c r="A508" t="s">
        <v>232</v>
      </c>
      <c r="B508">
        <v>508</v>
      </c>
      <c r="C508" t="s">
        <v>4</v>
      </c>
    </row>
    <row r="509" spans="1:3" x14ac:dyDescent="0.3">
      <c r="A509" t="s">
        <v>46</v>
      </c>
      <c r="B509">
        <v>509</v>
      </c>
      <c r="C509" t="s">
        <v>46</v>
      </c>
    </row>
    <row r="510" spans="1:3" x14ac:dyDescent="0.3">
      <c r="A510" t="s">
        <v>46</v>
      </c>
      <c r="B510">
        <v>510</v>
      </c>
      <c r="C510" t="s">
        <v>46</v>
      </c>
    </row>
    <row r="511" spans="1:3" x14ac:dyDescent="0.3">
      <c r="A511" t="s">
        <v>46</v>
      </c>
      <c r="B511">
        <v>511</v>
      </c>
      <c r="C511" t="s">
        <v>46</v>
      </c>
    </row>
    <row r="512" spans="1:3" x14ac:dyDescent="0.3">
      <c r="A512" t="s">
        <v>46</v>
      </c>
      <c r="B512">
        <v>512</v>
      </c>
      <c r="C512" t="s">
        <v>46</v>
      </c>
    </row>
    <row r="513" spans="1:3" x14ac:dyDescent="0.3">
      <c r="A513" t="s">
        <v>46</v>
      </c>
      <c r="B513">
        <v>513</v>
      </c>
      <c r="C513" t="s">
        <v>46</v>
      </c>
    </row>
    <row r="514" spans="1:3" x14ac:dyDescent="0.3">
      <c r="A514" t="s">
        <v>46</v>
      </c>
      <c r="B514">
        <v>514</v>
      </c>
      <c r="C514" t="s">
        <v>46</v>
      </c>
    </row>
    <row r="515" spans="1:3" x14ac:dyDescent="0.3">
      <c r="A515" t="s">
        <v>46</v>
      </c>
      <c r="B515">
        <v>515</v>
      </c>
      <c r="C515" t="s">
        <v>46</v>
      </c>
    </row>
    <row r="516" spans="1:3" x14ac:dyDescent="0.3">
      <c r="A516" t="s">
        <v>46</v>
      </c>
      <c r="B516">
        <v>516</v>
      </c>
      <c r="C516" t="s">
        <v>46</v>
      </c>
    </row>
    <row r="517" spans="1:3" x14ac:dyDescent="0.3">
      <c r="A517" t="s">
        <v>46</v>
      </c>
      <c r="B517">
        <v>517</v>
      </c>
      <c r="C517" t="s">
        <v>46</v>
      </c>
    </row>
    <row r="518" spans="1:3" x14ac:dyDescent="0.3">
      <c r="A518" t="s">
        <v>46</v>
      </c>
      <c r="B518">
        <v>518</v>
      </c>
      <c r="C518" t="s">
        <v>46</v>
      </c>
    </row>
    <row r="519" spans="1:3" x14ac:dyDescent="0.3">
      <c r="A519" t="s">
        <v>46</v>
      </c>
      <c r="B519">
        <v>519</v>
      </c>
      <c r="C519" t="s">
        <v>46</v>
      </c>
    </row>
    <row r="520" spans="1:3" x14ac:dyDescent="0.3">
      <c r="A520" t="s">
        <v>46</v>
      </c>
      <c r="B520">
        <v>520</v>
      </c>
      <c r="C520" t="s">
        <v>46</v>
      </c>
    </row>
    <row r="521" spans="1:3" x14ac:dyDescent="0.3">
      <c r="A521" t="s">
        <v>46</v>
      </c>
      <c r="B521">
        <v>521</v>
      </c>
      <c r="C521" t="s">
        <v>46</v>
      </c>
    </row>
    <row r="522" spans="1:3" x14ac:dyDescent="0.3">
      <c r="A522" t="s">
        <v>46</v>
      </c>
      <c r="B522">
        <v>522</v>
      </c>
      <c r="C522" t="s">
        <v>46</v>
      </c>
    </row>
    <row r="523" spans="1:3" x14ac:dyDescent="0.3">
      <c r="A523" t="s">
        <v>46</v>
      </c>
      <c r="B523">
        <v>523</v>
      </c>
      <c r="C523" t="s">
        <v>46</v>
      </c>
    </row>
    <row r="524" spans="1:3" x14ac:dyDescent="0.3">
      <c r="A524" t="s">
        <v>19</v>
      </c>
      <c r="B524">
        <v>524</v>
      </c>
    </row>
    <row r="525" spans="1:3" x14ac:dyDescent="0.3">
      <c r="A525" t="s">
        <v>20</v>
      </c>
      <c r="B525">
        <v>525</v>
      </c>
    </row>
    <row r="526" spans="1:3" x14ac:dyDescent="0.3">
      <c r="A526" t="s">
        <v>21</v>
      </c>
      <c r="B526">
        <v>526</v>
      </c>
    </row>
    <row r="527" spans="1:3" x14ac:dyDescent="0.3">
      <c r="A527" t="s">
        <v>19</v>
      </c>
      <c r="B527">
        <v>527</v>
      </c>
    </row>
    <row r="528" spans="1:3" x14ac:dyDescent="0.3">
      <c r="A528" t="s">
        <v>20</v>
      </c>
      <c r="B528">
        <v>528</v>
      </c>
    </row>
    <row r="529" spans="1:3" x14ac:dyDescent="0.3">
      <c r="A529" t="s">
        <v>21</v>
      </c>
      <c r="B529">
        <v>529</v>
      </c>
    </row>
    <row r="530" spans="1:3" x14ac:dyDescent="0.3">
      <c r="A530" t="s">
        <v>19</v>
      </c>
      <c r="B530">
        <v>530</v>
      </c>
    </row>
    <row r="531" spans="1:3" x14ac:dyDescent="0.3">
      <c r="A531" t="s">
        <v>20</v>
      </c>
      <c r="B531">
        <v>531</v>
      </c>
    </row>
    <row r="532" spans="1:3" x14ac:dyDescent="0.3">
      <c r="A532" t="s">
        <v>21</v>
      </c>
      <c r="B532">
        <v>532</v>
      </c>
    </row>
    <row r="533" spans="1:3" x14ac:dyDescent="0.3">
      <c r="A533" t="s">
        <v>236</v>
      </c>
      <c r="B533">
        <v>533</v>
      </c>
    </row>
    <row r="534" spans="1:3" x14ac:dyDescent="0.3">
      <c r="A534" t="s">
        <v>237</v>
      </c>
      <c r="B534">
        <v>534</v>
      </c>
    </row>
    <row r="535" spans="1:3" x14ac:dyDescent="0.3">
      <c r="A535" t="s">
        <v>239</v>
      </c>
      <c r="B535">
        <v>535</v>
      </c>
      <c r="C535" t="s">
        <v>153</v>
      </c>
    </row>
    <row r="536" spans="1:3" x14ac:dyDescent="0.3">
      <c r="A536" t="s">
        <v>239</v>
      </c>
      <c r="B536">
        <v>536</v>
      </c>
      <c r="C536" t="s">
        <v>153</v>
      </c>
    </row>
    <row r="537" spans="1:3" x14ac:dyDescent="0.3">
      <c r="A537" t="s">
        <v>239</v>
      </c>
      <c r="B537">
        <v>537</v>
      </c>
      <c r="C537" t="s">
        <v>153</v>
      </c>
    </row>
    <row r="538" spans="1:3" x14ac:dyDescent="0.3">
      <c r="A538" t="s">
        <v>239</v>
      </c>
      <c r="B538">
        <v>538</v>
      </c>
      <c r="C538" t="s">
        <v>153</v>
      </c>
    </row>
    <row r="539" spans="1:3" x14ac:dyDescent="0.3">
      <c r="A539" t="s">
        <v>239</v>
      </c>
      <c r="B539">
        <v>539</v>
      </c>
      <c r="C539" t="s">
        <v>153</v>
      </c>
    </row>
    <row r="540" spans="1:3" x14ac:dyDescent="0.3">
      <c r="A540" t="s">
        <v>48</v>
      </c>
      <c r="B540">
        <v>540</v>
      </c>
      <c r="C540" t="s">
        <v>153</v>
      </c>
    </row>
    <row r="541" spans="1:3" x14ac:dyDescent="0.3">
      <c r="A541" t="s">
        <v>46</v>
      </c>
      <c r="B541">
        <v>541</v>
      </c>
      <c r="C541" t="s">
        <v>46</v>
      </c>
    </row>
    <row r="542" spans="1:3" x14ac:dyDescent="0.3">
      <c r="A542" t="s">
        <v>46</v>
      </c>
      <c r="B542">
        <v>542</v>
      </c>
      <c r="C542" t="s">
        <v>46</v>
      </c>
    </row>
    <row r="543" spans="1:3" x14ac:dyDescent="0.3">
      <c r="A543" t="s">
        <v>246</v>
      </c>
      <c r="B543">
        <v>543</v>
      </c>
    </row>
    <row r="544" spans="1:3" x14ac:dyDescent="0.3">
      <c r="A544" t="s">
        <v>247</v>
      </c>
      <c r="B544">
        <v>544</v>
      </c>
      <c r="C544" t="s">
        <v>2777</v>
      </c>
    </row>
    <row r="545" spans="1:3" x14ac:dyDescent="0.3">
      <c r="A545" t="s">
        <v>1410</v>
      </c>
      <c r="B545">
        <v>545</v>
      </c>
      <c r="C545" t="s">
        <v>2777</v>
      </c>
    </row>
    <row r="546" spans="1:3" x14ac:dyDescent="0.3">
      <c r="A546" t="s">
        <v>252</v>
      </c>
      <c r="B546">
        <v>546</v>
      </c>
      <c r="C546" t="s">
        <v>2777</v>
      </c>
    </row>
    <row r="547" spans="1:3" x14ac:dyDescent="0.3">
      <c r="A547" t="s">
        <v>1411</v>
      </c>
      <c r="B547">
        <v>547</v>
      </c>
      <c r="C547" t="s">
        <v>2777</v>
      </c>
    </row>
    <row r="548" spans="1:3" x14ac:dyDescent="0.3">
      <c r="A548" t="s">
        <v>251</v>
      </c>
      <c r="B548">
        <v>548</v>
      </c>
      <c r="C548" t="s">
        <v>2777</v>
      </c>
    </row>
    <row r="549" spans="1:3" x14ac:dyDescent="0.3">
      <c r="A549" t="s">
        <v>1412</v>
      </c>
      <c r="B549">
        <v>549</v>
      </c>
      <c r="C549" t="s">
        <v>2777</v>
      </c>
    </row>
    <row r="550" spans="1:3" x14ac:dyDescent="0.3">
      <c r="A550" t="s">
        <v>1413</v>
      </c>
      <c r="B550">
        <v>550</v>
      </c>
      <c r="C550" t="s">
        <v>2777</v>
      </c>
    </row>
    <row r="551" spans="1:3" x14ac:dyDescent="0.3">
      <c r="A551" t="s">
        <v>1414</v>
      </c>
      <c r="B551">
        <v>551</v>
      </c>
      <c r="C551" t="s">
        <v>2777</v>
      </c>
    </row>
    <row r="552" spans="1:3" x14ac:dyDescent="0.3">
      <c r="A552" t="s">
        <v>249</v>
      </c>
      <c r="B552">
        <v>552</v>
      </c>
      <c r="C552" t="s">
        <v>2777</v>
      </c>
    </row>
    <row r="553" spans="1:3" x14ac:dyDescent="0.3">
      <c r="A553" t="s">
        <v>248</v>
      </c>
      <c r="B553">
        <v>553</v>
      </c>
      <c r="C553" t="s">
        <v>2777</v>
      </c>
    </row>
    <row r="554" spans="1:3" x14ac:dyDescent="0.3">
      <c r="A554" t="s">
        <v>15</v>
      </c>
      <c r="B554">
        <v>554</v>
      </c>
    </row>
    <row r="555" spans="1:3" x14ac:dyDescent="0.3">
      <c r="A555" t="s">
        <v>185</v>
      </c>
      <c r="B555">
        <v>555</v>
      </c>
    </row>
    <row r="556" spans="1:3" x14ac:dyDescent="0.3">
      <c r="A556" t="s">
        <v>254</v>
      </c>
      <c r="B556">
        <v>556</v>
      </c>
    </row>
    <row r="557" spans="1:3" x14ac:dyDescent="0.3">
      <c r="A557" t="s">
        <v>221</v>
      </c>
      <c r="B557">
        <v>557</v>
      </c>
    </row>
    <row r="558" spans="1:3" x14ac:dyDescent="0.3">
      <c r="A558" t="s">
        <v>0</v>
      </c>
      <c r="B558">
        <v>558</v>
      </c>
      <c r="C558" t="s">
        <v>0</v>
      </c>
    </row>
    <row r="559" spans="1:3" x14ac:dyDescent="0.3">
      <c r="A559" t="s">
        <v>0</v>
      </c>
      <c r="B559">
        <v>559</v>
      </c>
      <c r="C559" t="s">
        <v>0</v>
      </c>
    </row>
    <row r="560" spans="1:3" x14ac:dyDescent="0.3">
      <c r="A560" t="s">
        <v>0</v>
      </c>
      <c r="B560">
        <v>560</v>
      </c>
      <c r="C560" t="s">
        <v>0</v>
      </c>
    </row>
    <row r="561" spans="1:3" x14ac:dyDescent="0.3">
      <c r="A561" t="s">
        <v>0</v>
      </c>
      <c r="B561">
        <v>561</v>
      </c>
      <c r="C561" t="s">
        <v>0</v>
      </c>
    </row>
    <row r="562" spans="1:3" x14ac:dyDescent="0.3">
      <c r="A562" t="s">
        <v>0</v>
      </c>
      <c r="B562">
        <v>562</v>
      </c>
      <c r="C562" t="s">
        <v>0</v>
      </c>
    </row>
    <row r="563" spans="1:3" x14ac:dyDescent="0.3">
      <c r="A563" t="s">
        <v>0</v>
      </c>
      <c r="B563">
        <v>563</v>
      </c>
      <c r="C563" t="s">
        <v>0</v>
      </c>
    </row>
    <row r="564" spans="1:3" x14ac:dyDescent="0.3">
      <c r="A564" t="s">
        <v>0</v>
      </c>
      <c r="B564">
        <v>564</v>
      </c>
      <c r="C564" t="s">
        <v>0</v>
      </c>
    </row>
    <row r="565" spans="1:3" x14ac:dyDescent="0.3">
      <c r="A565" t="s">
        <v>0</v>
      </c>
      <c r="B565">
        <v>565</v>
      </c>
      <c r="C565" t="s">
        <v>0</v>
      </c>
    </row>
    <row r="566" spans="1:3" x14ac:dyDescent="0.3">
      <c r="A566" t="s">
        <v>0</v>
      </c>
      <c r="B566">
        <v>566</v>
      </c>
      <c r="C566" t="s">
        <v>0</v>
      </c>
    </row>
    <row r="567" spans="1:3" x14ac:dyDescent="0.3">
      <c r="A567" t="s">
        <v>0</v>
      </c>
      <c r="B567">
        <v>567</v>
      </c>
      <c r="C567" t="s">
        <v>0</v>
      </c>
    </row>
    <row r="568" spans="1:3" x14ac:dyDescent="0.3">
      <c r="A568" t="s">
        <v>0</v>
      </c>
      <c r="B568">
        <v>568</v>
      </c>
      <c r="C568" t="s">
        <v>0</v>
      </c>
    </row>
    <row r="569" spans="1:3" x14ac:dyDescent="0.3">
      <c r="A569" t="s">
        <v>0</v>
      </c>
      <c r="B569">
        <v>569</v>
      </c>
      <c r="C569" t="s">
        <v>0</v>
      </c>
    </row>
    <row r="570" spans="1:3" x14ac:dyDescent="0.3">
      <c r="A570" t="s">
        <v>0</v>
      </c>
      <c r="B570">
        <v>570</v>
      </c>
      <c r="C570" t="s">
        <v>0</v>
      </c>
    </row>
    <row r="571" spans="1:3" x14ac:dyDescent="0.3">
      <c r="A571" t="s">
        <v>0</v>
      </c>
      <c r="B571">
        <v>571</v>
      </c>
      <c r="C571" t="s">
        <v>0</v>
      </c>
    </row>
    <row r="572" spans="1:3" x14ac:dyDescent="0.3">
      <c r="A572" t="s">
        <v>0</v>
      </c>
      <c r="B572">
        <v>572</v>
      </c>
      <c r="C572" t="s">
        <v>0</v>
      </c>
    </row>
    <row r="573" spans="1:3" x14ac:dyDescent="0.3">
      <c r="A573" t="s">
        <v>0</v>
      </c>
      <c r="B573">
        <v>573</v>
      </c>
      <c r="C573" t="s">
        <v>0</v>
      </c>
    </row>
    <row r="574" spans="1:3" x14ac:dyDescent="0.3">
      <c r="A574" t="s">
        <v>0</v>
      </c>
      <c r="B574">
        <v>574</v>
      </c>
      <c r="C574" t="s">
        <v>0</v>
      </c>
    </row>
    <row r="575" spans="1:3" x14ac:dyDescent="0.3">
      <c r="A575" t="s">
        <v>0</v>
      </c>
      <c r="B575">
        <v>575</v>
      </c>
      <c r="C575" t="s">
        <v>0</v>
      </c>
    </row>
    <row r="576" spans="1:3" x14ac:dyDescent="0.3">
      <c r="A576" t="s">
        <v>1416</v>
      </c>
      <c r="B576">
        <v>576</v>
      </c>
      <c r="C576" t="s">
        <v>4</v>
      </c>
    </row>
    <row r="577" spans="1:3" x14ac:dyDescent="0.3">
      <c r="A577" t="s">
        <v>1416</v>
      </c>
      <c r="B577">
        <v>577</v>
      </c>
      <c r="C577" t="s">
        <v>4</v>
      </c>
    </row>
    <row r="578" spans="1:3" x14ac:dyDescent="0.3">
      <c r="A578" t="s">
        <v>1416</v>
      </c>
      <c r="B578">
        <v>578</v>
      </c>
      <c r="C578" t="s">
        <v>4</v>
      </c>
    </row>
    <row r="579" spans="1:3" x14ac:dyDescent="0.3">
      <c r="A579" t="s">
        <v>1416</v>
      </c>
      <c r="B579">
        <v>579</v>
      </c>
      <c r="C579" t="s">
        <v>4</v>
      </c>
    </row>
    <row r="580" spans="1:3" x14ac:dyDescent="0.3">
      <c r="A580" t="s">
        <v>1416</v>
      </c>
      <c r="B580">
        <v>580</v>
      </c>
      <c r="C580" t="s">
        <v>4</v>
      </c>
    </row>
    <row r="581" spans="1:3" x14ac:dyDescent="0.3">
      <c r="A581" t="s">
        <v>1416</v>
      </c>
      <c r="B581">
        <v>581</v>
      </c>
      <c r="C581" t="s">
        <v>4</v>
      </c>
    </row>
    <row r="582" spans="1:3" x14ac:dyDescent="0.3">
      <c r="A582" t="s">
        <v>1416</v>
      </c>
      <c r="B582">
        <v>582</v>
      </c>
      <c r="C582" t="s">
        <v>4</v>
      </c>
    </row>
    <row r="583" spans="1:3" x14ac:dyDescent="0.3">
      <c r="A583" t="s">
        <v>1416</v>
      </c>
      <c r="B583">
        <v>583</v>
      </c>
      <c r="C583" t="s">
        <v>4</v>
      </c>
    </row>
    <row r="584" spans="1:3" x14ac:dyDescent="0.3">
      <c r="A584" t="s">
        <v>259</v>
      </c>
      <c r="B584">
        <v>584</v>
      </c>
      <c r="C584" t="s">
        <v>4</v>
      </c>
    </row>
    <row r="585" spans="1:3" x14ac:dyDescent="0.3">
      <c r="A585" t="s">
        <v>1416</v>
      </c>
      <c r="B585">
        <v>585</v>
      </c>
      <c r="C585" t="s">
        <v>4</v>
      </c>
    </row>
    <row r="586" spans="1:3" x14ac:dyDescent="0.3">
      <c r="A586" t="s">
        <v>1416</v>
      </c>
      <c r="B586">
        <v>586</v>
      </c>
      <c r="C586" t="s">
        <v>4</v>
      </c>
    </row>
    <row r="587" spans="1:3" x14ac:dyDescent="0.3">
      <c r="A587" t="s">
        <v>259</v>
      </c>
      <c r="B587">
        <v>587</v>
      </c>
      <c r="C587" t="s">
        <v>4</v>
      </c>
    </row>
    <row r="588" spans="1:3" x14ac:dyDescent="0.3">
      <c r="A588" t="s">
        <v>1416</v>
      </c>
      <c r="B588">
        <v>588</v>
      </c>
      <c r="C588" t="s">
        <v>4</v>
      </c>
    </row>
    <row r="589" spans="1:3" x14ac:dyDescent="0.3">
      <c r="A589" t="s">
        <v>1416</v>
      </c>
      <c r="B589">
        <v>589</v>
      </c>
      <c r="C589" t="s">
        <v>4</v>
      </c>
    </row>
    <row r="590" spans="1:3" x14ac:dyDescent="0.3">
      <c r="A590" t="s">
        <v>4</v>
      </c>
      <c r="B590">
        <v>590</v>
      </c>
      <c r="C590" t="s">
        <v>4</v>
      </c>
    </row>
    <row r="591" spans="1:3" x14ac:dyDescent="0.3">
      <c r="A591" t="s">
        <v>4</v>
      </c>
      <c r="B591">
        <v>591</v>
      </c>
      <c r="C591" t="s">
        <v>4</v>
      </c>
    </row>
    <row r="592" spans="1:3" x14ac:dyDescent="0.3">
      <c r="A592" t="s">
        <v>38</v>
      </c>
      <c r="B592">
        <v>592</v>
      </c>
    </row>
    <row r="593" spans="1:3" x14ac:dyDescent="0.3">
      <c r="A593" t="s">
        <v>38</v>
      </c>
      <c r="B593">
        <v>593</v>
      </c>
    </row>
    <row r="594" spans="1:3" x14ac:dyDescent="0.3">
      <c r="A594" t="s">
        <v>38</v>
      </c>
      <c r="B594">
        <v>594</v>
      </c>
    </row>
    <row r="595" spans="1:3" x14ac:dyDescent="0.3">
      <c r="A595" t="s">
        <v>38</v>
      </c>
      <c r="B595">
        <v>595</v>
      </c>
    </row>
    <row r="596" spans="1:3" x14ac:dyDescent="0.3">
      <c r="A596" t="s">
        <v>38</v>
      </c>
      <c r="B596">
        <v>596</v>
      </c>
    </row>
    <row r="597" spans="1:3" x14ac:dyDescent="0.3">
      <c r="A597" t="s">
        <v>4</v>
      </c>
      <c r="B597">
        <v>597</v>
      </c>
      <c r="C597" t="s">
        <v>4</v>
      </c>
    </row>
    <row r="598" spans="1:3" x14ac:dyDescent="0.3">
      <c r="A598" t="s">
        <v>63</v>
      </c>
      <c r="B598">
        <v>598</v>
      </c>
      <c r="C598" t="s">
        <v>4</v>
      </c>
    </row>
    <row r="599" spans="1:3" x14ac:dyDescent="0.3">
      <c r="A599" t="s">
        <v>63</v>
      </c>
      <c r="B599">
        <v>599</v>
      </c>
      <c r="C599" t="s">
        <v>4</v>
      </c>
    </row>
    <row r="600" spans="1:3" x14ac:dyDescent="0.3">
      <c r="A600" s="1" t="s">
        <v>889</v>
      </c>
      <c r="B600">
        <v>600</v>
      </c>
      <c r="C600" t="s">
        <v>4</v>
      </c>
    </row>
    <row r="601" spans="1:3" x14ac:dyDescent="0.3">
      <c r="A601" s="1" t="s">
        <v>1427</v>
      </c>
      <c r="B601">
        <v>601</v>
      </c>
      <c r="C601" t="s">
        <v>4</v>
      </c>
    </row>
    <row r="602" spans="1:3" x14ac:dyDescent="0.3">
      <c r="A602" t="s">
        <v>1429</v>
      </c>
      <c r="B602">
        <v>602</v>
      </c>
      <c r="C602" t="s">
        <v>4</v>
      </c>
    </row>
    <row r="603" spans="1:3" x14ac:dyDescent="0.3">
      <c r="A603" t="s">
        <v>1430</v>
      </c>
      <c r="B603">
        <v>603</v>
      </c>
      <c r="C603" t="s">
        <v>4</v>
      </c>
    </row>
    <row r="604" spans="1:3" x14ac:dyDescent="0.3">
      <c r="A604" t="s">
        <v>63</v>
      </c>
      <c r="B604">
        <v>604</v>
      </c>
      <c r="C604" t="s">
        <v>4</v>
      </c>
    </row>
    <row r="605" spans="1:3" x14ac:dyDescent="0.3">
      <c r="A605" t="s">
        <v>63</v>
      </c>
      <c r="B605">
        <v>605</v>
      </c>
      <c r="C605" t="s">
        <v>4</v>
      </c>
    </row>
    <row r="606" spans="1:3" x14ac:dyDescent="0.3">
      <c r="A606" t="s">
        <v>1431</v>
      </c>
      <c r="B606">
        <v>606</v>
      </c>
      <c r="C606" t="s">
        <v>4</v>
      </c>
    </row>
    <row r="607" spans="1:3" x14ac:dyDescent="0.3">
      <c r="A607" t="s">
        <v>1432</v>
      </c>
      <c r="B607">
        <v>607</v>
      </c>
      <c r="C607" t="s">
        <v>4</v>
      </c>
    </row>
    <row r="608" spans="1:3" x14ac:dyDescent="0.3">
      <c r="A608" t="s">
        <v>1433</v>
      </c>
      <c r="B608">
        <v>608</v>
      </c>
      <c r="C608" t="s">
        <v>4</v>
      </c>
    </row>
    <row r="609" spans="1:3" x14ac:dyDescent="0.3">
      <c r="A609" t="s">
        <v>1434</v>
      </c>
      <c r="B609">
        <v>609</v>
      </c>
      <c r="C609" t="s">
        <v>4</v>
      </c>
    </row>
    <row r="610" spans="1:3" x14ac:dyDescent="0.3">
      <c r="A610" t="s">
        <v>63</v>
      </c>
      <c r="B610">
        <v>610</v>
      </c>
      <c r="C610" t="s">
        <v>4</v>
      </c>
    </row>
    <row r="611" spans="1:3" x14ac:dyDescent="0.3">
      <c r="A611" t="s">
        <v>266</v>
      </c>
      <c r="B611">
        <v>611</v>
      </c>
      <c r="C611" t="s">
        <v>4</v>
      </c>
    </row>
    <row r="612" spans="1:3" x14ac:dyDescent="0.3">
      <c r="A612" t="s">
        <v>266</v>
      </c>
      <c r="B612">
        <v>612</v>
      </c>
      <c r="C612" t="s">
        <v>4</v>
      </c>
    </row>
    <row r="613" spans="1:3" x14ac:dyDescent="0.3">
      <c r="A613" t="s">
        <v>266</v>
      </c>
      <c r="B613">
        <v>613</v>
      </c>
      <c r="C613" t="s">
        <v>4</v>
      </c>
    </row>
    <row r="614" spans="1:3" x14ac:dyDescent="0.3">
      <c r="A614" t="s">
        <v>266</v>
      </c>
      <c r="B614">
        <v>614</v>
      </c>
      <c r="C614" t="s">
        <v>4</v>
      </c>
    </row>
    <row r="615" spans="1:3" x14ac:dyDescent="0.3">
      <c r="A615" t="s">
        <v>268</v>
      </c>
      <c r="B615">
        <v>615</v>
      </c>
      <c r="C615" t="s">
        <v>4</v>
      </c>
    </row>
    <row r="616" spans="1:3" x14ac:dyDescent="0.3">
      <c r="A616" t="s">
        <v>151</v>
      </c>
      <c r="B616">
        <v>616</v>
      </c>
      <c r="C616" t="s">
        <v>4</v>
      </c>
    </row>
    <row r="617" spans="1:3" x14ac:dyDescent="0.3">
      <c r="A617" t="s">
        <v>2550</v>
      </c>
      <c r="B617">
        <v>617</v>
      </c>
      <c r="C617" t="s">
        <v>4</v>
      </c>
    </row>
    <row r="618" spans="1:3" x14ac:dyDescent="0.3">
      <c r="A618" t="s">
        <v>2551</v>
      </c>
      <c r="B618">
        <v>618</v>
      </c>
      <c r="C618" t="s">
        <v>4</v>
      </c>
    </row>
    <row r="619" spans="1:3" x14ac:dyDescent="0.3">
      <c r="A619" t="s">
        <v>2737</v>
      </c>
      <c r="B619">
        <v>619</v>
      </c>
      <c r="C619" t="s">
        <v>4</v>
      </c>
    </row>
    <row r="620" spans="1:3" x14ac:dyDescent="0.3">
      <c r="A620" t="s">
        <v>2552</v>
      </c>
      <c r="B620">
        <v>620</v>
      </c>
      <c r="C620" t="s">
        <v>4</v>
      </c>
    </row>
    <row r="621" spans="1:3" x14ac:dyDescent="0.3">
      <c r="A621" t="s">
        <v>2553</v>
      </c>
      <c r="B621">
        <v>621</v>
      </c>
      <c r="C621" t="s">
        <v>4</v>
      </c>
    </row>
    <row r="622" spans="1:3" x14ac:dyDescent="0.3">
      <c r="A622" t="s">
        <v>2554</v>
      </c>
      <c r="B622">
        <v>622</v>
      </c>
      <c r="C622" t="s">
        <v>4</v>
      </c>
    </row>
    <row r="623" spans="1:3" x14ac:dyDescent="0.3">
      <c r="A623" t="s">
        <v>2555</v>
      </c>
      <c r="B623">
        <v>623</v>
      </c>
      <c r="C623" t="s">
        <v>4</v>
      </c>
    </row>
    <row r="624" spans="1:3" x14ac:dyDescent="0.3">
      <c r="A624" t="s">
        <v>2556</v>
      </c>
      <c r="B624">
        <v>624</v>
      </c>
      <c r="C624" t="s">
        <v>4</v>
      </c>
    </row>
    <row r="625" spans="1:3" x14ac:dyDescent="0.3">
      <c r="A625" t="s">
        <v>2738</v>
      </c>
      <c r="B625">
        <v>625</v>
      </c>
      <c r="C625" t="s">
        <v>4</v>
      </c>
    </row>
    <row r="626" spans="1:3" x14ac:dyDescent="0.3">
      <c r="A626" t="s">
        <v>2557</v>
      </c>
      <c r="B626">
        <v>626</v>
      </c>
      <c r="C626" t="s">
        <v>4</v>
      </c>
    </row>
    <row r="627" spans="1:3" x14ac:dyDescent="0.3">
      <c r="A627" t="s">
        <v>2558</v>
      </c>
      <c r="B627">
        <v>627</v>
      </c>
      <c r="C627" t="s">
        <v>4</v>
      </c>
    </row>
    <row r="628" spans="1:3" x14ac:dyDescent="0.3">
      <c r="A628" t="s">
        <v>282</v>
      </c>
      <c r="B628">
        <v>628</v>
      </c>
      <c r="C628" t="s">
        <v>2776</v>
      </c>
    </row>
    <row r="629" spans="1:3" x14ac:dyDescent="0.3">
      <c r="A629" t="s">
        <v>284</v>
      </c>
      <c r="B629">
        <v>629</v>
      </c>
      <c r="C629" t="s">
        <v>2776</v>
      </c>
    </row>
    <row r="630" spans="1:3" x14ac:dyDescent="0.3">
      <c r="A630" t="s">
        <v>44</v>
      </c>
      <c r="B630">
        <v>630</v>
      </c>
      <c r="C630" t="s">
        <v>2776</v>
      </c>
    </row>
    <row r="631" spans="1:3" x14ac:dyDescent="0.3">
      <c r="A631" s="4" t="s">
        <v>285</v>
      </c>
      <c r="B631">
        <v>631</v>
      </c>
      <c r="C631" t="s">
        <v>2776</v>
      </c>
    </row>
    <row r="632" spans="1:3" x14ac:dyDescent="0.3">
      <c r="A632" t="s">
        <v>286</v>
      </c>
      <c r="B632">
        <v>632</v>
      </c>
      <c r="C632" t="s">
        <v>2776</v>
      </c>
    </row>
    <row r="633" spans="1:3" x14ac:dyDescent="0.3">
      <c r="A633" t="s">
        <v>287</v>
      </c>
      <c r="B633">
        <v>633</v>
      </c>
      <c r="C633" t="s">
        <v>2776</v>
      </c>
    </row>
    <row r="634" spans="1:3" x14ac:dyDescent="0.3">
      <c r="A634" t="s">
        <v>4</v>
      </c>
      <c r="B634">
        <v>634</v>
      </c>
      <c r="C634" t="s">
        <v>4</v>
      </c>
    </row>
    <row r="635" spans="1:3" x14ac:dyDescent="0.3">
      <c r="A635" t="s">
        <v>1436</v>
      </c>
      <c r="B635">
        <v>635</v>
      </c>
      <c r="C635" t="s">
        <v>4</v>
      </c>
    </row>
    <row r="636" spans="1:3" x14ac:dyDescent="0.3">
      <c r="A636" t="s">
        <v>1437</v>
      </c>
      <c r="B636">
        <v>636</v>
      </c>
      <c r="C636" t="s">
        <v>4</v>
      </c>
    </row>
    <row r="637" spans="1:3" x14ac:dyDescent="0.3">
      <c r="A637" t="s">
        <v>1436</v>
      </c>
      <c r="B637">
        <v>637</v>
      </c>
      <c r="C637" t="s">
        <v>4</v>
      </c>
    </row>
    <row r="638" spans="1:3" x14ac:dyDescent="0.3">
      <c r="A638" t="s">
        <v>1437</v>
      </c>
      <c r="B638">
        <v>638</v>
      </c>
      <c r="C638" t="s">
        <v>4</v>
      </c>
    </row>
    <row r="639" spans="1:3" x14ac:dyDescent="0.3">
      <c r="A639" t="s">
        <v>1438</v>
      </c>
      <c r="B639">
        <v>639</v>
      </c>
      <c r="C639" t="s">
        <v>153</v>
      </c>
    </row>
    <row r="640" spans="1:3" x14ac:dyDescent="0.3">
      <c r="A640" t="s">
        <v>1438</v>
      </c>
      <c r="B640">
        <v>640</v>
      </c>
      <c r="C640" t="s">
        <v>153</v>
      </c>
    </row>
    <row r="641" spans="1:3" x14ac:dyDescent="0.3">
      <c r="A641" t="s">
        <v>1438</v>
      </c>
      <c r="B641">
        <v>641</v>
      </c>
      <c r="C641" t="s">
        <v>153</v>
      </c>
    </row>
    <row r="642" spans="1:3" x14ac:dyDescent="0.3">
      <c r="A642" t="s">
        <v>1438</v>
      </c>
      <c r="B642">
        <v>642</v>
      </c>
      <c r="C642" t="s">
        <v>153</v>
      </c>
    </row>
    <row r="643" spans="1:3" x14ac:dyDescent="0.3">
      <c r="A643" t="s">
        <v>1438</v>
      </c>
      <c r="B643">
        <v>643</v>
      </c>
      <c r="C643" t="s">
        <v>153</v>
      </c>
    </row>
    <row r="644" spans="1:3" x14ac:dyDescent="0.3">
      <c r="A644" t="s">
        <v>1438</v>
      </c>
      <c r="B644">
        <v>644</v>
      </c>
      <c r="C644" t="s">
        <v>153</v>
      </c>
    </row>
    <row r="645" spans="1:3" x14ac:dyDescent="0.3">
      <c r="A645" t="s">
        <v>1438</v>
      </c>
      <c r="B645">
        <v>645</v>
      </c>
      <c r="C645" t="s">
        <v>153</v>
      </c>
    </row>
    <row r="646" spans="1:3" x14ac:dyDescent="0.3">
      <c r="A646" t="s">
        <v>1438</v>
      </c>
      <c r="B646">
        <v>646</v>
      </c>
      <c r="C646" t="s">
        <v>153</v>
      </c>
    </row>
    <row r="647" spans="1:3" x14ac:dyDescent="0.3">
      <c r="A647" t="s">
        <v>1438</v>
      </c>
      <c r="B647">
        <v>647</v>
      </c>
      <c r="C647" t="s">
        <v>153</v>
      </c>
    </row>
    <row r="648" spans="1:3" x14ac:dyDescent="0.3">
      <c r="A648" t="s">
        <v>1438</v>
      </c>
      <c r="B648">
        <v>648</v>
      </c>
      <c r="C648" t="s">
        <v>153</v>
      </c>
    </row>
    <row r="649" spans="1:3" x14ac:dyDescent="0.3">
      <c r="A649" t="s">
        <v>1438</v>
      </c>
      <c r="B649">
        <v>649</v>
      </c>
      <c r="C649" t="s">
        <v>153</v>
      </c>
    </row>
    <row r="650" spans="1:3" x14ac:dyDescent="0.3">
      <c r="A650" t="s">
        <v>1438</v>
      </c>
      <c r="B650">
        <v>650</v>
      </c>
      <c r="C650" t="s">
        <v>153</v>
      </c>
    </row>
    <row r="651" spans="1:3" x14ac:dyDescent="0.3">
      <c r="A651" t="s">
        <v>4</v>
      </c>
      <c r="B651">
        <v>651</v>
      </c>
      <c r="C651" t="s">
        <v>4</v>
      </c>
    </row>
    <row r="652" spans="1:3" x14ac:dyDescent="0.3">
      <c r="A652" s="32" t="s">
        <v>991</v>
      </c>
      <c r="B652">
        <v>652</v>
      </c>
    </row>
    <row r="653" spans="1:3" x14ac:dyDescent="0.3">
      <c r="A653" s="4" t="s">
        <v>992</v>
      </c>
      <c r="B653">
        <v>653</v>
      </c>
    </row>
    <row r="654" spans="1:3" x14ac:dyDescent="0.3">
      <c r="A654" s="4" t="s">
        <v>993</v>
      </c>
      <c r="B654">
        <v>654</v>
      </c>
    </row>
    <row r="655" spans="1:3" x14ac:dyDescent="0.3">
      <c r="A655" s="34" t="s">
        <v>63</v>
      </c>
      <c r="B655">
        <v>655</v>
      </c>
      <c r="C655" t="s">
        <v>4</v>
      </c>
    </row>
    <row r="656" spans="1:3" x14ac:dyDescent="0.3">
      <c r="A656" t="s">
        <v>296</v>
      </c>
      <c r="B656">
        <v>656</v>
      </c>
      <c r="C656" t="s">
        <v>4</v>
      </c>
    </row>
    <row r="657" spans="1:3" x14ac:dyDescent="0.3">
      <c r="A657" t="s">
        <v>297</v>
      </c>
      <c r="B657">
        <v>657</v>
      </c>
      <c r="C657" t="s">
        <v>4</v>
      </c>
    </row>
    <row r="658" spans="1:3" x14ac:dyDescent="0.3">
      <c r="A658" t="s">
        <v>298</v>
      </c>
      <c r="B658">
        <v>658</v>
      </c>
      <c r="C658" t="s">
        <v>4</v>
      </c>
    </row>
    <row r="659" spans="1:3" x14ac:dyDescent="0.3">
      <c r="A659" t="s">
        <v>151</v>
      </c>
      <c r="B659">
        <v>659</v>
      </c>
      <c r="C659" t="s">
        <v>4</v>
      </c>
    </row>
    <row r="660" spans="1:3" x14ac:dyDescent="0.3">
      <c r="A660" t="s">
        <v>299</v>
      </c>
      <c r="B660">
        <v>660</v>
      </c>
      <c r="C660" t="s">
        <v>4</v>
      </c>
    </row>
    <row r="661" spans="1:3" x14ac:dyDescent="0.3">
      <c r="A661" t="s">
        <v>300</v>
      </c>
      <c r="B661">
        <v>661</v>
      </c>
      <c r="C661" t="s">
        <v>4</v>
      </c>
    </row>
    <row r="662" spans="1:3" x14ac:dyDescent="0.3">
      <c r="A662" t="s">
        <v>301</v>
      </c>
      <c r="B662">
        <v>662</v>
      </c>
      <c r="C662" t="s">
        <v>4</v>
      </c>
    </row>
    <row r="663" spans="1:3" x14ac:dyDescent="0.3">
      <c r="A663" t="s">
        <v>4</v>
      </c>
      <c r="B663">
        <v>663</v>
      </c>
      <c r="C663" t="s">
        <v>4</v>
      </c>
    </row>
    <row r="664" spans="1:3" x14ac:dyDescent="0.3">
      <c r="A664" t="s">
        <v>303</v>
      </c>
      <c r="B664">
        <v>664</v>
      </c>
      <c r="C664" t="s">
        <v>4</v>
      </c>
    </row>
    <row r="665" spans="1:3" x14ac:dyDescent="0.3">
      <c r="A665" t="s">
        <v>7</v>
      </c>
      <c r="B665">
        <v>665</v>
      </c>
      <c r="C665" t="s">
        <v>4</v>
      </c>
    </row>
    <row r="666" spans="1:3" x14ac:dyDescent="0.3">
      <c r="A666" t="s">
        <v>63</v>
      </c>
      <c r="B666">
        <v>666</v>
      </c>
      <c r="C666" t="s">
        <v>4</v>
      </c>
    </row>
    <row r="667" spans="1:3" x14ac:dyDescent="0.3">
      <c r="A667" t="s">
        <v>304</v>
      </c>
      <c r="B667">
        <v>667</v>
      </c>
      <c r="C667" t="s">
        <v>0</v>
      </c>
    </row>
    <row r="668" spans="1:3" x14ac:dyDescent="0.3">
      <c r="A668" t="s">
        <v>299</v>
      </c>
      <c r="B668">
        <v>668</v>
      </c>
      <c r="C668" t="s">
        <v>4</v>
      </c>
    </row>
    <row r="669" spans="1:3" x14ac:dyDescent="0.3">
      <c r="A669" t="s">
        <v>301</v>
      </c>
      <c r="B669">
        <v>669</v>
      </c>
      <c r="C669" t="s">
        <v>4</v>
      </c>
    </row>
    <row r="670" spans="1:3" x14ac:dyDescent="0.3">
      <c r="A670" t="s">
        <v>46</v>
      </c>
      <c r="B670">
        <v>670</v>
      </c>
      <c r="C670" t="s">
        <v>46</v>
      </c>
    </row>
    <row r="671" spans="1:3" x14ac:dyDescent="0.3">
      <c r="A671" t="s">
        <v>2775</v>
      </c>
      <c r="B671">
        <v>671</v>
      </c>
    </row>
    <row r="672" spans="1:3" x14ac:dyDescent="0.3">
      <c r="A672" t="s">
        <v>308</v>
      </c>
      <c r="B672">
        <v>672</v>
      </c>
      <c r="C672" t="s">
        <v>4</v>
      </c>
    </row>
    <row r="673" spans="1:3" x14ac:dyDescent="0.3">
      <c r="A673" t="s">
        <v>63</v>
      </c>
      <c r="B673">
        <v>673</v>
      </c>
      <c r="C673" t="s">
        <v>4</v>
      </c>
    </row>
    <row r="674" spans="1:3" x14ac:dyDescent="0.3">
      <c r="A674" t="s">
        <v>1440</v>
      </c>
      <c r="B674">
        <v>674</v>
      </c>
      <c r="C674" t="s">
        <v>4</v>
      </c>
    </row>
    <row r="675" spans="1:3" x14ac:dyDescent="0.3">
      <c r="A675" t="s">
        <v>311</v>
      </c>
      <c r="B675">
        <v>675</v>
      </c>
      <c r="C675" t="s">
        <v>4</v>
      </c>
    </row>
    <row r="676" spans="1:3" x14ac:dyDescent="0.3">
      <c r="A676" t="s">
        <v>313</v>
      </c>
      <c r="B676">
        <v>676</v>
      </c>
      <c r="C676" t="s">
        <v>2776</v>
      </c>
    </row>
    <row r="677" spans="1:3" x14ac:dyDescent="0.3">
      <c r="A677" t="s">
        <v>1444</v>
      </c>
      <c r="B677">
        <v>677</v>
      </c>
      <c r="C677" t="s">
        <v>2776</v>
      </c>
    </row>
    <row r="678" spans="1:3" x14ac:dyDescent="0.3">
      <c r="A678" t="s">
        <v>1445</v>
      </c>
      <c r="B678">
        <v>678</v>
      </c>
      <c r="C678" t="s">
        <v>2776</v>
      </c>
    </row>
    <row r="679" spans="1:3" x14ac:dyDescent="0.3">
      <c r="A679" t="s">
        <v>1446</v>
      </c>
      <c r="B679">
        <v>679</v>
      </c>
      <c r="C679" t="s">
        <v>2776</v>
      </c>
    </row>
    <row r="680" spans="1:3" x14ac:dyDescent="0.3">
      <c r="A680" t="s">
        <v>1447</v>
      </c>
      <c r="B680">
        <v>680</v>
      </c>
      <c r="C680" t="s">
        <v>2776</v>
      </c>
    </row>
    <row r="681" spans="1:3" x14ac:dyDescent="0.3">
      <c r="A681" t="s">
        <v>1448</v>
      </c>
      <c r="B681">
        <v>681</v>
      </c>
      <c r="C681" t="s">
        <v>2776</v>
      </c>
    </row>
    <row r="682" spans="1:3" x14ac:dyDescent="0.3">
      <c r="A682" t="s">
        <v>1449</v>
      </c>
      <c r="B682">
        <v>682</v>
      </c>
      <c r="C682" t="s">
        <v>2776</v>
      </c>
    </row>
    <row r="683" spans="1:3" x14ac:dyDescent="0.3">
      <c r="A683" t="s">
        <v>1445</v>
      </c>
      <c r="B683">
        <v>683</v>
      </c>
      <c r="C683" t="s">
        <v>2776</v>
      </c>
    </row>
    <row r="684" spans="1:3" x14ac:dyDescent="0.3">
      <c r="A684" t="s">
        <v>1445</v>
      </c>
      <c r="B684">
        <v>684</v>
      </c>
      <c r="C684" t="s">
        <v>2776</v>
      </c>
    </row>
    <row r="685" spans="1:3" x14ac:dyDescent="0.3">
      <c r="A685" t="s">
        <v>1445</v>
      </c>
      <c r="B685">
        <v>685</v>
      </c>
      <c r="C685" t="s">
        <v>2776</v>
      </c>
    </row>
    <row r="686" spans="1:3" x14ac:dyDescent="0.3">
      <c r="A686" t="s">
        <v>1445</v>
      </c>
      <c r="B686">
        <v>686</v>
      </c>
      <c r="C686" t="s">
        <v>2776</v>
      </c>
    </row>
    <row r="687" spans="1:3" x14ac:dyDescent="0.3">
      <c r="A687" t="s">
        <v>69</v>
      </c>
      <c r="B687">
        <v>687</v>
      </c>
    </row>
    <row r="688" spans="1:3" x14ac:dyDescent="0.3">
      <c r="A688" t="s">
        <v>316</v>
      </c>
      <c r="B688">
        <v>688</v>
      </c>
    </row>
    <row r="689" spans="1:3" x14ac:dyDescent="0.3">
      <c r="A689" t="s">
        <v>318</v>
      </c>
      <c r="B689">
        <v>689</v>
      </c>
      <c r="C689" t="s">
        <v>318</v>
      </c>
    </row>
    <row r="690" spans="1:3" x14ac:dyDescent="0.3">
      <c r="A690" t="s">
        <v>320</v>
      </c>
      <c r="B690">
        <v>690</v>
      </c>
      <c r="C690" t="s">
        <v>318</v>
      </c>
    </row>
    <row r="691" spans="1:3" x14ac:dyDescent="0.3">
      <c r="A691" t="s">
        <v>321</v>
      </c>
      <c r="B691">
        <v>691</v>
      </c>
      <c r="C691" t="s">
        <v>318</v>
      </c>
    </row>
    <row r="692" spans="1:3" x14ac:dyDescent="0.3">
      <c r="A692" t="s">
        <v>2735</v>
      </c>
      <c r="B692">
        <v>692</v>
      </c>
      <c r="C692" t="s">
        <v>318</v>
      </c>
    </row>
    <row r="693" spans="1:3" x14ac:dyDescent="0.3">
      <c r="A693" t="s">
        <v>323</v>
      </c>
      <c r="B693">
        <v>693</v>
      </c>
      <c r="C693" t="s">
        <v>318</v>
      </c>
    </row>
    <row r="694" spans="1:3" x14ac:dyDescent="0.3">
      <c r="A694" t="s">
        <v>324</v>
      </c>
      <c r="B694">
        <v>694</v>
      </c>
      <c r="C694" t="s">
        <v>318</v>
      </c>
    </row>
    <row r="695" spans="1:3" x14ac:dyDescent="0.3">
      <c r="A695" t="s">
        <v>2527</v>
      </c>
      <c r="B695">
        <v>695</v>
      </c>
      <c r="C695" t="s">
        <v>318</v>
      </c>
    </row>
    <row r="696" spans="1:3" x14ac:dyDescent="0.3">
      <c r="A696" t="s">
        <v>326</v>
      </c>
      <c r="B696">
        <v>696</v>
      </c>
      <c r="C696" t="s">
        <v>318</v>
      </c>
    </row>
    <row r="697" spans="1:3" x14ac:dyDescent="0.3">
      <c r="A697" t="s">
        <v>327</v>
      </c>
      <c r="B697">
        <v>697</v>
      </c>
      <c r="C697" t="s">
        <v>318</v>
      </c>
    </row>
    <row r="698" spans="1:3" x14ac:dyDescent="0.3">
      <c r="A698" t="s">
        <v>2736</v>
      </c>
      <c r="B698">
        <v>698</v>
      </c>
      <c r="C698" t="s">
        <v>318</v>
      </c>
    </row>
    <row r="699" spans="1:3" x14ac:dyDescent="0.3">
      <c r="A699" t="s">
        <v>329</v>
      </c>
      <c r="B699">
        <v>699</v>
      </c>
      <c r="C699" t="s">
        <v>318</v>
      </c>
    </row>
    <row r="700" spans="1:3" x14ac:dyDescent="0.3">
      <c r="A700" t="s">
        <v>330</v>
      </c>
      <c r="B700">
        <v>700</v>
      </c>
      <c r="C700" t="s">
        <v>318</v>
      </c>
    </row>
    <row r="701" spans="1:3" x14ac:dyDescent="0.3">
      <c r="A701" t="s">
        <v>1453</v>
      </c>
      <c r="B701">
        <v>701</v>
      </c>
      <c r="C701" t="s">
        <v>318</v>
      </c>
    </row>
    <row r="702" spans="1:3" x14ac:dyDescent="0.3">
      <c r="A702" t="s">
        <v>332</v>
      </c>
      <c r="B702">
        <v>702</v>
      </c>
      <c r="C702" t="s">
        <v>318</v>
      </c>
    </row>
    <row r="703" spans="1:3" x14ac:dyDescent="0.3">
      <c r="A703" t="s">
        <v>333</v>
      </c>
      <c r="B703">
        <v>703</v>
      </c>
      <c r="C703" t="s">
        <v>318</v>
      </c>
    </row>
    <row r="704" spans="1:3" x14ac:dyDescent="0.3">
      <c r="A704" t="s">
        <v>334</v>
      </c>
      <c r="B704">
        <v>704</v>
      </c>
      <c r="C704" t="s">
        <v>318</v>
      </c>
    </row>
    <row r="705" spans="1:3" x14ac:dyDescent="0.3">
      <c r="A705" t="s">
        <v>2739</v>
      </c>
      <c r="B705">
        <v>705</v>
      </c>
      <c r="C705" t="s">
        <v>318</v>
      </c>
    </row>
    <row r="706" spans="1:3" x14ac:dyDescent="0.3">
      <c r="A706" t="s">
        <v>336</v>
      </c>
      <c r="B706">
        <v>706</v>
      </c>
      <c r="C706" t="s">
        <v>318</v>
      </c>
    </row>
    <row r="707" spans="1:3" x14ac:dyDescent="0.3">
      <c r="A707" t="s">
        <v>337</v>
      </c>
      <c r="B707">
        <v>707</v>
      </c>
      <c r="C707" t="s">
        <v>318</v>
      </c>
    </row>
    <row r="708" spans="1:3" x14ac:dyDescent="0.3">
      <c r="A708" t="s">
        <v>2529</v>
      </c>
      <c r="B708">
        <v>708</v>
      </c>
      <c r="C708" t="s">
        <v>318</v>
      </c>
    </row>
    <row r="709" spans="1:3" x14ac:dyDescent="0.3">
      <c r="A709" t="s">
        <v>339</v>
      </c>
      <c r="B709">
        <v>709</v>
      </c>
      <c r="C709" t="s">
        <v>318</v>
      </c>
    </row>
    <row r="710" spans="1:3" x14ac:dyDescent="0.3">
      <c r="A710" t="s">
        <v>340</v>
      </c>
      <c r="B710">
        <v>710</v>
      </c>
      <c r="C710" t="s">
        <v>318</v>
      </c>
    </row>
    <row r="711" spans="1:3" x14ac:dyDescent="0.3">
      <c r="A711" t="s">
        <v>2740</v>
      </c>
      <c r="B711">
        <v>711</v>
      </c>
      <c r="C711" t="s">
        <v>318</v>
      </c>
    </row>
    <row r="712" spans="1:3" x14ac:dyDescent="0.3">
      <c r="A712" t="s">
        <v>342</v>
      </c>
      <c r="B712">
        <v>712</v>
      </c>
      <c r="C712" t="s">
        <v>318</v>
      </c>
    </row>
    <row r="713" spans="1:3" x14ac:dyDescent="0.3">
      <c r="A713" t="s">
        <v>343</v>
      </c>
      <c r="B713">
        <v>713</v>
      </c>
      <c r="C713" t="s">
        <v>318</v>
      </c>
    </row>
    <row r="714" spans="1:3" x14ac:dyDescent="0.3">
      <c r="A714" t="s">
        <v>2530</v>
      </c>
      <c r="B714">
        <v>714</v>
      </c>
      <c r="C714" t="s">
        <v>318</v>
      </c>
    </row>
    <row r="715" spans="1:3" x14ac:dyDescent="0.3">
      <c r="A715" t="s">
        <v>318</v>
      </c>
      <c r="B715">
        <v>715</v>
      </c>
      <c r="C715" t="s">
        <v>318</v>
      </c>
    </row>
    <row r="716" spans="1:3" x14ac:dyDescent="0.3">
      <c r="A716" t="s">
        <v>320</v>
      </c>
      <c r="B716">
        <v>716</v>
      </c>
      <c r="C716" t="s">
        <v>318</v>
      </c>
    </row>
    <row r="717" spans="1:3" x14ac:dyDescent="0.3">
      <c r="A717" t="s">
        <v>321</v>
      </c>
      <c r="B717">
        <v>717</v>
      </c>
      <c r="C717" t="s">
        <v>318</v>
      </c>
    </row>
    <row r="718" spans="1:3" x14ac:dyDescent="0.3">
      <c r="A718" t="s">
        <v>2735</v>
      </c>
      <c r="B718">
        <v>718</v>
      </c>
      <c r="C718" t="s">
        <v>318</v>
      </c>
    </row>
    <row r="719" spans="1:3" x14ac:dyDescent="0.3">
      <c r="A719" t="s">
        <v>323</v>
      </c>
      <c r="B719">
        <v>719</v>
      </c>
      <c r="C719" t="s">
        <v>318</v>
      </c>
    </row>
    <row r="720" spans="1:3" x14ac:dyDescent="0.3">
      <c r="A720" t="s">
        <v>324</v>
      </c>
      <c r="B720">
        <v>720</v>
      </c>
      <c r="C720" t="s">
        <v>318</v>
      </c>
    </row>
    <row r="721" spans="1:3" x14ac:dyDescent="0.3">
      <c r="A721" t="s">
        <v>2527</v>
      </c>
      <c r="B721">
        <v>721</v>
      </c>
      <c r="C721" t="s">
        <v>318</v>
      </c>
    </row>
    <row r="722" spans="1:3" x14ac:dyDescent="0.3">
      <c r="A722" t="s">
        <v>326</v>
      </c>
      <c r="B722">
        <v>722</v>
      </c>
      <c r="C722" t="s">
        <v>318</v>
      </c>
    </row>
    <row r="723" spans="1:3" x14ac:dyDescent="0.3">
      <c r="A723" t="s">
        <v>327</v>
      </c>
      <c r="B723">
        <v>723</v>
      </c>
      <c r="C723" t="s">
        <v>318</v>
      </c>
    </row>
    <row r="724" spans="1:3" x14ac:dyDescent="0.3">
      <c r="A724" t="s">
        <v>2736</v>
      </c>
      <c r="B724">
        <v>724</v>
      </c>
      <c r="C724" t="s">
        <v>318</v>
      </c>
    </row>
    <row r="725" spans="1:3" x14ac:dyDescent="0.3">
      <c r="A725" t="s">
        <v>329</v>
      </c>
      <c r="B725">
        <v>725</v>
      </c>
      <c r="C725" t="s">
        <v>318</v>
      </c>
    </row>
    <row r="726" spans="1:3" x14ac:dyDescent="0.3">
      <c r="A726" t="s">
        <v>330</v>
      </c>
      <c r="B726">
        <v>726</v>
      </c>
      <c r="C726" t="s">
        <v>318</v>
      </c>
    </row>
    <row r="727" spans="1:3" x14ac:dyDescent="0.3">
      <c r="A727" t="s">
        <v>1453</v>
      </c>
      <c r="B727">
        <v>727</v>
      </c>
      <c r="C727" t="s">
        <v>318</v>
      </c>
    </row>
    <row r="728" spans="1:3" x14ac:dyDescent="0.3">
      <c r="A728" t="s">
        <v>332</v>
      </c>
      <c r="B728">
        <v>728</v>
      </c>
      <c r="C728" t="s">
        <v>318</v>
      </c>
    </row>
    <row r="729" spans="1:3" x14ac:dyDescent="0.3">
      <c r="A729" t="s">
        <v>333</v>
      </c>
      <c r="B729">
        <v>729</v>
      </c>
      <c r="C729" t="s">
        <v>318</v>
      </c>
    </row>
    <row r="730" spans="1:3" x14ac:dyDescent="0.3">
      <c r="A730" t="s">
        <v>334</v>
      </c>
      <c r="B730">
        <v>730</v>
      </c>
      <c r="C730" t="s">
        <v>318</v>
      </c>
    </row>
    <row r="731" spans="1:3" x14ac:dyDescent="0.3">
      <c r="A731" t="s">
        <v>2739</v>
      </c>
      <c r="B731">
        <v>731</v>
      </c>
      <c r="C731" t="s">
        <v>318</v>
      </c>
    </row>
    <row r="732" spans="1:3" x14ac:dyDescent="0.3">
      <c r="A732" t="s">
        <v>336</v>
      </c>
      <c r="B732">
        <v>732</v>
      </c>
      <c r="C732" t="s">
        <v>318</v>
      </c>
    </row>
    <row r="733" spans="1:3" x14ac:dyDescent="0.3">
      <c r="A733" t="s">
        <v>337</v>
      </c>
      <c r="B733">
        <v>733</v>
      </c>
      <c r="C733" t="s">
        <v>318</v>
      </c>
    </row>
    <row r="734" spans="1:3" x14ac:dyDescent="0.3">
      <c r="A734" t="s">
        <v>2529</v>
      </c>
      <c r="B734">
        <v>734</v>
      </c>
      <c r="C734" t="s">
        <v>318</v>
      </c>
    </row>
    <row r="735" spans="1:3" x14ac:dyDescent="0.3">
      <c r="A735" t="s">
        <v>339</v>
      </c>
      <c r="B735">
        <v>735</v>
      </c>
      <c r="C735" t="s">
        <v>318</v>
      </c>
    </row>
    <row r="736" spans="1:3" x14ac:dyDescent="0.3">
      <c r="A736" t="s">
        <v>340</v>
      </c>
      <c r="B736">
        <v>736</v>
      </c>
      <c r="C736" t="s">
        <v>318</v>
      </c>
    </row>
    <row r="737" spans="1:3" x14ac:dyDescent="0.3">
      <c r="A737" t="s">
        <v>2740</v>
      </c>
      <c r="B737">
        <v>737</v>
      </c>
      <c r="C737" t="s">
        <v>318</v>
      </c>
    </row>
    <row r="738" spans="1:3" x14ac:dyDescent="0.3">
      <c r="A738" t="s">
        <v>342</v>
      </c>
      <c r="B738">
        <v>738</v>
      </c>
      <c r="C738" t="s">
        <v>318</v>
      </c>
    </row>
    <row r="739" spans="1:3" x14ac:dyDescent="0.3">
      <c r="A739" t="s">
        <v>343</v>
      </c>
      <c r="B739">
        <v>739</v>
      </c>
      <c r="C739" t="s">
        <v>318</v>
      </c>
    </row>
    <row r="740" spans="1:3" x14ac:dyDescent="0.3">
      <c r="A740" t="s">
        <v>2530</v>
      </c>
      <c r="B740">
        <v>740</v>
      </c>
      <c r="C740" t="s">
        <v>318</v>
      </c>
    </row>
    <row r="741" spans="1:3" x14ac:dyDescent="0.3">
      <c r="A741" t="s">
        <v>151</v>
      </c>
      <c r="B741">
        <v>741</v>
      </c>
      <c r="C741" t="s">
        <v>4</v>
      </c>
    </row>
    <row r="742" spans="1:3" x14ac:dyDescent="0.3">
      <c r="A742" t="s">
        <v>63</v>
      </c>
      <c r="B742">
        <v>742</v>
      </c>
      <c r="C742" t="s">
        <v>4</v>
      </c>
    </row>
    <row r="743" spans="1:3" x14ac:dyDescent="0.3">
      <c r="A743" t="s">
        <v>151</v>
      </c>
      <c r="B743">
        <v>743</v>
      </c>
      <c r="C743" t="s">
        <v>4</v>
      </c>
    </row>
    <row r="744" spans="1:3" x14ac:dyDescent="0.3">
      <c r="A744" t="s">
        <v>63</v>
      </c>
      <c r="B744">
        <v>744</v>
      </c>
      <c r="C744" t="s">
        <v>4</v>
      </c>
    </row>
    <row r="745" spans="1:3" x14ac:dyDescent="0.3">
      <c r="A745" t="s">
        <v>151</v>
      </c>
      <c r="B745">
        <v>745</v>
      </c>
      <c r="C745" t="s">
        <v>4</v>
      </c>
    </row>
    <row r="746" spans="1:3" x14ac:dyDescent="0.3">
      <c r="A746" t="s">
        <v>63</v>
      </c>
      <c r="B746">
        <v>746</v>
      </c>
      <c r="C746" t="s">
        <v>4</v>
      </c>
    </row>
    <row r="747" spans="1:3" x14ac:dyDescent="0.3">
      <c r="A747" t="s">
        <v>151</v>
      </c>
      <c r="B747">
        <v>747</v>
      </c>
      <c r="C747" t="s">
        <v>4</v>
      </c>
    </row>
    <row r="748" spans="1:3" x14ac:dyDescent="0.3">
      <c r="A748" t="s">
        <v>63</v>
      </c>
      <c r="B748">
        <v>748</v>
      </c>
      <c r="C748" t="s">
        <v>4</v>
      </c>
    </row>
    <row r="749" spans="1:3" x14ac:dyDescent="0.3">
      <c r="A749" t="s">
        <v>151</v>
      </c>
      <c r="B749">
        <v>749</v>
      </c>
      <c r="C749" t="s">
        <v>4</v>
      </c>
    </row>
    <row r="750" spans="1:3" x14ac:dyDescent="0.3">
      <c r="A750" t="s">
        <v>63</v>
      </c>
      <c r="B750">
        <v>750</v>
      </c>
      <c r="C750" t="s">
        <v>4</v>
      </c>
    </row>
    <row r="751" spans="1:3" x14ac:dyDescent="0.3">
      <c r="A751" t="s">
        <v>151</v>
      </c>
      <c r="B751">
        <v>751</v>
      </c>
      <c r="C751" t="s">
        <v>4</v>
      </c>
    </row>
    <row r="752" spans="1:3" x14ac:dyDescent="0.3">
      <c r="A752" t="s">
        <v>63</v>
      </c>
      <c r="B752">
        <v>752</v>
      </c>
      <c r="C752" t="s">
        <v>4</v>
      </c>
    </row>
    <row r="753" spans="1:3" x14ac:dyDescent="0.3">
      <c r="A753" t="s">
        <v>151</v>
      </c>
      <c r="B753">
        <v>753</v>
      </c>
      <c r="C753" t="s">
        <v>4</v>
      </c>
    </row>
    <row r="754" spans="1:3" x14ac:dyDescent="0.3">
      <c r="A754" t="s">
        <v>63</v>
      </c>
      <c r="B754">
        <v>754</v>
      </c>
      <c r="C754" t="s">
        <v>4</v>
      </c>
    </row>
    <row r="755" spans="1:3" x14ac:dyDescent="0.3">
      <c r="A755" t="s">
        <v>151</v>
      </c>
      <c r="B755">
        <v>755</v>
      </c>
      <c r="C755" t="s">
        <v>4</v>
      </c>
    </row>
    <row r="756" spans="1:3" x14ac:dyDescent="0.3">
      <c r="A756" t="s">
        <v>63</v>
      </c>
      <c r="B756">
        <v>756</v>
      </c>
      <c r="C756" t="s">
        <v>4</v>
      </c>
    </row>
    <row r="757" spans="1:3" x14ac:dyDescent="0.3">
      <c r="A757" t="s">
        <v>4</v>
      </c>
      <c r="B757">
        <v>757</v>
      </c>
      <c r="C757" t="s">
        <v>4</v>
      </c>
    </row>
    <row r="758" spans="1:3" x14ac:dyDescent="0.3">
      <c r="A758" t="s">
        <v>63</v>
      </c>
      <c r="B758">
        <v>758</v>
      </c>
      <c r="C758" t="s">
        <v>4</v>
      </c>
    </row>
    <row r="759" spans="1:3" x14ac:dyDescent="0.3">
      <c r="A759" t="s">
        <v>2560</v>
      </c>
      <c r="B759">
        <v>759</v>
      </c>
      <c r="C759" t="s">
        <v>4</v>
      </c>
    </row>
    <row r="760" spans="1:3" x14ac:dyDescent="0.3">
      <c r="A760" t="s">
        <v>2561</v>
      </c>
      <c r="B760">
        <v>760</v>
      </c>
      <c r="C760" t="s">
        <v>4</v>
      </c>
    </row>
    <row r="761" spans="1:3" x14ac:dyDescent="0.3">
      <c r="A761" t="s">
        <v>2741</v>
      </c>
      <c r="B761">
        <v>761</v>
      </c>
      <c r="C761" t="s">
        <v>4</v>
      </c>
    </row>
    <row r="762" spans="1:3" x14ac:dyDescent="0.3">
      <c r="A762" t="s">
        <v>2562</v>
      </c>
      <c r="B762">
        <v>762</v>
      </c>
      <c r="C762" t="s">
        <v>4</v>
      </c>
    </row>
    <row r="763" spans="1:3" x14ac:dyDescent="0.3">
      <c r="A763" t="s">
        <v>2564</v>
      </c>
      <c r="B763">
        <v>763</v>
      </c>
      <c r="C763" t="s">
        <v>4</v>
      </c>
    </row>
    <row r="764" spans="1:3" x14ac:dyDescent="0.3">
      <c r="A764" t="s">
        <v>2563</v>
      </c>
      <c r="B764">
        <v>764</v>
      </c>
      <c r="C764" t="s">
        <v>4</v>
      </c>
    </row>
    <row r="765" spans="1:3" x14ac:dyDescent="0.3">
      <c r="A765" t="s">
        <v>4</v>
      </c>
      <c r="B765">
        <v>765</v>
      </c>
      <c r="C765" t="s">
        <v>4</v>
      </c>
    </row>
    <row r="766" spans="1:3" x14ac:dyDescent="0.3">
      <c r="A766" t="s">
        <v>63</v>
      </c>
      <c r="B766">
        <v>766</v>
      </c>
      <c r="C766" t="s">
        <v>4</v>
      </c>
    </row>
    <row r="767" spans="1:3" x14ac:dyDescent="0.3">
      <c r="A767" t="s">
        <v>2560</v>
      </c>
      <c r="B767">
        <v>767</v>
      </c>
      <c r="C767" t="s">
        <v>4</v>
      </c>
    </row>
    <row r="768" spans="1:3" x14ac:dyDescent="0.3">
      <c r="A768" t="s">
        <v>2561</v>
      </c>
      <c r="B768">
        <v>768</v>
      </c>
      <c r="C768" t="s">
        <v>4</v>
      </c>
    </row>
    <row r="769" spans="1:3" x14ac:dyDescent="0.3">
      <c r="A769" t="s">
        <v>2741</v>
      </c>
      <c r="B769">
        <v>769</v>
      </c>
      <c r="C769" t="s">
        <v>4</v>
      </c>
    </row>
    <row r="770" spans="1:3" x14ac:dyDescent="0.3">
      <c r="A770" t="s">
        <v>2562</v>
      </c>
      <c r="B770">
        <v>770</v>
      </c>
      <c r="C770" t="s">
        <v>4</v>
      </c>
    </row>
    <row r="771" spans="1:3" x14ac:dyDescent="0.3">
      <c r="A771" t="s">
        <v>2564</v>
      </c>
      <c r="B771">
        <v>771</v>
      </c>
      <c r="C771" t="s">
        <v>4</v>
      </c>
    </row>
    <row r="772" spans="1:3" x14ac:dyDescent="0.3">
      <c r="A772" t="s">
        <v>2563</v>
      </c>
      <c r="B772">
        <v>772</v>
      </c>
      <c r="C772" t="s">
        <v>4</v>
      </c>
    </row>
    <row r="773" spans="1:3" x14ac:dyDescent="0.3">
      <c r="A773" t="s">
        <v>180</v>
      </c>
      <c r="B773">
        <v>773</v>
      </c>
      <c r="C773" t="s">
        <v>2776</v>
      </c>
    </row>
    <row r="774" spans="1:3" x14ac:dyDescent="0.3">
      <c r="A774" t="s">
        <v>952</v>
      </c>
      <c r="B774">
        <v>774</v>
      </c>
      <c r="C774" t="s">
        <v>2776</v>
      </c>
    </row>
    <row r="775" spans="1:3" x14ac:dyDescent="0.3">
      <c r="A775" t="s">
        <v>953</v>
      </c>
      <c r="B775">
        <v>775</v>
      </c>
      <c r="C775" t="s">
        <v>2776</v>
      </c>
    </row>
    <row r="776" spans="1:3" x14ac:dyDescent="0.3">
      <c r="A776" t="s">
        <v>353</v>
      </c>
      <c r="B776">
        <v>776</v>
      </c>
      <c r="C776" t="s">
        <v>2776</v>
      </c>
    </row>
    <row r="777" spans="1:3" x14ac:dyDescent="0.3">
      <c r="A777" t="s">
        <v>8</v>
      </c>
      <c r="B777">
        <v>777</v>
      </c>
      <c r="C777" t="s">
        <v>2777</v>
      </c>
    </row>
    <row r="778" spans="1:3" x14ac:dyDescent="0.3">
      <c r="A778" t="s">
        <v>142</v>
      </c>
      <c r="B778">
        <v>778</v>
      </c>
      <c r="C778" t="s">
        <v>153</v>
      </c>
    </row>
    <row r="779" spans="1:3" x14ac:dyDescent="0.3">
      <c r="A779" t="s">
        <v>355</v>
      </c>
      <c r="B779">
        <v>779</v>
      </c>
      <c r="C779" t="s">
        <v>153</v>
      </c>
    </row>
    <row r="780" spans="1:3" x14ac:dyDescent="0.3">
      <c r="A780" t="s">
        <v>143</v>
      </c>
      <c r="B780">
        <v>780</v>
      </c>
      <c r="C780" t="s">
        <v>153</v>
      </c>
    </row>
    <row r="781" spans="1:3" x14ac:dyDescent="0.3">
      <c r="A781" t="s">
        <v>356</v>
      </c>
      <c r="B781">
        <v>781</v>
      </c>
      <c r="C781" t="s">
        <v>153</v>
      </c>
    </row>
    <row r="782" spans="1:3" x14ac:dyDescent="0.3">
      <c r="A782" t="s">
        <v>12</v>
      </c>
      <c r="B782">
        <v>782</v>
      </c>
      <c r="C782" t="s">
        <v>153</v>
      </c>
    </row>
    <row r="783" spans="1:3" x14ac:dyDescent="0.3">
      <c r="A783" t="s">
        <v>144</v>
      </c>
      <c r="B783">
        <v>783</v>
      </c>
      <c r="C783" t="s">
        <v>153</v>
      </c>
    </row>
    <row r="784" spans="1:3" x14ac:dyDescent="0.3">
      <c r="A784" t="s">
        <v>63</v>
      </c>
      <c r="B784">
        <v>784</v>
      </c>
      <c r="C784" t="s">
        <v>4</v>
      </c>
    </row>
    <row r="785" spans="1:3" x14ac:dyDescent="0.3">
      <c r="A785" t="s">
        <v>2565</v>
      </c>
      <c r="B785">
        <v>785</v>
      </c>
      <c r="C785" t="s">
        <v>4</v>
      </c>
    </row>
    <row r="786" spans="1:3" x14ac:dyDescent="0.3">
      <c r="A786" t="s">
        <v>2561</v>
      </c>
      <c r="B786">
        <v>786</v>
      </c>
      <c r="C786" t="s">
        <v>4</v>
      </c>
    </row>
    <row r="787" spans="1:3" x14ac:dyDescent="0.3">
      <c r="A787" t="s">
        <v>353</v>
      </c>
      <c r="B787">
        <v>787</v>
      </c>
      <c r="C787" t="s">
        <v>2776</v>
      </c>
    </row>
    <row r="788" spans="1:3" x14ac:dyDescent="0.3">
      <c r="A788" t="s">
        <v>2566</v>
      </c>
      <c r="B788">
        <v>788</v>
      </c>
      <c r="C788" t="s">
        <v>2776</v>
      </c>
    </row>
    <row r="789" spans="1:3" x14ac:dyDescent="0.3">
      <c r="A789" t="s">
        <v>2567</v>
      </c>
      <c r="B789">
        <v>789</v>
      </c>
      <c r="C789" t="s">
        <v>2776</v>
      </c>
    </row>
    <row r="790" spans="1:3" x14ac:dyDescent="0.3">
      <c r="A790" t="s">
        <v>63</v>
      </c>
      <c r="B790">
        <v>790</v>
      </c>
      <c r="C790" t="s">
        <v>4</v>
      </c>
    </row>
    <row r="791" spans="1:3" x14ac:dyDescent="0.3">
      <c r="A791" t="s">
        <v>2568</v>
      </c>
      <c r="B791">
        <v>791</v>
      </c>
      <c r="C791" t="s">
        <v>4</v>
      </c>
    </row>
    <row r="792" spans="1:3" x14ac:dyDescent="0.3">
      <c r="A792" t="s">
        <v>2569</v>
      </c>
      <c r="B792">
        <v>792</v>
      </c>
      <c r="C792" t="s">
        <v>4</v>
      </c>
    </row>
    <row r="793" spans="1:3" x14ac:dyDescent="0.3">
      <c r="A793" t="s">
        <v>2742</v>
      </c>
      <c r="B793">
        <v>793</v>
      </c>
      <c r="C793" t="s">
        <v>4</v>
      </c>
    </row>
    <row r="794" spans="1:3" x14ac:dyDescent="0.3">
      <c r="A794" t="s">
        <v>2565</v>
      </c>
      <c r="B794">
        <v>794</v>
      </c>
      <c r="C794" t="s">
        <v>4</v>
      </c>
    </row>
    <row r="795" spans="1:3" x14ac:dyDescent="0.3">
      <c r="A795" t="s">
        <v>2570</v>
      </c>
      <c r="B795">
        <v>795</v>
      </c>
      <c r="C795" t="s">
        <v>4</v>
      </c>
    </row>
    <row r="796" spans="1:3" x14ac:dyDescent="0.3">
      <c r="A796" t="s">
        <v>2571</v>
      </c>
      <c r="B796">
        <v>796</v>
      </c>
      <c r="C796" t="s">
        <v>4</v>
      </c>
    </row>
    <row r="797" spans="1:3" x14ac:dyDescent="0.3">
      <c r="A797" t="s">
        <v>353</v>
      </c>
      <c r="B797">
        <v>797</v>
      </c>
      <c r="C797" t="s">
        <v>2776</v>
      </c>
    </row>
    <row r="798" spans="1:3" x14ac:dyDescent="0.3">
      <c r="A798" t="s">
        <v>2572</v>
      </c>
      <c r="B798">
        <v>798</v>
      </c>
      <c r="C798" t="s">
        <v>2776</v>
      </c>
    </row>
    <row r="799" spans="1:3" x14ac:dyDescent="0.3">
      <c r="A799" t="s">
        <v>2566</v>
      </c>
      <c r="B799">
        <v>799</v>
      </c>
      <c r="C799" t="s">
        <v>2776</v>
      </c>
    </row>
    <row r="800" spans="1:3" x14ac:dyDescent="0.3">
      <c r="A800" t="s">
        <v>2743</v>
      </c>
      <c r="B800">
        <v>800</v>
      </c>
      <c r="C800" t="s">
        <v>2776</v>
      </c>
    </row>
    <row r="801" spans="1:3" x14ac:dyDescent="0.3">
      <c r="A801" t="s">
        <v>2573</v>
      </c>
      <c r="B801">
        <v>801</v>
      </c>
      <c r="C801" t="s">
        <v>2776</v>
      </c>
    </row>
    <row r="802" spans="1:3" x14ac:dyDescent="0.3">
      <c r="A802" t="s">
        <v>2574</v>
      </c>
      <c r="B802">
        <v>802</v>
      </c>
      <c r="C802" t="s">
        <v>2776</v>
      </c>
    </row>
    <row r="803" spans="1:3" x14ac:dyDescent="0.3">
      <c r="A803" t="s">
        <v>2575</v>
      </c>
      <c r="B803">
        <v>803</v>
      </c>
      <c r="C803" t="s">
        <v>2776</v>
      </c>
    </row>
    <row r="804" spans="1:3" x14ac:dyDescent="0.3">
      <c r="A804" t="s">
        <v>2576</v>
      </c>
      <c r="B804">
        <v>804</v>
      </c>
      <c r="C804" t="s">
        <v>2776</v>
      </c>
    </row>
    <row r="805" spans="1:3" x14ac:dyDescent="0.3">
      <c r="A805" t="s">
        <v>2567</v>
      </c>
      <c r="B805">
        <v>805</v>
      </c>
      <c r="C805" t="s">
        <v>2776</v>
      </c>
    </row>
    <row r="806" spans="1:3" x14ac:dyDescent="0.3">
      <c r="A806" t="s">
        <v>2744</v>
      </c>
      <c r="B806">
        <v>806</v>
      </c>
      <c r="C806" t="s">
        <v>2776</v>
      </c>
    </row>
    <row r="807" spans="1:3" x14ac:dyDescent="0.3">
      <c r="A807" t="s">
        <v>2577</v>
      </c>
      <c r="B807">
        <v>807</v>
      </c>
      <c r="C807" t="s">
        <v>2776</v>
      </c>
    </row>
    <row r="808" spans="1:3" x14ac:dyDescent="0.3">
      <c r="A808" t="s">
        <v>2578</v>
      </c>
      <c r="B808">
        <v>808</v>
      </c>
      <c r="C808" t="s">
        <v>2776</v>
      </c>
    </row>
    <row r="809" spans="1:3" x14ac:dyDescent="0.3">
      <c r="A809" t="s">
        <v>2579</v>
      </c>
      <c r="B809">
        <v>809</v>
      </c>
      <c r="C809" t="s">
        <v>2776</v>
      </c>
    </row>
    <row r="810" spans="1:3" x14ac:dyDescent="0.3">
      <c r="A810" t="s">
        <v>381</v>
      </c>
      <c r="B810">
        <v>810</v>
      </c>
      <c r="C810" t="s">
        <v>2776</v>
      </c>
    </row>
    <row r="811" spans="1:3" x14ac:dyDescent="0.3">
      <c r="A811" t="s">
        <v>2580</v>
      </c>
      <c r="B811">
        <v>811</v>
      </c>
      <c r="C811" t="s">
        <v>2776</v>
      </c>
    </row>
    <row r="812" spans="1:3" x14ac:dyDescent="0.3">
      <c r="A812" t="s">
        <v>2581</v>
      </c>
      <c r="B812">
        <v>812</v>
      </c>
      <c r="C812" t="s">
        <v>2776</v>
      </c>
    </row>
    <row r="813" spans="1:3" x14ac:dyDescent="0.3">
      <c r="A813" t="s">
        <v>2745</v>
      </c>
      <c r="B813">
        <v>813</v>
      </c>
      <c r="C813" t="s">
        <v>2776</v>
      </c>
    </row>
    <row r="814" spans="1:3" x14ac:dyDescent="0.3">
      <c r="A814" t="s">
        <v>2582</v>
      </c>
      <c r="B814">
        <v>814</v>
      </c>
      <c r="C814" t="s">
        <v>2776</v>
      </c>
    </row>
    <row r="815" spans="1:3" x14ac:dyDescent="0.3">
      <c r="A815" t="s">
        <v>2583</v>
      </c>
      <c r="B815">
        <v>815</v>
      </c>
      <c r="C815" t="s">
        <v>2776</v>
      </c>
    </row>
    <row r="816" spans="1:3" x14ac:dyDescent="0.3">
      <c r="A816" t="s">
        <v>2584</v>
      </c>
      <c r="B816">
        <v>816</v>
      </c>
      <c r="C816" t="s">
        <v>2776</v>
      </c>
    </row>
    <row r="817" spans="1:3" x14ac:dyDescent="0.3">
      <c r="A817" t="s">
        <v>2585</v>
      </c>
      <c r="B817">
        <v>817</v>
      </c>
      <c r="C817" t="s">
        <v>2776</v>
      </c>
    </row>
    <row r="818" spans="1:3" x14ac:dyDescent="0.3">
      <c r="A818" t="s">
        <v>2586</v>
      </c>
      <c r="B818">
        <v>818</v>
      </c>
      <c r="C818" t="s">
        <v>2776</v>
      </c>
    </row>
    <row r="819" spans="1:3" x14ac:dyDescent="0.3">
      <c r="A819" t="s">
        <v>2746</v>
      </c>
      <c r="B819">
        <v>819</v>
      </c>
      <c r="C819" t="s">
        <v>2776</v>
      </c>
    </row>
    <row r="820" spans="1:3" x14ac:dyDescent="0.3">
      <c r="A820" t="s">
        <v>2589</v>
      </c>
      <c r="B820">
        <v>820</v>
      </c>
      <c r="C820" t="s">
        <v>2776</v>
      </c>
    </row>
    <row r="821" spans="1:3" x14ac:dyDescent="0.3">
      <c r="A821" t="s">
        <v>2587</v>
      </c>
      <c r="B821">
        <v>821</v>
      </c>
      <c r="C821" t="s">
        <v>2776</v>
      </c>
    </row>
    <row r="822" spans="1:3" x14ac:dyDescent="0.3">
      <c r="A822" t="s">
        <v>2588</v>
      </c>
      <c r="B822">
        <v>822</v>
      </c>
      <c r="C822" t="s">
        <v>2776</v>
      </c>
    </row>
    <row r="823" spans="1:3" x14ac:dyDescent="0.3">
      <c r="A823" t="s">
        <v>353</v>
      </c>
      <c r="B823">
        <v>823</v>
      </c>
      <c r="C823" t="s">
        <v>2776</v>
      </c>
    </row>
    <row r="824" spans="1:3" x14ac:dyDescent="0.3">
      <c r="A824" t="s">
        <v>2572</v>
      </c>
      <c r="B824">
        <v>824</v>
      </c>
      <c r="C824" t="s">
        <v>2776</v>
      </c>
    </row>
    <row r="825" spans="1:3" x14ac:dyDescent="0.3">
      <c r="A825" t="s">
        <v>2566</v>
      </c>
      <c r="B825">
        <v>825</v>
      </c>
      <c r="C825" t="s">
        <v>2776</v>
      </c>
    </row>
    <row r="826" spans="1:3" x14ac:dyDescent="0.3">
      <c r="A826" t="s">
        <v>2743</v>
      </c>
      <c r="B826">
        <v>826</v>
      </c>
      <c r="C826" t="s">
        <v>2776</v>
      </c>
    </row>
    <row r="827" spans="1:3" x14ac:dyDescent="0.3">
      <c r="A827" t="s">
        <v>2573</v>
      </c>
      <c r="B827">
        <v>827</v>
      </c>
      <c r="C827" t="s">
        <v>2776</v>
      </c>
    </row>
    <row r="828" spans="1:3" x14ac:dyDescent="0.3">
      <c r="A828" t="s">
        <v>2574</v>
      </c>
      <c r="B828">
        <v>828</v>
      </c>
      <c r="C828" t="s">
        <v>2776</v>
      </c>
    </row>
    <row r="829" spans="1:3" x14ac:dyDescent="0.3">
      <c r="A829" t="s">
        <v>2575</v>
      </c>
      <c r="B829">
        <v>829</v>
      </c>
      <c r="C829" t="s">
        <v>2776</v>
      </c>
    </row>
    <row r="830" spans="1:3" x14ac:dyDescent="0.3">
      <c r="A830" t="s">
        <v>2576</v>
      </c>
      <c r="B830">
        <v>830</v>
      </c>
      <c r="C830" t="s">
        <v>2776</v>
      </c>
    </row>
    <row r="831" spans="1:3" x14ac:dyDescent="0.3">
      <c r="A831" t="s">
        <v>2567</v>
      </c>
      <c r="B831">
        <v>831</v>
      </c>
      <c r="C831" t="s">
        <v>2776</v>
      </c>
    </row>
    <row r="832" spans="1:3" x14ac:dyDescent="0.3">
      <c r="A832" t="s">
        <v>2744</v>
      </c>
      <c r="B832">
        <v>832</v>
      </c>
      <c r="C832" t="s">
        <v>2776</v>
      </c>
    </row>
    <row r="833" spans="1:3" x14ac:dyDescent="0.3">
      <c r="A833" t="s">
        <v>2577</v>
      </c>
      <c r="B833">
        <v>833</v>
      </c>
      <c r="C833" t="s">
        <v>2776</v>
      </c>
    </row>
    <row r="834" spans="1:3" x14ac:dyDescent="0.3">
      <c r="A834" t="s">
        <v>2578</v>
      </c>
      <c r="B834">
        <v>834</v>
      </c>
      <c r="C834" t="s">
        <v>2776</v>
      </c>
    </row>
    <row r="835" spans="1:3" x14ac:dyDescent="0.3">
      <c r="A835" t="s">
        <v>2579</v>
      </c>
      <c r="B835">
        <v>835</v>
      </c>
      <c r="C835" t="s">
        <v>2776</v>
      </c>
    </row>
    <row r="836" spans="1:3" x14ac:dyDescent="0.3">
      <c r="A836" t="s">
        <v>381</v>
      </c>
      <c r="B836">
        <v>836</v>
      </c>
      <c r="C836" t="s">
        <v>2776</v>
      </c>
    </row>
    <row r="837" spans="1:3" x14ac:dyDescent="0.3">
      <c r="A837" t="s">
        <v>2580</v>
      </c>
      <c r="B837">
        <v>837</v>
      </c>
      <c r="C837" t="s">
        <v>2776</v>
      </c>
    </row>
    <row r="838" spans="1:3" x14ac:dyDescent="0.3">
      <c r="A838" t="s">
        <v>2581</v>
      </c>
      <c r="B838">
        <v>838</v>
      </c>
      <c r="C838" t="s">
        <v>2776</v>
      </c>
    </row>
    <row r="839" spans="1:3" x14ac:dyDescent="0.3">
      <c r="A839" t="s">
        <v>2745</v>
      </c>
      <c r="B839">
        <v>839</v>
      </c>
      <c r="C839" t="s">
        <v>2776</v>
      </c>
    </row>
    <row r="840" spans="1:3" x14ac:dyDescent="0.3">
      <c r="A840" t="s">
        <v>2582</v>
      </c>
      <c r="B840">
        <v>840</v>
      </c>
      <c r="C840" t="s">
        <v>2776</v>
      </c>
    </row>
    <row r="841" spans="1:3" x14ac:dyDescent="0.3">
      <c r="A841" t="s">
        <v>2583</v>
      </c>
      <c r="B841">
        <v>841</v>
      </c>
      <c r="C841" t="s">
        <v>2776</v>
      </c>
    </row>
    <row r="842" spans="1:3" x14ac:dyDescent="0.3">
      <c r="A842" t="s">
        <v>2584</v>
      </c>
      <c r="B842">
        <v>842</v>
      </c>
      <c r="C842" t="s">
        <v>2776</v>
      </c>
    </row>
    <row r="843" spans="1:3" x14ac:dyDescent="0.3">
      <c r="A843" t="s">
        <v>2585</v>
      </c>
      <c r="B843">
        <v>843</v>
      </c>
      <c r="C843" t="s">
        <v>2776</v>
      </c>
    </row>
    <row r="844" spans="1:3" x14ac:dyDescent="0.3">
      <c r="A844" t="s">
        <v>2586</v>
      </c>
      <c r="B844">
        <v>844</v>
      </c>
      <c r="C844" t="s">
        <v>2776</v>
      </c>
    </row>
    <row r="845" spans="1:3" x14ac:dyDescent="0.3">
      <c r="A845" t="s">
        <v>2746</v>
      </c>
      <c r="B845">
        <v>845</v>
      </c>
      <c r="C845" t="s">
        <v>2776</v>
      </c>
    </row>
    <row r="846" spans="1:3" x14ac:dyDescent="0.3">
      <c r="A846" t="s">
        <v>2589</v>
      </c>
      <c r="B846">
        <v>846</v>
      </c>
      <c r="C846" t="s">
        <v>2776</v>
      </c>
    </row>
    <row r="847" spans="1:3" x14ac:dyDescent="0.3">
      <c r="A847" t="s">
        <v>2587</v>
      </c>
      <c r="B847">
        <v>847</v>
      </c>
      <c r="C847" t="s">
        <v>2776</v>
      </c>
    </row>
    <row r="848" spans="1:3" x14ac:dyDescent="0.3">
      <c r="A848" t="s">
        <v>2588</v>
      </c>
      <c r="B848">
        <v>848</v>
      </c>
      <c r="C848" t="s">
        <v>2776</v>
      </c>
    </row>
    <row r="849" spans="1:3" x14ac:dyDescent="0.3">
      <c r="A849" s="1" t="s">
        <v>394</v>
      </c>
      <c r="B849">
        <v>849</v>
      </c>
    </row>
    <row r="850" spans="1:3" x14ac:dyDescent="0.3">
      <c r="A850" s="4" t="s">
        <v>395</v>
      </c>
      <c r="B850">
        <v>850</v>
      </c>
    </row>
    <row r="851" spans="1:3" x14ac:dyDescent="0.3">
      <c r="A851" s="4" t="s">
        <v>2499</v>
      </c>
      <c r="B851">
        <v>851</v>
      </c>
    </row>
    <row r="852" spans="1:3" x14ac:dyDescent="0.3">
      <c r="A852" s="4" t="s">
        <v>2747</v>
      </c>
      <c r="B852">
        <v>852</v>
      </c>
    </row>
    <row r="853" spans="1:3" x14ac:dyDescent="0.3">
      <c r="A853" s="4" t="s">
        <v>2500</v>
      </c>
      <c r="B853">
        <v>853</v>
      </c>
    </row>
    <row r="854" spans="1:3" x14ac:dyDescent="0.3">
      <c r="A854" s="4" t="s">
        <v>2501</v>
      </c>
      <c r="B854">
        <v>854</v>
      </c>
    </row>
    <row r="855" spans="1:3" x14ac:dyDescent="0.3">
      <c r="A855" s="4" t="s">
        <v>2502</v>
      </c>
      <c r="B855">
        <v>855</v>
      </c>
    </row>
    <row r="856" spans="1:3" x14ac:dyDescent="0.3">
      <c r="A856" t="s">
        <v>381</v>
      </c>
      <c r="B856">
        <v>856</v>
      </c>
      <c r="C856" t="s">
        <v>2776</v>
      </c>
    </row>
    <row r="857" spans="1:3" x14ac:dyDescent="0.3">
      <c r="A857" t="s">
        <v>2582</v>
      </c>
      <c r="B857">
        <v>857</v>
      </c>
      <c r="C857" t="s">
        <v>2776</v>
      </c>
    </row>
    <row r="858" spans="1:3" x14ac:dyDescent="0.3">
      <c r="A858" t="s">
        <v>381</v>
      </c>
      <c r="B858">
        <v>858</v>
      </c>
      <c r="C858" t="s">
        <v>2776</v>
      </c>
    </row>
    <row r="859" spans="1:3" x14ac:dyDescent="0.3">
      <c r="A859" t="s">
        <v>2582</v>
      </c>
      <c r="B859">
        <v>859</v>
      </c>
      <c r="C859" t="s">
        <v>2776</v>
      </c>
    </row>
    <row r="860" spans="1:3" x14ac:dyDescent="0.3">
      <c r="A860" t="s">
        <v>2582</v>
      </c>
      <c r="B860">
        <v>860</v>
      </c>
      <c r="C860" t="s">
        <v>2776</v>
      </c>
    </row>
    <row r="861" spans="1:3" x14ac:dyDescent="0.3">
      <c r="A861" t="s">
        <v>2582</v>
      </c>
      <c r="B861">
        <v>861</v>
      </c>
      <c r="C861" t="s">
        <v>2776</v>
      </c>
    </row>
    <row r="862" spans="1:3" x14ac:dyDescent="0.3">
      <c r="A862" t="s">
        <v>2582</v>
      </c>
      <c r="B862">
        <v>862</v>
      </c>
      <c r="C862" t="s">
        <v>2776</v>
      </c>
    </row>
    <row r="863" spans="1:3" x14ac:dyDescent="0.3">
      <c r="A863" t="s">
        <v>2582</v>
      </c>
      <c r="B863">
        <v>863</v>
      </c>
      <c r="C863" t="s">
        <v>2776</v>
      </c>
    </row>
    <row r="864" spans="1:3" x14ac:dyDescent="0.3">
      <c r="A864" t="s">
        <v>2582</v>
      </c>
      <c r="B864">
        <v>864</v>
      </c>
      <c r="C864" t="s">
        <v>2776</v>
      </c>
    </row>
    <row r="865" spans="1:3" x14ac:dyDescent="0.3">
      <c r="A865" t="s">
        <v>2582</v>
      </c>
      <c r="B865">
        <v>865</v>
      </c>
      <c r="C865" t="s">
        <v>2776</v>
      </c>
    </row>
    <row r="866" spans="1:3" x14ac:dyDescent="0.3">
      <c r="A866" t="s">
        <v>2582</v>
      </c>
      <c r="B866">
        <v>866</v>
      </c>
      <c r="C866" t="s">
        <v>2776</v>
      </c>
    </row>
    <row r="867" spans="1:3" x14ac:dyDescent="0.3">
      <c r="A867" t="s">
        <v>2582</v>
      </c>
      <c r="B867">
        <v>867</v>
      </c>
      <c r="C867" t="s">
        <v>2776</v>
      </c>
    </row>
    <row r="868" spans="1:3" x14ac:dyDescent="0.3">
      <c r="A868" t="s">
        <v>2582</v>
      </c>
      <c r="B868">
        <v>868</v>
      </c>
      <c r="C868" t="s">
        <v>2776</v>
      </c>
    </row>
    <row r="869" spans="1:3" x14ac:dyDescent="0.3">
      <c r="A869" t="s">
        <v>2582</v>
      </c>
      <c r="B869">
        <v>869</v>
      </c>
      <c r="C869" t="s">
        <v>2776</v>
      </c>
    </row>
    <row r="870" spans="1:3" x14ac:dyDescent="0.3">
      <c r="A870" t="s">
        <v>2582</v>
      </c>
      <c r="B870">
        <v>870</v>
      </c>
      <c r="C870" t="s">
        <v>2776</v>
      </c>
    </row>
    <row r="871" spans="1:3" x14ac:dyDescent="0.3">
      <c r="A871" t="s">
        <v>2582</v>
      </c>
      <c r="B871">
        <v>871</v>
      </c>
      <c r="C871" t="s">
        <v>2776</v>
      </c>
    </row>
    <row r="872" spans="1:3" x14ac:dyDescent="0.3">
      <c r="A872" t="s">
        <v>2582</v>
      </c>
      <c r="B872">
        <v>872</v>
      </c>
      <c r="C872" t="s">
        <v>2776</v>
      </c>
    </row>
    <row r="873" spans="1:3" x14ac:dyDescent="0.3">
      <c r="A873" t="s">
        <v>2582</v>
      </c>
      <c r="B873">
        <v>873</v>
      </c>
      <c r="C873" t="s">
        <v>2776</v>
      </c>
    </row>
    <row r="874" spans="1:3" x14ac:dyDescent="0.3">
      <c r="A874" t="s">
        <v>2582</v>
      </c>
      <c r="B874">
        <v>874</v>
      </c>
      <c r="C874" t="s">
        <v>2776</v>
      </c>
    </row>
    <row r="875" spans="1:3" x14ac:dyDescent="0.3">
      <c r="A875" t="s">
        <v>2582</v>
      </c>
      <c r="B875">
        <v>875</v>
      </c>
      <c r="C875" t="s">
        <v>2776</v>
      </c>
    </row>
    <row r="876" spans="1:3" x14ac:dyDescent="0.3">
      <c r="A876" t="s">
        <v>2582</v>
      </c>
      <c r="B876">
        <v>876</v>
      </c>
      <c r="C876" t="s">
        <v>2776</v>
      </c>
    </row>
    <row r="877" spans="1:3" x14ac:dyDescent="0.3">
      <c r="A877" t="s">
        <v>51</v>
      </c>
      <c r="B877">
        <v>877</v>
      </c>
    </row>
    <row r="878" spans="1:3" x14ac:dyDescent="0.3">
      <c r="A878" t="s">
        <v>403</v>
      </c>
      <c r="B878">
        <v>878</v>
      </c>
      <c r="C878" t="s">
        <v>2776</v>
      </c>
    </row>
    <row r="879" spans="1:3" x14ac:dyDescent="0.3">
      <c r="A879" t="s">
        <v>404</v>
      </c>
      <c r="B879">
        <v>879</v>
      </c>
      <c r="C879" t="s">
        <v>2776</v>
      </c>
    </row>
    <row r="880" spans="1:3" x14ac:dyDescent="0.3">
      <c r="A880" t="s">
        <v>405</v>
      </c>
      <c r="B880">
        <v>880</v>
      </c>
      <c r="C880" t="s">
        <v>153</v>
      </c>
    </row>
    <row r="881" spans="1:3" x14ac:dyDescent="0.3">
      <c r="A881" t="s">
        <v>1190</v>
      </c>
      <c r="B881">
        <v>881</v>
      </c>
      <c r="C881" t="s">
        <v>4</v>
      </c>
    </row>
    <row r="882" spans="1:3" x14ac:dyDescent="0.3">
      <c r="A882" t="s">
        <v>406</v>
      </c>
      <c r="B882">
        <v>882</v>
      </c>
    </row>
    <row r="883" spans="1:3" x14ac:dyDescent="0.3">
      <c r="A883" t="s">
        <v>407</v>
      </c>
      <c r="B883">
        <v>883</v>
      </c>
    </row>
    <row r="884" spans="1:3" x14ac:dyDescent="0.3">
      <c r="A884" t="s">
        <v>409</v>
      </c>
      <c r="B884">
        <v>884</v>
      </c>
    </row>
    <row r="885" spans="1:3" x14ac:dyDescent="0.3">
      <c r="A885" t="s">
        <v>90</v>
      </c>
      <c r="B885">
        <v>885</v>
      </c>
    </row>
    <row r="886" spans="1:3" x14ac:dyDescent="0.3">
      <c r="A886" t="s">
        <v>410</v>
      </c>
      <c r="B886">
        <v>886</v>
      </c>
    </row>
    <row r="887" spans="1:3" x14ac:dyDescent="0.3">
      <c r="A887" t="s">
        <v>413</v>
      </c>
      <c r="B887">
        <v>887</v>
      </c>
    </row>
    <row r="888" spans="1:3" x14ac:dyDescent="0.3">
      <c r="A888" t="s">
        <v>414</v>
      </c>
      <c r="B888">
        <v>888</v>
      </c>
    </row>
    <row r="889" spans="1:3" x14ac:dyDescent="0.3">
      <c r="A889" t="s">
        <v>415</v>
      </c>
      <c r="B889">
        <v>889</v>
      </c>
    </row>
    <row r="890" spans="1:3" x14ac:dyDescent="0.3">
      <c r="A890" t="s">
        <v>416</v>
      </c>
      <c r="B890">
        <v>890</v>
      </c>
    </row>
    <row r="891" spans="1:3" x14ac:dyDescent="0.3">
      <c r="A891" t="s">
        <v>417</v>
      </c>
      <c r="B891">
        <v>891</v>
      </c>
    </row>
    <row r="892" spans="1:3" x14ac:dyDescent="0.3">
      <c r="A892" t="s">
        <v>418</v>
      </c>
      <c r="B892">
        <v>892</v>
      </c>
    </row>
    <row r="893" spans="1:3" x14ac:dyDescent="0.3">
      <c r="A893" t="s">
        <v>419</v>
      </c>
      <c r="B893">
        <v>893</v>
      </c>
    </row>
    <row r="894" spans="1:3" x14ac:dyDescent="0.3">
      <c r="A894" t="s">
        <v>426</v>
      </c>
      <c r="B894">
        <v>894</v>
      </c>
    </row>
    <row r="895" spans="1:3" x14ac:dyDescent="0.3">
      <c r="A895" t="s">
        <v>420</v>
      </c>
      <c r="B895">
        <v>895</v>
      </c>
    </row>
    <row r="896" spans="1:3" x14ac:dyDescent="0.3">
      <c r="A896" t="s">
        <v>421</v>
      </c>
      <c r="B896">
        <v>896</v>
      </c>
    </row>
    <row r="897" spans="1:3" x14ac:dyDescent="0.3">
      <c r="A897" t="s">
        <v>422</v>
      </c>
      <c r="B897">
        <v>897</v>
      </c>
    </row>
    <row r="898" spans="1:3" x14ac:dyDescent="0.3">
      <c r="A898" t="s">
        <v>423</v>
      </c>
      <c r="B898">
        <v>898</v>
      </c>
    </row>
    <row r="899" spans="1:3" x14ac:dyDescent="0.3">
      <c r="A899" t="s">
        <v>424</v>
      </c>
      <c r="B899">
        <v>899</v>
      </c>
    </row>
    <row r="900" spans="1:3" x14ac:dyDescent="0.3">
      <c r="A900" t="s">
        <v>425</v>
      </c>
      <c r="B900">
        <v>900</v>
      </c>
    </row>
    <row r="901" spans="1:3" x14ac:dyDescent="0.3">
      <c r="A901" t="s">
        <v>63</v>
      </c>
      <c r="B901">
        <v>901</v>
      </c>
      <c r="C901" t="s">
        <v>4</v>
      </c>
    </row>
    <row r="902" spans="1:3" x14ac:dyDescent="0.3">
      <c r="A902" t="s">
        <v>63</v>
      </c>
      <c r="B902">
        <v>902</v>
      </c>
      <c r="C902" t="s">
        <v>4</v>
      </c>
    </row>
    <row r="903" spans="1:3" x14ac:dyDescent="0.3">
      <c r="A903" t="s">
        <v>2568</v>
      </c>
      <c r="B903">
        <v>903</v>
      </c>
      <c r="C903" t="s">
        <v>4</v>
      </c>
    </row>
    <row r="904" spans="1:3" x14ac:dyDescent="0.3">
      <c r="A904" t="s">
        <v>2565</v>
      </c>
      <c r="B904">
        <v>904</v>
      </c>
      <c r="C904" t="s">
        <v>4</v>
      </c>
    </row>
    <row r="905" spans="1:3" x14ac:dyDescent="0.3">
      <c r="A905" t="s">
        <v>2571</v>
      </c>
      <c r="B905">
        <v>905</v>
      </c>
      <c r="C905" t="s">
        <v>4</v>
      </c>
    </row>
    <row r="906" spans="1:3" x14ac:dyDescent="0.3">
      <c r="A906" t="s">
        <v>2568</v>
      </c>
      <c r="B906">
        <v>906</v>
      </c>
      <c r="C906" t="s">
        <v>4</v>
      </c>
    </row>
    <row r="907" spans="1:3" x14ac:dyDescent="0.3">
      <c r="A907" t="s">
        <v>2565</v>
      </c>
      <c r="B907">
        <v>907</v>
      </c>
      <c r="C907" t="s">
        <v>4</v>
      </c>
    </row>
    <row r="908" spans="1:3" x14ac:dyDescent="0.3">
      <c r="A908" t="s">
        <v>2571</v>
      </c>
      <c r="B908">
        <v>908</v>
      </c>
      <c r="C908" t="s">
        <v>4</v>
      </c>
    </row>
    <row r="909" spans="1:3" x14ac:dyDescent="0.3">
      <c r="A909" t="s">
        <v>1289</v>
      </c>
      <c r="B909">
        <v>909</v>
      </c>
      <c r="C909" t="s">
        <v>2777</v>
      </c>
    </row>
    <row r="910" spans="1:3" x14ac:dyDescent="0.3">
      <c r="A910" t="s">
        <v>1289</v>
      </c>
      <c r="B910">
        <v>910</v>
      </c>
      <c r="C910" t="s">
        <v>2777</v>
      </c>
    </row>
    <row r="911" spans="1:3" x14ac:dyDescent="0.3">
      <c r="A911" t="s">
        <v>107</v>
      </c>
      <c r="B911">
        <v>911</v>
      </c>
    </row>
    <row r="912" spans="1:3" x14ac:dyDescent="0.3">
      <c r="A912" t="s">
        <v>4</v>
      </c>
      <c r="B912">
        <v>912</v>
      </c>
      <c r="C912" t="s">
        <v>4</v>
      </c>
    </row>
    <row r="913" spans="1:3" x14ac:dyDescent="0.3">
      <c r="A913" t="s">
        <v>1177</v>
      </c>
      <c r="B913">
        <v>913</v>
      </c>
      <c r="C913" t="s">
        <v>4</v>
      </c>
    </row>
    <row r="914" spans="1:3" x14ac:dyDescent="0.3">
      <c r="A914" t="s">
        <v>1178</v>
      </c>
      <c r="B914">
        <v>914</v>
      </c>
      <c r="C914" t="s">
        <v>4</v>
      </c>
    </row>
    <row r="915" spans="1:3" x14ac:dyDescent="0.3">
      <c r="A915" t="s">
        <v>308</v>
      </c>
      <c r="B915">
        <v>915</v>
      </c>
      <c r="C915" t="s">
        <v>4</v>
      </c>
    </row>
    <row r="916" spans="1:3" x14ac:dyDescent="0.3">
      <c r="A916" t="s">
        <v>108</v>
      </c>
      <c r="B916">
        <v>916</v>
      </c>
    </row>
    <row r="917" spans="1:3" x14ac:dyDescent="0.3">
      <c r="A917" t="s">
        <v>108</v>
      </c>
      <c r="B917">
        <v>917</v>
      </c>
    </row>
    <row r="918" spans="1:3" x14ac:dyDescent="0.3">
      <c r="A918" t="s">
        <v>318</v>
      </c>
      <c r="B918">
        <v>918</v>
      </c>
      <c r="C918" t="s">
        <v>318</v>
      </c>
    </row>
    <row r="919" spans="1:3" x14ac:dyDescent="0.3">
      <c r="A919" t="s">
        <v>332</v>
      </c>
      <c r="B919">
        <v>919</v>
      </c>
      <c r="C919" t="s">
        <v>318</v>
      </c>
    </row>
    <row r="920" spans="1:3" x14ac:dyDescent="0.3">
      <c r="A920" t="s">
        <v>353</v>
      </c>
      <c r="B920">
        <v>920</v>
      </c>
      <c r="C920" t="s">
        <v>2776</v>
      </c>
    </row>
    <row r="921" spans="1:3" x14ac:dyDescent="0.3">
      <c r="A921" t="s">
        <v>381</v>
      </c>
      <c r="B921">
        <v>921</v>
      </c>
      <c r="C921" t="s">
        <v>2776</v>
      </c>
    </row>
    <row r="922" spans="1:3" x14ac:dyDescent="0.3">
      <c r="A922" t="s">
        <v>318</v>
      </c>
      <c r="B922">
        <v>922</v>
      </c>
      <c r="C922" t="s">
        <v>318</v>
      </c>
    </row>
    <row r="923" spans="1:3" x14ac:dyDescent="0.3">
      <c r="A923" t="s">
        <v>332</v>
      </c>
      <c r="B923">
        <v>923</v>
      </c>
      <c r="C923" t="s">
        <v>318</v>
      </c>
    </row>
    <row r="924" spans="1:3" x14ac:dyDescent="0.3">
      <c r="A924" t="s">
        <v>353</v>
      </c>
      <c r="B924">
        <v>924</v>
      </c>
      <c r="C924" t="s">
        <v>2776</v>
      </c>
    </row>
    <row r="925" spans="1:3" x14ac:dyDescent="0.3">
      <c r="A925" t="s">
        <v>381</v>
      </c>
      <c r="B925">
        <v>925</v>
      </c>
      <c r="C925" t="s">
        <v>2776</v>
      </c>
    </row>
    <row r="926" spans="1:3" x14ac:dyDescent="0.3">
      <c r="A926" t="s">
        <v>318</v>
      </c>
      <c r="B926">
        <v>926</v>
      </c>
      <c r="C926" t="s">
        <v>318</v>
      </c>
    </row>
    <row r="927" spans="1:3" x14ac:dyDescent="0.3">
      <c r="A927" t="s">
        <v>332</v>
      </c>
      <c r="B927">
        <v>927</v>
      </c>
      <c r="C927" t="s">
        <v>318</v>
      </c>
    </row>
    <row r="928" spans="1:3" x14ac:dyDescent="0.3">
      <c r="A928" t="s">
        <v>353</v>
      </c>
      <c r="B928">
        <v>928</v>
      </c>
      <c r="C928" t="s">
        <v>2776</v>
      </c>
    </row>
    <row r="929" spans="1:3" x14ac:dyDescent="0.3">
      <c r="A929" t="s">
        <v>381</v>
      </c>
      <c r="B929">
        <v>929</v>
      </c>
      <c r="C929" t="s">
        <v>2776</v>
      </c>
    </row>
    <row r="930" spans="1:3" x14ac:dyDescent="0.3">
      <c r="A930" t="s">
        <v>318</v>
      </c>
      <c r="B930">
        <v>930</v>
      </c>
      <c r="C930" t="s">
        <v>318</v>
      </c>
    </row>
    <row r="931" spans="1:3" x14ac:dyDescent="0.3">
      <c r="A931" t="s">
        <v>332</v>
      </c>
      <c r="B931">
        <v>931</v>
      </c>
      <c r="C931" t="s">
        <v>318</v>
      </c>
    </row>
    <row r="932" spans="1:3" x14ac:dyDescent="0.3">
      <c r="A932" t="s">
        <v>353</v>
      </c>
      <c r="B932">
        <v>932</v>
      </c>
      <c r="C932" t="s">
        <v>2776</v>
      </c>
    </row>
    <row r="933" spans="1:3" x14ac:dyDescent="0.3">
      <c r="A933" t="s">
        <v>381</v>
      </c>
      <c r="B933">
        <v>933</v>
      </c>
      <c r="C933" t="s">
        <v>2776</v>
      </c>
    </row>
    <row r="934" spans="1:3" x14ac:dyDescent="0.3">
      <c r="A934" t="s">
        <v>44</v>
      </c>
      <c r="B934">
        <v>934</v>
      </c>
      <c r="C934" t="s">
        <v>2776</v>
      </c>
    </row>
    <row r="935" spans="1:3" x14ac:dyDescent="0.3">
      <c r="A935" t="s">
        <v>44</v>
      </c>
      <c r="B935">
        <v>935</v>
      </c>
      <c r="C935" t="s">
        <v>2776</v>
      </c>
    </row>
    <row r="936" spans="1:3" x14ac:dyDescent="0.3">
      <c r="A936" t="s">
        <v>44</v>
      </c>
      <c r="B936">
        <v>936</v>
      </c>
      <c r="C936" t="s">
        <v>2776</v>
      </c>
    </row>
    <row r="937" spans="1:3" x14ac:dyDescent="0.3">
      <c r="A937" t="s">
        <v>44</v>
      </c>
      <c r="B937">
        <v>937</v>
      </c>
      <c r="C937" t="s">
        <v>2776</v>
      </c>
    </row>
    <row r="938" spans="1:3" x14ac:dyDescent="0.3">
      <c r="A938" t="s">
        <v>2575</v>
      </c>
      <c r="B938">
        <v>938</v>
      </c>
      <c r="C938" t="s">
        <v>2776</v>
      </c>
    </row>
    <row r="939" spans="1:3" x14ac:dyDescent="0.3">
      <c r="A939" t="s">
        <v>2575</v>
      </c>
      <c r="B939">
        <v>939</v>
      </c>
      <c r="C939" t="s">
        <v>2776</v>
      </c>
    </row>
    <row r="940" spans="1:3" x14ac:dyDescent="0.3">
      <c r="A940" t="s">
        <v>2575</v>
      </c>
      <c r="B940">
        <v>940</v>
      </c>
      <c r="C940" t="s">
        <v>2776</v>
      </c>
    </row>
    <row r="941" spans="1:3" x14ac:dyDescent="0.3">
      <c r="A941" t="s">
        <v>2575</v>
      </c>
      <c r="B941">
        <v>941</v>
      </c>
      <c r="C941" t="s">
        <v>2776</v>
      </c>
    </row>
    <row r="942" spans="1:3" x14ac:dyDescent="0.3">
      <c r="A942" t="s">
        <v>2575</v>
      </c>
      <c r="B942">
        <v>942</v>
      </c>
      <c r="C942" t="s">
        <v>2776</v>
      </c>
    </row>
    <row r="943" spans="1:3" x14ac:dyDescent="0.3">
      <c r="A943" t="s">
        <v>2575</v>
      </c>
      <c r="B943">
        <v>943</v>
      </c>
      <c r="C943" t="s">
        <v>2776</v>
      </c>
    </row>
    <row r="944" spans="1:3" x14ac:dyDescent="0.3">
      <c r="A944" t="s">
        <v>2575</v>
      </c>
      <c r="B944">
        <v>944</v>
      </c>
      <c r="C944" t="s">
        <v>2776</v>
      </c>
    </row>
    <row r="945" spans="1:3" x14ac:dyDescent="0.3">
      <c r="A945" t="s">
        <v>2575</v>
      </c>
      <c r="B945">
        <v>945</v>
      </c>
      <c r="C945" t="s">
        <v>2776</v>
      </c>
    </row>
    <row r="946" spans="1:3" x14ac:dyDescent="0.3">
      <c r="A946" t="s">
        <v>2575</v>
      </c>
      <c r="B946">
        <v>946</v>
      </c>
      <c r="C946" t="s">
        <v>2776</v>
      </c>
    </row>
    <row r="947" spans="1:3" x14ac:dyDescent="0.3">
      <c r="A947" t="s">
        <v>2575</v>
      </c>
      <c r="B947">
        <v>947</v>
      </c>
      <c r="C947" t="s">
        <v>2776</v>
      </c>
    </row>
    <row r="948" spans="1:3" x14ac:dyDescent="0.3">
      <c r="A948" t="s">
        <v>2575</v>
      </c>
      <c r="B948">
        <v>948</v>
      </c>
      <c r="C948" t="s">
        <v>2776</v>
      </c>
    </row>
    <row r="949" spans="1:3" x14ac:dyDescent="0.3">
      <c r="A949" t="s">
        <v>353</v>
      </c>
      <c r="B949">
        <v>949</v>
      </c>
      <c r="C949" t="s">
        <v>2776</v>
      </c>
    </row>
    <row r="950" spans="1:3" x14ac:dyDescent="0.3">
      <c r="A950" t="s">
        <v>2573</v>
      </c>
      <c r="B950">
        <v>950</v>
      </c>
      <c r="C950" t="s">
        <v>2776</v>
      </c>
    </row>
    <row r="951" spans="1:3" x14ac:dyDescent="0.3">
      <c r="A951" t="s">
        <v>2573</v>
      </c>
      <c r="B951">
        <v>951</v>
      </c>
      <c r="C951" t="s">
        <v>2776</v>
      </c>
    </row>
    <row r="952" spans="1:3" x14ac:dyDescent="0.3">
      <c r="A952" t="s">
        <v>2573</v>
      </c>
      <c r="B952">
        <v>952</v>
      </c>
      <c r="C952" t="s">
        <v>2776</v>
      </c>
    </row>
    <row r="953" spans="1:3" x14ac:dyDescent="0.3">
      <c r="A953" t="s">
        <v>2573</v>
      </c>
      <c r="B953">
        <v>953</v>
      </c>
      <c r="C953" t="s">
        <v>2776</v>
      </c>
    </row>
    <row r="954" spans="1:3" x14ac:dyDescent="0.3">
      <c r="A954" t="s">
        <v>2573</v>
      </c>
      <c r="B954">
        <v>954</v>
      </c>
      <c r="C954" t="s">
        <v>2776</v>
      </c>
    </row>
    <row r="955" spans="1:3" x14ac:dyDescent="0.3">
      <c r="A955" t="s">
        <v>2573</v>
      </c>
      <c r="B955">
        <v>955</v>
      </c>
      <c r="C955" t="s">
        <v>2776</v>
      </c>
    </row>
    <row r="956" spans="1:3" x14ac:dyDescent="0.3">
      <c r="A956" t="s">
        <v>2573</v>
      </c>
      <c r="B956">
        <v>956</v>
      </c>
      <c r="C956" t="s">
        <v>2776</v>
      </c>
    </row>
    <row r="957" spans="1:3" x14ac:dyDescent="0.3">
      <c r="A957" t="s">
        <v>2573</v>
      </c>
      <c r="B957">
        <v>957</v>
      </c>
      <c r="C957" t="s">
        <v>2776</v>
      </c>
    </row>
    <row r="958" spans="1:3" x14ac:dyDescent="0.3">
      <c r="A958" t="s">
        <v>2573</v>
      </c>
      <c r="B958">
        <v>958</v>
      </c>
      <c r="C958" t="s">
        <v>2776</v>
      </c>
    </row>
    <row r="959" spans="1:3" x14ac:dyDescent="0.3">
      <c r="A959" t="s">
        <v>2573</v>
      </c>
      <c r="B959">
        <v>959</v>
      </c>
      <c r="C959" t="s">
        <v>2776</v>
      </c>
    </row>
    <row r="960" spans="1:3" x14ac:dyDescent="0.3">
      <c r="A960" t="s">
        <v>2573</v>
      </c>
      <c r="B960">
        <v>960</v>
      </c>
      <c r="C960" t="s">
        <v>2776</v>
      </c>
    </row>
    <row r="961" spans="1:3" x14ac:dyDescent="0.3">
      <c r="A961" t="s">
        <v>2582</v>
      </c>
      <c r="B961">
        <v>961</v>
      </c>
      <c r="C961" t="s">
        <v>2776</v>
      </c>
    </row>
    <row r="962" spans="1:3" x14ac:dyDescent="0.3">
      <c r="A962" t="s">
        <v>2582</v>
      </c>
      <c r="B962">
        <v>962</v>
      </c>
      <c r="C962" t="s">
        <v>2776</v>
      </c>
    </row>
    <row r="963" spans="1:3" x14ac:dyDescent="0.3">
      <c r="A963" t="s">
        <v>2582</v>
      </c>
      <c r="B963">
        <v>963</v>
      </c>
      <c r="C963" t="s">
        <v>2776</v>
      </c>
    </row>
    <row r="964" spans="1:3" x14ac:dyDescent="0.3">
      <c r="A964" t="s">
        <v>2582</v>
      </c>
      <c r="B964">
        <v>964</v>
      </c>
      <c r="C964" t="s">
        <v>2776</v>
      </c>
    </row>
    <row r="965" spans="1:3" x14ac:dyDescent="0.3">
      <c r="A965" t="s">
        <v>2582</v>
      </c>
      <c r="B965">
        <v>965</v>
      </c>
      <c r="C965" t="s">
        <v>2776</v>
      </c>
    </row>
    <row r="966" spans="1:3" x14ac:dyDescent="0.3">
      <c r="A966" t="s">
        <v>2582</v>
      </c>
      <c r="B966">
        <v>966</v>
      </c>
      <c r="C966" t="s">
        <v>2776</v>
      </c>
    </row>
    <row r="967" spans="1:3" x14ac:dyDescent="0.3">
      <c r="A967" t="s">
        <v>2582</v>
      </c>
      <c r="B967">
        <v>967</v>
      </c>
      <c r="C967" t="s">
        <v>2776</v>
      </c>
    </row>
    <row r="968" spans="1:3" x14ac:dyDescent="0.3">
      <c r="A968" t="s">
        <v>2582</v>
      </c>
      <c r="B968">
        <v>968</v>
      </c>
      <c r="C968" t="s">
        <v>2776</v>
      </c>
    </row>
    <row r="969" spans="1:3" x14ac:dyDescent="0.3">
      <c r="A969" t="s">
        <v>2582</v>
      </c>
      <c r="B969">
        <v>969</v>
      </c>
      <c r="C969" t="s">
        <v>2776</v>
      </c>
    </row>
    <row r="970" spans="1:3" x14ac:dyDescent="0.3">
      <c r="A970" t="s">
        <v>2582</v>
      </c>
      <c r="B970">
        <v>970</v>
      </c>
      <c r="C970" t="s">
        <v>2776</v>
      </c>
    </row>
    <row r="971" spans="1:3" x14ac:dyDescent="0.3">
      <c r="A971" t="s">
        <v>2582</v>
      </c>
      <c r="B971">
        <v>971</v>
      </c>
      <c r="C971" t="s">
        <v>2776</v>
      </c>
    </row>
    <row r="972" spans="1:3" x14ac:dyDescent="0.3">
      <c r="A972" t="s">
        <v>4</v>
      </c>
      <c r="B972">
        <v>972</v>
      </c>
      <c r="C972" t="s">
        <v>4</v>
      </c>
    </row>
    <row r="973" spans="1:3" x14ac:dyDescent="0.3">
      <c r="A973" t="s">
        <v>63</v>
      </c>
      <c r="B973">
        <v>973</v>
      </c>
      <c r="C973" t="s">
        <v>4</v>
      </c>
    </row>
    <row r="974" spans="1:3" x14ac:dyDescent="0.3">
      <c r="A974" t="s">
        <v>2568</v>
      </c>
      <c r="B974">
        <v>974</v>
      </c>
      <c r="C974" t="s">
        <v>4</v>
      </c>
    </row>
    <row r="975" spans="1:3" x14ac:dyDescent="0.3">
      <c r="A975" t="s">
        <v>2569</v>
      </c>
      <c r="B975">
        <v>975</v>
      </c>
      <c r="C975" t="s">
        <v>4</v>
      </c>
    </row>
    <row r="976" spans="1:3" x14ac:dyDescent="0.3">
      <c r="A976" t="s">
        <v>2742</v>
      </c>
      <c r="B976">
        <v>976</v>
      </c>
      <c r="C976" t="s">
        <v>4</v>
      </c>
    </row>
    <row r="977" spans="1:3" x14ac:dyDescent="0.3">
      <c r="A977" t="s">
        <v>2565</v>
      </c>
      <c r="B977">
        <v>977</v>
      </c>
      <c r="C977" t="s">
        <v>4</v>
      </c>
    </row>
    <row r="978" spans="1:3" x14ac:dyDescent="0.3">
      <c r="A978" t="s">
        <v>2570</v>
      </c>
      <c r="B978">
        <v>978</v>
      </c>
      <c r="C978" t="s">
        <v>4</v>
      </c>
    </row>
    <row r="979" spans="1:3" x14ac:dyDescent="0.3">
      <c r="A979" t="s">
        <v>2571</v>
      </c>
      <c r="B979">
        <v>979</v>
      </c>
      <c r="C979" t="s">
        <v>4</v>
      </c>
    </row>
    <row r="980" spans="1:3" x14ac:dyDescent="0.3">
      <c r="A980" t="s">
        <v>4</v>
      </c>
      <c r="B980">
        <v>980</v>
      </c>
      <c r="C980" t="s">
        <v>4</v>
      </c>
    </row>
    <row r="981" spans="1:3" x14ac:dyDescent="0.3">
      <c r="A981" t="s">
        <v>63</v>
      </c>
      <c r="B981">
        <v>981</v>
      </c>
      <c r="C981" t="s">
        <v>4</v>
      </c>
    </row>
    <row r="982" spans="1:3" x14ac:dyDescent="0.3">
      <c r="A982" t="s">
        <v>2568</v>
      </c>
      <c r="B982">
        <v>982</v>
      </c>
      <c r="C982" t="s">
        <v>4</v>
      </c>
    </row>
    <row r="983" spans="1:3" x14ac:dyDescent="0.3">
      <c r="A983" t="s">
        <v>2569</v>
      </c>
      <c r="B983">
        <v>983</v>
      </c>
      <c r="C983" t="s">
        <v>4</v>
      </c>
    </row>
    <row r="984" spans="1:3" x14ac:dyDescent="0.3">
      <c r="A984" t="s">
        <v>2742</v>
      </c>
      <c r="B984">
        <v>984</v>
      </c>
      <c r="C984" t="s">
        <v>4</v>
      </c>
    </row>
    <row r="985" spans="1:3" x14ac:dyDescent="0.3">
      <c r="A985" t="s">
        <v>2565</v>
      </c>
      <c r="B985">
        <v>985</v>
      </c>
      <c r="C985" t="s">
        <v>4</v>
      </c>
    </row>
    <row r="986" spans="1:3" x14ac:dyDescent="0.3">
      <c r="A986" t="s">
        <v>2570</v>
      </c>
      <c r="B986">
        <v>986</v>
      </c>
      <c r="C986" t="s">
        <v>4</v>
      </c>
    </row>
    <row r="987" spans="1:3" x14ac:dyDescent="0.3">
      <c r="A987" t="s">
        <v>2571</v>
      </c>
      <c r="B987">
        <v>987</v>
      </c>
      <c r="C987" t="s">
        <v>4</v>
      </c>
    </row>
    <row r="988" spans="1:3" x14ac:dyDescent="0.3">
      <c r="A988" t="s">
        <v>284</v>
      </c>
      <c r="B988">
        <v>988</v>
      </c>
      <c r="C988" t="s">
        <v>2776</v>
      </c>
    </row>
    <row r="989" spans="1:3" x14ac:dyDescent="0.3">
      <c r="A989" t="s">
        <v>1462</v>
      </c>
      <c r="B989">
        <v>989</v>
      </c>
      <c r="C989" t="s">
        <v>2776</v>
      </c>
    </row>
    <row r="990" spans="1:3" x14ac:dyDescent="0.3">
      <c r="A990" t="s">
        <v>1463</v>
      </c>
      <c r="B990">
        <v>990</v>
      </c>
      <c r="C990" t="s">
        <v>2776</v>
      </c>
    </row>
    <row r="991" spans="1:3" x14ac:dyDescent="0.3">
      <c r="A991" t="s">
        <v>1464</v>
      </c>
      <c r="B991">
        <v>991</v>
      </c>
      <c r="C991" t="s">
        <v>2776</v>
      </c>
    </row>
    <row r="992" spans="1:3" x14ac:dyDescent="0.3">
      <c r="A992" t="s">
        <v>1465</v>
      </c>
      <c r="B992">
        <v>992</v>
      </c>
      <c r="C992" t="s">
        <v>2776</v>
      </c>
    </row>
    <row r="993" spans="1:3" x14ac:dyDescent="0.3">
      <c r="A993" t="s">
        <v>1466</v>
      </c>
      <c r="B993">
        <v>993</v>
      </c>
      <c r="C993" t="s">
        <v>2776</v>
      </c>
    </row>
    <row r="994" spans="1:3" x14ac:dyDescent="0.3">
      <c r="A994" t="s">
        <v>1467</v>
      </c>
      <c r="B994">
        <v>994</v>
      </c>
      <c r="C994" t="s">
        <v>2776</v>
      </c>
    </row>
    <row r="995" spans="1:3" x14ac:dyDescent="0.3">
      <c r="A995" s="78" t="s">
        <v>1468</v>
      </c>
      <c r="B995">
        <v>995</v>
      </c>
      <c r="C995" t="s">
        <v>2776</v>
      </c>
    </row>
    <row r="996" spans="1:3" x14ac:dyDescent="0.3">
      <c r="A996" s="78" t="s">
        <v>1472</v>
      </c>
      <c r="B996">
        <v>996</v>
      </c>
      <c r="C996" t="s">
        <v>2776</v>
      </c>
    </row>
    <row r="997" spans="1:3" x14ac:dyDescent="0.3">
      <c r="A997" s="78" t="s">
        <v>1473</v>
      </c>
      <c r="B997">
        <v>997</v>
      </c>
      <c r="C997" t="s">
        <v>2776</v>
      </c>
    </row>
    <row r="998" spans="1:3" x14ac:dyDescent="0.3">
      <c r="A998" s="78" t="s">
        <v>1474</v>
      </c>
      <c r="B998">
        <v>998</v>
      </c>
      <c r="C998" t="s">
        <v>2776</v>
      </c>
    </row>
    <row r="999" spans="1:3" x14ac:dyDescent="0.3">
      <c r="A999" s="78" t="s">
        <v>1475</v>
      </c>
      <c r="B999">
        <v>999</v>
      </c>
      <c r="C999" t="s">
        <v>2776</v>
      </c>
    </row>
    <row r="1000" spans="1:3" x14ac:dyDescent="0.3">
      <c r="A1000" s="78" t="s">
        <v>1476</v>
      </c>
      <c r="B1000">
        <v>1000</v>
      </c>
      <c r="C1000" t="s">
        <v>2776</v>
      </c>
    </row>
    <row r="1001" spans="1:3" x14ac:dyDescent="0.3">
      <c r="A1001" s="78" t="s">
        <v>1469</v>
      </c>
      <c r="B1001">
        <v>1001</v>
      </c>
      <c r="C1001" t="s">
        <v>2776</v>
      </c>
    </row>
    <row r="1002" spans="1:3" x14ac:dyDescent="0.3">
      <c r="A1002" s="78" t="s">
        <v>1470</v>
      </c>
      <c r="B1002">
        <v>1002</v>
      </c>
      <c r="C1002" t="s">
        <v>2776</v>
      </c>
    </row>
    <row r="1003" spans="1:3" x14ac:dyDescent="0.3">
      <c r="A1003" s="78" t="s">
        <v>1471</v>
      </c>
      <c r="B1003">
        <v>1003</v>
      </c>
      <c r="C1003" t="s">
        <v>2776</v>
      </c>
    </row>
    <row r="1004" spans="1:3" x14ac:dyDescent="0.3">
      <c r="A1004" s="78" t="s">
        <v>1509</v>
      </c>
      <c r="B1004">
        <v>1004</v>
      </c>
      <c r="C1004" t="s">
        <v>2776</v>
      </c>
    </row>
    <row r="1005" spans="1:3" x14ac:dyDescent="0.3">
      <c r="A1005" s="78" t="s">
        <v>1510</v>
      </c>
      <c r="B1005">
        <v>1005</v>
      </c>
      <c r="C1005" t="s">
        <v>2776</v>
      </c>
    </row>
    <row r="1006" spans="1:3" x14ac:dyDescent="0.3">
      <c r="A1006" s="78" t="s">
        <v>1511</v>
      </c>
      <c r="B1006">
        <v>1006</v>
      </c>
      <c r="C1006" t="s">
        <v>2776</v>
      </c>
    </row>
    <row r="1007" spans="1:3" x14ac:dyDescent="0.3">
      <c r="A1007" t="s">
        <v>1468</v>
      </c>
      <c r="B1007">
        <v>1007</v>
      </c>
      <c r="C1007" t="s">
        <v>2776</v>
      </c>
    </row>
    <row r="1008" spans="1:3" x14ac:dyDescent="0.3">
      <c r="A1008" t="s">
        <v>1472</v>
      </c>
      <c r="B1008">
        <v>1008</v>
      </c>
      <c r="C1008" t="s">
        <v>2776</v>
      </c>
    </row>
    <row r="1009" spans="1:3" x14ac:dyDescent="0.3">
      <c r="A1009" t="s">
        <v>1473</v>
      </c>
      <c r="B1009">
        <v>1009</v>
      </c>
      <c r="C1009" t="s">
        <v>2776</v>
      </c>
    </row>
    <row r="1010" spans="1:3" x14ac:dyDescent="0.3">
      <c r="A1010" t="s">
        <v>1474</v>
      </c>
      <c r="B1010">
        <v>1010</v>
      </c>
      <c r="C1010" t="s">
        <v>2776</v>
      </c>
    </row>
    <row r="1011" spans="1:3" x14ac:dyDescent="0.3">
      <c r="A1011" t="s">
        <v>1475</v>
      </c>
      <c r="B1011">
        <v>1011</v>
      </c>
      <c r="C1011" t="s">
        <v>2776</v>
      </c>
    </row>
    <row r="1012" spans="1:3" x14ac:dyDescent="0.3">
      <c r="A1012" t="s">
        <v>1476</v>
      </c>
      <c r="B1012">
        <v>1012</v>
      </c>
      <c r="C1012" t="s">
        <v>2776</v>
      </c>
    </row>
    <row r="1013" spans="1:3" x14ac:dyDescent="0.3">
      <c r="A1013" t="s">
        <v>1469</v>
      </c>
      <c r="B1013">
        <v>1013</v>
      </c>
      <c r="C1013" t="s">
        <v>2776</v>
      </c>
    </row>
    <row r="1014" spans="1:3" x14ac:dyDescent="0.3">
      <c r="A1014" t="s">
        <v>1470</v>
      </c>
      <c r="B1014">
        <v>1014</v>
      </c>
      <c r="C1014" t="s">
        <v>2776</v>
      </c>
    </row>
    <row r="1015" spans="1:3" x14ac:dyDescent="0.3">
      <c r="A1015" t="s">
        <v>1471</v>
      </c>
      <c r="B1015">
        <v>1015</v>
      </c>
      <c r="C1015" t="s">
        <v>2776</v>
      </c>
    </row>
    <row r="1016" spans="1:3" x14ac:dyDescent="0.3">
      <c r="A1016" t="s">
        <v>1509</v>
      </c>
      <c r="B1016">
        <v>1016</v>
      </c>
      <c r="C1016" t="s">
        <v>2776</v>
      </c>
    </row>
    <row r="1017" spans="1:3" x14ac:dyDescent="0.3">
      <c r="A1017" t="s">
        <v>1510</v>
      </c>
      <c r="B1017">
        <v>1017</v>
      </c>
      <c r="C1017" t="s">
        <v>2776</v>
      </c>
    </row>
    <row r="1018" spans="1:3" x14ac:dyDescent="0.3">
      <c r="A1018" t="s">
        <v>1511</v>
      </c>
      <c r="B1018">
        <v>1018</v>
      </c>
      <c r="C1018" t="s">
        <v>2776</v>
      </c>
    </row>
    <row r="1019" spans="1:3" x14ac:dyDescent="0.3">
      <c r="A1019" t="s">
        <v>1468</v>
      </c>
      <c r="B1019">
        <v>1019</v>
      </c>
      <c r="C1019" t="s">
        <v>2776</v>
      </c>
    </row>
    <row r="1020" spans="1:3" x14ac:dyDescent="0.3">
      <c r="A1020" t="s">
        <v>1472</v>
      </c>
      <c r="B1020">
        <v>1020</v>
      </c>
      <c r="C1020" t="s">
        <v>2776</v>
      </c>
    </row>
    <row r="1021" spans="1:3" x14ac:dyDescent="0.3">
      <c r="A1021" t="s">
        <v>1473</v>
      </c>
      <c r="B1021">
        <v>1021</v>
      </c>
      <c r="C1021" t="s">
        <v>2776</v>
      </c>
    </row>
    <row r="1022" spans="1:3" x14ac:dyDescent="0.3">
      <c r="A1022" t="s">
        <v>1474</v>
      </c>
      <c r="B1022">
        <v>1022</v>
      </c>
      <c r="C1022" t="s">
        <v>2776</v>
      </c>
    </row>
    <row r="1023" spans="1:3" x14ac:dyDescent="0.3">
      <c r="A1023" t="s">
        <v>1475</v>
      </c>
      <c r="B1023">
        <v>1023</v>
      </c>
      <c r="C1023" t="s">
        <v>2776</v>
      </c>
    </row>
    <row r="1024" spans="1:3" x14ac:dyDescent="0.3">
      <c r="A1024" t="s">
        <v>1476</v>
      </c>
      <c r="B1024">
        <v>1024</v>
      </c>
      <c r="C1024" t="s">
        <v>2776</v>
      </c>
    </row>
    <row r="1025" spans="1:3" x14ac:dyDescent="0.3">
      <c r="A1025" t="s">
        <v>1469</v>
      </c>
      <c r="B1025">
        <v>1025</v>
      </c>
      <c r="C1025" t="s">
        <v>2776</v>
      </c>
    </row>
    <row r="1026" spans="1:3" x14ac:dyDescent="0.3">
      <c r="A1026" t="s">
        <v>1470</v>
      </c>
      <c r="B1026">
        <v>1026</v>
      </c>
      <c r="C1026" t="s">
        <v>2776</v>
      </c>
    </row>
    <row r="1027" spans="1:3" x14ac:dyDescent="0.3">
      <c r="A1027" t="s">
        <v>1471</v>
      </c>
      <c r="B1027">
        <v>1027</v>
      </c>
      <c r="C1027" t="s">
        <v>2776</v>
      </c>
    </row>
    <row r="1028" spans="1:3" x14ac:dyDescent="0.3">
      <c r="A1028" t="s">
        <v>1509</v>
      </c>
      <c r="B1028">
        <v>1028</v>
      </c>
      <c r="C1028" t="s">
        <v>2776</v>
      </c>
    </row>
    <row r="1029" spans="1:3" x14ac:dyDescent="0.3">
      <c r="A1029" t="s">
        <v>1510</v>
      </c>
      <c r="B1029">
        <v>1029</v>
      </c>
      <c r="C1029" t="s">
        <v>2776</v>
      </c>
    </row>
    <row r="1030" spans="1:3" x14ac:dyDescent="0.3">
      <c r="A1030" t="s">
        <v>1511</v>
      </c>
      <c r="B1030">
        <v>1030</v>
      </c>
      <c r="C1030" t="s">
        <v>2776</v>
      </c>
    </row>
    <row r="1031" spans="1:3" x14ac:dyDescent="0.3">
      <c r="A1031" t="s">
        <v>1468</v>
      </c>
      <c r="B1031">
        <v>1031</v>
      </c>
      <c r="C1031" t="s">
        <v>2776</v>
      </c>
    </row>
    <row r="1032" spans="1:3" x14ac:dyDescent="0.3">
      <c r="A1032" t="s">
        <v>1472</v>
      </c>
      <c r="B1032">
        <v>1032</v>
      </c>
      <c r="C1032" t="s">
        <v>2776</v>
      </c>
    </row>
    <row r="1033" spans="1:3" x14ac:dyDescent="0.3">
      <c r="A1033" t="s">
        <v>1473</v>
      </c>
      <c r="B1033">
        <v>1033</v>
      </c>
      <c r="C1033" t="s">
        <v>2776</v>
      </c>
    </row>
    <row r="1034" spans="1:3" x14ac:dyDescent="0.3">
      <c r="A1034" t="s">
        <v>1474</v>
      </c>
      <c r="B1034">
        <v>1034</v>
      </c>
      <c r="C1034" t="s">
        <v>2776</v>
      </c>
    </row>
    <row r="1035" spans="1:3" x14ac:dyDescent="0.3">
      <c r="A1035" t="s">
        <v>1475</v>
      </c>
      <c r="B1035">
        <v>1035</v>
      </c>
      <c r="C1035" t="s">
        <v>2776</v>
      </c>
    </row>
    <row r="1036" spans="1:3" x14ac:dyDescent="0.3">
      <c r="A1036" t="s">
        <v>1476</v>
      </c>
      <c r="B1036">
        <v>1036</v>
      </c>
      <c r="C1036" t="s">
        <v>2776</v>
      </c>
    </row>
    <row r="1037" spans="1:3" x14ac:dyDescent="0.3">
      <c r="A1037" t="s">
        <v>1469</v>
      </c>
      <c r="B1037">
        <v>1037</v>
      </c>
      <c r="C1037" t="s">
        <v>2776</v>
      </c>
    </row>
    <row r="1038" spans="1:3" x14ac:dyDescent="0.3">
      <c r="A1038" t="s">
        <v>1470</v>
      </c>
      <c r="B1038">
        <v>1038</v>
      </c>
      <c r="C1038" t="s">
        <v>2776</v>
      </c>
    </row>
    <row r="1039" spans="1:3" x14ac:dyDescent="0.3">
      <c r="A1039" t="s">
        <v>1471</v>
      </c>
      <c r="B1039">
        <v>1039</v>
      </c>
      <c r="C1039" t="s">
        <v>2776</v>
      </c>
    </row>
    <row r="1040" spans="1:3" x14ac:dyDescent="0.3">
      <c r="A1040" t="s">
        <v>1509</v>
      </c>
      <c r="B1040">
        <v>1040</v>
      </c>
      <c r="C1040" t="s">
        <v>2776</v>
      </c>
    </row>
    <row r="1041" spans="1:3" x14ac:dyDescent="0.3">
      <c r="A1041" t="s">
        <v>1510</v>
      </c>
      <c r="B1041">
        <v>1041</v>
      </c>
      <c r="C1041" t="s">
        <v>2776</v>
      </c>
    </row>
    <row r="1042" spans="1:3" x14ac:dyDescent="0.3">
      <c r="A1042" t="s">
        <v>1511</v>
      </c>
      <c r="B1042">
        <v>1042</v>
      </c>
      <c r="C1042" t="s">
        <v>2776</v>
      </c>
    </row>
    <row r="1043" spans="1:3" x14ac:dyDescent="0.3">
      <c r="A1043" t="s">
        <v>44</v>
      </c>
      <c r="B1043">
        <v>1043</v>
      </c>
      <c r="C1043" t="s">
        <v>2776</v>
      </c>
    </row>
    <row r="1044" spans="1:3" x14ac:dyDescent="0.3">
      <c r="A1044" t="s">
        <v>1478</v>
      </c>
      <c r="B1044">
        <v>1044</v>
      </c>
      <c r="C1044" t="s">
        <v>2776</v>
      </c>
    </row>
    <row r="1045" spans="1:3" x14ac:dyDescent="0.3">
      <c r="A1045" t="s">
        <v>1479</v>
      </c>
      <c r="B1045">
        <v>1045</v>
      </c>
      <c r="C1045" t="s">
        <v>2776</v>
      </c>
    </row>
    <row r="1046" spans="1:3" x14ac:dyDescent="0.3">
      <c r="A1046" t="s">
        <v>1480</v>
      </c>
      <c r="B1046">
        <v>1046</v>
      </c>
      <c r="C1046" t="s">
        <v>2776</v>
      </c>
    </row>
    <row r="1047" spans="1:3" x14ac:dyDescent="0.3">
      <c r="A1047" t="s">
        <v>1481</v>
      </c>
      <c r="B1047">
        <v>1047</v>
      </c>
      <c r="C1047" t="s">
        <v>2776</v>
      </c>
    </row>
    <row r="1048" spans="1:3" x14ac:dyDescent="0.3">
      <c r="A1048" t="s">
        <v>318</v>
      </c>
      <c r="B1048">
        <v>1048</v>
      </c>
      <c r="C1048" t="s">
        <v>318</v>
      </c>
    </row>
    <row r="1049" spans="1:3" x14ac:dyDescent="0.3">
      <c r="A1049" t="s">
        <v>332</v>
      </c>
      <c r="B1049">
        <v>1049</v>
      </c>
      <c r="C1049" t="s">
        <v>318</v>
      </c>
    </row>
    <row r="1050" spans="1:3" x14ac:dyDescent="0.3">
      <c r="A1050" t="s">
        <v>1483</v>
      </c>
      <c r="B1050">
        <v>1050</v>
      </c>
      <c r="C1050" t="s">
        <v>46</v>
      </c>
    </row>
    <row r="1051" spans="1:3" x14ac:dyDescent="0.3">
      <c r="A1051" t="s">
        <v>1484</v>
      </c>
      <c r="B1051">
        <v>1051</v>
      </c>
      <c r="C1051" t="s">
        <v>46</v>
      </c>
    </row>
    <row r="1052" spans="1:3" x14ac:dyDescent="0.3">
      <c r="A1052" t="s">
        <v>46</v>
      </c>
      <c r="B1052">
        <v>1052</v>
      </c>
      <c r="C1052" t="s">
        <v>46</v>
      </c>
    </row>
    <row r="1053" spans="1:3" x14ac:dyDescent="0.3">
      <c r="A1053" t="s">
        <v>194</v>
      </c>
      <c r="B1053">
        <v>1053</v>
      </c>
      <c r="C1053" t="s">
        <v>46</v>
      </c>
    </row>
    <row r="1054" spans="1:3" x14ac:dyDescent="0.3">
      <c r="A1054" t="s">
        <v>1486</v>
      </c>
      <c r="B1054">
        <v>1054</v>
      </c>
      <c r="C1054" t="s">
        <v>2776</v>
      </c>
    </row>
    <row r="1055" spans="1:3" x14ac:dyDescent="0.3">
      <c r="A1055" t="s">
        <v>1487</v>
      </c>
      <c r="B1055">
        <v>1055</v>
      </c>
      <c r="C1055" t="s">
        <v>2776</v>
      </c>
    </row>
    <row r="1056" spans="1:3" x14ac:dyDescent="0.3">
      <c r="A1056" t="s">
        <v>381</v>
      </c>
      <c r="B1056">
        <v>1056</v>
      </c>
      <c r="C1056" t="s">
        <v>2776</v>
      </c>
    </row>
    <row r="1057" spans="1:3" x14ac:dyDescent="0.3">
      <c r="A1057" t="s">
        <v>8</v>
      </c>
      <c r="B1057">
        <v>1057</v>
      </c>
      <c r="C1057" t="s">
        <v>2777</v>
      </c>
    </row>
    <row r="1058" spans="1:3" x14ac:dyDescent="0.3">
      <c r="A1058" t="s">
        <v>1488</v>
      </c>
      <c r="B1058">
        <v>1058</v>
      </c>
      <c r="C1058" t="s">
        <v>2777</v>
      </c>
    </row>
    <row r="1059" spans="1:3" x14ac:dyDescent="0.3">
      <c r="A1059" t="s">
        <v>1489</v>
      </c>
      <c r="B1059">
        <v>1059</v>
      </c>
      <c r="C1059" t="s">
        <v>2777</v>
      </c>
    </row>
    <row r="1060" spans="1:3" x14ac:dyDescent="0.3">
      <c r="A1060" t="s">
        <v>1490</v>
      </c>
      <c r="B1060">
        <v>1060</v>
      </c>
      <c r="C1060" t="s">
        <v>2777</v>
      </c>
    </row>
    <row r="1061" spans="1:3" x14ac:dyDescent="0.3">
      <c r="A1061" t="s">
        <v>1491</v>
      </c>
      <c r="B1061">
        <v>1061</v>
      </c>
      <c r="C1061" t="s">
        <v>2777</v>
      </c>
    </row>
    <row r="1062" spans="1:3" x14ac:dyDescent="0.3">
      <c r="A1062" t="s">
        <v>1492</v>
      </c>
      <c r="B1062">
        <v>1062</v>
      </c>
      <c r="C1062" t="s">
        <v>2777</v>
      </c>
    </row>
    <row r="1063" spans="1:3" x14ac:dyDescent="0.3">
      <c r="A1063" t="s">
        <v>1493</v>
      </c>
      <c r="B1063">
        <v>1063</v>
      </c>
      <c r="C1063" t="s">
        <v>2777</v>
      </c>
    </row>
    <row r="1064" spans="1:3" x14ac:dyDescent="0.3">
      <c r="A1064" t="s">
        <v>1488</v>
      </c>
      <c r="B1064">
        <v>1064</v>
      </c>
      <c r="C1064" t="s">
        <v>2777</v>
      </c>
    </row>
    <row r="1065" spans="1:3" x14ac:dyDescent="0.3">
      <c r="A1065" t="s">
        <v>1488</v>
      </c>
      <c r="B1065">
        <v>1065</v>
      </c>
      <c r="C1065" t="s">
        <v>2777</v>
      </c>
    </row>
    <row r="1066" spans="1:3" x14ac:dyDescent="0.3">
      <c r="A1066" t="s">
        <v>1488</v>
      </c>
      <c r="B1066">
        <v>1066</v>
      </c>
      <c r="C1066" t="s">
        <v>2777</v>
      </c>
    </row>
    <row r="1067" spans="1:3" x14ac:dyDescent="0.3">
      <c r="A1067" t="s">
        <v>1497</v>
      </c>
      <c r="B1067">
        <v>1067</v>
      </c>
      <c r="C1067" t="s">
        <v>153</v>
      </c>
    </row>
    <row r="1068" spans="1:3" x14ac:dyDescent="0.3">
      <c r="A1068" t="s">
        <v>1498</v>
      </c>
      <c r="B1068">
        <v>1068</v>
      </c>
      <c r="C1068" t="s">
        <v>153</v>
      </c>
    </row>
    <row r="1069" spans="1:3" x14ac:dyDescent="0.3">
      <c r="A1069" t="s">
        <v>2269</v>
      </c>
      <c r="B1069">
        <v>1069</v>
      </c>
      <c r="C1069" t="s">
        <v>153</v>
      </c>
    </row>
    <row r="1070" spans="1:3" x14ac:dyDescent="0.3">
      <c r="A1070" t="s">
        <v>1494</v>
      </c>
      <c r="B1070">
        <v>1070</v>
      </c>
      <c r="C1070" t="s">
        <v>153</v>
      </c>
    </row>
    <row r="1071" spans="1:3" x14ac:dyDescent="0.3">
      <c r="A1071" t="s">
        <v>1495</v>
      </c>
      <c r="B1071">
        <v>1071</v>
      </c>
      <c r="C1071" t="s">
        <v>153</v>
      </c>
    </row>
    <row r="1072" spans="1:3" x14ac:dyDescent="0.3">
      <c r="A1072" t="s">
        <v>8</v>
      </c>
      <c r="B1072">
        <v>1072</v>
      </c>
      <c r="C1072" t="s">
        <v>2777</v>
      </c>
    </row>
    <row r="1073" spans="1:3" x14ac:dyDescent="0.3">
      <c r="A1073" t="s">
        <v>8</v>
      </c>
      <c r="B1073">
        <v>1073</v>
      </c>
      <c r="C1073" t="s">
        <v>2777</v>
      </c>
    </row>
    <row r="1074" spans="1:3" x14ac:dyDescent="0.3">
      <c r="A1074" t="s">
        <v>8</v>
      </c>
      <c r="B1074">
        <v>1074</v>
      </c>
      <c r="C1074" t="s">
        <v>2777</v>
      </c>
    </row>
    <row r="1075" spans="1:3" x14ac:dyDescent="0.3">
      <c r="A1075" t="s">
        <v>8</v>
      </c>
      <c r="B1075">
        <v>1075</v>
      </c>
      <c r="C1075" t="s">
        <v>2777</v>
      </c>
    </row>
    <row r="1076" spans="1:3" x14ac:dyDescent="0.3">
      <c r="A1076" t="s">
        <v>8</v>
      </c>
      <c r="B1076">
        <v>1076</v>
      </c>
      <c r="C1076" t="s">
        <v>2777</v>
      </c>
    </row>
    <row r="1077" spans="1:3" x14ac:dyDescent="0.3">
      <c r="A1077" t="s">
        <v>8</v>
      </c>
      <c r="B1077">
        <v>1077</v>
      </c>
      <c r="C1077" t="s">
        <v>2777</v>
      </c>
    </row>
    <row r="1078" spans="1:3" x14ac:dyDescent="0.3">
      <c r="A1078" t="s">
        <v>8</v>
      </c>
      <c r="B1078">
        <v>1078</v>
      </c>
      <c r="C1078" t="s">
        <v>2777</v>
      </c>
    </row>
    <row r="1079" spans="1:3" x14ac:dyDescent="0.3">
      <c r="A1079" t="s">
        <v>8</v>
      </c>
      <c r="B1079">
        <v>1079</v>
      </c>
      <c r="C1079" t="s">
        <v>2777</v>
      </c>
    </row>
    <row r="1080" spans="1:3" x14ac:dyDescent="0.3">
      <c r="A1080" t="s">
        <v>8</v>
      </c>
      <c r="B1080">
        <v>1080</v>
      </c>
      <c r="C1080" t="s">
        <v>2777</v>
      </c>
    </row>
    <row r="1081" spans="1:3" x14ac:dyDescent="0.3">
      <c r="A1081" t="s">
        <v>8</v>
      </c>
      <c r="B1081">
        <v>1081</v>
      </c>
      <c r="C1081" t="s">
        <v>2777</v>
      </c>
    </row>
    <row r="1082" spans="1:3" x14ac:dyDescent="0.3">
      <c r="A1082" t="s">
        <v>8</v>
      </c>
      <c r="B1082">
        <v>1082</v>
      </c>
      <c r="C1082" t="s">
        <v>2777</v>
      </c>
    </row>
    <row r="1083" spans="1:3" x14ac:dyDescent="0.3">
      <c r="A1083" t="s">
        <v>8</v>
      </c>
      <c r="B1083">
        <v>1083</v>
      </c>
      <c r="C1083" t="s">
        <v>2777</v>
      </c>
    </row>
    <row r="1084" spans="1:3" x14ac:dyDescent="0.3">
      <c r="A1084" t="s">
        <v>8</v>
      </c>
      <c r="B1084">
        <v>1084</v>
      </c>
      <c r="C1084" t="s">
        <v>2777</v>
      </c>
    </row>
    <row r="1085" spans="1:3" x14ac:dyDescent="0.3">
      <c r="A1085" t="s">
        <v>8</v>
      </c>
      <c r="B1085">
        <v>1085</v>
      </c>
      <c r="C1085" t="s">
        <v>2777</v>
      </c>
    </row>
    <row r="1086" spans="1:3" x14ac:dyDescent="0.3">
      <c r="A1086" t="s">
        <v>8</v>
      </c>
      <c r="B1086">
        <v>1086</v>
      </c>
      <c r="C1086" t="s">
        <v>2777</v>
      </c>
    </row>
    <row r="1087" spans="1:3" x14ac:dyDescent="0.3">
      <c r="A1087" t="s">
        <v>8</v>
      </c>
      <c r="B1087">
        <v>1087</v>
      </c>
      <c r="C1087" t="s">
        <v>2777</v>
      </c>
    </row>
    <row r="1088" spans="1:3" x14ac:dyDescent="0.3">
      <c r="A1088" t="s">
        <v>8</v>
      </c>
      <c r="B1088">
        <v>1088</v>
      </c>
      <c r="C1088" t="s">
        <v>2777</v>
      </c>
    </row>
    <row r="1089" spans="1:3" x14ac:dyDescent="0.3">
      <c r="A1089" t="s">
        <v>8</v>
      </c>
      <c r="B1089">
        <v>1089</v>
      </c>
      <c r="C1089" t="s">
        <v>2777</v>
      </c>
    </row>
    <row r="1090" spans="1:3" x14ac:dyDescent="0.3">
      <c r="A1090" s="94" t="s">
        <v>112</v>
      </c>
    </row>
  </sheetData>
  <sortState xmlns:xlrd2="http://schemas.microsoft.com/office/spreadsheetml/2017/richdata2" ref="A1:C1090">
    <sortCondition ref="B10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Data</vt:lpstr>
      <vt:lpstr>Export</vt:lpstr>
      <vt:lpstr>Descriptors count</vt:lpstr>
      <vt:lpstr>Data_old</vt:lpstr>
      <vt:lpstr>Dopants</vt:lpstr>
      <vt:lpstr>Weight fraction conversion</vt:lpstr>
      <vt:lpstr>Indexation</vt:lpstr>
      <vt:lpstr>Hydrogen rate converter</vt:lpstr>
      <vt:lpstr>Photocatalytic dataset</vt:lpstr>
      <vt:lpstr>Photocatalytic dataset 2</vt:lpstr>
      <vt:lpstr>Converter</vt:lpstr>
      <vt:lpstr>2_Photocatalytic dataset</vt:lpstr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Никита Давыдов</cp:lastModifiedBy>
  <dcterms:created xsi:type="dcterms:W3CDTF">2024-09-21T15:12:53Z</dcterms:created>
  <dcterms:modified xsi:type="dcterms:W3CDTF">2026-05-12T12:53:56Z</dcterms:modified>
</cp:coreProperties>
</file>